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hedrickbrotherscom.sharepoint.com/sites/2025Projects/Shared Documents/25-264-01 Atlantic Fields Club Core/03 EstSummary/"/>
    </mc:Choice>
  </mc:AlternateContent>
  <xr:revisionPtr revIDLastSave="0" documentId="8_{CE0F715D-114B-41B5-9271-E6F6826789BF}" xr6:coauthVersionLast="47" xr6:coauthVersionMax="47" xr10:uidLastSave="{00000000-0000-0000-0000-000000000000}"/>
  <bookViews>
    <workbookView xWindow="-28920" yWindow="-960" windowWidth="29040" windowHeight="16440" tabRatio="888" firstSheet="18" activeTab="18" xr2:uid="{00000000-000D-0000-FFFF-FFFF00000000}"/>
  </bookViews>
  <sheets>
    <sheet name="Area Calculations" sheetId="21" r:id="rId1"/>
    <sheet name="Word C&amp;A" sheetId="106" r:id="rId2"/>
    <sheet name="RFI" sheetId="124" r:id="rId3"/>
    <sheet name="Documents" sheetId="123" r:id="rId4"/>
    <sheet name="Sub List" sheetId="157" r:id="rId5"/>
    <sheet name="Sub Proposal Count" sheetId="158" r:id="rId6"/>
    <sheet name="Allowances" sheetId="49" r:id="rId7"/>
    <sheet name="Cost Summary" sheetId="20" r:id="rId8"/>
    <sheet name="GCs &amp; GRs" sheetId="48" r:id="rId9"/>
    <sheet name="02 21 Survey " sheetId="2" r:id="rId10"/>
    <sheet name="03 30 CIP Concrete" sheetId="3" r:id="rId11"/>
    <sheet name="04 40 Stone Veneer" sheetId="126" r:id="rId12"/>
    <sheet name="05 10 Structural Steel" sheetId="127" r:id="rId13"/>
    <sheet name="05 52 Railings" sheetId="125" r:id="rId14"/>
    <sheet name="05 70 Arch Metals" sheetId="57" r:id="rId15"/>
    <sheet name="06 10 Rough Carpentry" sheetId="58" r:id="rId16"/>
    <sheet name="06 40 Exterior Finish Carpentry" sheetId="61" r:id="rId17"/>
    <sheet name="06 50 Millwork" sheetId="111" r:id="rId18"/>
    <sheet name="07 17 Waterproofing &amp; Caulk" sheetId="6" r:id="rId19"/>
    <sheet name="07 21 Insulation" sheetId="23" r:id="rId20"/>
    <sheet name="07 50 Roofing" sheetId="7" r:id="rId21"/>
    <sheet name="07 81 Fireproofing" sheetId="128" r:id="rId22"/>
    <sheet name="08 10 DFH" sheetId="8" r:id="rId23"/>
    <sheet name="08 30 Retractable Screens" sheetId="68" state="hidden" r:id="rId24"/>
    <sheet name="08 11 Insect Screens" sheetId="131" r:id="rId25"/>
    <sheet name="08 33 OH Coiling Doors" sheetId="129" r:id="rId26"/>
    <sheet name="08 50 Storefront" sheetId="9" r:id="rId27"/>
    <sheet name="08 60 Skylights" sheetId="130" r:id="rId28"/>
    <sheet name="09 24 Stucco" sheetId="69" r:id="rId29"/>
    <sheet name="09 29 Gypsum Board (2)" sheetId="135" state="hidden" r:id="rId30"/>
    <sheet name="09 26 Plaster" sheetId="132" r:id="rId31"/>
    <sheet name="09 29 Gypsum Board" sheetId="10" r:id="rId32"/>
    <sheet name="09 30 Tile" sheetId="134" r:id="rId33"/>
    <sheet name="09 41 Resinous Flooring" sheetId="142" r:id="rId34"/>
    <sheet name="09 51 ACT" sheetId="77" r:id="rId35"/>
    <sheet name="09 60 Resilient Flooring" sheetId="75" r:id="rId36"/>
    <sheet name="09 64 Wood Flooring" sheetId="133" r:id="rId37"/>
    <sheet name="09 90 Painting" sheetId="30" r:id="rId38"/>
    <sheet name="10 22 Demountable Part" sheetId="147" r:id="rId39"/>
    <sheet name="10 28 Specialties" sheetId="81" r:id="rId40"/>
    <sheet name="10 22 Operable Partitions" sheetId="82" state="hidden" r:id="rId41"/>
    <sheet name="10 30 Fireplace" sheetId="79" state="hidden" r:id="rId42"/>
    <sheet name="11 11 Laundry Equip." sheetId="85" state="hidden" r:id="rId43"/>
    <sheet name="10 30 Fireplace " sheetId="143" r:id="rId44"/>
    <sheet name="10 51 Lockers" sheetId="151" r:id="rId45"/>
    <sheet name="10 53 Signage" sheetId="41" r:id="rId46"/>
    <sheet name="10 73 Canopy" sheetId="148" r:id="rId47"/>
    <sheet name="11 40 FS Equip" sheetId="84" r:id="rId48"/>
    <sheet name="12 30 Wall Protection" sheetId="92" state="hidden" r:id="rId49"/>
    <sheet name="14 80 Scaffolding" sheetId="90" state="hidden" r:id="rId50"/>
    <sheet name="11 40 Appliances" sheetId="154" r:id="rId51"/>
    <sheet name="12 20 Window Treatments" sheetId="145" r:id="rId52"/>
    <sheet name="13 11 Pool" sheetId="112" r:id="rId53"/>
    <sheet name="13 12 Spa Rooms" sheetId="136" r:id="rId54"/>
    <sheet name="14 00 Elevators" sheetId="137" r:id="rId55"/>
    <sheet name="14 91 Linen Chute" sheetId="144" r:id="rId56"/>
    <sheet name="21 13 Fire Protection" sheetId="46" r:id="rId57"/>
    <sheet name="22 00 Plumbing " sheetId="95" r:id="rId58"/>
    <sheet name="23 00 HVAC" sheetId="16" r:id="rId59"/>
    <sheet name="26 00 Electrical" sheetId="13" r:id="rId60"/>
    <sheet name="27 10 Structured Cable" sheetId="139" r:id="rId61"/>
    <sheet name="27 40 AV System" sheetId="140" r:id="rId62"/>
    <sheet name="27 53 BDA System" sheetId="153" r:id="rId63"/>
    <sheet name="28 10 Security" sheetId="141" r:id="rId64"/>
    <sheet name="31 30 Site Work" sheetId="14" r:id="rId65"/>
    <sheet name="31 32 Soil Stabilization" sheetId="150" r:id="rId66"/>
    <sheet name="31 46 Sheet Piling" sheetId="117" r:id="rId67"/>
    <sheet name="32 14 Hardsacpe - Walls" sheetId="121" r:id="rId68"/>
    <sheet name="32 14 Hardsacpe - Pavers" sheetId="156" r:id="rId69"/>
    <sheet name="32 31 Fence &amp; Gates" sheetId="149" r:id="rId70"/>
    <sheet name="32 80 Landscape" sheetId="28" r:id="rId71"/>
    <sheet name="35 00 Marine" sheetId="138" r:id="rId72"/>
    <sheet name="41 22 Crane and Hoist" sheetId="109" state="hidden" r:id="rId73"/>
    <sheet name="SiteWorkPrices" sheetId="107" state="hidden" r:id="rId74"/>
    <sheet name="UnitPrices" sheetId="108" state="hidden" r:id="rId75"/>
  </sheets>
  <definedNames>
    <definedName name="_xlnm.Print_Area" localSheetId="9">'02 21 Survey '!$A$1:$S$62</definedName>
    <definedName name="_xlnm.Print_Area" localSheetId="10">'03 30 CIP Concrete'!$A$1:$E$260</definedName>
    <definedName name="_xlnm.Print_Area" localSheetId="11">'04 40 Stone Veneer'!$A$1:$S$74</definedName>
    <definedName name="_xlnm.Print_Area" localSheetId="12">'05 10 Structural Steel'!$A$1:$G$291</definedName>
    <definedName name="_xlnm.Print_Area" localSheetId="13">'05 52 Railings'!$A$1:$S$57</definedName>
    <definedName name="_xlnm.Print_Area" localSheetId="14">'05 70 Arch Metals'!$A$1:$E$72</definedName>
    <definedName name="_xlnm.Print_Area" localSheetId="15">'06 10 Rough Carpentry'!$A$1:$S$86</definedName>
    <definedName name="_xlnm.Print_Area" localSheetId="16">'06 40 Exterior Finish Carpentry'!$A$1:$S$104</definedName>
    <definedName name="_xlnm.Print_Area" localSheetId="17">'06 50 Millwork'!$A$1:$W$660</definedName>
    <definedName name="_xlnm.Print_Area" localSheetId="18">'07 17 Waterproofing &amp; Caulk'!$A$1:$E$163</definedName>
    <definedName name="_xlnm.Print_Area" localSheetId="19">'07 21 Insulation'!$A$1:$S$57</definedName>
    <definedName name="_xlnm.Print_Area" localSheetId="20">'07 50 Roofing'!$A$1:$S$120</definedName>
    <definedName name="_xlnm.Print_Area" localSheetId="21">'07 81 Fireproofing'!$A$1:$S$57</definedName>
    <definedName name="_xlnm.Print_Area" localSheetId="22">'08 10 DFH'!$A$1:$E$180</definedName>
    <definedName name="_xlnm.Print_Area" localSheetId="24">'08 11 Insect Screens'!$A$1:$S$77</definedName>
    <definedName name="_xlnm.Print_Area" localSheetId="25">'08 33 OH Coiling Doors'!$A$1:$O$57</definedName>
    <definedName name="_xlnm.Print_Area" localSheetId="26">'08 50 Storefront'!$A$1:$Q$241</definedName>
    <definedName name="_xlnm.Print_Area" localSheetId="27">'08 60 Skylights'!$A$1:$S$57</definedName>
    <definedName name="_xlnm.Print_Area" localSheetId="28">'09 24 Stucco'!$A$1:$S$41</definedName>
    <definedName name="_xlnm.Print_Area" localSheetId="30">'09 26 Plaster'!$A$1:$Q$59</definedName>
    <definedName name="_xlnm.Print_Area" localSheetId="31">'09 29 Gypsum Board'!$A$1:$S$190</definedName>
    <definedName name="_xlnm.Print_Area" localSheetId="29">'09 29 Gypsum Board (2)'!$A$1:$S$57</definedName>
    <definedName name="_xlnm.Print_Area" localSheetId="32">'09 30 Tile'!$A$1:$Q$221</definedName>
    <definedName name="_xlnm.Print_Area" localSheetId="33">'09 41 Resinous Flooring'!$A$1:$Q$55</definedName>
    <definedName name="_xlnm.Print_Area" localSheetId="34">'09 51 ACT'!$A$1:$S$46</definedName>
    <definedName name="_xlnm.Print_Area" localSheetId="35">'09 60 Resilient Flooring'!$A$1:$O$62</definedName>
    <definedName name="_xlnm.Print_Area" localSheetId="36">'09 64 Wood Flooring'!$A$1:$S$48</definedName>
    <definedName name="_xlnm.Print_Area" localSheetId="37">'09 90 Painting'!$A$1:$Q$119</definedName>
    <definedName name="_xlnm.Print_Area" localSheetId="38">'10 22 Demountable Part'!$A$1:$S$57</definedName>
    <definedName name="_xlnm.Print_Area" localSheetId="39">'10 28 Specialties'!$A$1:$Q$181</definedName>
    <definedName name="_xlnm.Print_Area" localSheetId="43">'10 30 Fireplace '!$A$1:$S$56</definedName>
    <definedName name="_xlnm.Print_Area" localSheetId="44">'10 51 Lockers'!$A$1:$S$72</definedName>
    <definedName name="_xlnm.Print_Area" localSheetId="45">'10 53 Signage'!$A$1:$S$60</definedName>
    <definedName name="_xlnm.Print_Area" localSheetId="46">'10 73 Canopy'!$A$1:$S$58</definedName>
    <definedName name="_xlnm.Print_Area" localSheetId="50">'11 40 Appliances'!$X$1:$AB$80</definedName>
    <definedName name="_xlnm.Print_Area" localSheetId="47">'11 40 FS Equip'!$A$1:$S$65</definedName>
    <definedName name="_xlnm.Print_Area" localSheetId="51">'12 20 Window Treatments'!$A$1:$E$94</definedName>
    <definedName name="_xlnm.Print_Area" localSheetId="52">'13 11 Pool'!$AR$1:$AV$105</definedName>
    <definedName name="_xlnm.Print_Area" localSheetId="53">'13 12 Spa Rooms'!$A$1:$S$57</definedName>
    <definedName name="_xlnm.Print_Area" localSheetId="54">'14 00 Elevators'!$A$1:$S$87</definedName>
    <definedName name="_xlnm.Print_Area" localSheetId="55">'14 91 Linen Chute'!$A$1:$S$57</definedName>
    <definedName name="_xlnm.Print_Area" localSheetId="56">'21 13 Fire Protection'!$A$1:$S$63</definedName>
    <definedName name="_xlnm.Print_Area" localSheetId="57">'22 00 Plumbing '!$A$1:$S$58</definedName>
    <definedName name="_xlnm.Print_Area" localSheetId="58">'23 00 HVAC'!$A$1:$S$164</definedName>
    <definedName name="_xlnm.Print_Area" localSheetId="59">'26 00 Electrical'!$A$1:$S$75</definedName>
    <definedName name="_xlnm.Print_Area" localSheetId="60">'27 10 Structured Cable'!$A$1:$E$122</definedName>
    <definedName name="_xlnm.Print_Area" localSheetId="61">'27 40 AV System'!$A$1:$E$226</definedName>
    <definedName name="_xlnm.Print_Area" localSheetId="62">'27 53 BDA System'!$A$1:$S$49</definedName>
    <definedName name="_xlnm.Print_Area" localSheetId="63">'28 10 Security'!$A$1:$E$109</definedName>
    <definedName name="_xlnm.Print_Area" localSheetId="64">'31 30 Site Work'!$A$1:$S$60</definedName>
    <definedName name="_xlnm.Print_Area" localSheetId="65">'31 32 Soil Stabilization'!$A$1:$S$58</definedName>
    <definedName name="_xlnm.Print_Area" localSheetId="66">'31 46 Sheet Piling'!$A$1:$S$57</definedName>
    <definedName name="_xlnm.Print_Area" localSheetId="68">'32 14 Hardsacpe - Pavers'!$A$1:$E$65</definedName>
    <definedName name="_xlnm.Print_Area" localSheetId="67">'32 14 Hardsacpe - Walls'!$A$1:$E$140</definedName>
    <definedName name="_xlnm.Print_Area" localSheetId="69">'32 31 Fence &amp; Gates'!$A$1:$S$212</definedName>
    <definedName name="_xlnm.Print_Area" localSheetId="70">'32 80 Landscape'!$A$1:$S$212</definedName>
    <definedName name="_xlnm.Print_Area" localSheetId="71">'35 00 Marine'!$A$1:$S$212</definedName>
    <definedName name="_xlnm.Print_Area" localSheetId="6">Allowances!$A$1:$D$62</definedName>
    <definedName name="_xlnm.Print_Area" localSheetId="7">'Cost Summary'!$A$1:$I$77</definedName>
    <definedName name="_xlnm.Print_Area" localSheetId="3">Documents!$A$1:$E$1463</definedName>
    <definedName name="_xlnm.Print_Area" localSheetId="8">'GCs &amp; GRs'!$A$1:$N$160</definedName>
    <definedName name="_xlnm.Print_Area" localSheetId="4">'Sub List'!$A$1:$C$62</definedName>
    <definedName name="_xlnm.Print_Area" localSheetId="5">'Sub Proposal Count'!$A$1:$F$62</definedName>
    <definedName name="_xlnm.Print_Titles" localSheetId="10">'03 30 CIP Concrete'!$1:$10</definedName>
    <definedName name="_xlnm.Print_Titles" localSheetId="18">'07 17 Waterproofing &amp; Caulk'!$10:$10</definedName>
    <definedName name="_xlnm.Print_Titles" localSheetId="6">Allowances!$7:$7</definedName>
    <definedName name="_xlnm.Print_Titles" localSheetId="3">Documents!$7:$7</definedName>
    <definedName name="_xlnm.Print_Titles" localSheetId="2">RFI!$1:$9</definedName>
    <definedName name="_xlnm.Print_Titles" localSheetId="4">'Sub List'!$7:$7</definedName>
    <definedName name="_xlnm.Print_Titles" localSheetId="5">'Sub Proposal Count'!$7:$7</definedName>
  </definedNames>
  <calcPr calcId="191028" iterate="1" iterateCount="1000"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20" l="1"/>
  <c r="I49" i="20"/>
  <c r="I50" i="20"/>
  <c r="I51" i="20"/>
  <c r="I52" i="20"/>
  <c r="F32" i="117"/>
  <c r="F31" i="117"/>
  <c r="F97" i="6"/>
  <c r="F98" i="6"/>
  <c r="R5" i="3"/>
  <c r="P5" i="3"/>
  <c r="B299" i="3"/>
  <c r="B298" i="3"/>
  <c r="B297" i="3"/>
  <c r="B296" i="3"/>
  <c r="G22" i="16"/>
  <c r="D22" i="16"/>
  <c r="D78" i="20"/>
  <c r="C78" i="20"/>
  <c r="C38" i="21"/>
  <c r="F23" i="112"/>
  <c r="F29" i="156" l="1"/>
  <c r="F11" i="48"/>
  <c r="F25" i="126"/>
  <c r="F24" i="126"/>
  <c r="F87" i="6" l="1"/>
  <c r="F92" i="6"/>
  <c r="F85" i="6"/>
  <c r="F47" i="6"/>
  <c r="G88" i="7" l="1"/>
  <c r="G89" i="7"/>
  <c r="G90" i="7"/>
  <c r="G91" i="7"/>
  <c r="G92" i="7"/>
  <c r="G93" i="7"/>
  <c r="G94" i="7"/>
  <c r="G95" i="7"/>
  <c r="G96" i="7"/>
  <c r="D63" i="158"/>
  <c r="E63" i="158"/>
  <c r="C8" i="157"/>
  <c r="B61" i="158"/>
  <c r="B60" i="158"/>
  <c r="B59" i="158"/>
  <c r="B58" i="158"/>
  <c r="B57" i="158"/>
  <c r="B56" i="158"/>
  <c r="B55" i="158"/>
  <c r="B54" i="158"/>
  <c r="B53" i="158"/>
  <c r="B52" i="158"/>
  <c r="B51" i="158"/>
  <c r="B50" i="158"/>
  <c r="B49" i="158"/>
  <c r="B48" i="158"/>
  <c r="B47" i="158"/>
  <c r="B46" i="158"/>
  <c r="B45" i="158"/>
  <c r="B44" i="158"/>
  <c r="B43" i="158"/>
  <c r="B42" i="158"/>
  <c r="B41" i="158"/>
  <c r="B40" i="158"/>
  <c r="B39" i="158"/>
  <c r="B38" i="158"/>
  <c r="B37" i="158"/>
  <c r="B36" i="158"/>
  <c r="B35" i="158"/>
  <c r="B34" i="158"/>
  <c r="B33" i="158"/>
  <c r="B32" i="158"/>
  <c r="B31" i="158"/>
  <c r="B30" i="158"/>
  <c r="B29" i="158"/>
  <c r="B28" i="158"/>
  <c r="B27" i="158"/>
  <c r="B26" i="158"/>
  <c r="B25" i="158"/>
  <c r="B24" i="158"/>
  <c r="B23" i="158"/>
  <c r="B22" i="158"/>
  <c r="B21" i="158"/>
  <c r="B20" i="158"/>
  <c r="B19" i="158"/>
  <c r="B18" i="158"/>
  <c r="B17" i="158"/>
  <c r="B16" i="158"/>
  <c r="B15" i="158"/>
  <c r="B14" i="158"/>
  <c r="B13" i="158"/>
  <c r="B12" i="158"/>
  <c r="B11" i="158"/>
  <c r="B10" i="158"/>
  <c r="B9" i="158"/>
  <c r="A9" i="158"/>
  <c r="A10" i="158" s="1"/>
  <c r="A11" i="158" s="1"/>
  <c r="A12" i="158" s="1"/>
  <c r="A13" i="158" s="1"/>
  <c r="A14" i="158" s="1"/>
  <c r="A15" i="158" s="1"/>
  <c r="A16" i="158" s="1"/>
  <c r="A17" i="158" s="1"/>
  <c r="A18" i="158" s="1"/>
  <c r="A19" i="158" s="1"/>
  <c r="A20" i="158" s="1"/>
  <c r="A21" i="158" s="1"/>
  <c r="A22" i="158" s="1"/>
  <c r="A23" i="158" s="1"/>
  <c r="A24" i="158" s="1"/>
  <c r="A25" i="158" s="1"/>
  <c r="A26" i="158" s="1"/>
  <c r="A27" i="158" s="1"/>
  <c r="A28" i="158" s="1"/>
  <c r="A29" i="158" s="1"/>
  <c r="A30" i="158" s="1"/>
  <c r="A31" i="158" s="1"/>
  <c r="A32" i="158" s="1"/>
  <c r="A33" i="158" s="1"/>
  <c r="A34" i="158" s="1"/>
  <c r="A35" i="158" s="1"/>
  <c r="A36" i="158" s="1"/>
  <c r="A37" i="158" s="1"/>
  <c r="A38" i="158" s="1"/>
  <c r="A39" i="158" s="1"/>
  <c r="A40" i="158" s="1"/>
  <c r="A41" i="158" s="1"/>
  <c r="A42" i="158" s="1"/>
  <c r="A43" i="158" s="1"/>
  <c r="A44" i="158" s="1"/>
  <c r="A45" i="158" s="1"/>
  <c r="A46" i="158" s="1"/>
  <c r="A47" i="158" s="1"/>
  <c r="A48" i="158" s="1"/>
  <c r="A49" i="158" s="1"/>
  <c r="A50" i="158" s="1"/>
  <c r="A51" i="158" s="1"/>
  <c r="A52" i="158" s="1"/>
  <c r="A53" i="158" s="1"/>
  <c r="A54" i="158" s="1"/>
  <c r="A55" i="158" s="1"/>
  <c r="A56" i="158" s="1"/>
  <c r="A57" i="158" s="1"/>
  <c r="A58" i="158" s="1"/>
  <c r="A59" i="158" s="1"/>
  <c r="A60" i="158" s="1"/>
  <c r="A61" i="158" s="1"/>
  <c r="A62" i="158" s="1"/>
  <c r="B8" i="158"/>
  <c r="A6" i="158"/>
  <c r="A4" i="158"/>
  <c r="A3" i="158"/>
  <c r="K21" i="75"/>
  <c r="M42" i="133"/>
  <c r="I59" i="57"/>
  <c r="I71" i="131"/>
  <c r="E51" i="20"/>
  <c r="D51" i="20"/>
  <c r="C51" i="20"/>
  <c r="B129" i="13"/>
  <c r="I46" i="84"/>
  <c r="I272" i="9"/>
  <c r="K328" i="127"/>
  <c r="K225" i="127"/>
  <c r="G51" i="2"/>
  <c r="I51" i="2" s="1"/>
  <c r="M44" i="133" l="1"/>
  <c r="M46" i="133" s="1"/>
  <c r="C24" i="157"/>
  <c r="E24" i="20"/>
  <c r="I26" i="9"/>
  <c r="I194" i="9"/>
  <c r="I22" i="84"/>
  <c r="S48" i="84"/>
  <c r="Q48" i="84"/>
  <c r="O48" i="84"/>
  <c r="M48" i="84"/>
  <c r="K48" i="84"/>
  <c r="I48" i="84"/>
  <c r="A16" i="49"/>
  <c r="A17" i="49" s="1"/>
  <c r="I87" i="28"/>
  <c r="I22" i="141"/>
  <c r="G52" i="14"/>
  <c r="G53" i="14"/>
  <c r="G54" i="14"/>
  <c r="G55" i="14"/>
  <c r="G60" i="14"/>
  <c r="G61" i="14"/>
  <c r="G64" i="14"/>
  <c r="G63" i="14"/>
  <c r="G62" i="14"/>
  <c r="U270" i="127"/>
  <c r="S270" i="127"/>
  <c r="Q270" i="127"/>
  <c r="O270" i="127"/>
  <c r="M270" i="127"/>
  <c r="K270" i="127"/>
  <c r="M26" i="9"/>
  <c r="M54" i="134"/>
  <c r="G54" i="134"/>
  <c r="I23" i="134"/>
  <c r="K344" i="127"/>
  <c r="D70" i="61"/>
  <c r="F84" i="61"/>
  <c r="G70" i="61"/>
  <c r="G69" i="61" s="1"/>
  <c r="I69" i="61" s="1"/>
  <c r="D28" i="49" s="1"/>
  <c r="L9" i="133" l="1"/>
  <c r="Q68" i="126"/>
  <c r="O68" i="126"/>
  <c r="K68" i="126"/>
  <c r="I68" i="126"/>
  <c r="E214" i="81"/>
  <c r="D214" i="81"/>
  <c r="C214" i="81"/>
  <c r="B214" i="81"/>
  <c r="B213" i="81"/>
  <c r="B212" i="81"/>
  <c r="B211" i="81"/>
  <c r="B210" i="81"/>
  <c r="K175" i="81"/>
  <c r="K139" i="81"/>
  <c r="K21" i="81"/>
  <c r="I156" i="81"/>
  <c r="M21" i="81"/>
  <c r="M175" i="81"/>
  <c r="I175" i="81"/>
  <c r="K143" i="81"/>
  <c r="K151" i="81"/>
  <c r="M174" i="81"/>
  <c r="K174" i="81"/>
  <c r="M150" i="81"/>
  <c r="K150" i="81"/>
  <c r="I174" i="81"/>
  <c r="G174" i="81"/>
  <c r="G150" i="81"/>
  <c r="I150" i="81" s="1"/>
  <c r="C92" i="132"/>
  <c r="B92" i="132"/>
  <c r="B91" i="132"/>
  <c r="B90" i="132"/>
  <c r="B89" i="132"/>
  <c r="B88" i="132"/>
  <c r="K49" i="132"/>
  <c r="K47" i="132"/>
  <c r="K46" i="132"/>
  <c r="K45" i="132"/>
  <c r="K44" i="132"/>
  <c r="B154" i="30"/>
  <c r="B153" i="30"/>
  <c r="B152" i="30"/>
  <c r="B151" i="30"/>
  <c r="E155" i="30"/>
  <c r="D103" i="30"/>
  <c r="G103" i="30" s="1"/>
  <c r="I103" i="30" s="1"/>
  <c r="D50" i="30"/>
  <c r="G50" i="30" s="1"/>
  <c r="I50" i="30" s="1"/>
  <c r="K41" i="142"/>
  <c r="J41" i="142"/>
  <c r="C88" i="142"/>
  <c r="G41" i="142"/>
  <c r="I41" i="142" s="1"/>
  <c r="G46" i="30"/>
  <c r="I46" i="30" s="1"/>
  <c r="I47" i="30"/>
  <c r="G47" i="30"/>
  <c r="Q32" i="133"/>
  <c r="G178" i="134"/>
  <c r="I178" i="134" s="1"/>
  <c r="K178" i="134" s="1"/>
  <c r="M178" i="134" s="1"/>
  <c r="G48" i="75"/>
  <c r="G208" i="134"/>
  <c r="C239" i="10"/>
  <c r="D90" i="61"/>
  <c r="G90" i="61" s="1"/>
  <c r="I90" i="61" s="1"/>
  <c r="C61" i="157"/>
  <c r="C60" i="157"/>
  <c r="C59" i="157"/>
  <c r="C58" i="157"/>
  <c r="C57" i="157"/>
  <c r="C56" i="157"/>
  <c r="C55" i="157"/>
  <c r="C54" i="157"/>
  <c r="C53" i="157"/>
  <c r="C52" i="157"/>
  <c r="C51" i="157"/>
  <c r="C50" i="157"/>
  <c r="C49" i="157"/>
  <c r="C48" i="157"/>
  <c r="C47" i="157"/>
  <c r="C46" i="157"/>
  <c r="C45" i="157"/>
  <c r="C44" i="157"/>
  <c r="C43" i="157"/>
  <c r="C42" i="157"/>
  <c r="C41" i="157"/>
  <c r="C40" i="157"/>
  <c r="C39" i="157"/>
  <c r="C38" i="157"/>
  <c r="C37" i="157"/>
  <c r="C36" i="157"/>
  <c r="C35" i="157"/>
  <c r="C34" i="157"/>
  <c r="C33" i="157"/>
  <c r="C32" i="157"/>
  <c r="C31" i="157"/>
  <c r="A62" i="157"/>
  <c r="C30" i="157"/>
  <c r="C29" i="157"/>
  <c r="C28" i="157"/>
  <c r="C27" i="157"/>
  <c r="K124" i="10"/>
  <c r="Q124" i="10" s="1"/>
  <c r="M124" i="10" s="1"/>
  <c r="I119" i="10"/>
  <c r="M213" i="10"/>
  <c r="M131" i="10"/>
  <c r="M126" i="10"/>
  <c r="K211" i="10"/>
  <c r="K210" i="10"/>
  <c r="K209" i="10"/>
  <c r="K206" i="10"/>
  <c r="K207" i="10"/>
  <c r="K208" i="10"/>
  <c r="K170" i="10"/>
  <c r="K147" i="10"/>
  <c r="K106" i="10"/>
  <c r="M106" i="10"/>
  <c r="C26" i="157"/>
  <c r="C25" i="157"/>
  <c r="C23" i="157"/>
  <c r="M206" i="10"/>
  <c r="B238" i="10"/>
  <c r="B237" i="10"/>
  <c r="B236" i="10"/>
  <c r="B235" i="10"/>
  <c r="I148" i="141"/>
  <c r="C54" i="20"/>
  <c r="E53" i="20"/>
  <c r="S179" i="10"/>
  <c r="S150" i="10"/>
  <c r="S144" i="10"/>
  <c r="S126" i="10"/>
  <c r="S100" i="10"/>
  <c r="I240" i="3"/>
  <c r="B105" i="151"/>
  <c r="I21" i="151"/>
  <c r="C38" i="20" s="1"/>
  <c r="K177" i="81" l="1"/>
  <c r="K179" i="81" s="1"/>
  <c r="M177" i="81"/>
  <c r="M179" i="81" s="1"/>
  <c r="M48" i="75"/>
  <c r="K48" i="75"/>
  <c r="I274" i="140"/>
  <c r="I275" i="140" s="1"/>
  <c r="I271" i="140"/>
  <c r="J271" i="140" s="1"/>
  <c r="D30" i="49"/>
  <c r="D29" i="49"/>
  <c r="G74" i="13"/>
  <c r="O74" i="13" s="1"/>
  <c r="G66" i="13"/>
  <c r="O66" i="13" s="1"/>
  <c r="C22" i="157"/>
  <c r="C21" i="157"/>
  <c r="C20" i="157"/>
  <c r="C19" i="157"/>
  <c r="C18" i="157"/>
  <c r="C17" i="157"/>
  <c r="C16" i="157"/>
  <c r="C15" i="157"/>
  <c r="C13" i="157"/>
  <c r="C12" i="157"/>
  <c r="K107" i="6"/>
  <c r="C11" i="157"/>
  <c r="C10" i="157"/>
  <c r="C9" i="157"/>
  <c r="B59" i="157"/>
  <c r="B60" i="157"/>
  <c r="B61" i="157"/>
  <c r="B37" i="157"/>
  <c r="B38" i="157"/>
  <c r="B39" i="157"/>
  <c r="B40" i="157"/>
  <c r="B41" i="157"/>
  <c r="B42" i="157"/>
  <c r="B43" i="157"/>
  <c r="B44" i="157"/>
  <c r="B45" i="157"/>
  <c r="B46" i="157"/>
  <c r="B47" i="157"/>
  <c r="B48" i="157"/>
  <c r="B49" i="157"/>
  <c r="B50" i="157"/>
  <c r="B51" i="157"/>
  <c r="B52" i="157"/>
  <c r="B53" i="157"/>
  <c r="B54" i="157"/>
  <c r="B55" i="157"/>
  <c r="B56" i="157"/>
  <c r="B57" i="157"/>
  <c r="B58" i="157"/>
  <c r="B9" i="157"/>
  <c r="B10" i="157"/>
  <c r="B11" i="157"/>
  <c r="B12" i="157"/>
  <c r="B13" i="157"/>
  <c r="B14" i="157"/>
  <c r="B15" i="157"/>
  <c r="B16" i="157"/>
  <c r="B17" i="157"/>
  <c r="B18" i="157"/>
  <c r="B19" i="157"/>
  <c r="B20" i="157"/>
  <c r="B21" i="157"/>
  <c r="B22" i="157"/>
  <c r="B23" i="157"/>
  <c r="B24" i="157"/>
  <c r="B25" i="157"/>
  <c r="B26" i="157"/>
  <c r="B27" i="157"/>
  <c r="B28" i="157"/>
  <c r="B29" i="157"/>
  <c r="B30" i="157"/>
  <c r="B31" i="157"/>
  <c r="B32" i="157"/>
  <c r="B33" i="157"/>
  <c r="B34" i="157"/>
  <c r="B35" i="157"/>
  <c r="B36" i="157"/>
  <c r="B8" i="157"/>
  <c r="A9" i="157"/>
  <c r="A10" i="157" s="1"/>
  <c r="A11" i="157" s="1"/>
  <c r="A12" i="157" s="1"/>
  <c r="A13" i="157" s="1"/>
  <c r="A14" i="157" s="1"/>
  <c r="A15" i="157" s="1"/>
  <c r="A16" i="157" s="1"/>
  <c r="A17" i="157" s="1"/>
  <c r="A18" i="157" s="1"/>
  <c r="A19" i="157" s="1"/>
  <c r="A20" i="157" s="1"/>
  <c r="A21" i="157" s="1"/>
  <c r="A22" i="157" s="1"/>
  <c r="A23" i="157" s="1"/>
  <c r="A24" i="157" s="1"/>
  <c r="A25" i="157" s="1"/>
  <c r="A26" i="157" s="1"/>
  <c r="A27" i="157" s="1"/>
  <c r="A28" i="157" s="1"/>
  <c r="A29" i="157" s="1"/>
  <c r="A30" i="157" s="1"/>
  <c r="A31" i="157" s="1"/>
  <c r="A32" i="157" s="1"/>
  <c r="A33" i="157" s="1"/>
  <c r="A34" i="157" s="1"/>
  <c r="A35" i="157" s="1"/>
  <c r="A36" i="157" s="1"/>
  <c r="A37" i="157" s="1"/>
  <c r="A38" i="157" s="1"/>
  <c r="A39" i="157" s="1"/>
  <c r="A40" i="157" s="1"/>
  <c r="A41" i="157" s="1"/>
  <c r="A42" i="157" s="1"/>
  <c r="A43" i="157" s="1"/>
  <c r="A44" i="157" s="1"/>
  <c r="A45" i="157" s="1"/>
  <c r="A46" i="157" s="1"/>
  <c r="A47" i="157" s="1"/>
  <c r="A48" i="157" s="1"/>
  <c r="A49" i="157" s="1"/>
  <c r="A50" i="157" s="1"/>
  <c r="A51" i="157" s="1"/>
  <c r="A52" i="157" s="1"/>
  <c r="A53" i="157" s="1"/>
  <c r="A54" i="157" s="1"/>
  <c r="A55" i="157" s="1"/>
  <c r="A56" i="157" s="1"/>
  <c r="A57" i="157" s="1"/>
  <c r="A58" i="157" s="1"/>
  <c r="A59" i="157" s="1"/>
  <c r="A60" i="157" s="1"/>
  <c r="A61" i="157" s="1"/>
  <c r="A6" i="157"/>
  <c r="A4" i="157"/>
  <c r="A3" i="157"/>
  <c r="M74" i="13" l="1"/>
  <c r="M66" i="13"/>
  <c r="D58" i="49"/>
  <c r="D59" i="49"/>
  <c r="D57" i="49"/>
  <c r="D56" i="49"/>
  <c r="D55" i="49"/>
  <c r="D54" i="49"/>
  <c r="D53" i="49"/>
  <c r="D52" i="49"/>
  <c r="D51" i="49"/>
  <c r="U44" i="112" l="1"/>
  <c r="K28" i="23"/>
  <c r="K24" i="23"/>
  <c r="K23" i="23"/>
  <c r="E11" i="20"/>
  <c r="S197" i="95"/>
  <c r="Q197" i="95"/>
  <c r="O197" i="95"/>
  <c r="M197" i="95"/>
  <c r="K197" i="95"/>
  <c r="I197" i="95"/>
  <c r="S172" i="95"/>
  <c r="Q172" i="95"/>
  <c r="O172" i="95"/>
  <c r="M172" i="95"/>
  <c r="K172" i="95"/>
  <c r="I172" i="95"/>
  <c r="D29" i="117"/>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O51" i="13" s="1"/>
  <c r="I21" i="28"/>
  <c r="Y654" i="111"/>
  <c r="D48" i="49"/>
  <c r="D47" i="49"/>
  <c r="D46" i="49"/>
  <c r="J102" i="48"/>
  <c r="D43" i="49"/>
  <c r="D42" i="49"/>
  <c r="D40" i="49"/>
  <c r="D39" i="49"/>
  <c r="G23" i="148"/>
  <c r="G22" i="148"/>
  <c r="I22" i="148" s="1"/>
  <c r="D38" i="49"/>
  <c r="I21" i="41"/>
  <c r="D36" i="49"/>
  <c r="D35" i="49"/>
  <c r="G27" i="142"/>
  <c r="G37" i="58"/>
  <c r="I37" i="58" s="1"/>
  <c r="F212" i="127"/>
  <c r="I76" i="137"/>
  <c r="G76" i="137"/>
  <c r="G72" i="137"/>
  <c r="G73" i="137"/>
  <c r="D45" i="49" s="1"/>
  <c r="G74" i="137"/>
  <c r="G75" i="137"/>
  <c r="I75" i="137" s="1"/>
  <c r="G77" i="137"/>
  <c r="I77" i="137" s="1"/>
  <c r="J121" i="48"/>
  <c r="G46" i="58"/>
  <c r="I46" i="58" s="1"/>
  <c r="G47" i="58"/>
  <c r="I47" i="58" s="1"/>
  <c r="G48" i="58"/>
  <c r="I48" i="58"/>
  <c r="J90" i="48"/>
  <c r="J88" i="48"/>
  <c r="G132" i="16"/>
  <c r="G133" i="16"/>
  <c r="Q133" i="16" s="1"/>
  <c r="M51" i="13" l="1"/>
  <c r="Y658" i="111"/>
  <c r="Y656" i="111"/>
  <c r="I133" i="16"/>
  <c r="K133" i="16"/>
  <c r="M133" i="16"/>
  <c r="O133" i="16"/>
  <c r="U15" i="48" l="1"/>
  <c r="W15" i="48" s="1"/>
  <c r="G105" i="141"/>
  <c r="G224" i="140"/>
  <c r="G61" i="13"/>
  <c r="O61" i="13" s="1"/>
  <c r="G60" i="13"/>
  <c r="O60" i="13" s="1"/>
  <c r="D16" i="20"/>
  <c r="C16" i="20"/>
  <c r="G69" i="137"/>
  <c r="I69" i="137" s="1"/>
  <c r="G43" i="137"/>
  <c r="I43" i="137" s="1"/>
  <c r="M34" i="77"/>
  <c r="M36" i="77"/>
  <c r="M21" i="77"/>
  <c r="E36" i="20"/>
  <c r="D36" i="20"/>
  <c r="C36" i="20"/>
  <c r="E34" i="20"/>
  <c r="S68" i="57"/>
  <c r="Q68" i="57"/>
  <c r="O68" i="57"/>
  <c r="M68" i="57"/>
  <c r="K68" i="57"/>
  <c r="E33" i="20"/>
  <c r="I68" i="57"/>
  <c r="E13" i="20"/>
  <c r="I49" i="75"/>
  <c r="I42" i="75"/>
  <c r="I32" i="75"/>
  <c r="I21" i="75"/>
  <c r="C94" i="75" s="1"/>
  <c r="B80" i="133"/>
  <c r="I36" i="133"/>
  <c r="D84" i="133" s="1"/>
  <c r="D33" i="20" s="1"/>
  <c r="I21" i="133"/>
  <c r="C84" i="133" s="1"/>
  <c r="I189" i="134"/>
  <c r="I91" i="134"/>
  <c r="I74" i="134"/>
  <c r="G90" i="134"/>
  <c r="M47" i="142"/>
  <c r="K21" i="142"/>
  <c r="K47" i="142"/>
  <c r="G48" i="142"/>
  <c r="I29" i="142"/>
  <c r="K29" i="142" s="1"/>
  <c r="M29" i="142" s="1"/>
  <c r="I21" i="142"/>
  <c r="C72" i="69"/>
  <c r="O43" i="132"/>
  <c r="K25" i="69"/>
  <c r="G180" i="10"/>
  <c r="G176" i="10"/>
  <c r="G131" i="10"/>
  <c r="K131" i="10" s="1"/>
  <c r="G113" i="10"/>
  <c r="O113" i="10" s="1"/>
  <c r="G95" i="10"/>
  <c r="O95" i="10" s="1"/>
  <c r="S95" i="10" s="1"/>
  <c r="I213" i="10"/>
  <c r="O179" i="10"/>
  <c r="O150" i="10"/>
  <c r="U16" i="48"/>
  <c r="W16" i="48" s="1"/>
  <c r="O33" i="10"/>
  <c r="U14" i="48"/>
  <c r="V14" i="48" s="1"/>
  <c r="D14" i="48" s="1"/>
  <c r="D111" i="10"/>
  <c r="G111" i="10" s="1"/>
  <c r="O111" i="10" s="1"/>
  <c r="S111" i="10" s="1"/>
  <c r="G175" i="10"/>
  <c r="U19" i="48"/>
  <c r="W19" i="48" s="1"/>
  <c r="U20" i="48"/>
  <c r="V20" i="48" s="1"/>
  <c r="D20" i="48" s="1"/>
  <c r="F20" i="48"/>
  <c r="O126" i="10"/>
  <c r="U27" i="48"/>
  <c r="V27" i="48" s="1"/>
  <c r="U26" i="48"/>
  <c r="V26" i="48" s="1"/>
  <c r="U25" i="48"/>
  <c r="V25" i="48" s="1"/>
  <c r="U23" i="48"/>
  <c r="W23" i="48" s="1"/>
  <c r="U22" i="48"/>
  <c r="V22" i="48" s="1"/>
  <c r="D22" i="48" s="1"/>
  <c r="O124" i="10"/>
  <c r="S124" i="10" s="1"/>
  <c r="U17" i="48"/>
  <c r="V17" i="48" s="1"/>
  <c r="U18" i="48"/>
  <c r="V18" i="48" s="1"/>
  <c r="D18" i="48" s="1"/>
  <c r="O112" i="10"/>
  <c r="S112" i="10" s="1"/>
  <c r="U12" i="48"/>
  <c r="V12" i="48" s="1"/>
  <c r="D12" i="48" s="1"/>
  <c r="G99" i="10"/>
  <c r="O99" i="10" s="1"/>
  <c r="U10" i="48"/>
  <c r="W10" i="48" s="1"/>
  <c r="G111" i="30"/>
  <c r="G110" i="30"/>
  <c r="G109" i="30"/>
  <c r="G108" i="30"/>
  <c r="G100" i="30"/>
  <c r="I100" i="30" s="1"/>
  <c r="G99" i="30"/>
  <c r="G98" i="30"/>
  <c r="G97" i="30"/>
  <c r="G96" i="30"/>
  <c r="G95" i="30"/>
  <c r="G94" i="30"/>
  <c r="G93" i="30"/>
  <c r="G92" i="30"/>
  <c r="G44" i="30"/>
  <c r="J4" i="48"/>
  <c r="G34" i="30"/>
  <c r="I34" i="30" s="1"/>
  <c r="G33" i="30"/>
  <c r="I33" i="30" s="1"/>
  <c r="G32" i="30"/>
  <c r="I32" i="30" s="1"/>
  <c r="D22" i="49"/>
  <c r="D21" i="49"/>
  <c r="I69" i="57"/>
  <c r="G69" i="57"/>
  <c r="Q213" i="10"/>
  <c r="Q178" i="10"/>
  <c r="Q150" i="10"/>
  <c r="Q119" i="10"/>
  <c r="I32" i="121"/>
  <c r="Q115" i="10"/>
  <c r="K119" i="10"/>
  <c r="P125" i="10"/>
  <c r="I215" i="127"/>
  <c r="D12" i="49" s="1"/>
  <c r="G42" i="46"/>
  <c r="G43" i="46"/>
  <c r="G44" i="46"/>
  <c r="G45" i="46"/>
  <c r="G46" i="46"/>
  <c r="G47" i="46"/>
  <c r="G48" i="46"/>
  <c r="G49" i="46"/>
  <c r="Q62" i="16"/>
  <c r="O62" i="16"/>
  <c r="O59" i="16"/>
  <c r="M59" i="16"/>
  <c r="M62" i="16"/>
  <c r="G151" i="10"/>
  <c r="G179" i="10"/>
  <c r="K33" i="10"/>
  <c r="K203" i="10"/>
  <c r="K118" i="10"/>
  <c r="S118" i="10" s="1"/>
  <c r="M146" i="16"/>
  <c r="S146" i="16"/>
  <c r="Q146" i="16"/>
  <c r="O146" i="16"/>
  <c r="I146" i="16"/>
  <c r="G138" i="95"/>
  <c r="G170" i="95"/>
  <c r="G169" i="95"/>
  <c r="G168" i="95"/>
  <c r="U63" i="112"/>
  <c r="S63" i="112"/>
  <c r="Q63" i="112"/>
  <c r="O63" i="112"/>
  <c r="M63" i="112"/>
  <c r="K63" i="112"/>
  <c r="I63" i="112"/>
  <c r="E12" i="20"/>
  <c r="C12" i="20"/>
  <c r="M27" i="125"/>
  <c r="S36" i="125"/>
  <c r="Q36" i="125"/>
  <c r="O36" i="125"/>
  <c r="M36" i="125"/>
  <c r="K36" i="125"/>
  <c r="K21" i="125"/>
  <c r="I36" i="125"/>
  <c r="I32" i="125"/>
  <c r="I21" i="125"/>
  <c r="G27" i="125"/>
  <c r="G68" i="57"/>
  <c r="G61" i="57"/>
  <c r="G201" i="3"/>
  <c r="G202" i="3"/>
  <c r="G203" i="3"/>
  <c r="G204" i="3"/>
  <c r="G205" i="3"/>
  <c r="G206" i="3"/>
  <c r="G207" i="3"/>
  <c r="G208" i="3"/>
  <c r="G209" i="3"/>
  <c r="I222" i="3"/>
  <c r="G200" i="3"/>
  <c r="G104" i="10"/>
  <c r="I104" i="10" s="1"/>
  <c r="G103" i="10"/>
  <c r="I132" i="10"/>
  <c r="I120" i="10"/>
  <c r="I33" i="10"/>
  <c r="I177" i="10"/>
  <c r="S177" i="10" s="1"/>
  <c r="G177" i="10"/>
  <c r="G126" i="10"/>
  <c r="G123" i="10"/>
  <c r="G114" i="10"/>
  <c r="S114" i="10" s="1"/>
  <c r="Q276" i="95"/>
  <c r="I22" i="95"/>
  <c r="I276" i="95"/>
  <c r="G120" i="10"/>
  <c r="I263" i="95"/>
  <c r="D118" i="10"/>
  <c r="I113" i="10"/>
  <c r="S81" i="13"/>
  <c r="S72" i="13" s="1"/>
  <c r="Q81" i="13"/>
  <c r="Q72" i="13" s="1"/>
  <c r="G72" i="13"/>
  <c r="G73" i="13"/>
  <c r="G75" i="13"/>
  <c r="G76" i="13"/>
  <c r="G77" i="13"/>
  <c r="G78" i="13"/>
  <c r="G79" i="13"/>
  <c r="G80" i="13"/>
  <c r="G81" i="13"/>
  <c r="G82" i="13"/>
  <c r="G83" i="13"/>
  <c r="G84" i="13"/>
  <c r="G85" i="13"/>
  <c r="G86" i="13"/>
  <c r="G87" i="13"/>
  <c r="G88" i="13"/>
  <c r="O49" i="13"/>
  <c r="M49" i="13"/>
  <c r="M39" i="13"/>
  <c r="M33" i="13"/>
  <c r="K33" i="13"/>
  <c r="G67" i="13"/>
  <c r="G51" i="126"/>
  <c r="K51" i="126" s="1"/>
  <c r="G52" i="126"/>
  <c r="I52" i="126" s="1"/>
  <c r="G49" i="126"/>
  <c r="G53" i="126"/>
  <c r="G50" i="126"/>
  <c r="B90" i="129"/>
  <c r="C23" i="20"/>
  <c r="G29" i="129"/>
  <c r="G30" i="129"/>
  <c r="G31" i="129"/>
  <c r="I73" i="137"/>
  <c r="F285" i="127"/>
  <c r="I104" i="156"/>
  <c r="I103" i="156"/>
  <c r="I101" i="156"/>
  <c r="K87" i="28"/>
  <c r="I143" i="112"/>
  <c r="G40" i="156"/>
  <c r="G41" i="156"/>
  <c r="G42" i="156"/>
  <c r="G43" i="156"/>
  <c r="D37" i="156"/>
  <c r="D36" i="156"/>
  <c r="D35" i="156"/>
  <c r="G35" i="156" s="1"/>
  <c r="G64" i="156"/>
  <c r="G136" i="121"/>
  <c r="G137" i="121"/>
  <c r="G138" i="121"/>
  <c r="G139" i="121"/>
  <c r="G65" i="156"/>
  <c r="G63" i="156"/>
  <c r="G62" i="156"/>
  <c r="G61" i="156"/>
  <c r="G60" i="156"/>
  <c r="G59" i="156"/>
  <c r="G58" i="156"/>
  <c r="G57" i="156"/>
  <c r="G56" i="156"/>
  <c r="G55" i="156"/>
  <c r="G54" i="156"/>
  <c r="G53" i="156"/>
  <c r="G52" i="156"/>
  <c r="G51" i="156"/>
  <c r="G50" i="156"/>
  <c r="G49" i="156"/>
  <c r="G48" i="156"/>
  <c r="G47" i="156"/>
  <c r="G46" i="156"/>
  <c r="G45" i="156"/>
  <c r="G44" i="156"/>
  <c r="G39" i="156"/>
  <c r="G38" i="156"/>
  <c r="X37" i="156"/>
  <c r="W37" i="156"/>
  <c r="Y37" i="156" s="1"/>
  <c r="G37" i="156"/>
  <c r="X36" i="156"/>
  <c r="W36" i="156"/>
  <c r="G36" i="156"/>
  <c r="A36" i="156"/>
  <c r="G34" i="156"/>
  <c r="D33" i="156"/>
  <c r="G33" i="156" s="1"/>
  <c r="X32" i="156"/>
  <c r="W32" i="156"/>
  <c r="Y32" i="156" s="1"/>
  <c r="D32" i="156"/>
  <c r="X31" i="156"/>
  <c r="W31" i="156"/>
  <c r="Y31" i="156" s="1"/>
  <c r="D31" i="156"/>
  <c r="G31" i="156" s="1"/>
  <c r="X30" i="156"/>
  <c r="W30" i="156"/>
  <c r="G30" i="156"/>
  <c r="X29" i="156"/>
  <c r="W29" i="156"/>
  <c r="Y29" i="156" s="1"/>
  <c r="D29" i="156"/>
  <c r="G29" i="156" s="1"/>
  <c r="X28" i="156"/>
  <c r="W28" i="156"/>
  <c r="D28" i="156"/>
  <c r="G28" i="156" s="1"/>
  <c r="X27" i="156"/>
  <c r="W27" i="156"/>
  <c r="Y27" i="156" s="1"/>
  <c r="D27" i="156"/>
  <c r="G27" i="156" s="1"/>
  <c r="X26" i="156"/>
  <c r="W26" i="156"/>
  <c r="Y26" i="156" s="1"/>
  <c r="X25" i="156"/>
  <c r="W25" i="156"/>
  <c r="D25" i="156"/>
  <c r="D24" i="156"/>
  <c r="G24" i="156" s="1"/>
  <c r="G23" i="156"/>
  <c r="G22" i="156"/>
  <c r="G21" i="156"/>
  <c r="S113" i="30"/>
  <c r="G129" i="121"/>
  <c r="D42" i="30"/>
  <c r="G42" i="30" s="1"/>
  <c r="G41" i="30"/>
  <c r="G45" i="30"/>
  <c r="I45" i="30" s="1"/>
  <c r="G38" i="30"/>
  <c r="G39" i="30"/>
  <c r="G40" i="30"/>
  <c r="G96" i="121"/>
  <c r="G36" i="30"/>
  <c r="V19" i="48" l="1"/>
  <c r="D19" i="48" s="1"/>
  <c r="W17" i="48"/>
  <c r="V23" i="48"/>
  <c r="I138" i="30"/>
  <c r="I51" i="126"/>
  <c r="W14" i="48"/>
  <c r="W25" i="48"/>
  <c r="W26" i="48"/>
  <c r="V10" i="48"/>
  <c r="D10" i="48" s="1"/>
  <c r="W27" i="48"/>
  <c r="O177" i="10"/>
  <c r="K177" i="10"/>
  <c r="Q177" i="10"/>
  <c r="S113" i="10"/>
  <c r="Q113" i="10"/>
  <c r="K113" i="10"/>
  <c r="O120" i="10"/>
  <c r="S120" i="10" s="1"/>
  <c r="K120" i="10"/>
  <c r="K213" i="10"/>
  <c r="S119" i="10"/>
  <c r="O131" i="10"/>
  <c r="S131" i="10"/>
  <c r="O176" i="10"/>
  <c r="S176" i="10"/>
  <c r="O175" i="10"/>
  <c r="S175" i="10"/>
  <c r="O180" i="10"/>
  <c r="K180" i="10" s="1"/>
  <c r="M180" i="10" s="1"/>
  <c r="S180" i="10"/>
  <c r="O37" i="156"/>
  <c r="M37" i="156"/>
  <c r="K31" i="156"/>
  <c r="M31" i="156"/>
  <c r="S39" i="156"/>
  <c r="M39" i="156"/>
  <c r="I35" i="156"/>
  <c r="M35" i="156"/>
  <c r="Q36" i="156"/>
  <c r="M36" i="156"/>
  <c r="K33" i="156"/>
  <c r="M33" i="156"/>
  <c r="D50" i="49"/>
  <c r="O82" i="13"/>
  <c r="O81" i="13" s="1"/>
  <c r="O72" i="13" s="1"/>
  <c r="M82" i="13"/>
  <c r="M81" i="13" s="1"/>
  <c r="K82" i="13"/>
  <c r="K81" i="13" s="1"/>
  <c r="K72" i="13" s="1"/>
  <c r="I82" i="13"/>
  <c r="I81" i="13" s="1"/>
  <c r="W12" i="48"/>
  <c r="W20" i="48"/>
  <c r="W18" i="48"/>
  <c r="W22" i="48"/>
  <c r="V16" i="48"/>
  <c r="D16" i="48" s="1"/>
  <c r="V15" i="48"/>
  <c r="D15" i="48" s="1"/>
  <c r="I60" i="13"/>
  <c r="K60" i="13"/>
  <c r="M60" i="13"/>
  <c r="I61" i="13"/>
  <c r="K61" i="13"/>
  <c r="M61" i="13"/>
  <c r="I204" i="10"/>
  <c r="O104" i="10"/>
  <c r="O213" i="10"/>
  <c r="L4" i="48"/>
  <c r="K4" i="48"/>
  <c r="D11" i="48" s="1"/>
  <c r="G11" i="48" s="1"/>
  <c r="L11" i="48" s="1"/>
  <c r="S138" i="95"/>
  <c r="Q138" i="95"/>
  <c r="O138" i="95"/>
  <c r="M138" i="95"/>
  <c r="K138" i="95"/>
  <c r="I138" i="95"/>
  <c r="M32" i="125"/>
  <c r="M21" i="125"/>
  <c r="K27" i="125"/>
  <c r="K32" i="125"/>
  <c r="K52" i="126"/>
  <c r="Y36" i="156"/>
  <c r="Y25" i="156"/>
  <c r="S24" i="156"/>
  <c r="K24" i="156"/>
  <c r="Y30" i="156"/>
  <c r="K35" i="156"/>
  <c r="O35" i="156"/>
  <c r="Q35" i="156"/>
  <c r="S35" i="156"/>
  <c r="Q37" i="156"/>
  <c r="Y28" i="156"/>
  <c r="G25" i="156"/>
  <c r="G32" i="156"/>
  <c r="I36" i="156"/>
  <c r="I39" i="156"/>
  <c r="K36" i="156"/>
  <c r="K39" i="156"/>
  <c r="Q39" i="156"/>
  <c r="I37" i="156"/>
  <c r="K37" i="156"/>
  <c r="S115" i="30"/>
  <c r="S117" i="30" s="1"/>
  <c r="S239" i="3"/>
  <c r="S221" i="3"/>
  <c r="G31" i="125"/>
  <c r="G32" i="125"/>
  <c r="G33" i="125"/>
  <c r="G34" i="125"/>
  <c r="G35" i="125"/>
  <c r="G36" i="125"/>
  <c r="E49" i="20"/>
  <c r="D49" i="20"/>
  <c r="G65" i="137"/>
  <c r="I65" i="137" s="1"/>
  <c r="G66" i="137"/>
  <c r="I66" i="137" s="1"/>
  <c r="G42" i="137"/>
  <c r="I42" i="137" s="1"/>
  <c r="G41" i="137"/>
  <c r="I41" i="137" s="1"/>
  <c r="M611" i="111"/>
  <c r="M512" i="111"/>
  <c r="M454" i="111"/>
  <c r="M322" i="111"/>
  <c r="M33" i="111"/>
  <c r="S140" i="112"/>
  <c r="S158" i="112"/>
  <c r="Q144" i="112"/>
  <c r="Q64" i="112"/>
  <c r="Q106" i="112" s="1"/>
  <c r="K143" i="112"/>
  <c r="M143" i="112"/>
  <c r="O143" i="112"/>
  <c r="Q143" i="112"/>
  <c r="S143" i="112"/>
  <c r="U143" i="112"/>
  <c r="U142" i="112"/>
  <c r="S142" i="112"/>
  <c r="Q142" i="112"/>
  <c r="O142" i="112"/>
  <c r="M142" i="112"/>
  <c r="K142" i="112"/>
  <c r="I144" i="112"/>
  <c r="I21" i="112"/>
  <c r="O106" i="112"/>
  <c r="K106" i="112"/>
  <c r="S106" i="112"/>
  <c r="M106" i="112"/>
  <c r="G21" i="112"/>
  <c r="G22" i="112"/>
  <c r="I64" i="112"/>
  <c r="X75" i="112"/>
  <c r="G75" i="112"/>
  <c r="X74" i="112"/>
  <c r="G74" i="112"/>
  <c r="I145" i="112"/>
  <c r="Q131" i="10" l="1"/>
  <c r="I131" i="10"/>
  <c r="Q176" i="10"/>
  <c r="K176" i="10"/>
  <c r="M72" i="13"/>
  <c r="I72" i="13"/>
  <c r="F51" i="20"/>
  <c r="I102" i="156"/>
  <c r="I105" i="156" s="1"/>
  <c r="K32" i="156"/>
  <c r="M32" i="156"/>
  <c r="M21" i="156" s="1"/>
  <c r="M66" i="156" s="1"/>
  <c r="M68" i="156" s="1"/>
  <c r="M70" i="156" s="1"/>
  <c r="L9" i="156" s="1"/>
  <c r="D46" i="48"/>
  <c r="D97" i="48"/>
  <c r="D98" i="48"/>
  <c r="K98" i="48" s="1"/>
  <c r="L98" i="48" s="1"/>
  <c r="G20" i="48"/>
  <c r="L20" i="48" s="1"/>
  <c r="O27" i="125"/>
  <c r="O21" i="125"/>
  <c r="O32" i="125"/>
  <c r="G66" i="156"/>
  <c r="R9" i="30"/>
  <c r="G71" i="14"/>
  <c r="G70" i="14"/>
  <c r="G69" i="14"/>
  <c r="G68" i="14"/>
  <c r="I68" i="14" s="1"/>
  <c r="G67" i="14"/>
  <c r="G51" i="14"/>
  <c r="G56" i="14"/>
  <c r="G57" i="14"/>
  <c r="G58" i="14"/>
  <c r="G59" i="14"/>
  <c r="G65" i="14"/>
  <c r="G146" i="95"/>
  <c r="G159" i="95"/>
  <c r="G198" i="95"/>
  <c r="G173" i="95"/>
  <c r="G197" i="95"/>
  <c r="G172" i="95"/>
  <c r="G21" i="95"/>
  <c r="K22" i="95"/>
  <c r="S23" i="41"/>
  <c r="Q23" i="41"/>
  <c r="O23" i="41"/>
  <c r="M23" i="41"/>
  <c r="K23" i="41"/>
  <c r="S34" i="41"/>
  <c r="Q34" i="41"/>
  <c r="O34" i="41"/>
  <c r="M34" i="41"/>
  <c r="K34" i="41"/>
  <c r="S38" i="41"/>
  <c r="Q38" i="41"/>
  <c r="O38" i="41"/>
  <c r="M38" i="41"/>
  <c r="K38" i="41"/>
  <c r="G36" i="41"/>
  <c r="I36" i="41" s="1"/>
  <c r="S32" i="125" l="1"/>
  <c r="Q32" i="125"/>
  <c r="Q21" i="125"/>
  <c r="S21" i="125"/>
  <c r="S27" i="125"/>
  <c r="Q27" i="125"/>
  <c r="S21" i="156"/>
  <c r="S66" i="156" s="1"/>
  <c r="Q21" i="156"/>
  <c r="Q66" i="156" s="1"/>
  <c r="I21" i="156"/>
  <c r="O21" i="156"/>
  <c r="O66" i="156" s="1"/>
  <c r="G68" i="156"/>
  <c r="G70" i="156" s="1"/>
  <c r="K21" i="156"/>
  <c r="K66" i="156" s="1"/>
  <c r="G27" i="41"/>
  <c r="I27" i="41" s="1"/>
  <c r="G35" i="41"/>
  <c r="I35" i="41" s="1"/>
  <c r="G32" i="41"/>
  <c r="I32" i="41" s="1"/>
  <c r="G34" i="41"/>
  <c r="G33" i="41"/>
  <c r="K31" i="41"/>
  <c r="S31" i="41"/>
  <c r="Q31" i="41"/>
  <c r="O31" i="41"/>
  <c r="M31" i="41"/>
  <c r="G31" i="41"/>
  <c r="I57" i="126"/>
  <c r="O152" i="7"/>
  <c r="D51" i="7"/>
  <c r="G22" i="95"/>
  <c r="G23" i="95"/>
  <c r="G76" i="16"/>
  <c r="G77" i="16"/>
  <c r="G78" i="16"/>
  <c r="G79" i="16"/>
  <c r="G80" i="16"/>
  <c r="G81" i="16"/>
  <c r="G82" i="16"/>
  <c r="G83" i="16"/>
  <c r="G84" i="16"/>
  <c r="G85" i="16"/>
  <c r="K26" i="9"/>
  <c r="G183" i="9"/>
  <c r="G185" i="9"/>
  <c r="G186" i="9"/>
  <c r="G187" i="9"/>
  <c r="G188" i="9"/>
  <c r="G189" i="9"/>
  <c r="I66" i="156" l="1"/>
  <c r="I106" i="156" s="1"/>
  <c r="I107" i="156" s="1"/>
  <c r="F59" i="20"/>
  <c r="Q68" i="156"/>
  <c r="Q70" i="156" s="1"/>
  <c r="P9" i="156" s="1"/>
  <c r="I68" i="156"/>
  <c r="I70" i="156" s="1"/>
  <c r="S68" i="156"/>
  <c r="S70" i="156" s="1"/>
  <c r="R9" i="156" s="1"/>
  <c r="K68" i="156"/>
  <c r="K70" i="156" s="1"/>
  <c r="J9" i="156" s="1"/>
  <c r="O68" i="156"/>
  <c r="O70" i="156" s="1"/>
  <c r="N9" i="156" s="1"/>
  <c r="I31" i="41"/>
  <c r="D39" i="20" s="1"/>
  <c r="G184" i="9"/>
  <c r="AA170" i="9"/>
  <c r="Z170" i="9"/>
  <c r="Y170" i="9"/>
  <c r="X170" i="9"/>
  <c r="AB170" i="9" s="1"/>
  <c r="D170" i="9" s="1"/>
  <c r="G170" i="9" s="1"/>
  <c r="AA169" i="9"/>
  <c r="Z169" i="9"/>
  <c r="Y169" i="9"/>
  <c r="X169" i="9"/>
  <c r="AB169" i="9" s="1"/>
  <c r="D169" i="9" s="1"/>
  <c r="G169" i="9" s="1"/>
  <c r="AA168" i="9"/>
  <c r="Z168" i="9"/>
  <c r="Y168" i="9"/>
  <c r="X168" i="9"/>
  <c r="AB168" i="9" s="1"/>
  <c r="D168" i="9" s="1"/>
  <c r="G168" i="9" s="1"/>
  <c r="AA167" i="9"/>
  <c r="Z167" i="9"/>
  <c r="Y167" i="9"/>
  <c r="X167" i="9"/>
  <c r="AB167" i="9" s="1"/>
  <c r="D167" i="9" s="1"/>
  <c r="G165" i="9"/>
  <c r="F213" i="9"/>
  <c r="F208" i="9"/>
  <c r="F195" i="9"/>
  <c r="F153" i="9"/>
  <c r="F52" i="9"/>
  <c r="F154" i="9"/>
  <c r="F95" i="9"/>
  <c r="F83" i="9"/>
  <c r="F80" i="9"/>
  <c r="F74" i="9"/>
  <c r="F56" i="9"/>
  <c r="F31" i="9"/>
  <c r="S160" i="8"/>
  <c r="Q160" i="8"/>
  <c r="O160" i="8"/>
  <c r="M160" i="8"/>
  <c r="K160" i="8"/>
  <c r="G160" i="8"/>
  <c r="S145" i="8"/>
  <c r="S21" i="8" s="1"/>
  <c r="Q145" i="8"/>
  <c r="O145" i="8"/>
  <c r="M145" i="8"/>
  <c r="K145" i="8"/>
  <c r="G145" i="8"/>
  <c r="Q21" i="8"/>
  <c r="O21" i="8"/>
  <c r="M21" i="8"/>
  <c r="K21" i="8"/>
  <c r="G21" i="8"/>
  <c r="D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D158" i="8"/>
  <c r="G147" i="8"/>
  <c r="I147" i="8" s="1"/>
  <c r="G148" i="8"/>
  <c r="I148" i="8" s="1"/>
  <c r="G149" i="8"/>
  <c r="I149" i="8" s="1"/>
  <c r="G150" i="8"/>
  <c r="D172" i="8"/>
  <c r="G172" i="8" s="1"/>
  <c r="I172" i="8" s="1"/>
  <c r="D178" i="8"/>
  <c r="D170" i="8"/>
  <c r="G170" i="8" s="1"/>
  <c r="D169" i="8"/>
  <c r="D168" i="8"/>
  <c r="G168" i="8" s="1"/>
  <c r="G169" i="8"/>
  <c r="G171" i="8"/>
  <c r="D136" i="8"/>
  <c r="D133" i="8"/>
  <c r="D38" i="8"/>
  <c r="G35" i="8"/>
  <c r="D34" i="8"/>
  <c r="D151" i="8"/>
  <c r="I28" i="23"/>
  <c r="I33" i="23"/>
  <c r="I26" i="23"/>
  <c r="G29" i="23"/>
  <c r="G30" i="23"/>
  <c r="G31" i="23"/>
  <c r="G35" i="23"/>
  <c r="G28" i="23"/>
  <c r="B5" i="23"/>
  <c r="G36" i="23"/>
  <c r="G147" i="6"/>
  <c r="D155" i="6"/>
  <c r="D139" i="6"/>
  <c r="D136" i="6"/>
  <c r="G136" i="6" s="1"/>
  <c r="K136" i="6" s="1"/>
  <c r="D133" i="6"/>
  <c r="G133" i="6" s="1"/>
  <c r="K133" i="6" s="1"/>
  <c r="G148" i="6"/>
  <c r="I134" i="6"/>
  <c r="I131" i="6"/>
  <c r="G134" i="6"/>
  <c r="G175" i="3"/>
  <c r="G176" i="3"/>
  <c r="G177" i="3"/>
  <c r="G178" i="3"/>
  <c r="G179" i="3"/>
  <c r="G180" i="3"/>
  <c r="G181" i="3"/>
  <c r="G182" i="3"/>
  <c r="G183" i="3"/>
  <c r="D184" i="3"/>
  <c r="G184" i="3" s="1"/>
  <c r="D174" i="3"/>
  <c r="F122" i="3"/>
  <c r="D122" i="3"/>
  <c r="D119" i="3"/>
  <c r="D106" i="3"/>
  <c r="F106" i="3"/>
  <c r="F94" i="3"/>
  <c r="D94" i="3"/>
  <c r="F82" i="3"/>
  <c r="D82" i="3"/>
  <c r="D79" i="3"/>
  <c r="F73" i="3"/>
  <c r="D73" i="3"/>
  <c r="D62" i="3"/>
  <c r="F62" i="3"/>
  <c r="D37" i="3"/>
  <c r="D39" i="3"/>
  <c r="D28" i="3"/>
  <c r="D24" i="3"/>
  <c r="D38" i="57"/>
  <c r="G38" i="57" s="1"/>
  <c r="G58" i="57"/>
  <c r="G41" i="57"/>
  <c r="M48" i="77"/>
  <c r="K104" i="30"/>
  <c r="K29" i="30"/>
  <c r="Q21" i="28"/>
  <c r="F145" i="81"/>
  <c r="G145" i="81" s="1"/>
  <c r="F92" i="81"/>
  <c r="G92" i="81"/>
  <c r="I21" i="81"/>
  <c r="G142" i="81"/>
  <c r="G141" i="81"/>
  <c r="G39" i="151"/>
  <c r="G40" i="151"/>
  <c r="G41" i="151"/>
  <c r="S21" i="151"/>
  <c r="Q21" i="151"/>
  <c r="O21" i="151"/>
  <c r="M21" i="151"/>
  <c r="G41" i="81"/>
  <c r="G140" i="81"/>
  <c r="G22" i="46"/>
  <c r="D30" i="132"/>
  <c r="D23" i="132"/>
  <c r="G24" i="125"/>
  <c r="G25" i="125"/>
  <c r="G26" i="125"/>
  <c r="G28" i="125"/>
  <c r="I27" i="125" s="1"/>
  <c r="D12" i="20" s="1"/>
  <c r="G29" i="125"/>
  <c r="G30" i="125"/>
  <c r="G38" i="125"/>
  <c r="G39" i="125"/>
  <c r="G40" i="125"/>
  <c r="G41" i="125"/>
  <c r="G42" i="125"/>
  <c r="G43" i="125"/>
  <c r="G44" i="125"/>
  <c r="B691" i="111"/>
  <c r="B692" i="111"/>
  <c r="B690" i="111"/>
  <c r="B689" i="111"/>
  <c r="G22" i="69"/>
  <c r="G23" i="69"/>
  <c r="D101" i="61"/>
  <c r="E72" i="69"/>
  <c r="D72" i="69"/>
  <c r="G163" i="95"/>
  <c r="G164" i="95"/>
  <c r="G165" i="95"/>
  <c r="G166" i="95"/>
  <c r="S166" i="95" s="1"/>
  <c r="G171" i="95"/>
  <c r="G37" i="84"/>
  <c r="I37" i="84" s="1"/>
  <c r="G38" i="84"/>
  <c r="I38" i="84"/>
  <c r="G39" i="84"/>
  <c r="I39" i="84" s="1"/>
  <c r="G40" i="84"/>
  <c r="I40" i="84" s="1"/>
  <c r="G41" i="84"/>
  <c r="I41" i="84" s="1"/>
  <c r="G42" i="84"/>
  <c r="I42" i="84"/>
  <c r="G43" i="84"/>
  <c r="I43" i="84" s="1"/>
  <c r="G44" i="84"/>
  <c r="I44" i="84" s="1"/>
  <c r="G219" i="3"/>
  <c r="D8" i="49" s="1"/>
  <c r="G167" i="8" l="1"/>
  <c r="D34" i="49"/>
  <c r="M184" i="9"/>
  <c r="K148" i="6"/>
  <c r="I148" i="6"/>
  <c r="Q166" i="95"/>
  <c r="Q266" i="95" s="1"/>
  <c r="O166" i="95"/>
  <c r="O266" i="95" s="1"/>
  <c r="M166" i="95"/>
  <c r="M266" i="95" s="1"/>
  <c r="K166" i="95"/>
  <c r="K266" i="95" s="1"/>
  <c r="I166" i="95"/>
  <c r="I266" i="95" s="1"/>
  <c r="S164" i="95"/>
  <c r="O164" i="95"/>
  <c r="B105" i="156"/>
  <c r="H59" i="20" s="1"/>
  <c r="K59" i="20" s="1"/>
  <c r="H9" i="156"/>
  <c r="Q219" i="3"/>
  <c r="S219" i="3"/>
  <c r="I164" i="95"/>
  <c r="K164" i="95"/>
  <c r="M164" i="95"/>
  <c r="Q164" i="95"/>
  <c r="I184" i="9"/>
  <c r="I271" i="9" s="1"/>
  <c r="O184" i="9"/>
  <c r="K184" i="9"/>
  <c r="S184" i="9"/>
  <c r="G167" i="9"/>
  <c r="D166" i="9"/>
  <c r="G166" i="9" s="1"/>
  <c r="D132" i="8"/>
  <c r="U219" i="3"/>
  <c r="M219" i="3"/>
  <c r="O219" i="3"/>
  <c r="I219" i="3"/>
  <c r="K219" i="3"/>
  <c r="I167" i="8" l="1"/>
  <c r="D33" i="49"/>
  <c r="K22" i="3"/>
  <c r="E9" i="20"/>
  <c r="E43" i="20"/>
  <c r="D43" i="20"/>
  <c r="S56" i="46" l="1"/>
  <c r="Q56" i="46"/>
  <c r="G205" i="95"/>
  <c r="G206" i="95"/>
  <c r="G207" i="95"/>
  <c r="G208" i="95"/>
  <c r="G89" i="16"/>
  <c r="G90" i="16"/>
  <c r="G91" i="16"/>
  <c r="G92" i="16"/>
  <c r="G93" i="16"/>
  <c r="G94" i="16"/>
  <c r="G95" i="16"/>
  <c r="G96" i="16"/>
  <c r="G97" i="16"/>
  <c r="G98" i="16"/>
  <c r="G99" i="16"/>
  <c r="G100" i="16"/>
  <c r="G136" i="16"/>
  <c r="G137" i="16"/>
  <c r="G138" i="16"/>
  <c r="G139" i="16"/>
  <c r="G140" i="16"/>
  <c r="G141" i="16"/>
  <c r="G142" i="16"/>
  <c r="G145" i="16"/>
  <c r="G146" i="16"/>
  <c r="G147" i="16"/>
  <c r="G148" i="16"/>
  <c r="G86" i="16"/>
  <c r="M143" i="13"/>
  <c r="M145" i="13" s="1"/>
  <c r="M146" i="13" s="1"/>
  <c r="O331" i="127"/>
  <c r="K326" i="127"/>
  <c r="M25" i="127"/>
  <c r="M23" i="127"/>
  <c r="F190" i="127"/>
  <c r="F191" i="127"/>
  <c r="F192" i="127"/>
  <c r="F193" i="127"/>
  <c r="F194" i="127"/>
  <c r="F195" i="127"/>
  <c r="F196" i="127"/>
  <c r="S97" i="16" l="1"/>
  <c r="Q97" i="16"/>
  <c r="O97" i="16"/>
  <c r="M97" i="16"/>
  <c r="K97" i="16"/>
  <c r="I97" i="16"/>
  <c r="M94" i="16"/>
  <c r="S94" i="16"/>
  <c r="Q94" i="16"/>
  <c r="O94" i="16"/>
  <c r="K94" i="16"/>
  <c r="I94" i="16"/>
  <c r="M124" i="13"/>
  <c r="G26" i="84"/>
  <c r="I26" i="84" s="1"/>
  <c r="G27" i="84"/>
  <c r="I27" i="84" s="1"/>
  <c r="G28" i="84"/>
  <c r="I28" i="84" s="1"/>
  <c r="G29" i="84"/>
  <c r="I29" i="84" s="1"/>
  <c r="G30" i="84"/>
  <c r="I30" i="84" s="1"/>
  <c r="G31" i="84"/>
  <c r="I31" i="84" s="1"/>
  <c r="D40" i="61"/>
  <c r="G40" i="61" s="1"/>
  <c r="I81" i="61"/>
  <c r="S92" i="61"/>
  <c r="Q92" i="61"/>
  <c r="O92" i="61"/>
  <c r="M92" i="61"/>
  <c r="K92" i="61"/>
  <c r="I654" i="111"/>
  <c r="I656" i="111" s="1"/>
  <c r="E16" i="20" s="1"/>
  <c r="V56" i="61"/>
  <c r="Y54" i="61"/>
  <c r="Y52" i="61"/>
  <c r="X66" i="61"/>
  <c r="X64" i="61"/>
  <c r="X58" i="61"/>
  <c r="V58" i="61"/>
  <c r="V60" i="61" s="1"/>
  <c r="V55" i="61"/>
  <c r="Y55" i="61" s="1"/>
  <c r="V53" i="61"/>
  <c r="Y53" i="61" s="1"/>
  <c r="G53" i="61"/>
  <c r="G107" i="61"/>
  <c r="G108" i="61"/>
  <c r="F105" i="61"/>
  <c r="D104" i="61"/>
  <c r="F104" i="61" s="1"/>
  <c r="K654" i="111"/>
  <c r="O654" i="111"/>
  <c r="W654" i="111"/>
  <c r="U654" i="111"/>
  <c r="S654" i="111"/>
  <c r="Q654" i="111"/>
  <c r="I102" i="61"/>
  <c r="I67" i="61"/>
  <c r="G91" i="61"/>
  <c r="G92" i="61"/>
  <c r="G93" i="61"/>
  <c r="G94" i="61"/>
  <c r="G95" i="61"/>
  <c r="G88" i="61"/>
  <c r="I88" i="61" s="1"/>
  <c r="G89" i="61"/>
  <c r="I89" i="61" s="1"/>
  <c r="G80" i="61"/>
  <c r="G81" i="61"/>
  <c r="G100" i="61"/>
  <c r="G101" i="61"/>
  <c r="G102" i="61"/>
  <c r="G103" i="61"/>
  <c r="S21" i="61"/>
  <c r="Q21" i="61"/>
  <c r="O21" i="61"/>
  <c r="M21" i="61"/>
  <c r="K21" i="61"/>
  <c r="S73" i="61"/>
  <c r="Q73" i="61"/>
  <c r="O73" i="61"/>
  <c r="M73" i="61"/>
  <c r="K73" i="61"/>
  <c r="G25" i="61"/>
  <c r="G26" i="61"/>
  <c r="G27" i="61"/>
  <c r="G42" i="61"/>
  <c r="G43" i="61"/>
  <c r="G44" i="61"/>
  <c r="G55" i="61"/>
  <c r="G56" i="61"/>
  <c r="G57" i="61"/>
  <c r="G39" i="61"/>
  <c r="G41" i="61"/>
  <c r="G63" i="61"/>
  <c r="G64" i="61"/>
  <c r="G65" i="61"/>
  <c r="G49" i="61"/>
  <c r="Y53" i="112"/>
  <c r="AA53" i="112" s="1"/>
  <c r="Z49" i="112"/>
  <c r="AB49" i="112" s="1"/>
  <c r="G52" i="112"/>
  <c r="D51" i="112"/>
  <c r="G51" i="112" s="1"/>
  <c r="G48" i="112"/>
  <c r="G49" i="112"/>
  <c r="G50" i="112"/>
  <c r="K55" i="112"/>
  <c r="M55" i="112"/>
  <c r="O55" i="112"/>
  <c r="Q55" i="112"/>
  <c r="S55" i="112"/>
  <c r="I55" i="112"/>
  <c r="E44" i="20" s="1"/>
  <c r="U55" i="112"/>
  <c r="G40" i="112"/>
  <c r="G41" i="112"/>
  <c r="G174" i="9"/>
  <c r="D164" i="9"/>
  <c r="G164" i="9" s="1"/>
  <c r="M164" i="9" s="1"/>
  <c r="G171" i="9"/>
  <c r="D92" i="9"/>
  <c r="G92" i="9" s="1"/>
  <c r="D91" i="9"/>
  <c r="G91" i="9" s="1"/>
  <c r="M91" i="9" s="1"/>
  <c r="D71" i="9"/>
  <c r="G71" i="9" s="1"/>
  <c r="M71" i="9" s="1"/>
  <c r="G95" i="112"/>
  <c r="G42" i="112"/>
  <c r="G43" i="112"/>
  <c r="G79" i="112"/>
  <c r="D54" i="154"/>
  <c r="I24" i="154"/>
  <c r="D79" i="145"/>
  <c r="G79" i="145" s="1"/>
  <c r="K79" i="145" s="1"/>
  <c r="G92" i="145"/>
  <c r="K92" i="145" s="1"/>
  <c r="K91" i="145" s="1"/>
  <c r="G89" i="145"/>
  <c r="K89" i="145" s="1"/>
  <c r="K88" i="145" s="1"/>
  <c r="D54" i="131"/>
  <c r="G90" i="145"/>
  <c r="S88" i="145"/>
  <c r="Q88" i="145"/>
  <c r="O88" i="145"/>
  <c r="M88" i="145"/>
  <c r="G88" i="145"/>
  <c r="G87" i="145"/>
  <c r="S91" i="145"/>
  <c r="Q91" i="145"/>
  <c r="O91" i="145"/>
  <c r="M91" i="145"/>
  <c r="G93" i="145"/>
  <c r="D65" i="131"/>
  <c r="D66" i="57"/>
  <c r="G66" i="57" s="1"/>
  <c r="D65" i="57"/>
  <c r="G65" i="57" s="1"/>
  <c r="D64" i="57"/>
  <c r="G64" i="57" s="1"/>
  <c r="C265" i="127"/>
  <c r="F265" i="127" s="1"/>
  <c r="I265" i="127" s="1"/>
  <c r="C264" i="127"/>
  <c r="F264" i="127" s="1"/>
  <c r="I264" i="127" s="1"/>
  <c r="C262" i="127"/>
  <c r="F262" i="127" s="1"/>
  <c r="I262" i="127" s="1"/>
  <c r="C263" i="127"/>
  <c r="F263" i="127" s="1"/>
  <c r="I263" i="127" s="1"/>
  <c r="C261" i="127"/>
  <c r="F261" i="127" s="1"/>
  <c r="I266" i="127"/>
  <c r="G67" i="57"/>
  <c r="D63" i="57"/>
  <c r="C22" i="20"/>
  <c r="S59" i="131"/>
  <c r="Q59" i="131"/>
  <c r="O59" i="131"/>
  <c r="M59" i="131"/>
  <c r="S50" i="131"/>
  <c r="Q50" i="131"/>
  <c r="O50" i="131"/>
  <c r="M50" i="131"/>
  <c r="G175" i="9"/>
  <c r="G176" i="9"/>
  <c r="G177" i="9"/>
  <c r="G178" i="9"/>
  <c r="G179" i="9"/>
  <c r="G180" i="9"/>
  <c r="G181" i="9"/>
  <c r="G182" i="9"/>
  <c r="AS145" i="112"/>
  <c r="G76" i="112"/>
  <c r="M145" i="112"/>
  <c r="U146" i="112"/>
  <c r="S146" i="112"/>
  <c r="Q146" i="112"/>
  <c r="K146" i="112"/>
  <c r="I92" i="9" l="1"/>
  <c r="M92" i="9"/>
  <c r="I40" i="61"/>
  <c r="D25" i="49"/>
  <c r="I53" i="61"/>
  <c r="D27" i="49"/>
  <c r="G63" i="57"/>
  <c r="D62" i="57"/>
  <c r="G62" i="57" s="1"/>
  <c r="I62" i="57" s="1"/>
  <c r="I261" i="127"/>
  <c r="F260" i="127"/>
  <c r="I150" i="61"/>
  <c r="Y58" i="61"/>
  <c r="Y60" i="61" s="1"/>
  <c r="X60" i="61" s="1"/>
  <c r="X67" i="61"/>
  <c r="I92" i="61"/>
  <c r="E15" i="20" s="1"/>
  <c r="Y56" i="61"/>
  <c r="X56" i="61" s="1"/>
  <c r="D105" i="61"/>
  <c r="D106" i="61"/>
  <c r="F106" i="61" s="1"/>
  <c r="K50" i="112"/>
  <c r="U50" i="112"/>
  <c r="I50" i="112"/>
  <c r="S50" i="112"/>
  <c r="Q50" i="112"/>
  <c r="O50" i="112"/>
  <c r="M50" i="112"/>
  <c r="K49" i="112"/>
  <c r="Q49" i="112"/>
  <c r="Q48" i="112"/>
  <c r="O48" i="112"/>
  <c r="M48" i="112"/>
  <c r="K48" i="112"/>
  <c r="K656" i="111"/>
  <c r="K658" i="111" s="1"/>
  <c r="J9" i="111" s="1"/>
  <c r="O656" i="111"/>
  <c r="O658" i="111" s="1"/>
  <c r="K51" i="112"/>
  <c r="M51" i="112"/>
  <c r="O51" i="112"/>
  <c r="I51" i="112"/>
  <c r="C44" i="20" s="1"/>
  <c r="Q51" i="112"/>
  <c r="S51" i="112"/>
  <c r="U51" i="112"/>
  <c r="S164" i="9"/>
  <c r="O164" i="9"/>
  <c r="I164" i="9"/>
  <c r="K164" i="9"/>
  <c r="O92" i="9"/>
  <c r="K92" i="9"/>
  <c r="S92" i="9"/>
  <c r="O91" i="9"/>
  <c r="I91" i="9"/>
  <c r="K91" i="9"/>
  <c r="S91" i="9"/>
  <c r="K71" i="9"/>
  <c r="I71" i="9"/>
  <c r="O71" i="9"/>
  <c r="S71" i="9"/>
  <c r="I79" i="145"/>
  <c r="I92" i="145"/>
  <c r="I91" i="145" s="1"/>
  <c r="I89" i="145"/>
  <c r="I88" i="145" s="1"/>
  <c r="S21" i="112" l="1"/>
  <c r="M21" i="112"/>
  <c r="N9" i="111"/>
  <c r="Q37" i="7"/>
  <c r="G24" i="7"/>
  <c r="G25" i="7"/>
  <c r="G26" i="7"/>
  <c r="G27" i="7"/>
  <c r="G28" i="7"/>
  <c r="G29" i="7"/>
  <c r="G30" i="7"/>
  <c r="G31" i="7"/>
  <c r="G32" i="7"/>
  <c r="G33" i="7"/>
  <c r="G34" i="7"/>
  <c r="G35" i="7"/>
  <c r="G36" i="7"/>
  <c r="I53" i="69" l="1"/>
  <c r="AE139" i="3"/>
  <c r="AE140" i="3"/>
  <c r="AE141" i="3"/>
  <c r="AE138" i="3"/>
  <c r="AE137" i="3"/>
  <c r="AE136" i="3"/>
  <c r="AE135" i="3"/>
  <c r="AE134" i="3"/>
  <c r="AE133" i="3"/>
  <c r="AE132" i="3"/>
  <c r="AE131" i="3"/>
  <c r="AE130" i="3"/>
  <c r="AE129" i="3"/>
  <c r="AE128" i="3"/>
  <c r="AE127" i="3"/>
  <c r="AE126" i="3"/>
  <c r="AE125" i="3"/>
  <c r="AE124" i="3"/>
  <c r="AE123" i="3"/>
  <c r="AE91" i="3"/>
  <c r="AE90" i="3"/>
  <c r="AE89" i="3"/>
  <c r="AE88" i="3"/>
  <c r="AE87" i="3"/>
  <c r="AE86" i="3"/>
  <c r="AE85" i="3"/>
  <c r="AE84" i="3"/>
  <c r="AE83" i="3"/>
  <c r="AE41" i="3"/>
  <c r="AE42" i="3"/>
  <c r="AE43" i="3"/>
  <c r="AE44" i="3"/>
  <c r="AE45" i="3"/>
  <c r="AE46" i="3"/>
  <c r="AE47" i="3"/>
  <c r="AE48" i="3"/>
  <c r="AE49" i="3"/>
  <c r="AE50" i="3"/>
  <c r="AE51" i="3"/>
  <c r="AE40" i="3"/>
  <c r="S43" i="6"/>
  <c r="Q43" i="6"/>
  <c r="O43" i="6"/>
  <c r="M43" i="6"/>
  <c r="Y197" i="9"/>
  <c r="Z197" i="9"/>
  <c r="AA197" i="9"/>
  <c r="Y198" i="9"/>
  <c r="Z198" i="9"/>
  <c r="AA198" i="9"/>
  <c r="Y199" i="9"/>
  <c r="Z199" i="9"/>
  <c r="AA199" i="9"/>
  <c r="Y200" i="9"/>
  <c r="Z200" i="9"/>
  <c r="AA200" i="9"/>
  <c r="Y201" i="9"/>
  <c r="Z201" i="9"/>
  <c r="AA201" i="9"/>
  <c r="Y202" i="9"/>
  <c r="Z202" i="9"/>
  <c r="AA202" i="9"/>
  <c r="Y203" i="9"/>
  <c r="Z203" i="9"/>
  <c r="AA203" i="9"/>
  <c r="Y204" i="9"/>
  <c r="Z204" i="9"/>
  <c r="AA204" i="9"/>
  <c r="Y205" i="9"/>
  <c r="Z205" i="9"/>
  <c r="AA205" i="9"/>
  <c r="Y206" i="9"/>
  <c r="Z206" i="9"/>
  <c r="AA206" i="9"/>
  <c r="Y207" i="9"/>
  <c r="Z207" i="9"/>
  <c r="AA207" i="9"/>
  <c r="Y208" i="9"/>
  <c r="Z208" i="9"/>
  <c r="AA208" i="9"/>
  <c r="Y209" i="9"/>
  <c r="Z209" i="9"/>
  <c r="AA209" i="9"/>
  <c r="Y210" i="9"/>
  <c r="Z210" i="9"/>
  <c r="AA210" i="9"/>
  <c r="Y211" i="9"/>
  <c r="Z211" i="9"/>
  <c r="AA211" i="9"/>
  <c r="Y212" i="9"/>
  <c r="Z212" i="9"/>
  <c r="AA212" i="9"/>
  <c r="Y213" i="9"/>
  <c r="Z213" i="9"/>
  <c r="AA213" i="9"/>
  <c r="Y214" i="9"/>
  <c r="Z214" i="9"/>
  <c r="AA214" i="9"/>
  <c r="Y215" i="9"/>
  <c r="Z215" i="9"/>
  <c r="AA215" i="9"/>
  <c r="Y216" i="9"/>
  <c r="Z216" i="9"/>
  <c r="AA216" i="9"/>
  <c r="Y217" i="9"/>
  <c r="Z217" i="9"/>
  <c r="AA217" i="9"/>
  <c r="Y218" i="9"/>
  <c r="Z218" i="9"/>
  <c r="AA218" i="9"/>
  <c r="Y219" i="9"/>
  <c r="Z219" i="9"/>
  <c r="AA219" i="9"/>
  <c r="Y220" i="9"/>
  <c r="Z220" i="9"/>
  <c r="AA220" i="9"/>
  <c r="Y221" i="9"/>
  <c r="Z221" i="9"/>
  <c r="AA221" i="9"/>
  <c r="AA196" i="9"/>
  <c r="Z196" i="9"/>
  <c r="Y196" i="9"/>
  <c r="Y97" i="9"/>
  <c r="Z97" i="9"/>
  <c r="AA97" i="9"/>
  <c r="Y98" i="9"/>
  <c r="Z98" i="9"/>
  <c r="AA98" i="9"/>
  <c r="Y99" i="9"/>
  <c r="Z99" i="9"/>
  <c r="AA99" i="9"/>
  <c r="Y100" i="9"/>
  <c r="Z100" i="9"/>
  <c r="AA100" i="9"/>
  <c r="Y101" i="9"/>
  <c r="Z101" i="9"/>
  <c r="AA101" i="9"/>
  <c r="Y102" i="9"/>
  <c r="Z102" i="9"/>
  <c r="AA102" i="9"/>
  <c r="Y103" i="9"/>
  <c r="Z103" i="9"/>
  <c r="AA103" i="9"/>
  <c r="Y104" i="9"/>
  <c r="Z104" i="9"/>
  <c r="AA104" i="9"/>
  <c r="Y105" i="9"/>
  <c r="Z105" i="9"/>
  <c r="AA105" i="9"/>
  <c r="Y106" i="9"/>
  <c r="Z106" i="9"/>
  <c r="AA106" i="9"/>
  <c r="Y107" i="9"/>
  <c r="Z107" i="9"/>
  <c r="AA107" i="9"/>
  <c r="Y108" i="9"/>
  <c r="Z108" i="9"/>
  <c r="AA108" i="9"/>
  <c r="Y109" i="9"/>
  <c r="Z109" i="9"/>
  <c r="AA109" i="9"/>
  <c r="Y110" i="9"/>
  <c r="Z110" i="9"/>
  <c r="AA110" i="9"/>
  <c r="Y111" i="9"/>
  <c r="Z111" i="9"/>
  <c r="AA111" i="9"/>
  <c r="Y112" i="9"/>
  <c r="Z112" i="9"/>
  <c r="AA112" i="9"/>
  <c r="Y113" i="9"/>
  <c r="Z113" i="9"/>
  <c r="AA113" i="9"/>
  <c r="Y114" i="9"/>
  <c r="Z114" i="9"/>
  <c r="AA114" i="9"/>
  <c r="Y115" i="9"/>
  <c r="Z115" i="9"/>
  <c r="AA115" i="9"/>
  <c r="Y116" i="9"/>
  <c r="Z116" i="9"/>
  <c r="AA116" i="9"/>
  <c r="Y117" i="9"/>
  <c r="Z117" i="9"/>
  <c r="AA117" i="9"/>
  <c r="Y118" i="9"/>
  <c r="Z118" i="9"/>
  <c r="AA118" i="9"/>
  <c r="Y119" i="9"/>
  <c r="Z119" i="9"/>
  <c r="AA119" i="9"/>
  <c r="Y120" i="9"/>
  <c r="Z120" i="9"/>
  <c r="AA120" i="9"/>
  <c r="Y121" i="9"/>
  <c r="Z121" i="9"/>
  <c r="AA121" i="9"/>
  <c r="Y122" i="9"/>
  <c r="Z122" i="9"/>
  <c r="AA122" i="9"/>
  <c r="Y123" i="9"/>
  <c r="Z123" i="9"/>
  <c r="AA123" i="9"/>
  <c r="Y124" i="9"/>
  <c r="Z124" i="9"/>
  <c r="AA124" i="9"/>
  <c r="Y125" i="9"/>
  <c r="Z125" i="9"/>
  <c r="AA125" i="9"/>
  <c r="Y126" i="9"/>
  <c r="Z126" i="9"/>
  <c r="AA126" i="9"/>
  <c r="Y127" i="9"/>
  <c r="Z127" i="9"/>
  <c r="AA127" i="9"/>
  <c r="Y128" i="9"/>
  <c r="Z128" i="9"/>
  <c r="AA128" i="9"/>
  <c r="Y129" i="9"/>
  <c r="Z129" i="9"/>
  <c r="AA129" i="9"/>
  <c r="Y130" i="9"/>
  <c r="Z130" i="9"/>
  <c r="AA130" i="9"/>
  <c r="Y131" i="9"/>
  <c r="Z131" i="9"/>
  <c r="AA131" i="9"/>
  <c r="Y132" i="9"/>
  <c r="Z132" i="9"/>
  <c r="AA132" i="9"/>
  <c r="Y133" i="9"/>
  <c r="Z133" i="9"/>
  <c r="AA133" i="9"/>
  <c r="Y134" i="9"/>
  <c r="Z134" i="9"/>
  <c r="AA134" i="9"/>
  <c r="Y135" i="9"/>
  <c r="Z135" i="9"/>
  <c r="AA135" i="9"/>
  <c r="Y136" i="9"/>
  <c r="Z136" i="9"/>
  <c r="AA136" i="9"/>
  <c r="Y137" i="9"/>
  <c r="Z137" i="9"/>
  <c r="AA137" i="9"/>
  <c r="Y138" i="9"/>
  <c r="Z138" i="9"/>
  <c r="AA138" i="9"/>
  <c r="Y139" i="9"/>
  <c r="Z139" i="9"/>
  <c r="AA139" i="9"/>
  <c r="Y140" i="9"/>
  <c r="Z140" i="9"/>
  <c r="AA140" i="9"/>
  <c r="Y141" i="9"/>
  <c r="Z141" i="9"/>
  <c r="AA141" i="9"/>
  <c r="Y142" i="9"/>
  <c r="Z142" i="9"/>
  <c r="AA142" i="9"/>
  <c r="Y143" i="9"/>
  <c r="Z143" i="9"/>
  <c r="AA143" i="9"/>
  <c r="Y144" i="9"/>
  <c r="Z144" i="9"/>
  <c r="AA144" i="9"/>
  <c r="Y145" i="9"/>
  <c r="Z145" i="9"/>
  <c r="AA145" i="9"/>
  <c r="Y146" i="9"/>
  <c r="Z146" i="9"/>
  <c r="AA146" i="9"/>
  <c r="Y147" i="9"/>
  <c r="Z147" i="9"/>
  <c r="AA147" i="9"/>
  <c r="Y148" i="9"/>
  <c r="Z148" i="9"/>
  <c r="AA148" i="9"/>
  <c r="Y149" i="9"/>
  <c r="Z149" i="9"/>
  <c r="AA149" i="9"/>
  <c r="Y150" i="9"/>
  <c r="Z150" i="9"/>
  <c r="AA150" i="9"/>
  <c r="Y151" i="9"/>
  <c r="Z151" i="9"/>
  <c r="AA151" i="9"/>
  <c r="Y152" i="9"/>
  <c r="Z152" i="9"/>
  <c r="AA152" i="9"/>
  <c r="Y153" i="9"/>
  <c r="Z153" i="9"/>
  <c r="AA153" i="9"/>
  <c r="Y154" i="9"/>
  <c r="Z154" i="9"/>
  <c r="AA154" i="9"/>
  <c r="Y155" i="9"/>
  <c r="Z155" i="9"/>
  <c r="AA155" i="9"/>
  <c r="Y156" i="9"/>
  <c r="Z156" i="9"/>
  <c r="AA156" i="9"/>
  <c r="Y157" i="9"/>
  <c r="Z157" i="9"/>
  <c r="AA157" i="9"/>
  <c r="Y158" i="9"/>
  <c r="Z158" i="9"/>
  <c r="AA158" i="9"/>
  <c r="Y159" i="9"/>
  <c r="Z159" i="9"/>
  <c r="AA159" i="9"/>
  <c r="AA96" i="9"/>
  <c r="Z96" i="9"/>
  <c r="Y96" i="9"/>
  <c r="Y76" i="9"/>
  <c r="Z76" i="9"/>
  <c r="AA76" i="9"/>
  <c r="Y77" i="9"/>
  <c r="Z77" i="9"/>
  <c r="AA77" i="9"/>
  <c r="Y78" i="9"/>
  <c r="Z78" i="9"/>
  <c r="AA78" i="9"/>
  <c r="Y79" i="9"/>
  <c r="Z79" i="9"/>
  <c r="AA79" i="9"/>
  <c r="Y80" i="9"/>
  <c r="Z80" i="9"/>
  <c r="AA80" i="9"/>
  <c r="Y81" i="9"/>
  <c r="Z81" i="9"/>
  <c r="AA81" i="9"/>
  <c r="Y82" i="9"/>
  <c r="Z82" i="9"/>
  <c r="AA82" i="9"/>
  <c r="Y83" i="9"/>
  <c r="Z83" i="9"/>
  <c r="AA83" i="9"/>
  <c r="Y84" i="9"/>
  <c r="Z84" i="9"/>
  <c r="AA84" i="9"/>
  <c r="Y85" i="9"/>
  <c r="Z85" i="9"/>
  <c r="AA85" i="9"/>
  <c r="Y86" i="9"/>
  <c r="Z86" i="9"/>
  <c r="AA86" i="9"/>
  <c r="AA75" i="9"/>
  <c r="Z75" i="9"/>
  <c r="Y75" i="9"/>
  <c r="Y33" i="9"/>
  <c r="Z33" i="9"/>
  <c r="AA33" i="9"/>
  <c r="Y34" i="9"/>
  <c r="Z34" i="9"/>
  <c r="AA34" i="9"/>
  <c r="Y35" i="9"/>
  <c r="Z35" i="9"/>
  <c r="AA35" i="9"/>
  <c r="Y36" i="9"/>
  <c r="Z36" i="9"/>
  <c r="AA36" i="9"/>
  <c r="Y37" i="9"/>
  <c r="Z37" i="9"/>
  <c r="AA37" i="9"/>
  <c r="Y38" i="9"/>
  <c r="Z38" i="9"/>
  <c r="AA38" i="9"/>
  <c r="Y39" i="9"/>
  <c r="Z39" i="9"/>
  <c r="AA39" i="9"/>
  <c r="Y40" i="9"/>
  <c r="Z40" i="9"/>
  <c r="AA40" i="9"/>
  <c r="Y41" i="9"/>
  <c r="Z41" i="9"/>
  <c r="AA41" i="9"/>
  <c r="Y42" i="9"/>
  <c r="Z42" i="9"/>
  <c r="AA42" i="9"/>
  <c r="Y43" i="9"/>
  <c r="Z43" i="9"/>
  <c r="AA43" i="9"/>
  <c r="Y44" i="9"/>
  <c r="Z44" i="9"/>
  <c r="AA44" i="9"/>
  <c r="Y45" i="9"/>
  <c r="Z45" i="9"/>
  <c r="AA45" i="9"/>
  <c r="Y46" i="9"/>
  <c r="Z46" i="9"/>
  <c r="AA46" i="9"/>
  <c r="Y47" i="9"/>
  <c r="Z47" i="9"/>
  <c r="AA47" i="9"/>
  <c r="Y48" i="9"/>
  <c r="Z48" i="9"/>
  <c r="AA48" i="9"/>
  <c r="Y49" i="9"/>
  <c r="Z49" i="9"/>
  <c r="AA49" i="9"/>
  <c r="Y50" i="9"/>
  <c r="Z50" i="9"/>
  <c r="AA50" i="9"/>
  <c r="Y51" i="9"/>
  <c r="Z51" i="9"/>
  <c r="AA51" i="9"/>
  <c r="Y52" i="9"/>
  <c r="Z52" i="9"/>
  <c r="AA52" i="9"/>
  <c r="Y53" i="9"/>
  <c r="Z53" i="9"/>
  <c r="AA53" i="9"/>
  <c r="Y54" i="9"/>
  <c r="Z54" i="9"/>
  <c r="AA54" i="9"/>
  <c r="Y55" i="9"/>
  <c r="Z55" i="9"/>
  <c r="AA55" i="9"/>
  <c r="Y56" i="9"/>
  <c r="Z56" i="9"/>
  <c r="AA56" i="9"/>
  <c r="Y57" i="9"/>
  <c r="Z57" i="9"/>
  <c r="AA57" i="9"/>
  <c r="Y58" i="9"/>
  <c r="Z58" i="9"/>
  <c r="AA58" i="9"/>
  <c r="Y59" i="9"/>
  <c r="Z59" i="9"/>
  <c r="AA59" i="9"/>
  <c r="Y60" i="9"/>
  <c r="Z60" i="9"/>
  <c r="AA60" i="9"/>
  <c r="Y61" i="9"/>
  <c r="Z61" i="9"/>
  <c r="AA61" i="9"/>
  <c r="Y62" i="9"/>
  <c r="Z62" i="9"/>
  <c r="AA62" i="9"/>
  <c r="Y63" i="9"/>
  <c r="Z63" i="9"/>
  <c r="AA63" i="9"/>
  <c r="Z32" i="9"/>
  <c r="AA32" i="9"/>
  <c r="I21" i="77"/>
  <c r="AE142" i="3" l="1"/>
  <c r="I25" i="126" l="1"/>
  <c r="I24" i="126"/>
  <c r="I27" i="126"/>
  <c r="A22" i="126"/>
  <c r="S21" i="126"/>
  <c r="O21" i="126"/>
  <c r="G131" i="6"/>
  <c r="G137" i="6"/>
  <c r="G139" i="6"/>
  <c r="G144" i="6"/>
  <c r="G145" i="6"/>
  <c r="K145" i="6" s="1"/>
  <c r="G150" i="6"/>
  <c r="G151" i="6"/>
  <c r="G152" i="6"/>
  <c r="G153" i="6"/>
  <c r="K153" i="6" s="1"/>
  <c r="G154" i="6"/>
  <c r="G155" i="6"/>
  <c r="G156" i="6"/>
  <c r="G157" i="6"/>
  <c r="G158" i="6"/>
  <c r="G159" i="6"/>
  <c r="K159" i="6" s="1"/>
  <c r="G160" i="6"/>
  <c r="G162" i="6"/>
  <c r="G149" i="6"/>
  <c r="D60" i="126"/>
  <c r="G45" i="126"/>
  <c r="D44" i="126"/>
  <c r="K44" i="126" s="1"/>
  <c r="G126" i="134"/>
  <c r="G27" i="126"/>
  <c r="G25" i="126"/>
  <c r="G24" i="126"/>
  <c r="C37" i="20"/>
  <c r="C35" i="20"/>
  <c r="G26" i="147"/>
  <c r="D26" i="147"/>
  <c r="D27" i="147"/>
  <c r="G27" i="147" s="1"/>
  <c r="D24" i="147"/>
  <c r="G24" i="147" s="1"/>
  <c r="G23" i="7"/>
  <c r="G22" i="7"/>
  <c r="AP64" i="112"/>
  <c r="AK145" i="112"/>
  <c r="AP53" i="112"/>
  <c r="AP73" i="112"/>
  <c r="AP71" i="112"/>
  <c r="AP66" i="112"/>
  <c r="AP58" i="112"/>
  <c r="AP57" i="112"/>
  <c r="AP56" i="112"/>
  <c r="AP32" i="112"/>
  <c r="AP31" i="112"/>
  <c r="AP30" i="112"/>
  <c r="AP29" i="112"/>
  <c r="AP24" i="112"/>
  <c r="AP23" i="112"/>
  <c r="AD66" i="112"/>
  <c r="AD67" i="112"/>
  <c r="AD68" i="112"/>
  <c r="AD69" i="112"/>
  <c r="AD70" i="112"/>
  <c r="AD71" i="112"/>
  <c r="Y72" i="112"/>
  <c r="AA72" i="112"/>
  <c r="E50" i="20"/>
  <c r="Q136" i="16"/>
  <c r="S136" i="16"/>
  <c r="O136" i="16"/>
  <c r="I136" i="16"/>
  <c r="D50" i="20" s="1"/>
  <c r="M136" i="16"/>
  <c r="AA73" i="154"/>
  <c r="AA65" i="154"/>
  <c r="AA58" i="154"/>
  <c r="AA55" i="154"/>
  <c r="AA54" i="154"/>
  <c r="Y5" i="154"/>
  <c r="U66" i="131"/>
  <c r="D68" i="131"/>
  <c r="D57" i="131"/>
  <c r="G69" i="131"/>
  <c r="G68" i="131"/>
  <c r="K68" i="131" s="1"/>
  <c r="K59" i="131" s="1"/>
  <c r="G58" i="131"/>
  <c r="G57" i="131"/>
  <c r="D48" i="131"/>
  <c r="G48" i="131" s="1"/>
  <c r="K48" i="131" s="1"/>
  <c r="G45" i="131"/>
  <c r="G46" i="131"/>
  <c r="G47" i="131"/>
  <c r="I288" i="127"/>
  <c r="I289" i="127"/>
  <c r="I238" i="127"/>
  <c r="I237" i="127"/>
  <c r="D13" i="49" s="1"/>
  <c r="I236" i="127"/>
  <c r="I235" i="127"/>
  <c r="I234" i="127"/>
  <c r="I197" i="127"/>
  <c r="I198" i="127"/>
  <c r="I227" i="127"/>
  <c r="I228" i="127"/>
  <c r="I229" i="127"/>
  <c r="I230" i="127"/>
  <c r="I231" i="127"/>
  <c r="I216" i="127"/>
  <c r="G87" i="16"/>
  <c r="G88" i="16"/>
  <c r="K237" i="127" l="1"/>
  <c r="O237" i="127"/>
  <c r="O329" i="127" s="1"/>
  <c r="M237" i="127"/>
  <c r="I155" i="6"/>
  <c r="K155" i="6"/>
  <c r="K151" i="6" s="1"/>
  <c r="I139" i="6"/>
  <c r="K139" i="6"/>
  <c r="AD72" i="112"/>
  <c r="G44" i="126"/>
  <c r="I26" i="147"/>
  <c r="I27" i="147"/>
  <c r="I24" i="147"/>
  <c r="AP106" i="112"/>
  <c r="I68" i="131"/>
  <c r="I59" i="131" s="1"/>
  <c r="E22" i="20" s="1"/>
  <c r="K57" i="131"/>
  <c r="K50" i="131" s="1"/>
  <c r="I57" i="131"/>
  <c r="I50" i="131" s="1"/>
  <c r="D22" i="20" s="1"/>
  <c r="I48" i="131"/>
  <c r="G55" i="16"/>
  <c r="G56" i="16"/>
  <c r="G57" i="16"/>
  <c r="G58" i="16"/>
  <c r="G59" i="16"/>
  <c r="G60" i="16"/>
  <c r="G52" i="16"/>
  <c r="G53" i="16"/>
  <c r="G54" i="16"/>
  <c r="G61" i="16"/>
  <c r="I286" i="127"/>
  <c r="I256" i="127"/>
  <c r="I244" i="127"/>
  <c r="I245" i="127"/>
  <c r="I232" i="127"/>
  <c r="M232" i="127" s="1"/>
  <c r="I233" i="127"/>
  <c r="M233" i="127" s="1"/>
  <c r="I239" i="127"/>
  <c r="I243" i="127"/>
  <c r="I214" i="127"/>
  <c r="I287" i="127"/>
  <c r="I290" i="127"/>
  <c r="F242" i="127"/>
  <c r="I242" i="127" s="1"/>
  <c r="F241" i="127"/>
  <c r="I241" i="127" s="1"/>
  <c r="D14" i="49" s="1"/>
  <c r="G119" i="10"/>
  <c r="I22" i="127"/>
  <c r="I23" i="127"/>
  <c r="I24" i="127"/>
  <c r="I25" i="127"/>
  <c r="I26" i="127"/>
  <c r="D31" i="58"/>
  <c r="G31" i="58" s="1"/>
  <c r="I31" i="58" s="1"/>
  <c r="G69" i="7"/>
  <c r="D71" i="7"/>
  <c r="G71" i="7" s="1"/>
  <c r="D70" i="7"/>
  <c r="G70" i="7" s="1"/>
  <c r="D68" i="7"/>
  <c r="G68" i="7" s="1"/>
  <c r="D67" i="7"/>
  <c r="G67" i="7" s="1"/>
  <c r="D66" i="7"/>
  <c r="G66" i="7" s="1"/>
  <c r="G59" i="7"/>
  <c r="G60" i="7"/>
  <c r="G61" i="7"/>
  <c r="G62" i="7"/>
  <c r="G63" i="7"/>
  <c r="G64" i="7"/>
  <c r="G65" i="7"/>
  <c r="G72" i="7"/>
  <c r="G103" i="7"/>
  <c r="G102" i="7"/>
  <c r="K97" i="7"/>
  <c r="K153" i="7" s="1"/>
  <c r="G97" i="7"/>
  <c r="K37" i="7"/>
  <c r="K60" i="126"/>
  <c r="K59" i="126"/>
  <c r="K58" i="126"/>
  <c r="G56" i="126"/>
  <c r="G57" i="126"/>
  <c r="G58" i="126"/>
  <c r="G59" i="126"/>
  <c r="G60" i="126"/>
  <c r="Q60" i="126" s="1"/>
  <c r="G62" i="126"/>
  <c r="D48" i="126"/>
  <c r="G48" i="126" s="1"/>
  <c r="S72" i="7" l="1"/>
  <c r="I72" i="7"/>
  <c r="K72" i="7"/>
  <c r="Q72" i="7"/>
  <c r="M72" i="7"/>
  <c r="O72" i="7"/>
  <c r="K67" i="7"/>
  <c r="I67" i="7"/>
  <c r="M67" i="7"/>
  <c r="O67" i="7"/>
  <c r="Q67" i="7"/>
  <c r="S67" i="7"/>
  <c r="K68" i="7"/>
  <c r="I68" i="7"/>
  <c r="S68" i="7"/>
  <c r="O68" i="7"/>
  <c r="Q68" i="7"/>
  <c r="M68" i="7"/>
  <c r="Q70" i="7"/>
  <c r="S70" i="7"/>
  <c r="I70" i="7"/>
  <c r="M70" i="7"/>
  <c r="O70" i="7"/>
  <c r="K70" i="7"/>
  <c r="O71" i="7"/>
  <c r="S71" i="7"/>
  <c r="I71" i="7"/>
  <c r="K71" i="7"/>
  <c r="Q71" i="7"/>
  <c r="M71" i="7"/>
  <c r="Q69" i="7"/>
  <c r="I69" i="7"/>
  <c r="S69" i="7"/>
  <c r="O69" i="7"/>
  <c r="M69" i="7"/>
  <c r="K69" i="7"/>
  <c r="O66" i="7"/>
  <c r="M66" i="7"/>
  <c r="I66" i="7"/>
  <c r="S66" i="7"/>
  <c r="Q66" i="7"/>
  <c r="K66" i="7"/>
  <c r="M329" i="127"/>
  <c r="AP108" i="112"/>
  <c r="AP110" i="112" s="1"/>
  <c r="O241" i="127"/>
  <c r="M241" i="127"/>
  <c r="K241" i="127"/>
  <c r="M242" i="127"/>
  <c r="O242" i="127"/>
  <c r="K242" i="127"/>
  <c r="Q48" i="126"/>
  <c r="S21" i="46"/>
  <c r="Q21" i="46"/>
  <c r="G21" i="46"/>
  <c r="C33" i="20" l="1"/>
  <c r="D32" i="20"/>
  <c r="E79" i="77"/>
  <c r="D79" i="77"/>
  <c r="C79" i="77"/>
  <c r="C31" i="20" s="1"/>
  <c r="E31" i="20"/>
  <c r="D31" i="20"/>
  <c r="E30" i="20"/>
  <c r="D37" i="7"/>
  <c r="G37" i="7" s="1"/>
  <c r="M37" i="7"/>
  <c r="G46" i="7"/>
  <c r="O37" i="7"/>
  <c r="Q105" i="7"/>
  <c r="K105" i="7"/>
  <c r="S105" i="7"/>
  <c r="O105" i="7"/>
  <c r="M105" i="7"/>
  <c r="I105" i="7"/>
  <c r="E19" i="20" s="1"/>
  <c r="G105" i="7"/>
  <c r="G99" i="7"/>
  <c r="G80" i="7"/>
  <c r="D32" i="49" s="1"/>
  <c r="G100" i="141"/>
  <c r="G101" i="141"/>
  <c r="G102" i="141"/>
  <c r="I263" i="140"/>
  <c r="I183" i="140"/>
  <c r="G37" i="121"/>
  <c r="G104" i="121"/>
  <c r="G101" i="121"/>
  <c r="D107" i="121"/>
  <c r="G107" i="121" s="1"/>
  <c r="D108" i="121"/>
  <c r="G108" i="121" s="1"/>
  <c r="G38" i="121"/>
  <c r="G39" i="121"/>
  <c r="G40" i="121"/>
  <c r="G41" i="121"/>
  <c r="G42" i="121"/>
  <c r="G184" i="140"/>
  <c r="G206" i="140"/>
  <c r="D125" i="121"/>
  <c r="D123" i="121"/>
  <c r="D119" i="121"/>
  <c r="D116" i="121"/>
  <c r="D114" i="121"/>
  <c r="D112" i="121"/>
  <c r="D64" i="121"/>
  <c r="D121" i="121" s="1"/>
  <c r="Q40" i="126"/>
  <c r="Q36" i="126"/>
  <c r="Q31" i="126"/>
  <c r="G131" i="121"/>
  <c r="G132" i="121"/>
  <c r="G133" i="121"/>
  <c r="G134" i="121"/>
  <c r="G135" i="121"/>
  <c r="G223" i="140"/>
  <c r="M205" i="140"/>
  <c r="M207" i="140" s="1"/>
  <c r="M183" i="140"/>
  <c r="G176" i="140"/>
  <c r="G177" i="140"/>
  <c r="G178" i="140"/>
  <c r="G179" i="140"/>
  <c r="G180" i="140"/>
  <c r="G181" i="140"/>
  <c r="G182" i="140"/>
  <c r="G183" i="140"/>
  <c r="G188" i="140"/>
  <c r="G189" i="140"/>
  <c r="G190" i="140"/>
  <c r="G191" i="140"/>
  <c r="G192" i="140"/>
  <c r="G193" i="140"/>
  <c r="G205" i="140"/>
  <c r="G204" i="140"/>
  <c r="S21" i="141"/>
  <c r="Q21" i="141"/>
  <c r="O21" i="141"/>
  <c r="M21" i="141"/>
  <c r="K21" i="141"/>
  <c r="I265" i="140" l="1"/>
  <c r="I169" i="139" s="1"/>
  <c r="I149" i="141"/>
  <c r="I170" i="139" s="1"/>
  <c r="I21" i="141"/>
  <c r="C55" i="20" s="1"/>
  <c r="K80" i="7"/>
  <c r="Q80" i="7"/>
  <c r="S80" i="7"/>
  <c r="O80" i="7"/>
  <c r="I80" i="7"/>
  <c r="M80" i="7"/>
  <c r="M220" i="140"/>
  <c r="M222" i="140" s="1"/>
  <c r="M185" i="140"/>
  <c r="G74" i="58"/>
  <c r="I74" i="58" s="1"/>
  <c r="I159" i="6"/>
  <c r="I153" i="6"/>
  <c r="G53" i="13"/>
  <c r="M104" i="30"/>
  <c r="M90" i="30"/>
  <c r="M29" i="30"/>
  <c r="G37" i="46"/>
  <c r="G38" i="46"/>
  <c r="G39" i="46"/>
  <c r="G40" i="46"/>
  <c r="G41" i="46"/>
  <c r="G39" i="129"/>
  <c r="G40" i="129"/>
  <c r="G41" i="129"/>
  <c r="G42" i="129"/>
  <c r="M21" i="129"/>
  <c r="I21" i="129"/>
  <c r="O21" i="129"/>
  <c r="G34" i="46"/>
  <c r="G36" i="46"/>
  <c r="G23" i="46"/>
  <c r="G24" i="46"/>
  <c r="G25" i="46"/>
  <c r="G26" i="46"/>
  <c r="G27" i="46"/>
  <c r="G28" i="46"/>
  <c r="G29" i="46"/>
  <c r="G30" i="46"/>
  <c r="M33" i="77"/>
  <c r="G30" i="77"/>
  <c r="K89" i="28"/>
  <c r="I88" i="28"/>
  <c r="I89" i="28"/>
  <c r="M88" i="28"/>
  <c r="M28" i="28"/>
  <c r="M21" i="28" s="1"/>
  <c r="G32" i="28"/>
  <c r="S51" i="28" s="1"/>
  <c r="G33" i="28"/>
  <c r="O33" i="28" s="1"/>
  <c r="O88" i="28"/>
  <c r="G41" i="28"/>
  <c r="G42" i="28"/>
  <c r="O42" i="28" s="1"/>
  <c r="G130" i="121"/>
  <c r="G128" i="121"/>
  <c r="O28" i="28"/>
  <c r="O89" i="28" s="1"/>
  <c r="M53" i="13" l="1"/>
  <c r="O53" i="13"/>
  <c r="O130" i="13"/>
  <c r="K130" i="13"/>
  <c r="M44" i="46"/>
  <c r="K44" i="46"/>
  <c r="K21" i="46" s="1"/>
  <c r="I44" i="46"/>
  <c r="O44" i="46"/>
  <c r="I130" i="13"/>
  <c r="M40" i="77"/>
  <c r="Q32" i="28"/>
  <c r="Q51" i="28" s="1"/>
  <c r="O32" i="28"/>
  <c r="O86" i="28" s="1"/>
  <c r="O90" i="28" s="1"/>
  <c r="K32" i="28"/>
  <c r="M32" i="28"/>
  <c r="I32" i="28"/>
  <c r="I86" i="28" s="1"/>
  <c r="I90" i="28" s="1"/>
  <c r="G50" i="46"/>
  <c r="G51" i="46"/>
  <c r="G52" i="46"/>
  <c r="G53" i="46"/>
  <c r="G54" i="46"/>
  <c r="G143" i="8"/>
  <c r="I143" i="8" s="1"/>
  <c r="G144" i="8"/>
  <c r="G138" i="8"/>
  <c r="I138" i="8" s="1"/>
  <c r="O56" i="46" l="1"/>
  <c r="O21" i="46"/>
  <c r="I56" i="46"/>
  <c r="I21" i="46"/>
  <c r="C48" i="20" s="1"/>
  <c r="M56" i="46"/>
  <c r="M21" i="46"/>
  <c r="K51" i="28"/>
  <c r="K91" i="28" s="1"/>
  <c r="K86" i="28"/>
  <c r="K90" i="28" s="1"/>
  <c r="M51" i="28"/>
  <c r="M91" i="28" s="1"/>
  <c r="M86" i="28"/>
  <c r="M90" i="28" s="1"/>
  <c r="M92" i="28" l="1"/>
  <c r="K92" i="28"/>
  <c r="G31" i="46" l="1"/>
  <c r="G32" i="46"/>
  <c r="J5" i="48"/>
  <c r="K5" i="48"/>
  <c r="S23" i="137"/>
  <c r="Q23" i="137"/>
  <c r="O23" i="137"/>
  <c r="M23" i="137"/>
  <c r="K23" i="137"/>
  <c r="G67" i="137"/>
  <c r="I67" i="137" s="1"/>
  <c r="G68" i="137"/>
  <c r="I68" i="137" s="1"/>
  <c r="G76" i="7" l="1"/>
  <c r="G77" i="7"/>
  <c r="G78" i="7"/>
  <c r="G79" i="7"/>
  <c r="G81" i="7"/>
  <c r="G33" i="130"/>
  <c r="I33" i="130" s="1"/>
  <c r="G34" i="130"/>
  <c r="I34" i="130"/>
  <c r="G35" i="130"/>
  <c r="I35" i="130" s="1"/>
  <c r="G36" i="130"/>
  <c r="I36" i="130"/>
  <c r="G37" i="130"/>
  <c r="I37" i="130"/>
  <c r="G38" i="130"/>
  <c r="I38" i="130"/>
  <c r="G39" i="130"/>
  <c r="I39" i="130"/>
  <c r="G40" i="130"/>
  <c r="I40" i="130" s="1"/>
  <c r="G41" i="130"/>
  <c r="I41" i="130" s="1"/>
  <c r="G42" i="130"/>
  <c r="I42" i="130"/>
  <c r="G43" i="130"/>
  <c r="I43" i="130" s="1"/>
  <c r="G44" i="130"/>
  <c r="I44" i="130"/>
  <c r="G45" i="130"/>
  <c r="I45" i="130"/>
  <c r="G46" i="130"/>
  <c r="I46" i="130"/>
  <c r="G47" i="130"/>
  <c r="I47" i="130" s="1"/>
  <c r="G48" i="130"/>
  <c r="I48" i="130" s="1"/>
  <c r="G49" i="130"/>
  <c r="I49" i="130" s="1"/>
  <c r="I66" i="131"/>
  <c r="G67" i="131"/>
  <c r="Q190" i="9"/>
  <c r="M190" i="9"/>
  <c r="K190" i="9"/>
  <c r="O190" i="9"/>
  <c r="S190" i="9"/>
  <c r="I190" i="9"/>
  <c r="X221" i="9"/>
  <c r="AB221" i="9" s="1"/>
  <c r="X223" i="9"/>
  <c r="AB223" i="9" s="1"/>
  <c r="Y223" i="9"/>
  <c r="Z223" i="9"/>
  <c r="AA223" i="9" s="1"/>
  <c r="Q79" i="7" l="1"/>
  <c r="Q150" i="7" s="1"/>
  <c r="Q154" i="7" s="1"/>
  <c r="D31" i="49"/>
  <c r="S76" i="7"/>
  <c r="I76" i="7"/>
  <c r="Q76" i="7"/>
  <c r="O76" i="7"/>
  <c r="M76" i="7"/>
  <c r="K76" i="7"/>
  <c r="I55" i="131"/>
  <c r="S79" i="7"/>
  <c r="S150" i="7" s="1"/>
  <c r="K79" i="7"/>
  <c r="K150" i="7" s="1"/>
  <c r="K154" i="7" s="1"/>
  <c r="O78" i="7"/>
  <c r="O151" i="7" s="1"/>
  <c r="M78" i="7"/>
  <c r="I79" i="7"/>
  <c r="I150" i="7" s="1"/>
  <c r="O79" i="7"/>
  <c r="O150" i="7" s="1"/>
  <c r="O154" i="7" s="1"/>
  <c r="M79" i="7"/>
  <c r="M150" i="7" s="1"/>
  <c r="D223" i="9"/>
  <c r="Q193" i="9"/>
  <c r="S193" i="9"/>
  <c r="I152" i="6"/>
  <c r="G93" i="6"/>
  <c r="I141" i="6"/>
  <c r="I118" i="6"/>
  <c r="I108" i="6"/>
  <c r="S21" i="153"/>
  <c r="Q21" i="153"/>
  <c r="O21" i="153"/>
  <c r="M21" i="153"/>
  <c r="I21" i="153"/>
  <c r="G23" i="23"/>
  <c r="I23" i="23" s="1"/>
  <c r="G24" i="23"/>
  <c r="I24" i="23" s="1"/>
  <c r="G25" i="23"/>
  <c r="G26" i="23"/>
  <c r="G32" i="23"/>
  <c r="G21" i="23"/>
  <c r="E18" i="20"/>
  <c r="S33" i="23"/>
  <c r="S26" i="23" s="1"/>
  <c r="S21" i="23" s="1"/>
  <c r="Q33" i="23"/>
  <c r="Q26" i="23" s="1"/>
  <c r="Q21" i="23" s="1"/>
  <c r="O33" i="23"/>
  <c r="O26" i="23" s="1"/>
  <c r="O21" i="23" s="1"/>
  <c r="M33" i="23"/>
  <c r="M26" i="23" s="1"/>
  <c r="M21" i="23" s="1"/>
  <c r="K33" i="23"/>
  <c r="K26" i="23" s="1"/>
  <c r="K21" i="23" s="1"/>
  <c r="G33" i="23"/>
  <c r="G72" i="58"/>
  <c r="G71" i="58"/>
  <c r="G70" i="58"/>
  <c r="G69" i="58"/>
  <c r="G68" i="58"/>
  <c r="G67" i="58"/>
  <c r="I56" i="58"/>
  <c r="G55" i="58"/>
  <c r="G65" i="58"/>
  <c r="S58" i="58"/>
  <c r="Q58" i="58"/>
  <c r="O58" i="58"/>
  <c r="M58" i="58"/>
  <c r="G59" i="58"/>
  <c r="I59" i="58" s="1"/>
  <c r="G36" i="154"/>
  <c r="G37" i="154"/>
  <c r="I37" i="154" s="1"/>
  <c r="G38" i="154"/>
  <c r="I38" i="154" s="1"/>
  <c r="G68" i="154"/>
  <c r="D55" i="154"/>
  <c r="G53" i="154"/>
  <c r="F50" i="154"/>
  <c r="G50" i="154" s="1"/>
  <c r="G48" i="154"/>
  <c r="I48" i="154" s="1"/>
  <c r="G46" i="154"/>
  <c r="G40" i="154"/>
  <c r="F33" i="154"/>
  <c r="F32" i="154"/>
  <c r="G32" i="154" s="1"/>
  <c r="I32" i="154" s="1"/>
  <c r="G34" i="154"/>
  <c r="G35" i="154"/>
  <c r="I35" i="154" s="1"/>
  <c r="G39" i="154"/>
  <c r="G41" i="154"/>
  <c r="G42" i="154"/>
  <c r="I42" i="154" s="1"/>
  <c r="G43" i="154"/>
  <c r="G44" i="154"/>
  <c r="I44" i="154" s="1"/>
  <c r="G45" i="154"/>
  <c r="G23" i="154"/>
  <c r="G24" i="154"/>
  <c r="G25" i="154"/>
  <c r="G26" i="154"/>
  <c r="G27" i="154"/>
  <c r="G28" i="154"/>
  <c r="I28" i="154" s="1"/>
  <c r="G29" i="154"/>
  <c r="G30" i="154"/>
  <c r="G31" i="154"/>
  <c r="I93" i="6" l="1"/>
  <c r="K93" i="6"/>
  <c r="I70" i="58"/>
  <c r="K70" i="58"/>
  <c r="I68" i="58"/>
  <c r="K68" i="58"/>
  <c r="K72" i="58"/>
  <c r="I72" i="58"/>
  <c r="K71" i="58"/>
  <c r="I71" i="58"/>
  <c r="K69" i="58"/>
  <c r="I69" i="58"/>
  <c r="I21" i="23"/>
  <c r="C18" i="20" s="1"/>
  <c r="D18" i="20"/>
  <c r="I55" i="58"/>
  <c r="G64" i="154"/>
  <c r="G63" i="154"/>
  <c r="G62" i="154"/>
  <c r="G60" i="154"/>
  <c r="G61" i="154"/>
  <c r="G33" i="154"/>
  <c r="I33" i="154" s="1"/>
  <c r="G57" i="154"/>
  <c r="G59" i="154"/>
  <c r="D58" i="154"/>
  <c r="G58" i="154" s="1"/>
  <c r="G79" i="154"/>
  <c r="G78" i="154"/>
  <c r="G77" i="154"/>
  <c r="S76" i="154"/>
  <c r="Q76" i="154"/>
  <c r="O76" i="154"/>
  <c r="M76" i="154"/>
  <c r="K76" i="154"/>
  <c r="G76" i="154"/>
  <c r="G75" i="154"/>
  <c r="G72" i="154"/>
  <c r="G71" i="154"/>
  <c r="S70" i="154"/>
  <c r="Q70" i="154"/>
  <c r="O70" i="154"/>
  <c r="M70" i="154"/>
  <c r="K70" i="154"/>
  <c r="G70" i="154"/>
  <c r="G55" i="154"/>
  <c r="I55" i="154" s="1"/>
  <c r="G52" i="154"/>
  <c r="I52" i="154" s="1"/>
  <c r="G51" i="154"/>
  <c r="G49" i="154"/>
  <c r="G47" i="154"/>
  <c r="G22" i="154"/>
  <c r="S21" i="154"/>
  <c r="Q21" i="154"/>
  <c r="O21" i="154"/>
  <c r="M21" i="154"/>
  <c r="K21" i="154"/>
  <c r="B5" i="154"/>
  <c r="K58" i="58" l="1"/>
  <c r="I72" i="154"/>
  <c r="D73" i="154"/>
  <c r="S81" i="154"/>
  <c r="S83" i="154" s="1"/>
  <c r="S85" i="154" s="1"/>
  <c r="K81" i="154"/>
  <c r="K83" i="154" s="1"/>
  <c r="M81" i="154"/>
  <c r="M83" i="154" s="1"/>
  <c r="Q81" i="154"/>
  <c r="Q83" i="154" s="1"/>
  <c r="Q85" i="154" s="1"/>
  <c r="O81" i="154"/>
  <c r="I76" i="154"/>
  <c r="O83" i="154"/>
  <c r="O85" i="154" s="1"/>
  <c r="M85" i="154" l="1"/>
  <c r="K85" i="154"/>
  <c r="R9" i="154"/>
  <c r="N9" i="154"/>
  <c r="P9" i="154"/>
  <c r="J9" i="154"/>
  <c r="L9" i="154" l="1"/>
  <c r="G72" i="145" l="1"/>
  <c r="G73" i="145"/>
  <c r="G74" i="145"/>
  <c r="G75" i="145"/>
  <c r="G76" i="145"/>
  <c r="G77" i="145"/>
  <c r="D70" i="112"/>
  <c r="G70" i="112" s="1"/>
  <c r="D67" i="112"/>
  <c r="G67" i="112" s="1"/>
  <c r="F73" i="112"/>
  <c r="G71" i="112"/>
  <c r="AG72" i="112"/>
  <c r="D69" i="112" s="1"/>
  <c r="G69" i="112" s="1"/>
  <c r="G65" i="112"/>
  <c r="X63" i="112"/>
  <c r="X62" i="112"/>
  <c r="S66" i="14"/>
  <c r="Q66" i="14"/>
  <c r="G66" i="14"/>
  <c r="I66" i="14" s="1"/>
  <c r="U21" i="112"/>
  <c r="U106" i="112" s="1"/>
  <c r="K29" i="112"/>
  <c r="K30" i="112"/>
  <c r="G103" i="112"/>
  <c r="G104" i="112"/>
  <c r="G63" i="112"/>
  <c r="G55" i="112"/>
  <c r="G77" i="112"/>
  <c r="G78" i="112"/>
  <c r="G80" i="112"/>
  <c r="K76" i="145"/>
  <c r="G78" i="145"/>
  <c r="G26" i="145"/>
  <c r="G52" i="13"/>
  <c r="G54" i="13"/>
  <c r="G85" i="145"/>
  <c r="D53" i="58"/>
  <c r="G53" i="58" s="1"/>
  <c r="I53" i="58" s="1"/>
  <c r="D52" i="58"/>
  <c r="G52" i="58" s="1"/>
  <c r="I52" i="58" s="1"/>
  <c r="D51" i="58"/>
  <c r="G51" i="58" s="1"/>
  <c r="I51" i="58" s="1"/>
  <c r="D54" i="58"/>
  <c r="G54" i="58" s="1"/>
  <c r="I54" i="58" s="1"/>
  <c r="D50" i="58"/>
  <c r="G50" i="58" s="1"/>
  <c r="I50" i="58" s="1"/>
  <c r="S49" i="58"/>
  <c r="Q49" i="58"/>
  <c r="O49" i="58"/>
  <c r="M49" i="58"/>
  <c r="K49" i="58"/>
  <c r="C284" i="127"/>
  <c r="F284" i="127" s="1"/>
  <c r="I284" i="127" s="1"/>
  <c r="C283" i="127"/>
  <c r="F283" i="127" s="1"/>
  <c r="I283" i="127" s="1"/>
  <c r="C282" i="127"/>
  <c r="F282" i="127" s="1"/>
  <c r="I282" i="127" s="1"/>
  <c r="C281" i="127"/>
  <c r="F281" i="127" s="1"/>
  <c r="I281" i="127" s="1"/>
  <c r="C280" i="127"/>
  <c r="F280" i="127" s="1"/>
  <c r="S21" i="58"/>
  <c r="Q21" i="58"/>
  <c r="O21" i="58"/>
  <c r="M21" i="58"/>
  <c r="K21" i="58"/>
  <c r="M66" i="14" l="1"/>
  <c r="K66" i="14"/>
  <c r="O66" i="14"/>
  <c r="F279" i="127"/>
  <c r="O52" i="13"/>
  <c r="M52" i="13"/>
  <c r="U77" i="112"/>
  <c r="M77" i="112"/>
  <c r="I279" i="127"/>
  <c r="D15" i="49" s="1"/>
  <c r="I280" i="127"/>
  <c r="D68" i="112"/>
  <c r="Q77" i="112"/>
  <c r="O77" i="112"/>
  <c r="S77" i="112"/>
  <c r="I77" i="112"/>
  <c r="K77" i="112"/>
  <c r="Q80" i="58"/>
  <c r="O80" i="58"/>
  <c r="S80" i="58"/>
  <c r="M80" i="58"/>
  <c r="K80" i="58"/>
  <c r="O279" i="127" l="1"/>
  <c r="G68" i="112"/>
  <c r="D66" i="112"/>
  <c r="G66" i="112" s="1"/>
  <c r="M66" i="112" s="1"/>
  <c r="K279" i="127"/>
  <c r="M279" i="127"/>
  <c r="O66" i="112" l="1"/>
  <c r="U66" i="112"/>
  <c r="K66" i="112"/>
  <c r="S66" i="112"/>
  <c r="Q66" i="112"/>
  <c r="I66" i="112"/>
  <c r="D43" i="58"/>
  <c r="D42" i="58"/>
  <c r="G40" i="58"/>
  <c r="I40" i="58" s="1"/>
  <c r="G41" i="58"/>
  <c r="I41" i="58" s="1"/>
  <c r="G42" i="58"/>
  <c r="I42" i="58" s="1"/>
  <c r="G43" i="58"/>
  <c r="I43" i="58" s="1"/>
  <c r="D36" i="58"/>
  <c r="G36" i="58" s="1"/>
  <c r="I36" i="58" s="1"/>
  <c r="G27" i="58"/>
  <c r="I27" i="58" s="1"/>
  <c r="D30" i="58"/>
  <c r="G30" i="58" s="1"/>
  <c r="I30" i="58" s="1"/>
  <c r="D35" i="58"/>
  <c r="G35" i="58" s="1"/>
  <c r="I35" i="58" s="1"/>
  <c r="D33" i="58"/>
  <c r="G33" i="58" s="1"/>
  <c r="I33" i="58" s="1"/>
  <c r="G29" i="58"/>
  <c r="I29" i="58" s="1"/>
  <c r="G34" i="58"/>
  <c r="I34" i="58" s="1"/>
  <c r="G75" i="7"/>
  <c r="G82" i="7"/>
  <c r="G83" i="7"/>
  <c r="G25" i="58"/>
  <c r="I25" i="58" s="1"/>
  <c r="G26" i="58"/>
  <c r="I26" i="58" s="1"/>
  <c r="G23" i="58"/>
  <c r="I23" i="58" s="1"/>
  <c r="G24" i="58"/>
  <c r="I24" i="58" s="1"/>
  <c r="G28" i="58"/>
  <c r="I28" i="58" s="1"/>
  <c r="D32" i="58"/>
  <c r="G32" i="58" s="1"/>
  <c r="I32" i="58" s="1"/>
  <c r="G44" i="58"/>
  <c r="I44" i="58" s="1"/>
  <c r="G45" i="58"/>
  <c r="I45" i="58" s="1"/>
  <c r="G49" i="58"/>
  <c r="G47" i="125"/>
  <c r="G48" i="125"/>
  <c r="G49" i="125"/>
  <c r="B5" i="125"/>
  <c r="C211" i="127"/>
  <c r="F211" i="127" s="1"/>
  <c r="I211" i="127" s="1"/>
  <c r="D57" i="57"/>
  <c r="G57" i="57" s="1"/>
  <c r="D56" i="57"/>
  <c r="D55" i="57" s="1"/>
  <c r="G51" i="57"/>
  <c r="G52" i="57"/>
  <c r="G53" i="57"/>
  <c r="G54" i="57"/>
  <c r="A209" i="127"/>
  <c r="C209" i="127" s="1"/>
  <c r="F209" i="127" s="1"/>
  <c r="I209" i="127" s="1"/>
  <c r="C210" i="127"/>
  <c r="F210" i="127" s="1"/>
  <c r="I210" i="127" s="1"/>
  <c r="A207" i="127"/>
  <c r="C207" i="127" s="1"/>
  <c r="F207" i="127" s="1"/>
  <c r="I207" i="127" s="1"/>
  <c r="A206" i="127"/>
  <c r="C206" i="127" s="1"/>
  <c r="F206" i="127" s="1"/>
  <c r="I206" i="127" s="1"/>
  <c r="C208" i="127"/>
  <c r="F208" i="127" s="1"/>
  <c r="I208" i="127" s="1"/>
  <c r="G38" i="58"/>
  <c r="I38" i="58" s="1"/>
  <c r="G39" i="58"/>
  <c r="I39" i="58" s="1"/>
  <c r="I199" i="127"/>
  <c r="G109" i="121"/>
  <c r="G112" i="121"/>
  <c r="G116" i="121"/>
  <c r="G119" i="121"/>
  <c r="G121" i="121"/>
  <c r="G123" i="121"/>
  <c r="G125" i="121"/>
  <c r="G110" i="139"/>
  <c r="K110" i="139" s="1"/>
  <c r="G111" i="139"/>
  <c r="K111" i="139" s="1"/>
  <c r="G96" i="139"/>
  <c r="K96" i="139" s="1"/>
  <c r="G95" i="139"/>
  <c r="K95" i="139" s="1"/>
  <c r="G74" i="139"/>
  <c r="K74" i="139" s="1"/>
  <c r="G75" i="139"/>
  <c r="K75" i="139" s="1"/>
  <c r="G76" i="139"/>
  <c r="K76" i="139" s="1"/>
  <c r="G77" i="139"/>
  <c r="K77" i="139" s="1"/>
  <c r="G66" i="139"/>
  <c r="K66" i="139" s="1"/>
  <c r="G67" i="139"/>
  <c r="K67" i="139" s="1"/>
  <c r="G68" i="139"/>
  <c r="K68" i="139" s="1"/>
  <c r="G69" i="139"/>
  <c r="K69" i="139" s="1"/>
  <c r="G49" i="139"/>
  <c r="K49" i="139" s="1"/>
  <c r="G50" i="139"/>
  <c r="K50" i="139" s="1"/>
  <c r="G51" i="139"/>
  <c r="K51" i="139" s="1"/>
  <c r="G52" i="139"/>
  <c r="K52" i="139" s="1"/>
  <c r="K21" i="153"/>
  <c r="K51" i="153" s="1"/>
  <c r="K53" i="153" s="1"/>
  <c r="G21" i="153"/>
  <c r="G22" i="153"/>
  <c r="G23" i="153"/>
  <c r="G24" i="153"/>
  <c r="G25" i="153"/>
  <c r="G26" i="153"/>
  <c r="G27" i="153"/>
  <c r="G28" i="153"/>
  <c r="G29" i="153"/>
  <c r="G30" i="153"/>
  <c r="G31" i="153"/>
  <c r="G32" i="153"/>
  <c r="G33" i="153"/>
  <c r="G34" i="153"/>
  <c r="G35" i="153"/>
  <c r="G36" i="153"/>
  <c r="G37" i="153"/>
  <c r="G38" i="153"/>
  <c r="G39" i="153"/>
  <c r="G40" i="153"/>
  <c r="G41" i="153"/>
  <c r="G42" i="153"/>
  <c r="G43" i="153"/>
  <c r="G44" i="153"/>
  <c r="G45" i="153"/>
  <c r="G46" i="153"/>
  <c r="G47" i="153"/>
  <c r="G48" i="153"/>
  <c r="G49" i="153"/>
  <c r="K21" i="140"/>
  <c r="K189" i="140"/>
  <c r="K209" i="140"/>
  <c r="G209" i="140"/>
  <c r="G22" i="140"/>
  <c r="G22" i="139"/>
  <c r="S110" i="141"/>
  <c r="Q110" i="141"/>
  <c r="O110" i="141"/>
  <c r="M110" i="141"/>
  <c r="I110" i="141"/>
  <c r="I150" i="141" s="1"/>
  <c r="I151" i="141" s="1"/>
  <c r="K110" i="141"/>
  <c r="G63" i="137"/>
  <c r="G57" i="137"/>
  <c r="G51" i="137"/>
  <c r="G37" i="137"/>
  <c r="G30" i="137"/>
  <c r="G31" i="137"/>
  <c r="G32" i="137"/>
  <c r="G33" i="137"/>
  <c r="S21" i="84"/>
  <c r="Q21" i="84"/>
  <c r="O21" i="84"/>
  <c r="M21" i="84"/>
  <c r="K21" i="84"/>
  <c r="S53" i="84"/>
  <c r="Q53" i="84"/>
  <c r="O53" i="84"/>
  <c r="M53" i="84"/>
  <c r="K53" i="84"/>
  <c r="G53" i="84"/>
  <c r="G48" i="84"/>
  <c r="G165" i="16"/>
  <c r="G23" i="16"/>
  <c r="I240" i="127"/>
  <c r="I33" i="2"/>
  <c r="I42" i="2"/>
  <c r="G53" i="2"/>
  <c r="G54" i="2"/>
  <c r="G55" i="2"/>
  <c r="G43" i="2"/>
  <c r="I43" i="2" s="1"/>
  <c r="G44" i="2"/>
  <c r="I44" i="2" s="1"/>
  <c r="G45" i="2"/>
  <c r="I45" i="2" s="1"/>
  <c r="I38" i="149"/>
  <c r="I22" i="149"/>
  <c r="Z212" i="3"/>
  <c r="AC212" i="3" s="1"/>
  <c r="Q239" i="3"/>
  <c r="K239" i="3"/>
  <c r="O239" i="3"/>
  <c r="M239" i="3"/>
  <c r="Q221" i="3"/>
  <c r="I221" i="3"/>
  <c r="K221" i="3"/>
  <c r="O221" i="3"/>
  <c r="D71" i="145"/>
  <c r="G71" i="145" s="1"/>
  <c r="D70" i="145"/>
  <c r="G70" i="145" s="1"/>
  <c r="D69" i="145"/>
  <c r="G69" i="145" s="1"/>
  <c r="G80" i="145"/>
  <c r="G81" i="145"/>
  <c r="G82" i="145"/>
  <c r="G83" i="145"/>
  <c r="F160" i="127"/>
  <c r="I160" i="127" s="1"/>
  <c r="I159" i="127"/>
  <c r="H203" i="127"/>
  <c r="H187" i="127"/>
  <c r="H184" i="127"/>
  <c r="E164" i="127"/>
  <c r="F164" i="127" s="1"/>
  <c r="I164" i="127" s="1"/>
  <c r="F163" i="127"/>
  <c r="I163" i="127" s="1"/>
  <c r="I202" i="127"/>
  <c r="I200" i="127"/>
  <c r="I257" i="127"/>
  <c r="F204" i="127"/>
  <c r="H41" i="127"/>
  <c r="I201" i="127"/>
  <c r="D10" i="49" s="1"/>
  <c r="I196" i="127"/>
  <c r="I195" i="127"/>
  <c r="I194" i="127"/>
  <c r="I193" i="127"/>
  <c r="I192" i="127"/>
  <c r="I191" i="127"/>
  <c r="I190" i="127"/>
  <c r="F188" i="127"/>
  <c r="I188" i="127" s="1"/>
  <c r="F162" i="127"/>
  <c r="I162" i="127" s="1"/>
  <c r="F165" i="127"/>
  <c r="I165" i="127" s="1"/>
  <c r="F166" i="127"/>
  <c r="I166" i="127" s="1"/>
  <c r="F167" i="127"/>
  <c r="I167" i="127" s="1"/>
  <c r="F168" i="127"/>
  <c r="I168" i="127" s="1"/>
  <c r="F169" i="127"/>
  <c r="I169" i="127" s="1"/>
  <c r="F170" i="127"/>
  <c r="I170" i="127" s="1"/>
  <c r="F171" i="127"/>
  <c r="I171" i="127" s="1"/>
  <c r="F172" i="127"/>
  <c r="I172" i="127" s="1"/>
  <c r="F173" i="127"/>
  <c r="I173" i="127" s="1"/>
  <c r="F174" i="127"/>
  <c r="I174" i="127" s="1"/>
  <c r="F175" i="127"/>
  <c r="I175" i="127" s="1"/>
  <c r="F176" i="127"/>
  <c r="I176" i="127" s="1"/>
  <c r="F177" i="127"/>
  <c r="I177" i="127" s="1"/>
  <c r="F178" i="127"/>
  <c r="I178" i="127" s="1"/>
  <c r="F179" i="127"/>
  <c r="I179" i="127" s="1"/>
  <c r="F180" i="127"/>
  <c r="I180" i="127" s="1"/>
  <c r="B76" i="127"/>
  <c r="C76" i="127"/>
  <c r="F76" i="127" s="1"/>
  <c r="I76" i="127" s="1"/>
  <c r="C64" i="127"/>
  <c r="F189" i="127"/>
  <c r="I189" i="127" s="1"/>
  <c r="I217" i="127"/>
  <c r="I218" i="127"/>
  <c r="I219" i="127"/>
  <c r="I181" i="127"/>
  <c r="I186" i="127"/>
  <c r="C66" i="127"/>
  <c r="I268" i="127"/>
  <c r="I158" i="127"/>
  <c r="K161" i="127"/>
  <c r="K331" i="127" s="1"/>
  <c r="K90" i="30"/>
  <c r="F226" i="3"/>
  <c r="F227" i="3" s="1"/>
  <c r="F224" i="3"/>
  <c r="F225" i="3" s="1"/>
  <c r="D16" i="49" l="1"/>
  <c r="K268" i="127"/>
  <c r="O268" i="127"/>
  <c r="M268" i="127"/>
  <c r="I204" i="127"/>
  <c r="I75" i="7"/>
  <c r="S75" i="7"/>
  <c r="Q75" i="7"/>
  <c r="O75" i="7"/>
  <c r="M75" i="7"/>
  <c r="K75" i="7"/>
  <c r="D9" i="20"/>
  <c r="AC213" i="3"/>
  <c r="M59" i="84"/>
  <c r="O59" i="84"/>
  <c r="Q59" i="84"/>
  <c r="S59" i="84"/>
  <c r="K59" i="84"/>
  <c r="I107" i="121"/>
  <c r="Q58" i="126"/>
  <c r="K227" i="140"/>
  <c r="F187" i="127"/>
  <c r="I187" i="127" s="1"/>
  <c r="D9" i="49" s="1"/>
  <c r="G51" i="153"/>
  <c r="K55" i="153"/>
  <c r="I209" i="140"/>
  <c r="I21" i="140"/>
  <c r="C53" i="20" s="1"/>
  <c r="M201" i="127"/>
  <c r="O201" i="127"/>
  <c r="K201" i="127"/>
  <c r="F228" i="3"/>
  <c r="D97" i="121"/>
  <c r="G97" i="121" s="1"/>
  <c r="G94" i="121"/>
  <c r="G98" i="121"/>
  <c r="G99" i="121"/>
  <c r="G100" i="121"/>
  <c r="C20" i="20"/>
  <c r="I51" i="128"/>
  <c r="S21" i="128"/>
  <c r="Q21" i="128"/>
  <c r="O21" i="128"/>
  <c r="M21" i="128"/>
  <c r="K21" i="128"/>
  <c r="I21" i="128"/>
  <c r="AE24" i="128"/>
  <c r="AE25" i="128"/>
  <c r="AE23" i="128"/>
  <c r="AE26" i="128" s="1"/>
  <c r="I22" i="128"/>
  <c r="G31" i="128"/>
  <c r="D69" i="9"/>
  <c r="G69" i="9" s="1"/>
  <c r="M69" i="9" s="1"/>
  <c r="G68" i="9"/>
  <c r="G84" i="7"/>
  <c r="G85" i="7"/>
  <c r="G86" i="7"/>
  <c r="G87" i="7"/>
  <c r="G41" i="7"/>
  <c r="G135" i="8"/>
  <c r="G136" i="8"/>
  <c r="I136" i="8" s="1"/>
  <c r="G137" i="8"/>
  <c r="G140" i="8"/>
  <c r="G141" i="8"/>
  <c r="I141" i="8" s="1"/>
  <c r="G142" i="8"/>
  <c r="G139" i="8"/>
  <c r="E94" i="75"/>
  <c r="E32" i="20" s="1"/>
  <c r="E253" i="134"/>
  <c r="E29" i="20" s="1"/>
  <c r="C47" i="20"/>
  <c r="B105" i="131"/>
  <c r="M23" i="131"/>
  <c r="K64" i="131"/>
  <c r="K23" i="131"/>
  <c r="G29" i="131"/>
  <c r="D28" i="131"/>
  <c r="G28" i="131" s="1"/>
  <c r="D30" i="131"/>
  <c r="G30" i="131" s="1"/>
  <c r="I30" i="131" s="1"/>
  <c r="I46" i="131" s="1"/>
  <c r="D64" i="131"/>
  <c r="G64" i="131" s="1"/>
  <c r="S23" i="131"/>
  <c r="Q23" i="131"/>
  <c r="O23" i="131"/>
  <c r="G23" i="131"/>
  <c r="D60" i="131"/>
  <c r="G60" i="131" s="1"/>
  <c r="G61" i="131"/>
  <c r="G62" i="131"/>
  <c r="G63" i="131"/>
  <c r="G65" i="131"/>
  <c r="M64" i="13"/>
  <c r="I64" i="13"/>
  <c r="O64" i="13"/>
  <c r="K64" i="13"/>
  <c r="G21" i="13"/>
  <c r="G143" i="95"/>
  <c r="G137" i="95"/>
  <c r="G139" i="95"/>
  <c r="G140" i="95"/>
  <c r="G141" i="95"/>
  <c r="G142" i="95"/>
  <c r="G104" i="16"/>
  <c r="G105" i="16"/>
  <c r="G106" i="16"/>
  <c r="G135" i="16"/>
  <c r="G102" i="16"/>
  <c r="G103" i="16"/>
  <c r="G44" i="132"/>
  <c r="S66" i="151"/>
  <c r="Q66" i="151"/>
  <c r="O66" i="151"/>
  <c r="M66" i="151"/>
  <c r="F62" i="151"/>
  <c r="G22" i="121"/>
  <c r="G29" i="121"/>
  <c r="G30" i="121"/>
  <c r="G31" i="121"/>
  <c r="G32" i="121"/>
  <c r="G35" i="121"/>
  <c r="G43" i="121"/>
  <c r="G48" i="121"/>
  <c r="G53" i="121"/>
  <c r="G59" i="121"/>
  <c r="G64" i="121"/>
  <c r="G69" i="121"/>
  <c r="G74" i="121"/>
  <c r="G79" i="121"/>
  <c r="G84" i="121"/>
  <c r="G89" i="121"/>
  <c r="G38" i="137"/>
  <c r="G39" i="137"/>
  <c r="I39" i="137" s="1"/>
  <c r="G40" i="137"/>
  <c r="I40" i="137" s="1"/>
  <c r="G50" i="137"/>
  <c r="G52" i="137"/>
  <c r="G53" i="137"/>
  <c r="G54" i="137"/>
  <c r="G55" i="137"/>
  <c r="G56" i="137"/>
  <c r="G58" i="137"/>
  <c r="G59" i="137"/>
  <c r="G60" i="137"/>
  <c r="G61" i="137"/>
  <c r="G62" i="137"/>
  <c r="G64" i="137"/>
  <c r="G70" i="137"/>
  <c r="G71" i="137"/>
  <c r="I71" i="137" s="1"/>
  <c r="G78" i="137"/>
  <c r="G26" i="137"/>
  <c r="G27" i="137"/>
  <c r="G28" i="137"/>
  <c r="G29" i="137"/>
  <c r="G34" i="137"/>
  <c r="G35" i="137"/>
  <c r="G36" i="137"/>
  <c r="G44" i="137"/>
  <c r="G45" i="137"/>
  <c r="G46" i="137"/>
  <c r="G47" i="137"/>
  <c r="G48" i="137"/>
  <c r="G49" i="137"/>
  <c r="G25" i="137"/>
  <c r="D92" i="121"/>
  <c r="G92" i="121" s="1"/>
  <c r="D91" i="121"/>
  <c r="G91" i="121" s="1"/>
  <c r="A91" i="121"/>
  <c r="D90" i="121"/>
  <c r="G90" i="121" s="1"/>
  <c r="D87" i="121"/>
  <c r="G87" i="121" s="1"/>
  <c r="D80" i="121"/>
  <c r="G80" i="121" s="1"/>
  <c r="D81" i="121"/>
  <c r="G81" i="121" s="1"/>
  <c r="D86" i="121"/>
  <c r="G86" i="121" s="1"/>
  <c r="D85" i="121"/>
  <c r="G85" i="121" s="1"/>
  <c r="A85" i="121"/>
  <c r="A86" i="121" s="1"/>
  <c r="D93" i="121"/>
  <c r="G93" i="121" s="1"/>
  <c r="G60" i="151"/>
  <c r="G59" i="151" s="1"/>
  <c r="G61" i="151"/>
  <c r="G62" i="151"/>
  <c r="G63" i="151"/>
  <c r="G64" i="151"/>
  <c r="G46" i="151"/>
  <c r="G47" i="151"/>
  <c r="G48" i="151"/>
  <c r="G49" i="151"/>
  <c r="G50" i="151"/>
  <c r="G51" i="151"/>
  <c r="G52" i="151"/>
  <c r="G53" i="151"/>
  <c r="G54" i="151"/>
  <c r="D43" i="151"/>
  <c r="G27" i="151"/>
  <c r="G28" i="151"/>
  <c r="G29" i="151"/>
  <c r="G30" i="151"/>
  <c r="G31" i="151"/>
  <c r="G38" i="151"/>
  <c r="G37" i="151"/>
  <c r="G36" i="151"/>
  <c r="G35" i="151"/>
  <c r="G34" i="151"/>
  <c r="A11" i="124"/>
  <c r="A12" i="124" s="1"/>
  <c r="A14" i="124" s="1"/>
  <c r="A15" i="124" s="1"/>
  <c r="A8" i="124"/>
  <c r="I59" i="151" l="1"/>
  <c r="I66" i="151" s="1"/>
  <c r="K59" i="151"/>
  <c r="D37" i="49"/>
  <c r="I23" i="137"/>
  <c r="C46" i="20" s="1"/>
  <c r="I104" i="121"/>
  <c r="I101" i="121"/>
  <c r="S69" i="9"/>
  <c r="I69" i="9"/>
  <c r="K69" i="9"/>
  <c r="O69" i="9"/>
  <c r="I97" i="121"/>
  <c r="J9" i="153"/>
  <c r="G53" i="153"/>
  <c r="G55" i="153" s="1"/>
  <c r="M21" i="140"/>
  <c r="M187" i="127"/>
  <c r="K187" i="127"/>
  <c r="O187" i="127"/>
  <c r="K61" i="131"/>
  <c r="M71" i="131"/>
  <c r="M73" i="131" s="1"/>
  <c r="M75" i="131" s="1"/>
  <c r="D27" i="131"/>
  <c r="G27" i="131" s="1"/>
  <c r="O71" i="131"/>
  <c r="Q71" i="131"/>
  <c r="S71" i="131"/>
  <c r="D88" i="121"/>
  <c r="G88" i="121" s="1"/>
  <c r="A16" i="124"/>
  <c r="A17" i="124" s="1"/>
  <c r="A18" i="124" s="1"/>
  <c r="A19" i="124" s="1"/>
  <c r="A20" i="124" s="1"/>
  <c r="A21" i="124" s="1"/>
  <c r="A22" i="124" s="1"/>
  <c r="A23" i="124" s="1"/>
  <c r="A24" i="124" s="1"/>
  <c r="A25" i="124" s="1"/>
  <c r="A26" i="124" s="1"/>
  <c r="A27" i="124" s="1"/>
  <c r="A28" i="124" s="1"/>
  <c r="A29" i="124" s="1"/>
  <c r="A30" i="124" s="1"/>
  <c r="A31" i="124" s="1"/>
  <c r="A32" i="124" s="1"/>
  <c r="A33" i="124" s="1"/>
  <c r="A34" i="124" s="1"/>
  <c r="A35" i="124" s="1"/>
  <c r="A36" i="124" s="1"/>
  <c r="A37" i="124" s="1"/>
  <c r="A38" i="124" s="1"/>
  <c r="A39" i="124" s="1"/>
  <c r="A40" i="124" s="1"/>
  <c r="A41" i="124" s="1"/>
  <c r="A42" i="124" s="1"/>
  <c r="A43" i="124" s="1"/>
  <c r="A44" i="124" s="1"/>
  <c r="A45" i="124" s="1"/>
  <c r="A46" i="124" s="1"/>
  <c r="A47" i="124" s="1"/>
  <c r="A48" i="124" s="1"/>
  <c r="A49" i="124" s="1"/>
  <c r="A50" i="124" s="1"/>
  <c r="A51" i="124" s="1"/>
  <c r="A52" i="124" s="1"/>
  <c r="A53" i="124" s="1"/>
  <c r="A54" i="124" s="1"/>
  <c r="A55" i="124" s="1"/>
  <c r="A56" i="124" s="1"/>
  <c r="A57" i="124" s="1"/>
  <c r="A58" i="124" s="1"/>
  <c r="A59" i="124" s="1"/>
  <c r="A60" i="124" s="1"/>
  <c r="A61" i="124" s="1"/>
  <c r="A62" i="124" s="1"/>
  <c r="A63" i="124" s="1"/>
  <c r="A64" i="124" s="1"/>
  <c r="A65" i="124" s="1"/>
  <c r="A66" i="124" s="1"/>
  <c r="A67" i="124" s="1"/>
  <c r="A68" i="124" s="1"/>
  <c r="A69" i="124" s="1"/>
  <c r="A70" i="124" s="1"/>
  <c r="A71" i="124" s="1"/>
  <c r="A72" i="124" s="1"/>
  <c r="A73" i="124" s="1"/>
  <c r="A74" i="124" s="1"/>
  <c r="A75" i="124" s="1"/>
  <c r="A76" i="124" s="1"/>
  <c r="A77" i="124" s="1"/>
  <c r="A78" i="124" s="1"/>
  <c r="A79" i="124" s="1"/>
  <c r="A80" i="124" s="1"/>
  <c r="A81" i="124" s="1"/>
  <c r="A82" i="124" s="1"/>
  <c r="A83" i="124" s="1"/>
  <c r="A84" i="124" s="1"/>
  <c r="A85" i="124" s="1"/>
  <c r="A86" i="124" s="1"/>
  <c r="A87" i="124" s="1"/>
  <c r="A88" i="124" s="1"/>
  <c r="A89" i="124" s="1"/>
  <c r="A90" i="124" s="1"/>
  <c r="A91" i="124" s="1"/>
  <c r="A92" i="124" s="1"/>
  <c r="A93" i="124" s="1"/>
  <c r="A94" i="124" s="1"/>
  <c r="A95" i="124" s="1"/>
  <c r="A96" i="124" s="1"/>
  <c r="A97" i="124" s="1"/>
  <c r="A98" i="124" s="1"/>
  <c r="A99" i="124" s="1"/>
  <c r="A100" i="124" s="1"/>
  <c r="A101" i="124" s="1"/>
  <c r="A102" i="124" s="1"/>
  <c r="A103" i="124" s="1"/>
  <c r="A104" i="124" s="1"/>
  <c r="A105" i="124" s="1"/>
  <c r="A106" i="124" s="1"/>
  <c r="A107" i="124" s="1"/>
  <c r="A108" i="124" s="1"/>
  <c r="A109" i="124" s="1"/>
  <c r="A110" i="124" s="1"/>
  <c r="A111" i="124" s="1"/>
  <c r="A112" i="124" s="1"/>
  <c r="A113" i="124" s="1"/>
  <c r="A114" i="124" s="1"/>
  <c r="A115" i="124" s="1"/>
  <c r="A116" i="124" s="1"/>
  <c r="A117" i="124" s="1"/>
  <c r="A118" i="124" s="1"/>
  <c r="A119" i="124" s="1"/>
  <c r="A120" i="124" s="1"/>
  <c r="A121" i="124" s="1"/>
  <c r="A122" i="124" s="1"/>
  <c r="A123" i="124" s="1"/>
  <c r="A124" i="124" s="1"/>
  <c r="A125" i="124" s="1"/>
  <c r="A126" i="124" s="1"/>
  <c r="A127" i="124" s="1"/>
  <c r="A128" i="124" s="1"/>
  <c r="A129" i="124" s="1"/>
  <c r="A130" i="124" s="1"/>
  <c r="A131" i="124" s="1"/>
  <c r="A132" i="124" s="1"/>
  <c r="A133" i="124" s="1"/>
  <c r="A134" i="124" s="1"/>
  <c r="A135" i="124" s="1"/>
  <c r="A136" i="124" s="1"/>
  <c r="A137" i="124" s="1"/>
  <c r="A138" i="124" s="1"/>
  <c r="A139" i="124" s="1"/>
  <c r="A140" i="124" s="1"/>
  <c r="A141" i="124" s="1"/>
  <c r="A142" i="124" s="1"/>
  <c r="A143" i="124" s="1"/>
  <c r="A144" i="124" s="1"/>
  <c r="A145" i="124" s="1"/>
  <c r="A146" i="124" s="1"/>
  <c r="A147" i="124" s="1"/>
  <c r="A148" i="124" s="1"/>
  <c r="A149" i="124" s="1"/>
  <c r="A150" i="124" s="1"/>
  <c r="A151" i="124" s="1"/>
  <c r="A152" i="124" s="1"/>
  <c r="A153" i="124" s="1"/>
  <c r="A154" i="124" s="1"/>
  <c r="A155" i="124" s="1"/>
  <c r="A156" i="124" s="1"/>
  <c r="A157" i="124" s="1"/>
  <c r="A158" i="124" s="1"/>
  <c r="A159" i="124" s="1"/>
  <c r="A160" i="124" s="1"/>
  <c r="A161" i="124" s="1"/>
  <c r="A162" i="124" s="1"/>
  <c r="A163" i="124" s="1"/>
  <c r="A13" i="124"/>
  <c r="G39" i="149"/>
  <c r="D106" i="121"/>
  <c r="G106" i="121" s="1"/>
  <c r="D102" i="121"/>
  <c r="G102" i="121" s="1"/>
  <c r="D105" i="121"/>
  <c r="G105" i="121" s="1"/>
  <c r="D103" i="121"/>
  <c r="G103" i="121" s="1"/>
  <c r="D68" i="121"/>
  <c r="G68" i="121" s="1"/>
  <c r="D78" i="121"/>
  <c r="G78" i="121" s="1"/>
  <c r="D73" i="121"/>
  <c r="G73" i="121" s="1"/>
  <c r="D63" i="121"/>
  <c r="G63" i="121" s="1"/>
  <c r="D58" i="121"/>
  <c r="G58" i="121" s="1"/>
  <c r="D52" i="121"/>
  <c r="G52" i="121" s="1"/>
  <c r="D47" i="121"/>
  <c r="G47" i="121" s="1"/>
  <c r="D77" i="121"/>
  <c r="D76" i="121"/>
  <c r="G76" i="121" s="1"/>
  <c r="D75" i="121"/>
  <c r="G75" i="121" s="1"/>
  <c r="A76" i="121"/>
  <c r="D72" i="121"/>
  <c r="D71" i="121"/>
  <c r="G71" i="121" s="1"/>
  <c r="D70" i="121"/>
  <c r="G70" i="121" s="1"/>
  <c r="A71" i="121"/>
  <c r="D67" i="121"/>
  <c r="D66" i="121"/>
  <c r="G66" i="121" s="1"/>
  <c r="D65" i="121"/>
  <c r="G65" i="121" s="1"/>
  <c r="A66" i="121"/>
  <c r="D61" i="121"/>
  <c r="G61" i="121" s="1"/>
  <c r="A61" i="121"/>
  <c r="D60" i="121"/>
  <c r="G60" i="121" s="1"/>
  <c r="D55" i="121"/>
  <c r="G55" i="121" s="1"/>
  <c r="D54" i="121"/>
  <c r="G54" i="121" s="1"/>
  <c r="D50" i="121"/>
  <c r="G50" i="121" s="1"/>
  <c r="D49" i="121"/>
  <c r="G49" i="121" s="1"/>
  <c r="D45" i="121"/>
  <c r="G45" i="121" s="1"/>
  <c r="D44" i="121"/>
  <c r="A55" i="121"/>
  <c r="A50" i="121"/>
  <c r="A45" i="121"/>
  <c r="Z76" i="121"/>
  <c r="Y76" i="121"/>
  <c r="X76" i="121"/>
  <c r="W76" i="121"/>
  <c r="V76" i="121"/>
  <c r="U76" i="121"/>
  <c r="G25" i="75"/>
  <c r="X71" i="121"/>
  <c r="W71" i="121"/>
  <c r="V71" i="121"/>
  <c r="U71" i="121"/>
  <c r="G175" i="134"/>
  <c r="V66" i="121"/>
  <c r="W66" i="121"/>
  <c r="X66" i="121"/>
  <c r="Y66" i="121"/>
  <c r="Z66" i="121"/>
  <c r="AA66" i="121"/>
  <c r="AB66" i="121"/>
  <c r="AC66" i="121"/>
  <c r="U66" i="121"/>
  <c r="D62" i="121"/>
  <c r="V61" i="121"/>
  <c r="W61" i="121"/>
  <c r="U61" i="121"/>
  <c r="D82" i="121"/>
  <c r="G82" i="121" s="1"/>
  <c r="A80" i="121"/>
  <c r="G100" i="139"/>
  <c r="G101" i="139"/>
  <c r="G102" i="139"/>
  <c r="G104" i="139"/>
  <c r="G105" i="139"/>
  <c r="G106" i="139"/>
  <c r="G108" i="139"/>
  <c r="G109" i="139"/>
  <c r="G112" i="139"/>
  <c r="A57" i="121"/>
  <c r="D57" i="121" s="1"/>
  <c r="A56" i="121"/>
  <c r="D56" i="121" s="1"/>
  <c r="A51" i="121"/>
  <c r="D51" i="121" s="1"/>
  <c r="A46" i="121"/>
  <c r="D46" i="121" s="1"/>
  <c r="D113" i="121" s="1"/>
  <c r="S68" i="151"/>
  <c r="Q68" i="151"/>
  <c r="O68" i="151"/>
  <c r="O70" i="151" s="1"/>
  <c r="M68" i="151"/>
  <c r="M70" i="151" s="1"/>
  <c r="I68" i="151"/>
  <c r="I70" i="151" s="1"/>
  <c r="G58" i="151"/>
  <c r="G57" i="151"/>
  <c r="G56" i="151"/>
  <c r="G55" i="151"/>
  <c r="G45" i="151"/>
  <c r="G44" i="151"/>
  <c r="G43" i="151"/>
  <c r="G42" i="151"/>
  <c r="G33" i="151"/>
  <c r="G26" i="151"/>
  <c r="G25" i="151"/>
  <c r="G24" i="151"/>
  <c r="G23" i="151"/>
  <c r="G22" i="151"/>
  <c r="B5" i="151"/>
  <c r="M25" i="75" l="1"/>
  <c r="K25" i="75" s="1"/>
  <c r="K21" i="151"/>
  <c r="C32" i="20"/>
  <c r="I108" i="121"/>
  <c r="G113" i="121"/>
  <c r="G51" i="121"/>
  <c r="D115" i="121"/>
  <c r="G115" i="121" s="1"/>
  <c r="G56" i="121"/>
  <c r="D117" i="121"/>
  <c r="G117" i="121" s="1"/>
  <c r="G62" i="121"/>
  <c r="D120" i="121"/>
  <c r="G120" i="121" s="1"/>
  <c r="G57" i="121"/>
  <c r="D118" i="121"/>
  <c r="G118" i="121" s="1"/>
  <c r="G67" i="121"/>
  <c r="D122" i="121"/>
  <c r="G122" i="121" s="1"/>
  <c r="G72" i="121"/>
  <c r="D124" i="121"/>
  <c r="G124" i="121" s="1"/>
  <c r="G77" i="121"/>
  <c r="D126" i="121"/>
  <c r="G126" i="121" s="1"/>
  <c r="O209" i="140"/>
  <c r="O189" i="140"/>
  <c r="O21" i="140"/>
  <c r="O106" i="139"/>
  <c r="O92" i="139"/>
  <c r="O21" i="139"/>
  <c r="O123" i="139" s="1"/>
  <c r="G44" i="121"/>
  <c r="D36" i="121"/>
  <c r="G36" i="121" s="1"/>
  <c r="G46" i="121"/>
  <c r="L9" i="131"/>
  <c r="G66" i="151"/>
  <c r="G68" i="151" s="1"/>
  <c r="S70" i="151"/>
  <c r="Y71" i="121"/>
  <c r="M42" i="77"/>
  <c r="M44" i="77" s="1"/>
  <c r="L9" i="77" s="1"/>
  <c r="D83" i="121"/>
  <c r="G83" i="121" s="1"/>
  <c r="AA76" i="121"/>
  <c r="X61" i="121"/>
  <c r="AD66" i="121"/>
  <c r="H9" i="151"/>
  <c r="L9" i="151"/>
  <c r="N9" i="151"/>
  <c r="Q70" i="151"/>
  <c r="K66" i="151" l="1"/>
  <c r="O227" i="140"/>
  <c r="D110" i="121"/>
  <c r="G110" i="121" s="1"/>
  <c r="S21" i="140"/>
  <c r="Q21" i="140"/>
  <c r="S189" i="140"/>
  <c r="Q189" i="140"/>
  <c r="S209" i="140"/>
  <c r="Q209" i="140"/>
  <c r="S21" i="139"/>
  <c r="Q21" i="139"/>
  <c r="S92" i="139"/>
  <c r="Q92" i="139"/>
  <c r="S106" i="139"/>
  <c r="Q106" i="139"/>
  <c r="R9" i="151"/>
  <c r="G70" i="151"/>
  <c r="D95" i="121"/>
  <c r="G95" i="121" s="1"/>
  <c r="P9" i="151"/>
  <c r="I110" i="121" l="1"/>
  <c r="Q227" i="140"/>
  <c r="S227" i="140"/>
  <c r="Q123" i="139"/>
  <c r="Q125" i="139" s="1"/>
  <c r="Q127" i="139" s="1"/>
  <c r="S123" i="139"/>
  <c r="I95" i="121"/>
  <c r="I36" i="121"/>
  <c r="G156" i="81"/>
  <c r="G179" i="134"/>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D54" i="3"/>
  <c r="D55" i="3"/>
  <c r="G55" i="3"/>
  <c r="D57" i="3"/>
  <c r="F57" i="3"/>
  <c r="D58" i="3"/>
  <c r="A59" i="3"/>
  <c r="D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D144" i="3"/>
  <c r="F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85" i="3"/>
  <c r="G186" i="3"/>
  <c r="G187" i="3"/>
  <c r="G188" i="3"/>
  <c r="G189" i="3"/>
  <c r="G190" i="3"/>
  <c r="G191" i="3"/>
  <c r="G192" i="3"/>
  <c r="G193" i="3"/>
  <c r="G194" i="3"/>
  <c r="G195" i="3"/>
  <c r="G196" i="3"/>
  <c r="G197" i="3"/>
  <c r="G198" i="3"/>
  <c r="G199" i="3"/>
  <c r="G212" i="3"/>
  <c r="S212" i="3" s="1"/>
  <c r="G213" i="3"/>
  <c r="G216" i="3"/>
  <c r="G217" i="3"/>
  <c r="G218" i="3"/>
  <c r="G222" i="3"/>
  <c r="G223" i="3"/>
  <c r="G224" i="3"/>
  <c r="G225" i="3"/>
  <c r="G226" i="3"/>
  <c r="G227" i="3"/>
  <c r="G228" i="3"/>
  <c r="G229" i="3"/>
  <c r="G230" i="3"/>
  <c r="G231" i="3"/>
  <c r="G232" i="3"/>
  <c r="G233" i="3"/>
  <c r="G238" i="3"/>
  <c r="G240" i="3"/>
  <c r="G241" i="3"/>
  <c r="G242" i="3"/>
  <c r="G243" i="3"/>
  <c r="G244" i="3"/>
  <c r="G245" i="3"/>
  <c r="G246" i="3"/>
  <c r="G247" i="3"/>
  <c r="G248" i="3"/>
  <c r="G249" i="3"/>
  <c r="G250" i="3"/>
  <c r="G251" i="3"/>
  <c r="G252" i="3"/>
  <c r="G253" i="3"/>
  <c r="G254" i="3"/>
  <c r="G256" i="3"/>
  <c r="G257" i="3"/>
  <c r="G258" i="3"/>
  <c r="G259" i="3"/>
  <c r="D53" i="145"/>
  <c r="G53" i="145" s="1"/>
  <c r="D54" i="145"/>
  <c r="G54" i="145" s="1"/>
  <c r="D55" i="145"/>
  <c r="G55" i="145" s="1"/>
  <c r="D56" i="145"/>
  <c r="G56" i="145" s="1"/>
  <c r="D57" i="145"/>
  <c r="G57" i="145" s="1"/>
  <c r="D58" i="145"/>
  <c r="G58" i="145" s="1"/>
  <c r="D59" i="145"/>
  <c r="G59" i="145" s="1"/>
  <c r="D60" i="145"/>
  <c r="G60" i="145" s="1"/>
  <c r="D61" i="145"/>
  <c r="G61" i="145" s="1"/>
  <c r="D62" i="145"/>
  <c r="G62" i="145" s="1"/>
  <c r="D63" i="145"/>
  <c r="G63" i="145" s="1"/>
  <c r="D64" i="145"/>
  <c r="G64" i="145" s="1"/>
  <c r="D65" i="145"/>
  <c r="G65" i="145" s="1"/>
  <c r="D66" i="145"/>
  <c r="G66" i="145" s="1"/>
  <c r="D52" i="145"/>
  <c r="G52" i="145" s="1"/>
  <c r="D32" i="145"/>
  <c r="G32" i="145" s="1"/>
  <c r="G67" i="145"/>
  <c r="G68" i="145"/>
  <c r="D51" i="145"/>
  <c r="G51" i="145" s="1"/>
  <c r="D49" i="145"/>
  <c r="G49" i="145" s="1"/>
  <c r="D48" i="145"/>
  <c r="G48" i="145" s="1"/>
  <c r="D45" i="145"/>
  <c r="G45" i="145" s="1"/>
  <c r="D44" i="145"/>
  <c r="G44" i="145" s="1"/>
  <c r="D43" i="145"/>
  <c r="G43" i="145" s="1"/>
  <c r="D50" i="145"/>
  <c r="G50" i="145" s="1"/>
  <c r="D47" i="145"/>
  <c r="G47" i="145" s="1"/>
  <c r="D46" i="145"/>
  <c r="G46" i="145" s="1"/>
  <c r="D42" i="145"/>
  <c r="G42" i="145" s="1"/>
  <c r="G41" i="145"/>
  <c r="G33" i="145"/>
  <c r="D39" i="145"/>
  <c r="G39" i="145" s="1"/>
  <c r="D40" i="145"/>
  <c r="G40" i="145" s="1"/>
  <c r="D38" i="145"/>
  <c r="G38" i="145" s="1"/>
  <c r="D35" i="145"/>
  <c r="G35" i="145" s="1"/>
  <c r="D36" i="145"/>
  <c r="G36" i="145" s="1"/>
  <c r="D37" i="145"/>
  <c r="G37" i="145" s="1"/>
  <c r="D34" i="145"/>
  <c r="G34" i="145" s="1"/>
  <c r="A31" i="145"/>
  <c r="A30" i="145" s="1"/>
  <c r="D29" i="145"/>
  <c r="S80" i="137"/>
  <c r="S82" i="137" s="1"/>
  <c r="S84" i="137" s="1"/>
  <c r="Q80" i="137"/>
  <c r="Q82" i="137" s="1"/>
  <c r="Q84" i="137" s="1"/>
  <c r="O80" i="137"/>
  <c r="O82" i="137" s="1"/>
  <c r="O84" i="137" s="1"/>
  <c r="M80" i="137"/>
  <c r="M82" i="137" s="1"/>
  <c r="M84" i="137" s="1"/>
  <c r="K80" i="137"/>
  <c r="K82" i="137" s="1"/>
  <c r="K84" i="137" s="1"/>
  <c r="D27" i="117"/>
  <c r="G24" i="150"/>
  <c r="S52" i="150"/>
  <c r="S54" i="150" s="1"/>
  <c r="S56" i="150" s="1"/>
  <c r="Q52" i="150"/>
  <c r="Q54" i="150" s="1"/>
  <c r="Q56" i="150" s="1"/>
  <c r="O52" i="150"/>
  <c r="O54" i="150" s="1"/>
  <c r="M52" i="150"/>
  <c r="M54" i="150" s="1"/>
  <c r="K52" i="150"/>
  <c r="K54" i="150" s="1"/>
  <c r="I52" i="150"/>
  <c r="I54" i="150" s="1"/>
  <c r="G50" i="150"/>
  <c r="G49" i="150"/>
  <c r="G48" i="150"/>
  <c r="G47" i="150"/>
  <c r="G46" i="150"/>
  <c r="G45" i="150"/>
  <c r="G44" i="150"/>
  <c r="G43" i="150"/>
  <c r="G42" i="150"/>
  <c r="G41" i="150"/>
  <c r="G40" i="150"/>
  <c r="G39" i="150"/>
  <c r="G38" i="150"/>
  <c r="G37" i="150"/>
  <c r="G36" i="150"/>
  <c r="G35" i="150"/>
  <c r="G34" i="150"/>
  <c r="G33" i="150"/>
  <c r="G32" i="150"/>
  <c r="G31" i="150"/>
  <c r="G30" i="150"/>
  <c r="G29" i="150"/>
  <c r="G28" i="150"/>
  <c r="G27" i="150"/>
  <c r="G26" i="150"/>
  <c r="G23" i="150"/>
  <c r="G22" i="150"/>
  <c r="G21" i="150"/>
  <c r="B5" i="150"/>
  <c r="S21" i="144"/>
  <c r="Q21" i="144"/>
  <c r="O21" i="144"/>
  <c r="M21" i="144"/>
  <c r="K21" i="144"/>
  <c r="K63" i="20"/>
  <c r="K78" i="20"/>
  <c r="S50" i="2"/>
  <c r="S42" i="2"/>
  <c r="Q50" i="2"/>
  <c r="Q42" i="2"/>
  <c r="O50" i="2"/>
  <c r="O42" i="2"/>
  <c r="M50" i="2"/>
  <c r="M42" i="2"/>
  <c r="K50" i="2"/>
  <c r="K42" i="2"/>
  <c r="I50" i="2"/>
  <c r="G8" i="20" s="1"/>
  <c r="G50" i="2"/>
  <c r="G52" i="2"/>
  <c r="G49" i="2"/>
  <c r="G48" i="2"/>
  <c r="I48" i="2" s="1"/>
  <c r="G47" i="2"/>
  <c r="I47" i="2" s="1"/>
  <c r="G46" i="2"/>
  <c r="I46" i="2" s="1"/>
  <c r="G42" i="2"/>
  <c r="G41" i="2"/>
  <c r="G40" i="2"/>
  <c r="I40" i="2" s="1"/>
  <c r="G39" i="2"/>
  <c r="I39" i="2" s="1"/>
  <c r="G38" i="2"/>
  <c r="I38" i="2" s="1"/>
  <c r="F37" i="2"/>
  <c r="G37" i="2" s="1"/>
  <c r="I37" i="2" s="1"/>
  <c r="G36" i="2"/>
  <c r="I36" i="2" s="1"/>
  <c r="G35" i="2"/>
  <c r="I35" i="2" s="1"/>
  <c r="S33" i="2"/>
  <c r="Q33" i="2"/>
  <c r="O33" i="2"/>
  <c r="M33" i="2"/>
  <c r="K33" i="2"/>
  <c r="G34" i="2"/>
  <c r="I34" i="2" s="1"/>
  <c r="G33" i="2"/>
  <c r="G32" i="2"/>
  <c r="G31" i="2"/>
  <c r="S30" i="2"/>
  <c r="Q30" i="2"/>
  <c r="O30" i="2"/>
  <c r="M30" i="2"/>
  <c r="K30" i="2"/>
  <c r="I30" i="2"/>
  <c r="D8" i="20" s="1"/>
  <c r="G30" i="2"/>
  <c r="G29" i="2"/>
  <c r="G28" i="2"/>
  <c r="I28" i="2" s="1"/>
  <c r="G27" i="2"/>
  <c r="I27" i="2" s="1"/>
  <c r="G26" i="2"/>
  <c r="I26" i="2" s="1"/>
  <c r="F25" i="2"/>
  <c r="G25" i="2" s="1"/>
  <c r="I25" i="2" s="1"/>
  <c r="G24" i="2"/>
  <c r="G23" i="2"/>
  <c r="I23" i="2" s="1"/>
  <c r="G22" i="2"/>
  <c r="I22" i="2" s="1"/>
  <c r="S21" i="2"/>
  <c r="S56" i="2" s="1"/>
  <c r="Q21" i="2"/>
  <c r="Q56" i="2" s="1"/>
  <c r="O21" i="2"/>
  <c r="O56" i="2" s="1"/>
  <c r="M21" i="2"/>
  <c r="M56" i="2" s="1"/>
  <c r="K21" i="2"/>
  <c r="K56" i="2" s="1"/>
  <c r="R9" i="2"/>
  <c r="P9" i="2"/>
  <c r="N9" i="2"/>
  <c r="L9" i="2"/>
  <c r="J9" i="2"/>
  <c r="I21" i="143"/>
  <c r="I33" i="143"/>
  <c r="I34" i="143"/>
  <c r="I35" i="143"/>
  <c r="I36" i="143"/>
  <c r="I37" i="143"/>
  <c r="I38" i="143"/>
  <c r="I39" i="143"/>
  <c r="I40" i="143"/>
  <c r="I41" i="143"/>
  <c r="I42" i="143"/>
  <c r="I43" i="143"/>
  <c r="I44" i="143"/>
  <c r="I45" i="143"/>
  <c r="I46" i="143"/>
  <c r="I47" i="143"/>
  <c r="I48" i="143"/>
  <c r="G117" i="139"/>
  <c r="G119" i="139"/>
  <c r="G120" i="139"/>
  <c r="G121" i="139"/>
  <c r="G122" i="139"/>
  <c r="G99" i="61"/>
  <c r="G98" i="61"/>
  <c r="G97" i="61"/>
  <c r="G96" i="61"/>
  <c r="G87" i="61"/>
  <c r="I87" i="61" s="1"/>
  <c r="G86" i="61"/>
  <c r="G85" i="61"/>
  <c r="G79" i="61"/>
  <c r="I79" i="61" s="1"/>
  <c r="G78" i="61"/>
  <c r="G77" i="61"/>
  <c r="G76" i="61"/>
  <c r="G75" i="61"/>
  <c r="G74" i="61"/>
  <c r="G71" i="61"/>
  <c r="G62" i="61"/>
  <c r="G61" i="61"/>
  <c r="I61" i="61" s="1"/>
  <c r="G60" i="61"/>
  <c r="G59" i="61"/>
  <c r="G58" i="61"/>
  <c r="G54" i="61"/>
  <c r="G52" i="61"/>
  <c r="G51" i="61"/>
  <c r="G50" i="61"/>
  <c r="G48" i="61"/>
  <c r="I48" i="61" s="1"/>
  <c r="G47" i="61"/>
  <c r="G46" i="61"/>
  <c r="I46" i="61" s="1"/>
  <c r="G45" i="61"/>
  <c r="G38" i="61"/>
  <c r="G37" i="61"/>
  <c r="G36" i="61"/>
  <c r="G35" i="61"/>
  <c r="G34" i="61"/>
  <c r="G33" i="61"/>
  <c r="G32" i="61"/>
  <c r="I32" i="61" s="1"/>
  <c r="G31" i="61"/>
  <c r="I31" i="61" s="1"/>
  <c r="G30" i="61"/>
  <c r="G29" i="61"/>
  <c r="G28" i="61"/>
  <c r="G24" i="61"/>
  <c r="G23" i="61"/>
  <c r="G22" i="61"/>
  <c r="S51" i="143"/>
  <c r="S53" i="143" s="1"/>
  <c r="Q51" i="143"/>
  <c r="Q53" i="143" s="1"/>
  <c r="K51" i="143"/>
  <c r="K53" i="143" s="1"/>
  <c r="K55" i="143" s="1"/>
  <c r="G48" i="143"/>
  <c r="G47" i="143"/>
  <c r="G46" i="143"/>
  <c r="G45" i="143"/>
  <c r="G44" i="143"/>
  <c r="G43" i="143"/>
  <c r="G42" i="143"/>
  <c r="G41" i="143"/>
  <c r="G40" i="143"/>
  <c r="G39" i="143"/>
  <c r="G38" i="143"/>
  <c r="G37" i="143"/>
  <c r="G36" i="143"/>
  <c r="G35" i="143"/>
  <c r="G34" i="143"/>
  <c r="G33" i="143"/>
  <c r="G32" i="143"/>
  <c r="I32" i="143" s="1"/>
  <c r="G31" i="143"/>
  <c r="I31" i="143" s="1"/>
  <c r="G30" i="143"/>
  <c r="I30" i="143" s="1"/>
  <c r="I29" i="143"/>
  <c r="G29" i="143"/>
  <c r="F28" i="143"/>
  <c r="G28" i="143" s="1"/>
  <c r="I28" i="143" s="1"/>
  <c r="G27" i="143"/>
  <c r="I27" i="143" s="1"/>
  <c r="F26" i="143"/>
  <c r="G26" i="143" s="1"/>
  <c r="I26" i="143" s="1"/>
  <c r="G23" i="143"/>
  <c r="G22" i="143"/>
  <c r="I22" i="143" s="1"/>
  <c r="S21" i="143"/>
  <c r="Q21" i="143"/>
  <c r="O21" i="143"/>
  <c r="O51" i="143" s="1"/>
  <c r="M21" i="143"/>
  <c r="M51" i="143" s="1"/>
  <c r="K21" i="143"/>
  <c r="G53" i="112"/>
  <c r="G102" i="112"/>
  <c r="G101" i="112"/>
  <c r="G100" i="112"/>
  <c r="G99" i="112"/>
  <c r="G47" i="112"/>
  <c r="G46" i="112"/>
  <c r="G45" i="112"/>
  <c r="K45" i="112" s="1"/>
  <c r="G44" i="112"/>
  <c r="G97" i="112"/>
  <c r="G94" i="112"/>
  <c r="G93" i="112"/>
  <c r="G92" i="112"/>
  <c r="G91" i="112"/>
  <c r="G90" i="112"/>
  <c r="G89" i="112"/>
  <c r="G88" i="112"/>
  <c r="G87" i="112"/>
  <c r="G86" i="112"/>
  <c r="G85" i="112"/>
  <c r="G84" i="112"/>
  <c r="G82" i="112"/>
  <c r="G81" i="112"/>
  <c r="G62" i="112"/>
  <c r="G61" i="112"/>
  <c r="G60" i="112"/>
  <c r="G59" i="112"/>
  <c r="G58" i="112"/>
  <c r="G57" i="112"/>
  <c r="G56" i="112"/>
  <c r="G73" i="112"/>
  <c r="M73" i="112" s="1"/>
  <c r="G72" i="112"/>
  <c r="G64" i="112"/>
  <c r="G54" i="112"/>
  <c r="G39" i="112"/>
  <c r="G38" i="112"/>
  <c r="G37" i="112"/>
  <c r="G36" i="112"/>
  <c r="G35" i="112"/>
  <c r="G34" i="112"/>
  <c r="G33" i="112"/>
  <c r="G32" i="112"/>
  <c r="G31" i="112"/>
  <c r="G30" i="112"/>
  <c r="G29" i="112"/>
  <c r="G28" i="112"/>
  <c r="G27" i="112"/>
  <c r="G83" i="112"/>
  <c r="G26" i="112"/>
  <c r="G25" i="112"/>
  <c r="G24" i="112"/>
  <c r="G23" i="112"/>
  <c r="S73" i="136"/>
  <c r="S75" i="136" s="1"/>
  <c r="S71" i="136"/>
  <c r="Q71" i="136"/>
  <c r="Q73" i="136" s="1"/>
  <c r="O71" i="136"/>
  <c r="O73" i="136" s="1"/>
  <c r="O75" i="136" s="1"/>
  <c r="M71" i="136"/>
  <c r="M73" i="136" s="1"/>
  <c r="K71" i="136"/>
  <c r="K73" i="136" s="1"/>
  <c r="K75" i="136" s="1"/>
  <c r="I69" i="136"/>
  <c r="G69" i="136"/>
  <c r="G68" i="136"/>
  <c r="G67" i="136"/>
  <c r="I67" i="136" s="1"/>
  <c r="G66" i="136"/>
  <c r="G65" i="136"/>
  <c r="I65" i="136" s="1"/>
  <c r="G64" i="136"/>
  <c r="G63" i="136"/>
  <c r="U54" i="136"/>
  <c r="G54" i="136"/>
  <c r="G48" i="136"/>
  <c r="G41" i="136"/>
  <c r="G34" i="136"/>
  <c r="G33" i="136"/>
  <c r="G27" i="136"/>
  <c r="G26" i="136"/>
  <c r="G25" i="136"/>
  <c r="I25" i="136" s="1"/>
  <c r="G24" i="136"/>
  <c r="I24" i="136" s="1"/>
  <c r="G23" i="136"/>
  <c r="I23" i="136" s="1"/>
  <c r="G22" i="136"/>
  <c r="I22" i="136" s="1"/>
  <c r="G21" i="136"/>
  <c r="G23" i="137"/>
  <c r="G80" i="137" s="1"/>
  <c r="G82" i="137" s="1"/>
  <c r="G84" i="137" s="1"/>
  <c r="S51" i="144"/>
  <c r="S53" i="144" s="1"/>
  <c r="Q51" i="144"/>
  <c r="Q53" i="144" s="1"/>
  <c r="O51" i="144"/>
  <c r="O53" i="144" s="1"/>
  <c r="O55" i="144" s="1"/>
  <c r="M51" i="144"/>
  <c r="M53" i="144" s="1"/>
  <c r="M55" i="144" s="1"/>
  <c r="K51" i="144"/>
  <c r="K53" i="144" s="1"/>
  <c r="K55" i="144" s="1"/>
  <c r="G49" i="144"/>
  <c r="I49" i="144" s="1"/>
  <c r="I48" i="144"/>
  <c r="G48" i="144"/>
  <c r="G47" i="144"/>
  <c r="I47" i="144" s="1"/>
  <c r="I46" i="144"/>
  <c r="G46" i="144"/>
  <c r="G45" i="144"/>
  <c r="I45" i="144" s="1"/>
  <c r="G44" i="144"/>
  <c r="I44" i="144" s="1"/>
  <c r="G43" i="144"/>
  <c r="I43" i="144" s="1"/>
  <c r="G42" i="144"/>
  <c r="I42" i="144" s="1"/>
  <c r="G41" i="144"/>
  <c r="I41" i="144" s="1"/>
  <c r="I40" i="144"/>
  <c r="G40" i="144"/>
  <c r="G39" i="144"/>
  <c r="I39" i="144" s="1"/>
  <c r="I38" i="144"/>
  <c r="G38" i="144"/>
  <c r="G37" i="144"/>
  <c r="I37" i="144" s="1"/>
  <c r="G36" i="144"/>
  <c r="I36" i="144" s="1"/>
  <c r="G35" i="144"/>
  <c r="I35" i="144" s="1"/>
  <c r="G34" i="144"/>
  <c r="I34" i="144" s="1"/>
  <c r="G33" i="144"/>
  <c r="I33" i="144" s="1"/>
  <c r="I32" i="144"/>
  <c r="G32" i="144"/>
  <c r="G31" i="144"/>
  <c r="I31" i="144" s="1"/>
  <c r="I30" i="144"/>
  <c r="G30" i="144"/>
  <c r="G29" i="144"/>
  <c r="I29" i="144" s="1"/>
  <c r="I28" i="144"/>
  <c r="G28" i="144"/>
  <c r="G27" i="144"/>
  <c r="I27" i="144" s="1"/>
  <c r="G26" i="144"/>
  <c r="I26" i="144" s="1"/>
  <c r="G25" i="144"/>
  <c r="I25" i="144" s="1"/>
  <c r="G24" i="144"/>
  <c r="G51" i="144" s="1"/>
  <c r="G23" i="144"/>
  <c r="G22" i="144"/>
  <c r="G21" i="144"/>
  <c r="Q58" i="46"/>
  <c r="Q60" i="46" s="1"/>
  <c r="O58" i="46"/>
  <c r="O60" i="46" s="1"/>
  <c r="I58" i="46"/>
  <c r="I60" i="46" s="1"/>
  <c r="B95" i="46" s="1"/>
  <c r="M58" i="46"/>
  <c r="M60" i="46" s="1"/>
  <c r="G35" i="46"/>
  <c r="G33" i="46"/>
  <c r="G227" i="95"/>
  <c r="G226" i="95"/>
  <c r="G225" i="95"/>
  <c r="G224" i="95"/>
  <c r="G223" i="95"/>
  <c r="G222" i="95"/>
  <c r="G221" i="95"/>
  <c r="G220" i="95"/>
  <c r="G219" i="95"/>
  <c r="G218" i="95"/>
  <c r="G217" i="95"/>
  <c r="G216" i="95"/>
  <c r="G215" i="95"/>
  <c r="G214" i="95"/>
  <c r="G213" i="95"/>
  <c r="G212" i="95"/>
  <c r="G211" i="95"/>
  <c r="G210" i="95"/>
  <c r="G209" i="95"/>
  <c r="G204" i="95"/>
  <c r="G203" i="95"/>
  <c r="G202" i="95"/>
  <c r="G201" i="95"/>
  <c r="G200" i="95"/>
  <c r="G199" i="95"/>
  <c r="G196" i="95"/>
  <c r="G195" i="95"/>
  <c r="G194" i="95"/>
  <c r="G193" i="95"/>
  <c r="G192" i="95"/>
  <c r="G191" i="95"/>
  <c r="G190" i="95"/>
  <c r="G189" i="95"/>
  <c r="G188" i="95"/>
  <c r="G187" i="95"/>
  <c r="G186" i="95"/>
  <c r="G185" i="95"/>
  <c r="G184" i="95"/>
  <c r="G183" i="95"/>
  <c r="G182" i="95"/>
  <c r="G181" i="95"/>
  <c r="G180" i="95"/>
  <c r="G179" i="95"/>
  <c r="G178" i="95"/>
  <c r="G177" i="95"/>
  <c r="G176" i="95"/>
  <c r="G175" i="95"/>
  <c r="G174" i="95"/>
  <c r="G162" i="95"/>
  <c r="G161" i="95"/>
  <c r="G160" i="95"/>
  <c r="G158" i="95"/>
  <c r="G157" i="95"/>
  <c r="G156" i="95"/>
  <c r="G155" i="95"/>
  <c r="G154" i="95"/>
  <c r="G153" i="95"/>
  <c r="G152" i="95"/>
  <c r="G151" i="95"/>
  <c r="G150" i="95"/>
  <c r="G149" i="95"/>
  <c r="G148" i="95"/>
  <c r="G147" i="95"/>
  <c r="G144" i="95"/>
  <c r="G136" i="95"/>
  <c r="G135" i="95"/>
  <c r="G134" i="95"/>
  <c r="G133" i="95"/>
  <c r="G132" i="95"/>
  <c r="G131" i="95"/>
  <c r="G130" i="95"/>
  <c r="G129" i="95"/>
  <c r="G128" i="95"/>
  <c r="G127" i="95"/>
  <c r="G126" i="95"/>
  <c r="G125" i="95"/>
  <c r="G124" i="95"/>
  <c r="G123" i="95"/>
  <c r="G122" i="95"/>
  <c r="G121" i="95"/>
  <c r="G120" i="95"/>
  <c r="G119" i="95"/>
  <c r="G118" i="95"/>
  <c r="G117" i="95"/>
  <c r="G116" i="95"/>
  <c r="G115" i="95"/>
  <c r="G114" i="95"/>
  <c r="G113" i="95"/>
  <c r="G112" i="95"/>
  <c r="G111" i="95"/>
  <c r="G110" i="95"/>
  <c r="G109" i="95"/>
  <c r="G108" i="95"/>
  <c r="G107" i="95"/>
  <c r="G106" i="95"/>
  <c r="G105" i="95"/>
  <c r="G104" i="95"/>
  <c r="G103" i="95"/>
  <c r="G102" i="95"/>
  <c r="G101" i="95"/>
  <c r="G100" i="95"/>
  <c r="G99" i="95"/>
  <c r="G98" i="95"/>
  <c r="G97" i="95"/>
  <c r="G96" i="95"/>
  <c r="G95" i="95"/>
  <c r="G94" i="95"/>
  <c r="G93" i="95"/>
  <c r="G92" i="95"/>
  <c r="G91" i="95"/>
  <c r="G90" i="95"/>
  <c r="G89" i="95"/>
  <c r="G88" i="95"/>
  <c r="G87" i="95"/>
  <c r="G86" i="95"/>
  <c r="G85" i="95"/>
  <c r="G84" i="95"/>
  <c r="G83" i="95"/>
  <c r="G82" i="95"/>
  <c r="G81" i="95"/>
  <c r="G80" i="95"/>
  <c r="G79" i="95"/>
  <c r="G78" i="95"/>
  <c r="G77" i="95"/>
  <c r="G76" i="95"/>
  <c r="G75" i="95"/>
  <c r="G74" i="95"/>
  <c r="G73" i="95"/>
  <c r="G72" i="95"/>
  <c r="G71" i="95"/>
  <c r="G70" i="95"/>
  <c r="G69" i="95"/>
  <c r="G68" i="95"/>
  <c r="G67" i="95"/>
  <c r="G66" i="95"/>
  <c r="G65" i="95"/>
  <c r="G64" i="95"/>
  <c r="G63" i="95"/>
  <c r="G62" i="95"/>
  <c r="G61" i="95"/>
  <c r="G60" i="95"/>
  <c r="G59" i="95"/>
  <c r="G58" i="95"/>
  <c r="G57" i="95"/>
  <c r="G56" i="95"/>
  <c r="G55" i="95"/>
  <c r="G54" i="95"/>
  <c r="G53" i="95"/>
  <c r="G52" i="95"/>
  <c r="G51" i="95"/>
  <c r="G50" i="95"/>
  <c r="G49" i="95"/>
  <c r="G48" i="95"/>
  <c r="G47" i="95"/>
  <c r="G46" i="95"/>
  <c r="G45" i="95"/>
  <c r="G44" i="95"/>
  <c r="G43" i="95"/>
  <c r="G42" i="95"/>
  <c r="G41" i="95"/>
  <c r="G40" i="95"/>
  <c r="G39" i="95"/>
  <c r="G38" i="95"/>
  <c r="G37" i="95"/>
  <c r="G36" i="95"/>
  <c r="G35" i="95"/>
  <c r="G34" i="95"/>
  <c r="G33" i="95"/>
  <c r="G32" i="95"/>
  <c r="G31" i="95"/>
  <c r="G30" i="95"/>
  <c r="G29" i="95"/>
  <c r="G28" i="95"/>
  <c r="G27" i="95"/>
  <c r="G26" i="95"/>
  <c r="G25" i="95"/>
  <c r="G24" i="95"/>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62" i="16"/>
  <c r="G63" i="16"/>
  <c r="G64" i="16"/>
  <c r="G65" i="16"/>
  <c r="G66" i="16"/>
  <c r="G67" i="16"/>
  <c r="G68" i="16"/>
  <c r="G69" i="16"/>
  <c r="G70" i="16"/>
  <c r="G71" i="16"/>
  <c r="G72" i="16"/>
  <c r="G73" i="16"/>
  <c r="G74" i="16"/>
  <c r="G75" i="16"/>
  <c r="K138" i="16"/>
  <c r="K139" i="16"/>
  <c r="K140" i="16"/>
  <c r="K141" i="16"/>
  <c r="K145" i="16"/>
  <c r="K148" i="16"/>
  <c r="G149" i="16"/>
  <c r="K149" i="16" s="1"/>
  <c r="G150" i="16"/>
  <c r="K150" i="16" s="1"/>
  <c r="G151" i="16"/>
  <c r="K151" i="16" s="1"/>
  <c r="G155" i="16"/>
  <c r="K155" i="16" s="1"/>
  <c r="G156" i="16"/>
  <c r="K156" i="16" s="1"/>
  <c r="G157" i="16"/>
  <c r="K157" i="16" s="1"/>
  <c r="G159" i="16"/>
  <c r="K159" i="16" s="1"/>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1" i="16"/>
  <c r="D49" i="49" s="1"/>
  <c r="G160" i="16"/>
  <c r="K160" i="16" s="1"/>
  <c r="G161" i="16"/>
  <c r="K161" i="16" s="1"/>
  <c r="G162" i="16"/>
  <c r="K162" i="16" s="1"/>
  <c r="G163" i="16"/>
  <c r="K163" i="16" s="1"/>
  <c r="G164" i="16"/>
  <c r="K164" i="16" s="1"/>
  <c r="G71" i="13"/>
  <c r="G70" i="13"/>
  <c r="D69" i="13"/>
  <c r="G69" i="13" s="1"/>
  <c r="G68" i="13"/>
  <c r="G65" i="13"/>
  <c r="G64" i="13"/>
  <c r="G63" i="13"/>
  <c r="G58" i="13"/>
  <c r="G57" i="13"/>
  <c r="G56" i="13"/>
  <c r="G55" i="13"/>
  <c r="O125" i="139"/>
  <c r="O127" i="139" s="1"/>
  <c r="G116" i="139"/>
  <c r="G115" i="139"/>
  <c r="G114" i="139"/>
  <c r="D113" i="139"/>
  <c r="G113" i="139" s="1"/>
  <c r="M113" i="139" s="1"/>
  <c r="M106" i="139" s="1"/>
  <c r="G99" i="139"/>
  <c r="A98" i="139"/>
  <c r="D98" i="139" s="1"/>
  <c r="G98" i="139" s="1"/>
  <c r="M98" i="139" s="1"/>
  <c r="M92" i="139" s="1"/>
  <c r="G97" i="139"/>
  <c r="G94" i="139"/>
  <c r="G92" i="139"/>
  <c r="G91" i="139"/>
  <c r="G86" i="139"/>
  <c r="G85" i="139"/>
  <c r="G84" i="139"/>
  <c r="G83" i="139"/>
  <c r="G82" i="139"/>
  <c r="G81" i="139"/>
  <c r="A80" i="139"/>
  <c r="D80" i="139" s="1"/>
  <c r="G80" i="139" s="1"/>
  <c r="G79" i="139"/>
  <c r="G78" i="139"/>
  <c r="G73" i="139"/>
  <c r="A72" i="139"/>
  <c r="D72" i="139" s="1"/>
  <c r="G72" i="139" s="1"/>
  <c r="M72" i="139" s="1"/>
  <c r="G71" i="139"/>
  <c r="G70" i="139"/>
  <c r="G65" i="139"/>
  <c r="G64" i="139"/>
  <c r="G63" i="139"/>
  <c r="G62" i="139"/>
  <c r="G61" i="139"/>
  <c r="G60" i="139"/>
  <c r="G59" i="139"/>
  <c r="G58" i="139"/>
  <c r="G57" i="139"/>
  <c r="G56" i="139"/>
  <c r="A55" i="139"/>
  <c r="D55" i="139" s="1"/>
  <c r="G55" i="139" s="1"/>
  <c r="M55" i="139" s="1"/>
  <c r="G54" i="139"/>
  <c r="G53" i="139"/>
  <c r="G48" i="139"/>
  <c r="G47" i="139"/>
  <c r="G46" i="139"/>
  <c r="G45" i="139"/>
  <c r="G44" i="139"/>
  <c r="G43" i="139"/>
  <c r="G42" i="139"/>
  <c r="G41" i="139"/>
  <c r="G40" i="139"/>
  <c r="G39" i="139"/>
  <c r="A38" i="139"/>
  <c r="D38" i="139" s="1"/>
  <c r="G38" i="139" s="1"/>
  <c r="M38" i="139" s="1"/>
  <c r="G37" i="139"/>
  <c r="G36" i="139"/>
  <c r="G35" i="139"/>
  <c r="K35" i="139" s="1"/>
  <c r="G34" i="139"/>
  <c r="G33" i="139"/>
  <c r="A32" i="139"/>
  <c r="D32" i="139" s="1"/>
  <c r="G32" i="139" s="1"/>
  <c r="M32" i="139" s="1"/>
  <c r="G31" i="139"/>
  <c r="G30" i="139"/>
  <c r="G29" i="139"/>
  <c r="K29" i="139" s="1"/>
  <c r="G28" i="139"/>
  <c r="K28" i="139" s="1"/>
  <c r="G27" i="139"/>
  <c r="K27" i="139" s="1"/>
  <c r="G26" i="139"/>
  <c r="K26" i="139" s="1"/>
  <c r="G25" i="139"/>
  <c r="G24" i="139"/>
  <c r="G23" i="139"/>
  <c r="Q229" i="140"/>
  <c r="O229" i="140"/>
  <c r="O231" i="140" s="1"/>
  <c r="G225" i="140"/>
  <c r="G221" i="140"/>
  <c r="G220" i="140"/>
  <c r="G219" i="140"/>
  <c r="G218" i="140"/>
  <c r="G217" i="140"/>
  <c r="G216" i="140"/>
  <c r="G215" i="140"/>
  <c r="G214" i="140"/>
  <c r="G213" i="140"/>
  <c r="G212" i="140"/>
  <c r="G211" i="140"/>
  <c r="G208" i="140"/>
  <c r="G203" i="140"/>
  <c r="G202" i="140"/>
  <c r="G201" i="140"/>
  <c r="G200" i="140"/>
  <c r="G199" i="140"/>
  <c r="G198" i="140"/>
  <c r="G197" i="140"/>
  <c r="G196" i="140"/>
  <c r="G195" i="140"/>
  <c r="G194" i="140"/>
  <c r="G175" i="140"/>
  <c r="G174" i="140"/>
  <c r="G173" i="140"/>
  <c r="G172" i="140"/>
  <c r="G171" i="140"/>
  <c r="G170" i="140"/>
  <c r="G169" i="140"/>
  <c r="G168" i="140"/>
  <c r="G167" i="140"/>
  <c r="G166" i="140"/>
  <c r="G165" i="140"/>
  <c r="G164" i="140"/>
  <c r="G163" i="140"/>
  <c r="G162" i="140"/>
  <c r="G161" i="140"/>
  <c r="G160" i="140"/>
  <c r="G159" i="140"/>
  <c r="G158" i="140"/>
  <c r="G157" i="140"/>
  <c r="G156" i="140"/>
  <c r="G155" i="140"/>
  <c r="G154" i="140"/>
  <c r="G153" i="140"/>
  <c r="G152" i="140"/>
  <c r="G151" i="140"/>
  <c r="G150" i="140"/>
  <c r="G149" i="140"/>
  <c r="G148" i="140"/>
  <c r="G147" i="140"/>
  <c r="G146" i="140"/>
  <c r="G145" i="140"/>
  <c r="G144" i="140"/>
  <c r="G143" i="140"/>
  <c r="G142" i="140"/>
  <c r="G141" i="140"/>
  <c r="G140" i="140"/>
  <c r="G139" i="140"/>
  <c r="G138" i="140"/>
  <c r="G137" i="140"/>
  <c r="G136" i="140"/>
  <c r="G135" i="140"/>
  <c r="G134" i="140"/>
  <c r="G133" i="140"/>
  <c r="G132" i="140"/>
  <c r="G131" i="140"/>
  <c r="G130" i="140"/>
  <c r="G129" i="140"/>
  <c r="G128" i="140"/>
  <c r="G127" i="140"/>
  <c r="G126" i="140"/>
  <c r="G125" i="140"/>
  <c r="G124" i="140"/>
  <c r="G123" i="140"/>
  <c r="G122" i="140"/>
  <c r="G121" i="140"/>
  <c r="G120" i="140"/>
  <c r="G119" i="140"/>
  <c r="G118" i="140"/>
  <c r="G117" i="140"/>
  <c r="G116" i="140"/>
  <c r="G115" i="140"/>
  <c r="G114" i="140"/>
  <c r="G113" i="140"/>
  <c r="G112" i="140"/>
  <c r="G111" i="140"/>
  <c r="G110" i="140"/>
  <c r="G109" i="140"/>
  <c r="G108" i="140"/>
  <c r="G107" i="140"/>
  <c r="G106" i="140"/>
  <c r="G105" i="140"/>
  <c r="G104" i="140"/>
  <c r="G103" i="140"/>
  <c r="G102" i="140"/>
  <c r="G101" i="140"/>
  <c r="G100" i="140"/>
  <c r="G99" i="140"/>
  <c r="G98" i="140"/>
  <c r="G97" i="140"/>
  <c r="G96" i="140"/>
  <c r="G95" i="140"/>
  <c r="G94" i="140"/>
  <c r="G93" i="140"/>
  <c r="G92" i="140"/>
  <c r="G91" i="140"/>
  <c r="G90" i="140"/>
  <c r="G89" i="140"/>
  <c r="G88" i="140"/>
  <c r="G87" i="140"/>
  <c r="G86" i="140"/>
  <c r="G85" i="140"/>
  <c r="G84" i="140"/>
  <c r="G83" i="140"/>
  <c r="G82" i="140"/>
  <c r="G81" i="140"/>
  <c r="G80" i="140"/>
  <c r="G79" i="140"/>
  <c r="G78" i="140"/>
  <c r="G77" i="140"/>
  <c r="G76" i="140"/>
  <c r="G75" i="140"/>
  <c r="G74" i="140"/>
  <c r="G73" i="140"/>
  <c r="G72" i="140"/>
  <c r="G71" i="140"/>
  <c r="G70" i="140"/>
  <c r="G69" i="140"/>
  <c r="G68" i="140"/>
  <c r="G67" i="140"/>
  <c r="G66" i="140"/>
  <c r="G65" i="140"/>
  <c r="G64" i="140"/>
  <c r="G63" i="140"/>
  <c r="G62" i="140"/>
  <c r="G61" i="140"/>
  <c r="G60" i="140"/>
  <c r="G59" i="140"/>
  <c r="G58" i="140"/>
  <c r="G57" i="140"/>
  <c r="G56" i="140"/>
  <c r="G55" i="140"/>
  <c r="G54" i="140"/>
  <c r="G53" i="140"/>
  <c r="G52" i="140"/>
  <c r="G51" i="140"/>
  <c r="G50" i="140"/>
  <c r="G49" i="140"/>
  <c r="G48" i="140"/>
  <c r="G47" i="140"/>
  <c r="G46" i="140"/>
  <c r="G45" i="140"/>
  <c r="G44" i="140"/>
  <c r="G43" i="140"/>
  <c r="G42" i="140"/>
  <c r="G41" i="140"/>
  <c r="G40" i="140"/>
  <c r="G39" i="140"/>
  <c r="G38" i="140"/>
  <c r="G37" i="140"/>
  <c r="G36" i="140"/>
  <c r="G35" i="140"/>
  <c r="G34" i="140"/>
  <c r="G33" i="140"/>
  <c r="G32" i="140"/>
  <c r="G31" i="140"/>
  <c r="G30" i="140"/>
  <c r="G29" i="140"/>
  <c r="G28" i="140"/>
  <c r="G27" i="140"/>
  <c r="G26" i="140"/>
  <c r="G25" i="140"/>
  <c r="G24" i="140"/>
  <c r="G23" i="140"/>
  <c r="Q112" i="141"/>
  <c r="Q114" i="141" s="1"/>
  <c r="O112" i="141"/>
  <c r="O114" i="141" s="1"/>
  <c r="M112" i="141"/>
  <c r="M114" i="141" s="1"/>
  <c r="I112" i="141"/>
  <c r="I114" i="141" s="1"/>
  <c r="B149" i="141" s="1"/>
  <c r="G108" i="141"/>
  <c r="G107" i="141"/>
  <c r="G99" i="141"/>
  <c r="G98" i="141"/>
  <c r="D97" i="141"/>
  <c r="G97" i="141" s="1"/>
  <c r="G96" i="141"/>
  <c r="G95" i="141"/>
  <c r="G94" i="141"/>
  <c r="G93" i="141"/>
  <c r="G92" i="141"/>
  <c r="G91" i="141"/>
  <c r="G90" i="141"/>
  <c r="G89" i="141"/>
  <c r="G88" i="141"/>
  <c r="G87" i="141"/>
  <c r="G86" i="141"/>
  <c r="G85" i="141"/>
  <c r="G84" i="141"/>
  <c r="G83" i="141"/>
  <c r="G82" i="141"/>
  <c r="G81" i="141"/>
  <c r="G80" i="141"/>
  <c r="G79" i="141"/>
  <c r="G78" i="141"/>
  <c r="G77" i="141"/>
  <c r="G76" i="141"/>
  <c r="G75" i="141"/>
  <c r="G74" i="141"/>
  <c r="G73" i="141"/>
  <c r="G72" i="141"/>
  <c r="G71" i="141"/>
  <c r="G70" i="141"/>
  <c r="G69" i="141"/>
  <c r="G68" i="141"/>
  <c r="G67" i="141"/>
  <c r="G66" i="141"/>
  <c r="G65" i="141"/>
  <c r="G64" i="141"/>
  <c r="G63" i="141"/>
  <c r="G62" i="141"/>
  <c r="G61" i="141"/>
  <c r="G60" i="141"/>
  <c r="G59" i="141"/>
  <c r="G58" i="141"/>
  <c r="G57" i="141"/>
  <c r="G56" i="141"/>
  <c r="G55" i="141"/>
  <c r="G54" i="141"/>
  <c r="G53" i="141"/>
  <c r="G52" i="141"/>
  <c r="G51" i="141"/>
  <c r="G50" i="141"/>
  <c r="G49" i="141"/>
  <c r="G48" i="141"/>
  <c r="G47" i="141"/>
  <c r="G46" i="141"/>
  <c r="G45" i="141"/>
  <c r="G44" i="141"/>
  <c r="G43" i="141"/>
  <c r="G42" i="141"/>
  <c r="G41" i="141"/>
  <c r="G40" i="141"/>
  <c r="G39" i="141"/>
  <c r="G38" i="141"/>
  <c r="G37" i="141"/>
  <c r="G36" i="141"/>
  <c r="G35" i="141"/>
  <c r="G34" i="141"/>
  <c r="G33" i="141"/>
  <c r="G32" i="141"/>
  <c r="G31" i="141"/>
  <c r="G30" i="141"/>
  <c r="G29" i="141"/>
  <c r="G28" i="141"/>
  <c r="S73" i="14"/>
  <c r="S75" i="14" s="1"/>
  <c r="S77" i="14" s="1"/>
  <c r="Q73" i="14"/>
  <c r="Q75" i="14" s="1"/>
  <c r="Q77" i="14" s="1"/>
  <c r="O73" i="14"/>
  <c r="M73" i="14"/>
  <c r="K73" i="14"/>
  <c r="K75" i="14" s="1"/>
  <c r="K77" i="14" s="1"/>
  <c r="G29" i="14"/>
  <c r="I29" i="14" s="1"/>
  <c r="G28" i="14"/>
  <c r="I28" i="14" s="1"/>
  <c r="G27" i="14"/>
  <c r="I27" i="14" s="1"/>
  <c r="G26" i="14"/>
  <c r="I26" i="14" s="1"/>
  <c r="G25" i="14"/>
  <c r="I25" i="14" s="1"/>
  <c r="G24" i="14"/>
  <c r="I24" i="14" s="1"/>
  <c r="G34" i="121"/>
  <c r="G33" i="121"/>
  <c r="G25" i="121"/>
  <c r="G21" i="121"/>
  <c r="G37" i="149"/>
  <c r="I37" i="149" s="1"/>
  <c r="G36" i="149"/>
  <c r="G35" i="149"/>
  <c r="I35" i="149" s="1"/>
  <c r="G34" i="149"/>
  <c r="I34" i="149" s="1"/>
  <c r="G33" i="149"/>
  <c r="I33" i="149" s="1"/>
  <c r="G32" i="149"/>
  <c r="I32" i="149" s="1"/>
  <c r="G31" i="149"/>
  <c r="I31" i="149" s="1"/>
  <c r="G30" i="149"/>
  <c r="I30" i="149" s="1"/>
  <c r="G29" i="149"/>
  <c r="I29" i="149" s="1"/>
  <c r="G28" i="149"/>
  <c r="I28" i="149" s="1"/>
  <c r="G27" i="149"/>
  <c r="G26" i="149"/>
  <c r="I26" i="149" s="1"/>
  <c r="G25" i="149"/>
  <c r="G24" i="149"/>
  <c r="I24" i="149" s="1"/>
  <c r="G23" i="149"/>
  <c r="I23" i="149" s="1"/>
  <c r="I90" i="30"/>
  <c r="I29" i="30"/>
  <c r="C155" i="30" s="1"/>
  <c r="C34" i="20" s="1"/>
  <c r="G26" i="77"/>
  <c r="O21" i="77"/>
  <c r="I27" i="142"/>
  <c r="I42" i="142"/>
  <c r="D88" i="142" s="1"/>
  <c r="D30" i="20" s="1"/>
  <c r="G36" i="142"/>
  <c r="K42" i="142"/>
  <c r="G45" i="142"/>
  <c r="D43" i="142"/>
  <c r="G43" i="142" s="1"/>
  <c r="O154" i="10"/>
  <c r="O132" i="10"/>
  <c r="M23" i="132"/>
  <c r="G25" i="132"/>
  <c r="O35" i="69"/>
  <c r="I180" i="134"/>
  <c r="D253" i="134" s="1"/>
  <c r="D29" i="20" s="1"/>
  <c r="I42" i="133"/>
  <c r="I44" i="133" s="1"/>
  <c r="G40" i="75"/>
  <c r="G37" i="75"/>
  <c r="G33" i="75"/>
  <c r="G35" i="75"/>
  <c r="G87" i="134"/>
  <c r="D30" i="75"/>
  <c r="G30" i="75" s="1"/>
  <c r="G35" i="133"/>
  <c r="D34" i="133"/>
  <c r="G34" i="133" s="1"/>
  <c r="G27" i="133"/>
  <c r="G29" i="133"/>
  <c r="G22" i="133"/>
  <c r="G61" i="134"/>
  <c r="G32" i="133"/>
  <c r="G25" i="133"/>
  <c r="G27" i="75"/>
  <c r="G23" i="75"/>
  <c r="D124" i="10"/>
  <c r="G124" i="10" s="1"/>
  <c r="Q53" i="132"/>
  <c r="F173" i="81"/>
  <c r="F171" i="81"/>
  <c r="F168" i="81"/>
  <c r="F164" i="81"/>
  <c r="F163" i="81"/>
  <c r="F162" i="81"/>
  <c r="F148" i="81"/>
  <c r="F147" i="81"/>
  <c r="F146" i="81"/>
  <c r="F138" i="81"/>
  <c r="F137" i="81"/>
  <c r="F136" i="81"/>
  <c r="F135" i="81"/>
  <c r="F108" i="81"/>
  <c r="F106" i="81"/>
  <c r="F105" i="81"/>
  <c r="F104" i="81"/>
  <c r="F103" i="81"/>
  <c r="F100" i="81"/>
  <c r="F98" i="81"/>
  <c r="F95" i="81"/>
  <c r="F94" i="81"/>
  <c r="F93" i="81"/>
  <c r="F90" i="81"/>
  <c r="F88" i="81"/>
  <c r="F80" i="81"/>
  <c r="F79" i="81"/>
  <c r="F78" i="81"/>
  <c r="F77" i="81"/>
  <c r="F54" i="81"/>
  <c r="F53" i="81"/>
  <c r="F52" i="81"/>
  <c r="F51" i="81"/>
  <c r="F48" i="81"/>
  <c r="F47" i="81"/>
  <c r="F46" i="81"/>
  <c r="F45" i="81"/>
  <c r="F44" i="81"/>
  <c r="F33" i="81"/>
  <c r="F32" i="81"/>
  <c r="F31" i="81"/>
  <c r="F30" i="81"/>
  <c r="F29" i="81"/>
  <c r="F27" i="81"/>
  <c r="F26" i="81"/>
  <c r="F25" i="81"/>
  <c r="F24" i="81"/>
  <c r="F23" i="81"/>
  <c r="G159" i="81"/>
  <c r="G158" i="81"/>
  <c r="G157" i="81"/>
  <c r="G154" i="81"/>
  <c r="G153" i="81"/>
  <c r="G160" i="81"/>
  <c r="G165" i="81"/>
  <c r="G166" i="81"/>
  <c r="G148" i="81"/>
  <c r="G164" i="81"/>
  <c r="G163" i="81"/>
  <c r="G147" i="81"/>
  <c r="G146" i="81"/>
  <c r="G133" i="81"/>
  <c r="G132" i="81"/>
  <c r="G128" i="81"/>
  <c r="G127" i="81"/>
  <c r="G124" i="81"/>
  <c r="G123" i="81"/>
  <c r="G114" i="81"/>
  <c r="G113" i="81"/>
  <c r="G111" i="81"/>
  <c r="G110" i="81"/>
  <c r="G88" i="81"/>
  <c r="G75" i="81"/>
  <c r="G74" i="81"/>
  <c r="G73" i="81"/>
  <c r="G72" i="81"/>
  <c r="G71" i="81"/>
  <c r="G70" i="81"/>
  <c r="G69" i="81"/>
  <c r="G68" i="81"/>
  <c r="G66" i="81"/>
  <c r="G65" i="81"/>
  <c r="G64" i="81"/>
  <c r="G63" i="81"/>
  <c r="G62" i="81"/>
  <c r="G61" i="81"/>
  <c r="G60" i="81"/>
  <c r="G59" i="81"/>
  <c r="G58" i="81"/>
  <c r="G57" i="81"/>
  <c r="G42" i="81"/>
  <c r="G40" i="81"/>
  <c r="G39" i="81"/>
  <c r="G38" i="81"/>
  <c r="G37" i="81"/>
  <c r="G36" i="81"/>
  <c r="G35" i="81"/>
  <c r="F84" i="81"/>
  <c r="G84" i="81" s="1"/>
  <c r="G77" i="81"/>
  <c r="G138" i="81"/>
  <c r="G137" i="81"/>
  <c r="G105" i="81"/>
  <c r="G104" i="81"/>
  <c r="G94" i="81"/>
  <c r="G93" i="81"/>
  <c r="G90" i="81"/>
  <c r="G89" i="81"/>
  <c r="G79" i="81"/>
  <c r="G78" i="81"/>
  <c r="G53" i="81"/>
  <c r="G52" i="81"/>
  <c r="G47" i="81"/>
  <c r="G46" i="81"/>
  <c r="G32" i="81"/>
  <c r="G31" i="81"/>
  <c r="G103" i="81"/>
  <c r="G135" i="81"/>
  <c r="G171" i="81"/>
  <c r="G173" i="81"/>
  <c r="G168" i="81"/>
  <c r="G162" i="81"/>
  <c r="G155" i="81"/>
  <c r="G45" i="81"/>
  <c r="G30" i="81"/>
  <c r="G136" i="81"/>
  <c r="F130" i="81"/>
  <c r="G130" i="81" s="1"/>
  <c r="F126" i="81"/>
  <c r="G126" i="81" s="1"/>
  <c r="F122" i="81"/>
  <c r="G122" i="81" s="1"/>
  <c r="F120" i="81"/>
  <c r="G120" i="81" s="1"/>
  <c r="F118" i="81"/>
  <c r="G118" i="81" s="1"/>
  <c r="F116" i="81"/>
  <c r="G116" i="81" s="1"/>
  <c r="G108" i="81"/>
  <c r="G106" i="81"/>
  <c r="G100" i="81"/>
  <c r="G98" i="81"/>
  <c r="G95" i="81"/>
  <c r="F86" i="81"/>
  <c r="G86" i="81" s="1"/>
  <c r="G80" i="81"/>
  <c r="G54" i="81"/>
  <c r="G48" i="81"/>
  <c r="G33" i="81"/>
  <c r="G27" i="81"/>
  <c r="G24" i="81"/>
  <c r="G51" i="81"/>
  <c r="G26" i="81"/>
  <c r="G25" i="81"/>
  <c r="G44" i="81"/>
  <c r="G29" i="81"/>
  <c r="G149" i="81"/>
  <c r="G96" i="81"/>
  <c r="G81" i="81"/>
  <c r="G23" i="81"/>
  <c r="G182" i="10"/>
  <c r="I182" i="10" s="1"/>
  <c r="D110" i="10"/>
  <c r="G110" i="10" s="1"/>
  <c r="K56" i="75"/>
  <c r="O56" i="75"/>
  <c r="G177" i="134"/>
  <c r="G176" i="134"/>
  <c r="G107" i="10"/>
  <c r="G40" i="132"/>
  <c r="G38" i="132"/>
  <c r="G46" i="132"/>
  <c r="G122" i="10"/>
  <c r="G125" i="10"/>
  <c r="G45" i="132"/>
  <c r="G47" i="132"/>
  <c r="G35" i="132"/>
  <c r="G33" i="132"/>
  <c r="G165" i="134"/>
  <c r="G167" i="134"/>
  <c r="G169" i="134"/>
  <c r="G150" i="134"/>
  <c r="G148" i="134"/>
  <c r="G144" i="134"/>
  <c r="G142" i="134"/>
  <c r="G134" i="134"/>
  <c r="G128" i="134"/>
  <c r="G105" i="134"/>
  <c r="G103" i="134"/>
  <c r="G101" i="134"/>
  <c r="G99" i="134"/>
  <c r="G97" i="134"/>
  <c r="G95" i="134"/>
  <c r="G93" i="134"/>
  <c r="G120" i="134"/>
  <c r="G118" i="134"/>
  <c r="G30" i="132"/>
  <c r="G28" i="132"/>
  <c r="G26" i="132"/>
  <c r="G23" i="132"/>
  <c r="G29" i="69"/>
  <c r="S51" i="149"/>
  <c r="S53" i="149" s="1"/>
  <c r="S55" i="149" s="1"/>
  <c r="Q51" i="149"/>
  <c r="Q53" i="149" s="1"/>
  <c r="Q55" i="149" s="1"/>
  <c r="O51" i="149"/>
  <c r="O53" i="149" s="1"/>
  <c r="O55" i="149" s="1"/>
  <c r="M51" i="149"/>
  <c r="M53" i="149" s="1"/>
  <c r="K51" i="149"/>
  <c r="K53" i="149" s="1"/>
  <c r="G49" i="149"/>
  <c r="I49" i="149" s="1"/>
  <c r="G48" i="149"/>
  <c r="I48" i="149" s="1"/>
  <c r="G47" i="149"/>
  <c r="I47" i="149" s="1"/>
  <c r="G46" i="149"/>
  <c r="I46" i="149" s="1"/>
  <c r="G45" i="149"/>
  <c r="I45" i="149" s="1"/>
  <c r="G44" i="149"/>
  <c r="I44" i="149" s="1"/>
  <c r="G43" i="149"/>
  <c r="I43" i="149" s="1"/>
  <c r="G42" i="149"/>
  <c r="I42" i="149" s="1"/>
  <c r="G41" i="149"/>
  <c r="I41" i="149" s="1"/>
  <c r="G40" i="149"/>
  <c r="I40" i="149" s="1"/>
  <c r="G38" i="149"/>
  <c r="B5" i="149"/>
  <c r="I21" i="14" l="1"/>
  <c r="I73" i="14" s="1"/>
  <c r="D34" i="20"/>
  <c r="D155" i="30"/>
  <c r="I25" i="132"/>
  <c r="I53" i="132" s="1"/>
  <c r="I55" i="132" s="1"/>
  <c r="I57" i="132" s="1"/>
  <c r="H9" i="132" s="1"/>
  <c r="K25" i="132"/>
  <c r="K53" i="132" s="1"/>
  <c r="I52" i="61"/>
  <c r="D26" i="49"/>
  <c r="I34" i="61"/>
  <c r="D23" i="49"/>
  <c r="I36" i="61"/>
  <c r="D24" i="49"/>
  <c r="M21" i="139"/>
  <c r="M123" i="139" s="1"/>
  <c r="M125" i="139" s="1"/>
  <c r="M127" i="139" s="1"/>
  <c r="I66" i="136"/>
  <c r="I21" i="136" s="1"/>
  <c r="D44" i="49"/>
  <c r="O182" i="10"/>
  <c r="E239" i="10"/>
  <c r="I113" i="30"/>
  <c r="I49" i="142"/>
  <c r="C30" i="20"/>
  <c r="O25" i="132"/>
  <c r="O53" i="132" s="1"/>
  <c r="M25" i="132"/>
  <c r="M108" i="16"/>
  <c r="S108" i="16"/>
  <c r="Q108" i="16"/>
  <c r="O108" i="16"/>
  <c r="Q159" i="16"/>
  <c r="O159" i="16"/>
  <c r="K146" i="16"/>
  <c r="G145" i="95"/>
  <c r="I145" i="95" s="1"/>
  <c r="S21" i="3"/>
  <c r="S261" i="3" s="1"/>
  <c r="S263" i="3" s="1"/>
  <c r="S265" i="3" s="1"/>
  <c r="R10" i="3" s="1"/>
  <c r="S145" i="95"/>
  <c r="S21" i="95" s="1"/>
  <c r="S229" i="95" s="1"/>
  <c r="S231" i="95" s="1"/>
  <c r="S233" i="95" s="1"/>
  <c r="R9" i="95" s="1"/>
  <c r="M145" i="95"/>
  <c r="M265" i="95" s="1"/>
  <c r="O145" i="95"/>
  <c r="O265" i="95" s="1"/>
  <c r="Q145" i="95"/>
  <c r="Q265" i="95" s="1"/>
  <c r="K145" i="95"/>
  <c r="K265" i="95" s="1"/>
  <c r="O55" i="13"/>
  <c r="I55" i="13"/>
  <c r="M55" i="13"/>
  <c r="K55" i="13"/>
  <c r="S21" i="121"/>
  <c r="S141" i="121" s="1"/>
  <c r="S143" i="121" s="1"/>
  <c r="G71" i="136"/>
  <c r="I21" i="95"/>
  <c r="M131" i="16"/>
  <c r="O131" i="16"/>
  <c r="I131" i="16"/>
  <c r="I21" i="16" s="1"/>
  <c r="S131" i="16"/>
  <c r="Q131" i="16"/>
  <c r="K131" i="16"/>
  <c r="D56" i="3"/>
  <c r="G56" i="3" s="1"/>
  <c r="K56" i="3" s="1"/>
  <c r="D53" i="3"/>
  <c r="G53" i="3" s="1"/>
  <c r="K53" i="3" s="1"/>
  <c r="K44" i="112"/>
  <c r="Q44" i="112"/>
  <c r="O44" i="112"/>
  <c r="O21" i="112" s="1"/>
  <c r="K46" i="112"/>
  <c r="Q46" i="112"/>
  <c r="K47" i="112"/>
  <c r="Q47" i="112"/>
  <c r="G58" i="3"/>
  <c r="I148" i="61"/>
  <c r="I73" i="61"/>
  <c r="D15" i="20" s="1"/>
  <c r="G110" i="61"/>
  <c r="K21" i="112"/>
  <c r="M147" i="112"/>
  <c r="M146" i="112"/>
  <c r="G57" i="3"/>
  <c r="E28" i="20"/>
  <c r="K98" i="139"/>
  <c r="K92" i="139" s="1"/>
  <c r="I98" i="139"/>
  <c r="I92" i="139" s="1"/>
  <c r="D52" i="20" s="1"/>
  <c r="K55" i="139"/>
  <c r="K21" i="139" s="1"/>
  <c r="K123" i="139" s="1"/>
  <c r="I55" i="139"/>
  <c r="K38" i="139"/>
  <c r="I38" i="139"/>
  <c r="K72" i="139"/>
  <c r="I72" i="139"/>
  <c r="K113" i="139"/>
  <c r="K106" i="139" s="1"/>
  <c r="I113" i="139"/>
  <c r="I106" i="139" s="1"/>
  <c r="E52" i="20" s="1"/>
  <c r="K32" i="139"/>
  <c r="I32" i="139"/>
  <c r="G144" i="3"/>
  <c r="K144" i="3" s="1"/>
  <c r="U73" i="112"/>
  <c r="I73" i="112"/>
  <c r="I142" i="112" s="1"/>
  <c r="S73" i="112"/>
  <c r="S147" i="112" s="1"/>
  <c r="S148" i="112" s="1"/>
  <c r="O73" i="112"/>
  <c r="Q73" i="112"/>
  <c r="K73" i="112"/>
  <c r="D30" i="145"/>
  <c r="G84" i="145"/>
  <c r="M57" i="13"/>
  <c r="I57" i="13"/>
  <c r="O57" i="13"/>
  <c r="K57" i="13"/>
  <c r="M58" i="13"/>
  <c r="I58" i="13"/>
  <c r="O58" i="13"/>
  <c r="K58" i="13"/>
  <c r="S229" i="140"/>
  <c r="S231" i="140" s="1"/>
  <c r="R9" i="140" s="1"/>
  <c r="S112" i="141"/>
  <c r="S114" i="141" s="1"/>
  <c r="R9" i="141" s="1"/>
  <c r="K136" i="16"/>
  <c r="K21" i="16"/>
  <c r="I21" i="149"/>
  <c r="F60" i="20" s="1"/>
  <c r="U239" i="3"/>
  <c r="U221" i="3"/>
  <c r="M221" i="3"/>
  <c r="M212" i="3"/>
  <c r="O212" i="3"/>
  <c r="K212" i="3"/>
  <c r="I212" i="3"/>
  <c r="Q212" i="3"/>
  <c r="U212" i="3"/>
  <c r="Q21" i="3"/>
  <c r="Q261" i="3" s="1"/>
  <c r="G59" i="3"/>
  <c r="G54" i="3"/>
  <c r="G239" i="3"/>
  <c r="G221" i="3"/>
  <c r="G28" i="121"/>
  <c r="G27" i="121"/>
  <c r="G90" i="13"/>
  <c r="G92" i="13" s="1"/>
  <c r="G94" i="13" s="1"/>
  <c r="G56" i="46"/>
  <c r="G58" i="46" s="1"/>
  <c r="S58" i="46"/>
  <c r="S60" i="46" s="1"/>
  <c r="R9" i="46" s="1"/>
  <c r="G167" i="16"/>
  <c r="G169" i="16" s="1"/>
  <c r="I56" i="75"/>
  <c r="G26" i="121"/>
  <c r="D31" i="145"/>
  <c r="G31" i="145" s="1"/>
  <c r="G52" i="150"/>
  <c r="P9" i="150"/>
  <c r="R9" i="150"/>
  <c r="I56" i="150"/>
  <c r="K56" i="150"/>
  <c r="M56" i="150"/>
  <c r="O56" i="150"/>
  <c r="S55" i="144"/>
  <c r="E8" i="20"/>
  <c r="G56" i="2"/>
  <c r="I24" i="2"/>
  <c r="I21" i="2" s="1"/>
  <c r="I56" i="2" s="1"/>
  <c r="G106" i="112"/>
  <c r="G108" i="112" s="1"/>
  <c r="G110" i="112" s="1"/>
  <c r="G51" i="143"/>
  <c r="S55" i="143"/>
  <c r="G123" i="139"/>
  <c r="G125" i="139" s="1"/>
  <c r="G127" i="139" s="1"/>
  <c r="S125" i="139"/>
  <c r="S127" i="139" s="1"/>
  <c r="G53" i="143"/>
  <c r="G55" i="143" s="1"/>
  <c r="M53" i="143"/>
  <c r="M55" i="143"/>
  <c r="J9" i="143"/>
  <c r="O53" i="143"/>
  <c r="O55" i="143"/>
  <c r="R9" i="143"/>
  <c r="I23" i="143"/>
  <c r="Q55" i="143"/>
  <c r="J9" i="136"/>
  <c r="N9" i="136"/>
  <c r="R9" i="136"/>
  <c r="M75" i="136"/>
  <c r="Q75" i="136"/>
  <c r="I80" i="137"/>
  <c r="J9" i="137"/>
  <c r="L9" i="137"/>
  <c r="N9" i="137"/>
  <c r="P9" i="137"/>
  <c r="R9" i="137"/>
  <c r="G53" i="144"/>
  <c r="G55" i="144"/>
  <c r="I21" i="144"/>
  <c r="I51" i="144"/>
  <c r="L9" i="144"/>
  <c r="N9" i="144"/>
  <c r="R9" i="144"/>
  <c r="J9" i="144"/>
  <c r="Q55" i="144"/>
  <c r="L9" i="46"/>
  <c r="H9" i="46"/>
  <c r="N9" i="46"/>
  <c r="P9" i="46"/>
  <c r="K56" i="46"/>
  <c r="G229" i="95"/>
  <c r="L9" i="139"/>
  <c r="N9" i="139"/>
  <c r="P9" i="139"/>
  <c r="N9" i="140"/>
  <c r="G227" i="140"/>
  <c r="Q231" i="140"/>
  <c r="H9" i="141"/>
  <c r="I179" i="139" s="1"/>
  <c r="L9" i="141"/>
  <c r="N9" i="141"/>
  <c r="P9" i="141"/>
  <c r="G110" i="141"/>
  <c r="R9" i="14"/>
  <c r="G73" i="14"/>
  <c r="P9" i="14"/>
  <c r="J9" i="14"/>
  <c r="M75" i="14"/>
  <c r="M77" i="14" s="1"/>
  <c r="O75" i="14"/>
  <c r="O77" i="14" s="1"/>
  <c r="G51" i="149"/>
  <c r="G53" i="149" s="1"/>
  <c r="G55" i="149" s="1"/>
  <c r="K49" i="142"/>
  <c r="I125" i="10"/>
  <c r="O125" i="10"/>
  <c r="I46" i="133"/>
  <c r="K58" i="75"/>
  <c r="K60" i="75" s="1"/>
  <c r="O58" i="75"/>
  <c r="O60" i="75" s="1"/>
  <c r="N9" i="149"/>
  <c r="P9" i="149"/>
  <c r="R9" i="149"/>
  <c r="K55" i="149"/>
  <c r="M55" i="149"/>
  <c r="I51" i="149"/>
  <c r="K55" i="132" l="1"/>
  <c r="K57" i="132" s="1"/>
  <c r="J9" i="132" s="1"/>
  <c r="I147" i="61"/>
  <c r="I151" i="61"/>
  <c r="I21" i="61"/>
  <c r="C15" i="20" s="1"/>
  <c r="S125" i="10"/>
  <c r="M125" i="10"/>
  <c r="Q182" i="10"/>
  <c r="S182" i="10"/>
  <c r="I21" i="139"/>
  <c r="C52" i="20" s="1"/>
  <c r="I159" i="139"/>
  <c r="D41" i="49"/>
  <c r="S84" i="145"/>
  <c r="S26" i="145" s="1"/>
  <c r="O84" i="145"/>
  <c r="O26" i="145" s="1"/>
  <c r="M84" i="145"/>
  <c r="M26" i="145" s="1"/>
  <c r="K84" i="145"/>
  <c r="K26" i="145" s="1"/>
  <c r="I84" i="145"/>
  <c r="I26" i="145" s="1"/>
  <c r="Q84" i="145"/>
  <c r="Q26" i="145" s="1"/>
  <c r="Q95" i="145" s="1"/>
  <c r="S21" i="16"/>
  <c r="S165" i="16" s="1"/>
  <c r="S167" i="16" s="1"/>
  <c r="O21" i="16"/>
  <c r="O165" i="16" s="1"/>
  <c r="Q21" i="16"/>
  <c r="Q165" i="16" s="1"/>
  <c r="Q167" i="16" s="1"/>
  <c r="M21" i="16"/>
  <c r="M165" i="16" s="1"/>
  <c r="M167" i="16" s="1"/>
  <c r="M169" i="16" s="1"/>
  <c r="L9" i="16" s="1"/>
  <c r="J9" i="75"/>
  <c r="M226" i="134" s="1"/>
  <c r="N9" i="75"/>
  <c r="C28" i="20"/>
  <c r="Q125" i="10"/>
  <c r="I265" i="95"/>
  <c r="I269" i="95" s="1"/>
  <c r="O21" i="95"/>
  <c r="O229" i="95" s="1"/>
  <c r="O269" i="95"/>
  <c r="M21" i="95"/>
  <c r="M229" i="95" s="1"/>
  <c r="M269" i="95"/>
  <c r="K21" i="95"/>
  <c r="K229" i="95" s="1"/>
  <c r="K269" i="95"/>
  <c r="Q21" i="95"/>
  <c r="Q229" i="95" s="1"/>
  <c r="Q270" i="95" s="1"/>
  <c r="Q269" i="95"/>
  <c r="I21" i="3"/>
  <c r="O56" i="3"/>
  <c r="M56" i="3"/>
  <c r="O53" i="3"/>
  <c r="M53" i="3"/>
  <c r="O144" i="3"/>
  <c r="O21" i="3" s="1"/>
  <c r="O261" i="3" s="1"/>
  <c r="O263" i="3" s="1"/>
  <c r="O265" i="3" s="1"/>
  <c r="N10" i="3" s="1"/>
  <c r="M144" i="3"/>
  <c r="M21" i="3" s="1"/>
  <c r="M261" i="3" s="1"/>
  <c r="M263" i="3" s="1"/>
  <c r="M265" i="3" s="1"/>
  <c r="L10" i="3" s="1"/>
  <c r="I229" i="95"/>
  <c r="C49" i="20"/>
  <c r="K21" i="121"/>
  <c r="K141" i="121" s="1"/>
  <c r="K143" i="121" s="1"/>
  <c r="K145" i="121" s="1"/>
  <c r="J9" i="121" s="1"/>
  <c r="M21" i="121"/>
  <c r="M141" i="121" s="1"/>
  <c r="Q21" i="121"/>
  <c r="Q141" i="121" s="1"/>
  <c r="I21" i="121"/>
  <c r="O21" i="121"/>
  <c r="O141" i="121" s="1"/>
  <c r="O143" i="121" s="1"/>
  <c r="O145" i="121" s="1"/>
  <c r="N9" i="121" s="1"/>
  <c r="M143" i="121"/>
  <c r="M145" i="121" s="1"/>
  <c r="L9" i="121" s="1"/>
  <c r="Q143" i="121"/>
  <c r="Q145" i="121" s="1"/>
  <c r="P9" i="121" s="1"/>
  <c r="I141" i="121"/>
  <c r="I143" i="121" s="1"/>
  <c r="I145" i="121" s="1"/>
  <c r="S145" i="121"/>
  <c r="R9" i="121" s="1"/>
  <c r="G73" i="136"/>
  <c r="G75" i="136" s="1"/>
  <c r="I71" i="136"/>
  <c r="I73" i="136" s="1"/>
  <c r="I75" i="136" s="1"/>
  <c r="C45" i="20"/>
  <c r="C50" i="20"/>
  <c r="I165" i="16"/>
  <c r="I167" i="16" s="1"/>
  <c r="I169" i="16" s="1"/>
  <c r="Q21" i="112"/>
  <c r="G261" i="3"/>
  <c r="G263" i="3" s="1"/>
  <c r="G265" i="3" s="1"/>
  <c r="G21" i="3"/>
  <c r="U21" i="3"/>
  <c r="O21" i="13"/>
  <c r="O90" i="13" s="1"/>
  <c r="I21" i="13"/>
  <c r="I90" i="13" s="1"/>
  <c r="S21" i="13"/>
  <c r="S90" i="13" s="1"/>
  <c r="S92" i="13" s="1"/>
  <c r="S94" i="13" s="1"/>
  <c r="Q21" i="13"/>
  <c r="Q90" i="13" s="1"/>
  <c r="Q92" i="13" s="1"/>
  <c r="Q94" i="13" s="1"/>
  <c r="K21" i="13"/>
  <c r="M130" i="13"/>
  <c r="M21" i="13"/>
  <c r="G112" i="61"/>
  <c r="G114" i="61" s="1"/>
  <c r="I146" i="112"/>
  <c r="M148" i="112"/>
  <c r="M108" i="112"/>
  <c r="M110" i="112" s="1"/>
  <c r="L9" i="112" s="1"/>
  <c r="U108" i="112"/>
  <c r="U110" i="112" s="1"/>
  <c r="T9" i="112" s="1"/>
  <c r="U147" i="112"/>
  <c r="U148" i="112" s="1"/>
  <c r="O146" i="112"/>
  <c r="K165" i="16"/>
  <c r="K167" i="16" s="1"/>
  <c r="K169" i="16" s="1"/>
  <c r="J9" i="16" s="1"/>
  <c r="I161" i="139"/>
  <c r="I168" i="139" s="1"/>
  <c r="I171" i="139" s="1"/>
  <c r="I172" i="139" s="1"/>
  <c r="G60" i="46"/>
  <c r="K21" i="3"/>
  <c r="K95" i="145"/>
  <c r="M95" i="145"/>
  <c r="S95" i="145"/>
  <c r="O95" i="145"/>
  <c r="G24" i="121"/>
  <c r="G23" i="121"/>
  <c r="Q263" i="3"/>
  <c r="Q265" i="3" s="1"/>
  <c r="P10" i="3" s="1"/>
  <c r="N9" i="150"/>
  <c r="B91" i="150"/>
  <c r="H57" i="20" s="1"/>
  <c r="K57" i="20" s="1"/>
  <c r="H9" i="150"/>
  <c r="L9" i="150"/>
  <c r="J9" i="150"/>
  <c r="G54" i="150"/>
  <c r="G56" i="150" s="1"/>
  <c r="C8" i="20"/>
  <c r="G58" i="2"/>
  <c r="G60" i="2" s="1"/>
  <c r="R9" i="139"/>
  <c r="N9" i="143"/>
  <c r="P9" i="143"/>
  <c r="I51" i="143"/>
  <c r="L9" i="143"/>
  <c r="S108" i="112"/>
  <c r="S110" i="112" s="1"/>
  <c r="P9" i="136"/>
  <c r="L9" i="136"/>
  <c r="I82" i="137"/>
  <c r="I84" i="137" s="1"/>
  <c r="I53" i="144"/>
  <c r="I55" i="144"/>
  <c r="P9" i="144"/>
  <c r="K58" i="46"/>
  <c r="K60" i="46" s="1"/>
  <c r="G231" i="95"/>
  <c r="G233" i="95" s="1"/>
  <c r="P9" i="140"/>
  <c r="G229" i="140"/>
  <c r="G231" i="140" s="1"/>
  <c r="K229" i="140"/>
  <c r="K231" i="140" s="1"/>
  <c r="G112" i="141"/>
  <c r="G114" i="141" s="1"/>
  <c r="K112" i="141"/>
  <c r="K114" i="141" s="1"/>
  <c r="N9" i="14"/>
  <c r="L9" i="14"/>
  <c r="I75" i="14"/>
  <c r="I77" i="14" s="1"/>
  <c r="G75" i="14"/>
  <c r="G77" i="14" s="1"/>
  <c r="H9" i="133"/>
  <c r="I53" i="149"/>
  <c r="I55" i="149" s="1"/>
  <c r="L9" i="149"/>
  <c r="J9" i="149"/>
  <c r="I123" i="139" l="1"/>
  <c r="I226" i="134"/>
  <c r="B84" i="133"/>
  <c r="S169" i="16"/>
  <c r="R9" i="16" s="1"/>
  <c r="Q169" i="16"/>
  <c r="P9" i="16" s="1"/>
  <c r="O167" i="16"/>
  <c r="O169" i="16"/>
  <c r="N9" i="16" s="1"/>
  <c r="Q271" i="95"/>
  <c r="K231" i="95"/>
  <c r="K233" i="95" s="1"/>
  <c r="J9" i="95" s="1"/>
  <c r="K270" i="95"/>
  <c r="K271" i="95" s="1"/>
  <c r="M231" i="95"/>
  <c r="M270" i="95"/>
  <c r="M271" i="95" s="1"/>
  <c r="M233" i="95"/>
  <c r="L9" i="95" s="1"/>
  <c r="Q231" i="95"/>
  <c r="Q233" i="95" s="1"/>
  <c r="P9" i="95" s="1"/>
  <c r="O231" i="95"/>
  <c r="O233" i="95" s="1"/>
  <c r="N9" i="95" s="1"/>
  <c r="O270" i="95"/>
  <c r="O271" i="95" s="1"/>
  <c r="C9" i="20"/>
  <c r="I231" i="95"/>
  <c r="I233" i="95" s="1"/>
  <c r="I270" i="95"/>
  <c r="I271" i="95" s="1"/>
  <c r="F58" i="20"/>
  <c r="H9" i="121"/>
  <c r="B180" i="121"/>
  <c r="F44" i="20"/>
  <c r="I106" i="112"/>
  <c r="I147" i="112" s="1"/>
  <c r="I148" i="112" s="1"/>
  <c r="B204" i="16"/>
  <c r="H50" i="20" s="1"/>
  <c r="K50" i="20" s="1"/>
  <c r="H9" i="16"/>
  <c r="K261" i="3"/>
  <c r="K263" i="3" s="1"/>
  <c r="K265" i="3" s="1"/>
  <c r="U261" i="3"/>
  <c r="U263" i="3" s="1"/>
  <c r="U265" i="3" s="1"/>
  <c r="K90" i="13"/>
  <c r="K131" i="13" s="1"/>
  <c r="K132" i="13" s="1"/>
  <c r="I92" i="13"/>
  <c r="I94" i="13" s="1"/>
  <c r="I131" i="13"/>
  <c r="I132" i="13" s="1"/>
  <c r="O92" i="13"/>
  <c r="O94" i="13" s="1"/>
  <c r="O131" i="13"/>
  <c r="O132" i="13" s="1"/>
  <c r="Q108" i="112"/>
  <c r="Q110" i="112" s="1"/>
  <c r="P9" i="112" s="1"/>
  <c r="Q147" i="112"/>
  <c r="Q148" i="112" s="1"/>
  <c r="O108" i="112"/>
  <c r="O110" i="112" s="1"/>
  <c r="N9" i="112" s="1"/>
  <c r="O147" i="112"/>
  <c r="O148" i="112" s="1"/>
  <c r="I125" i="139"/>
  <c r="I127" i="139" s="1"/>
  <c r="I162" i="139"/>
  <c r="I163" i="139" s="1"/>
  <c r="G141" i="121"/>
  <c r="G143" i="121" s="1"/>
  <c r="G145" i="121" s="1"/>
  <c r="I53" i="143"/>
  <c r="I55" i="143"/>
  <c r="R9" i="112"/>
  <c r="B110" i="136"/>
  <c r="H45" i="20" s="1"/>
  <c r="K45" i="20" s="1"/>
  <c r="H9" i="136"/>
  <c r="B119" i="137"/>
  <c r="H46" i="20" s="1"/>
  <c r="H9" i="137"/>
  <c r="B90" i="144"/>
  <c r="H9" i="144"/>
  <c r="H48" i="20"/>
  <c r="J9" i="46"/>
  <c r="J9" i="140"/>
  <c r="K178" i="139" s="1"/>
  <c r="H55" i="20"/>
  <c r="J9" i="141"/>
  <c r="K179" i="139" s="1"/>
  <c r="B112" i="14"/>
  <c r="H9" i="14"/>
  <c r="B90" i="149"/>
  <c r="H9" i="149"/>
  <c r="K55" i="20" l="1"/>
  <c r="I55" i="20"/>
  <c r="H9" i="139"/>
  <c r="I177" i="139" s="1"/>
  <c r="B162" i="139"/>
  <c r="H9" i="95"/>
  <c r="B268" i="95"/>
  <c r="H49" i="20" s="1"/>
  <c r="K49" i="20" s="1"/>
  <c r="I108" i="112"/>
  <c r="I110" i="112" s="1"/>
  <c r="H9" i="112" s="1"/>
  <c r="J10" i="3"/>
  <c r="T10" i="3"/>
  <c r="H56" i="20"/>
  <c r="G56" i="20"/>
  <c r="H60" i="20"/>
  <c r="B90" i="143"/>
  <c r="H37" i="20" s="1"/>
  <c r="K37" i="20" s="1"/>
  <c r="H9" i="143"/>
  <c r="C25" i="20"/>
  <c r="S21" i="130"/>
  <c r="S51" i="130" s="1"/>
  <c r="Q21" i="130"/>
  <c r="Q51" i="130" s="1"/>
  <c r="O21" i="130"/>
  <c r="M21" i="130"/>
  <c r="K21" i="130"/>
  <c r="K51" i="130" s="1"/>
  <c r="O51" i="130"/>
  <c r="M51" i="130"/>
  <c r="I51" i="130"/>
  <c r="B5" i="130"/>
  <c r="D25" i="130"/>
  <c r="I21" i="148"/>
  <c r="C40" i="20" s="1"/>
  <c r="I151" i="6"/>
  <c r="D17" i="20" s="1"/>
  <c r="S164" i="6"/>
  <c r="Q164" i="6"/>
  <c r="O164" i="6"/>
  <c r="M164" i="6"/>
  <c r="M51" i="129"/>
  <c r="I51" i="129"/>
  <c r="O51" i="129"/>
  <c r="S21" i="129"/>
  <c r="S51" i="129" s="1"/>
  <c r="B145" i="112" l="1"/>
  <c r="K56" i="20"/>
  <c r="K60" i="20"/>
  <c r="G24" i="129"/>
  <c r="Q25" i="129"/>
  <c r="Q21" i="129" s="1"/>
  <c r="G72" i="9"/>
  <c r="F173" i="9"/>
  <c r="G173" i="9" s="1"/>
  <c r="M173" i="9" s="1"/>
  <c r="Q25" i="9" l="1"/>
  <c r="Q235" i="9" s="1"/>
  <c r="O173" i="9"/>
  <c r="I173" i="9"/>
  <c r="K173" i="9"/>
  <c r="K25" i="9" s="1"/>
  <c r="S173" i="9"/>
  <c r="Q51" i="129"/>
  <c r="Z222" i="9"/>
  <c r="D225" i="9" s="1"/>
  <c r="G225" i="9" s="1"/>
  <c r="M225" i="9" s="1"/>
  <c r="Z160" i="9"/>
  <c r="D160" i="9" s="1"/>
  <c r="G160" i="9" s="1"/>
  <c r="M160" i="9" s="1"/>
  <c r="Z87" i="9"/>
  <c r="D87" i="9" s="1"/>
  <c r="G87" i="9" s="1"/>
  <c r="M87" i="9" s="1"/>
  <c r="Z64" i="9"/>
  <c r="D64" i="9" s="1"/>
  <c r="G64" i="9" s="1"/>
  <c r="M64" i="9" s="1"/>
  <c r="G172" i="9"/>
  <c r="G73" i="9"/>
  <c r="G93" i="9"/>
  <c r="G94" i="9"/>
  <c r="G153" i="9"/>
  <c r="G190" i="9"/>
  <c r="G191" i="9"/>
  <c r="G192" i="9"/>
  <c r="G193" i="9"/>
  <c r="X157" i="9"/>
  <c r="AB157" i="9" s="1"/>
  <c r="D157" i="9" s="1"/>
  <c r="G157" i="9" s="1"/>
  <c r="X156" i="9"/>
  <c r="AB156" i="9" s="1"/>
  <c r="D156" i="9" s="1"/>
  <c r="G156" i="9" s="1"/>
  <c r="X58" i="9"/>
  <c r="AB58" i="9" s="1"/>
  <c r="D58" i="9" s="1"/>
  <c r="G58" i="9" s="1"/>
  <c r="X59" i="9"/>
  <c r="AB59" i="9" s="1"/>
  <c r="D59" i="9" s="1"/>
  <c r="G59" i="9" s="1"/>
  <c r="X60" i="9"/>
  <c r="AB60" i="9" s="1"/>
  <c r="D60" i="9" s="1"/>
  <c r="G60" i="9" s="1"/>
  <c r="X61" i="9"/>
  <c r="AB61" i="9" s="1"/>
  <c r="D61" i="9" s="1"/>
  <c r="G61" i="9" s="1"/>
  <c r="X62" i="9"/>
  <c r="AB62" i="9" s="1"/>
  <c r="D62" i="9" s="1"/>
  <c r="G62" i="9" s="1"/>
  <c r="X63" i="9"/>
  <c r="AB63" i="9" s="1"/>
  <c r="D63" i="9" s="1"/>
  <c r="G63" i="9" s="1"/>
  <c r="X154" i="9"/>
  <c r="AB154" i="9" s="1"/>
  <c r="X80" i="9"/>
  <c r="AB80" i="9" s="1"/>
  <c r="X81" i="9"/>
  <c r="AB81" i="9" s="1"/>
  <c r="D81" i="9" s="1"/>
  <c r="X82" i="9"/>
  <c r="AB82" i="9" s="1"/>
  <c r="D82" i="9" s="1"/>
  <c r="G82" i="9" s="1"/>
  <c r="X83" i="9"/>
  <c r="AB83" i="9" s="1"/>
  <c r="X84" i="9"/>
  <c r="AB84" i="9" s="1"/>
  <c r="D84" i="9" s="1"/>
  <c r="X52" i="9"/>
  <c r="AB52" i="9" s="1"/>
  <c r="X53" i="9"/>
  <c r="AB53" i="9" s="1"/>
  <c r="D53" i="9" s="1"/>
  <c r="X54" i="9"/>
  <c r="AB54" i="9" s="1"/>
  <c r="D54" i="9" s="1"/>
  <c r="G54" i="9" s="1"/>
  <c r="X55" i="9"/>
  <c r="AB55" i="9" s="1"/>
  <c r="D55" i="9" s="1"/>
  <c r="G55" i="9" s="1"/>
  <c r="X56" i="9"/>
  <c r="AB56" i="9" s="1"/>
  <c r="X159" i="9"/>
  <c r="AB159" i="9" s="1"/>
  <c r="D159" i="9" s="1"/>
  <c r="G159" i="9" s="1"/>
  <c r="X158" i="9"/>
  <c r="AB158" i="9" s="1"/>
  <c r="D158" i="9" s="1"/>
  <c r="G158" i="9" s="1"/>
  <c r="X155" i="9"/>
  <c r="AB155" i="9" s="1"/>
  <c r="D155" i="9" s="1"/>
  <c r="G155" i="9" s="1"/>
  <c r="X153" i="9"/>
  <c r="AB153" i="9" s="1"/>
  <c r="X86" i="9"/>
  <c r="AB86" i="9" s="1"/>
  <c r="D86" i="9" s="1"/>
  <c r="G86" i="9" s="1"/>
  <c r="X85" i="9"/>
  <c r="AB85" i="9" s="1"/>
  <c r="D85" i="9" s="1"/>
  <c r="G85" i="9" s="1"/>
  <c r="X57" i="9"/>
  <c r="AB57" i="9" s="1"/>
  <c r="D57" i="9" s="1"/>
  <c r="G174" i="134"/>
  <c r="I174" i="134" s="1"/>
  <c r="K174" i="134" s="1"/>
  <c r="H47" i="20"/>
  <c r="K47" i="20" s="1"/>
  <c r="X75" i="9"/>
  <c r="AB75" i="9" s="1"/>
  <c r="X76" i="9"/>
  <c r="AB76" i="9" s="1"/>
  <c r="D76" i="9" s="1"/>
  <c r="G76" i="9" s="1"/>
  <c r="X77" i="9"/>
  <c r="AB77" i="9" s="1"/>
  <c r="D77" i="9" s="1"/>
  <c r="G77" i="9" s="1"/>
  <c r="X78" i="9"/>
  <c r="AB78" i="9" s="1"/>
  <c r="D78" i="9" s="1"/>
  <c r="G78" i="9" s="1"/>
  <c r="X79" i="9"/>
  <c r="AB79" i="9" s="1"/>
  <c r="D79" i="9" s="1"/>
  <c r="G79" i="9" s="1"/>
  <c r="X196" i="9"/>
  <c r="AB196" i="9" s="1"/>
  <c r="X197" i="9"/>
  <c r="AB197" i="9" s="1"/>
  <c r="D197" i="9" s="1"/>
  <c r="G197" i="9" s="1"/>
  <c r="X198" i="9"/>
  <c r="AB198" i="9" s="1"/>
  <c r="D198" i="9" s="1"/>
  <c r="G198" i="9" s="1"/>
  <c r="X199" i="9"/>
  <c r="AB199" i="9" s="1"/>
  <c r="D199" i="9" s="1"/>
  <c r="G199" i="9" s="1"/>
  <c r="X200" i="9"/>
  <c r="AB200" i="9" s="1"/>
  <c r="D200" i="9" s="1"/>
  <c r="G200" i="9" s="1"/>
  <c r="X201" i="9"/>
  <c r="AB201" i="9" s="1"/>
  <c r="D201" i="9" s="1"/>
  <c r="G201" i="9" s="1"/>
  <c r="X202" i="9"/>
  <c r="AB202" i="9" s="1"/>
  <c r="D202" i="9" s="1"/>
  <c r="G202" i="9" s="1"/>
  <c r="X203" i="9"/>
  <c r="AB203" i="9" s="1"/>
  <c r="D203" i="9" s="1"/>
  <c r="G203" i="9" s="1"/>
  <c r="X204" i="9"/>
  <c r="AB204" i="9" s="1"/>
  <c r="D204" i="9" s="1"/>
  <c r="G204" i="9" s="1"/>
  <c r="X205" i="9"/>
  <c r="AB205" i="9" s="1"/>
  <c r="D205" i="9" s="1"/>
  <c r="G205" i="9" s="1"/>
  <c r="X206" i="9"/>
  <c r="AB206" i="9" s="1"/>
  <c r="D206" i="9" s="1"/>
  <c r="G206" i="9" s="1"/>
  <c r="X207" i="9"/>
  <c r="AB207" i="9" s="1"/>
  <c r="D207" i="9" s="1"/>
  <c r="G207" i="9" s="1"/>
  <c r="X208" i="9"/>
  <c r="AB208" i="9" s="1"/>
  <c r="X209" i="9"/>
  <c r="AB209" i="9" s="1"/>
  <c r="D209" i="9" s="1"/>
  <c r="X210" i="9"/>
  <c r="AB210" i="9" s="1"/>
  <c r="D210" i="9" s="1"/>
  <c r="G210" i="9" s="1"/>
  <c r="X211" i="9"/>
  <c r="AB211" i="9" s="1"/>
  <c r="D211" i="9" s="1"/>
  <c r="G211" i="9" s="1"/>
  <c r="X212" i="9"/>
  <c r="AB212" i="9" s="1"/>
  <c r="D212" i="9" s="1"/>
  <c r="G212" i="9" s="1"/>
  <c r="X213" i="9"/>
  <c r="AB213" i="9" s="1"/>
  <c r="X214" i="9"/>
  <c r="AB214" i="9" s="1"/>
  <c r="D214" i="9" s="1"/>
  <c r="X215" i="9"/>
  <c r="AB215" i="9" s="1"/>
  <c r="D215" i="9" s="1"/>
  <c r="G215" i="9" s="1"/>
  <c r="X216" i="9"/>
  <c r="AB216" i="9" s="1"/>
  <c r="D216" i="9" s="1"/>
  <c r="G216" i="9" s="1"/>
  <c r="X217" i="9"/>
  <c r="AB217" i="9" s="1"/>
  <c r="D217" i="9" s="1"/>
  <c r="G217" i="9" s="1"/>
  <c r="X218" i="9"/>
  <c r="AB218" i="9" s="1"/>
  <c r="D218" i="9" s="1"/>
  <c r="G218" i="9" s="1"/>
  <c r="X219" i="9"/>
  <c r="AB219" i="9" s="1"/>
  <c r="D219" i="9" s="1"/>
  <c r="G219" i="9" s="1"/>
  <c r="X220" i="9"/>
  <c r="AB220" i="9" s="1"/>
  <c r="D220" i="9" s="1"/>
  <c r="G220" i="9" s="1"/>
  <c r="D221" i="9"/>
  <c r="G221" i="9" s="1"/>
  <c r="A197" i="9"/>
  <c r="X37" i="9"/>
  <c r="AB37" i="9" s="1"/>
  <c r="X38" i="9"/>
  <c r="AB38" i="9" s="1"/>
  <c r="D38" i="9" s="1"/>
  <c r="G38" i="9" s="1"/>
  <c r="X39" i="9"/>
  <c r="AB39" i="9" s="1"/>
  <c r="D39" i="9" s="1"/>
  <c r="G39" i="9" s="1"/>
  <c r="X40" i="9"/>
  <c r="AB40" i="9" s="1"/>
  <c r="D40" i="9" s="1"/>
  <c r="G40" i="9" s="1"/>
  <c r="X41" i="9"/>
  <c r="AB41" i="9" s="1"/>
  <c r="D41" i="9" s="1"/>
  <c r="G41" i="9" s="1"/>
  <c r="X42" i="9"/>
  <c r="AB42" i="9" s="1"/>
  <c r="D42" i="9" s="1"/>
  <c r="G42" i="9" s="1"/>
  <c r="X43" i="9"/>
  <c r="AB43" i="9" s="1"/>
  <c r="D43" i="9" s="1"/>
  <c r="G43" i="9" s="1"/>
  <c r="X44" i="9"/>
  <c r="AB44" i="9" s="1"/>
  <c r="D44" i="9" s="1"/>
  <c r="G44" i="9" s="1"/>
  <c r="X45" i="9"/>
  <c r="AB45" i="9" s="1"/>
  <c r="D45" i="9" s="1"/>
  <c r="G45" i="9" s="1"/>
  <c r="X46" i="9"/>
  <c r="AB46" i="9" s="1"/>
  <c r="D46" i="9" s="1"/>
  <c r="G46" i="9" s="1"/>
  <c r="X47" i="9"/>
  <c r="AB47" i="9" s="1"/>
  <c r="D47" i="9" s="1"/>
  <c r="G47" i="9" s="1"/>
  <c r="X48" i="9"/>
  <c r="AB48" i="9" s="1"/>
  <c r="D48" i="9" s="1"/>
  <c r="G48" i="9" s="1"/>
  <c r="X49" i="9"/>
  <c r="AB49" i="9" s="1"/>
  <c r="D49" i="9" s="1"/>
  <c r="G49" i="9" s="1"/>
  <c r="X50" i="9"/>
  <c r="AB50" i="9" s="1"/>
  <c r="D50" i="9" s="1"/>
  <c r="G50" i="9" s="1"/>
  <c r="X51" i="9"/>
  <c r="AB51" i="9" s="1"/>
  <c r="D51" i="9" s="1"/>
  <c r="G51" i="9" s="1"/>
  <c r="X96" i="9"/>
  <c r="AB96" i="9" s="1"/>
  <c r="X97" i="9"/>
  <c r="AB97" i="9" s="1"/>
  <c r="D97" i="9" s="1"/>
  <c r="G97" i="9" s="1"/>
  <c r="X98" i="9"/>
  <c r="AB98" i="9" s="1"/>
  <c r="D98" i="9" s="1"/>
  <c r="G98" i="9" s="1"/>
  <c r="X99" i="9"/>
  <c r="AB99" i="9" s="1"/>
  <c r="D99" i="9" s="1"/>
  <c r="G99" i="9" s="1"/>
  <c r="X100" i="9"/>
  <c r="AB100" i="9" s="1"/>
  <c r="D100" i="9" s="1"/>
  <c r="G100" i="9" s="1"/>
  <c r="X101" i="9"/>
  <c r="AB101" i="9" s="1"/>
  <c r="D101" i="9" s="1"/>
  <c r="G101" i="9" s="1"/>
  <c r="X102" i="9"/>
  <c r="AB102" i="9" s="1"/>
  <c r="D102" i="9" s="1"/>
  <c r="G102" i="9" s="1"/>
  <c r="X103" i="9"/>
  <c r="AB103" i="9" s="1"/>
  <c r="D103" i="9" s="1"/>
  <c r="G103" i="9" s="1"/>
  <c r="X104" i="9"/>
  <c r="AB104" i="9" s="1"/>
  <c r="D104" i="9" s="1"/>
  <c r="G104" i="9" s="1"/>
  <c r="X105" i="9"/>
  <c r="AB105" i="9" s="1"/>
  <c r="D105" i="9" s="1"/>
  <c r="G105" i="9" s="1"/>
  <c r="X106" i="9"/>
  <c r="AB106" i="9" s="1"/>
  <c r="D106" i="9" s="1"/>
  <c r="G106" i="9" s="1"/>
  <c r="X107" i="9"/>
  <c r="AB107" i="9" s="1"/>
  <c r="D107" i="9" s="1"/>
  <c r="G107" i="9" s="1"/>
  <c r="X108" i="9"/>
  <c r="AB108" i="9" s="1"/>
  <c r="D108" i="9" s="1"/>
  <c r="G108" i="9" s="1"/>
  <c r="X109" i="9"/>
  <c r="AB109" i="9" s="1"/>
  <c r="D109" i="9" s="1"/>
  <c r="G109" i="9" s="1"/>
  <c r="X110" i="9"/>
  <c r="AB110" i="9" s="1"/>
  <c r="D110" i="9" s="1"/>
  <c r="G110" i="9" s="1"/>
  <c r="X111" i="9"/>
  <c r="AB111" i="9" s="1"/>
  <c r="D111" i="9" s="1"/>
  <c r="G111" i="9" s="1"/>
  <c r="X112" i="9"/>
  <c r="AB112" i="9" s="1"/>
  <c r="D112" i="9" s="1"/>
  <c r="G112" i="9" s="1"/>
  <c r="X113" i="9"/>
  <c r="AB113" i="9" s="1"/>
  <c r="D113" i="9" s="1"/>
  <c r="G113" i="9" s="1"/>
  <c r="X114" i="9"/>
  <c r="AB114" i="9" s="1"/>
  <c r="D114" i="9" s="1"/>
  <c r="G114" i="9" s="1"/>
  <c r="X115" i="9"/>
  <c r="AB115" i="9" s="1"/>
  <c r="D115" i="9" s="1"/>
  <c r="G115" i="9" s="1"/>
  <c r="X116" i="9"/>
  <c r="AB116" i="9" s="1"/>
  <c r="D116" i="9" s="1"/>
  <c r="G116" i="9" s="1"/>
  <c r="X117" i="9"/>
  <c r="AB117" i="9" s="1"/>
  <c r="D117" i="9" s="1"/>
  <c r="G117" i="9" s="1"/>
  <c r="X118" i="9"/>
  <c r="AB118" i="9" s="1"/>
  <c r="D118" i="9" s="1"/>
  <c r="G118" i="9" s="1"/>
  <c r="X119" i="9"/>
  <c r="AB119" i="9" s="1"/>
  <c r="D119" i="9" s="1"/>
  <c r="G119" i="9" s="1"/>
  <c r="X120" i="9"/>
  <c r="AB120" i="9" s="1"/>
  <c r="D120" i="9" s="1"/>
  <c r="G120" i="9" s="1"/>
  <c r="X121" i="9"/>
  <c r="AB121" i="9" s="1"/>
  <c r="D121" i="9" s="1"/>
  <c r="G121" i="9" s="1"/>
  <c r="X122" i="9"/>
  <c r="AB122" i="9" s="1"/>
  <c r="D122" i="9" s="1"/>
  <c r="G122" i="9" s="1"/>
  <c r="X123" i="9"/>
  <c r="AB123" i="9" s="1"/>
  <c r="D123" i="9" s="1"/>
  <c r="G123" i="9" s="1"/>
  <c r="X124" i="9"/>
  <c r="AB124" i="9" s="1"/>
  <c r="D124" i="9" s="1"/>
  <c r="G124" i="9" s="1"/>
  <c r="X125" i="9"/>
  <c r="AB125" i="9" s="1"/>
  <c r="D125" i="9" s="1"/>
  <c r="G125" i="9" s="1"/>
  <c r="X126" i="9"/>
  <c r="AB126" i="9" s="1"/>
  <c r="D126" i="9" s="1"/>
  <c r="G126" i="9" s="1"/>
  <c r="X127" i="9"/>
  <c r="AB127" i="9" s="1"/>
  <c r="D127" i="9" s="1"/>
  <c r="G127" i="9" s="1"/>
  <c r="X128" i="9"/>
  <c r="AB128" i="9" s="1"/>
  <c r="D128" i="9" s="1"/>
  <c r="G128" i="9" s="1"/>
  <c r="X129" i="9"/>
  <c r="AB129" i="9" s="1"/>
  <c r="D129" i="9" s="1"/>
  <c r="G129" i="9" s="1"/>
  <c r="X130" i="9"/>
  <c r="AB130" i="9" s="1"/>
  <c r="D130" i="9" s="1"/>
  <c r="G130" i="9" s="1"/>
  <c r="X131" i="9"/>
  <c r="AB131" i="9" s="1"/>
  <c r="X132" i="9"/>
  <c r="AB132" i="9" s="1"/>
  <c r="X133" i="9"/>
  <c r="AB133" i="9" s="1"/>
  <c r="D133" i="9" s="1"/>
  <c r="G133" i="9" s="1"/>
  <c r="X134" i="9"/>
  <c r="AB134" i="9" s="1"/>
  <c r="D134" i="9" s="1"/>
  <c r="G134" i="9" s="1"/>
  <c r="X135" i="9"/>
  <c r="AB135" i="9" s="1"/>
  <c r="D135" i="9" s="1"/>
  <c r="G135" i="9" s="1"/>
  <c r="X136" i="9"/>
  <c r="AB136" i="9" s="1"/>
  <c r="D136" i="9" s="1"/>
  <c r="G136" i="9" s="1"/>
  <c r="X137" i="9"/>
  <c r="AB137" i="9" s="1"/>
  <c r="D137" i="9" s="1"/>
  <c r="G137" i="9" s="1"/>
  <c r="X138" i="9"/>
  <c r="AB138" i="9" s="1"/>
  <c r="D138" i="9" s="1"/>
  <c r="G138" i="9" s="1"/>
  <c r="X139" i="9"/>
  <c r="AB139" i="9" s="1"/>
  <c r="D139" i="9" s="1"/>
  <c r="G139" i="9" s="1"/>
  <c r="X140" i="9"/>
  <c r="AB140" i="9" s="1"/>
  <c r="D140" i="9" s="1"/>
  <c r="G140" i="9" s="1"/>
  <c r="X141" i="9"/>
  <c r="AB141" i="9" s="1"/>
  <c r="D141" i="9" s="1"/>
  <c r="G141" i="9" s="1"/>
  <c r="X142" i="9"/>
  <c r="AB142" i="9" s="1"/>
  <c r="D142" i="9" s="1"/>
  <c r="G142" i="9" s="1"/>
  <c r="X143" i="9"/>
  <c r="AB143" i="9" s="1"/>
  <c r="D143" i="9" s="1"/>
  <c r="G143" i="9" s="1"/>
  <c r="X144" i="9"/>
  <c r="AB144" i="9" s="1"/>
  <c r="D144" i="9" s="1"/>
  <c r="G144" i="9" s="1"/>
  <c r="X145" i="9"/>
  <c r="AB145" i="9" s="1"/>
  <c r="D145" i="9" s="1"/>
  <c r="G145" i="9" s="1"/>
  <c r="X146" i="9"/>
  <c r="AB146" i="9" s="1"/>
  <c r="D146" i="9" s="1"/>
  <c r="G146" i="9" s="1"/>
  <c r="X147" i="9"/>
  <c r="AB147" i="9" s="1"/>
  <c r="D147" i="9" s="1"/>
  <c r="G147" i="9" s="1"/>
  <c r="X148" i="9"/>
  <c r="AB148" i="9" s="1"/>
  <c r="D148" i="9" s="1"/>
  <c r="G148" i="9" s="1"/>
  <c r="X149" i="9"/>
  <c r="AB149" i="9" s="1"/>
  <c r="D149" i="9" s="1"/>
  <c r="G149" i="9" s="1"/>
  <c r="X150" i="9"/>
  <c r="AB150" i="9" s="1"/>
  <c r="D150" i="9" s="1"/>
  <c r="G150" i="9" s="1"/>
  <c r="X151" i="9"/>
  <c r="AB151" i="9" s="1"/>
  <c r="D151" i="9" s="1"/>
  <c r="G151" i="9" s="1"/>
  <c r="X152" i="9"/>
  <c r="AB152" i="9" s="1"/>
  <c r="D152" i="9" s="1"/>
  <c r="G152" i="9" s="1"/>
  <c r="X36" i="9"/>
  <c r="AB36" i="9" s="1"/>
  <c r="D36" i="9" s="1"/>
  <c r="G36" i="9" s="1"/>
  <c r="X35" i="9"/>
  <c r="AB35" i="9" s="1"/>
  <c r="D35" i="9" s="1"/>
  <c r="G35" i="9" s="1"/>
  <c r="X34" i="9"/>
  <c r="AB34" i="9" s="1"/>
  <c r="D34" i="9" s="1"/>
  <c r="G34" i="9" s="1"/>
  <c r="X33" i="9"/>
  <c r="AB33" i="9" s="1"/>
  <c r="D33" i="9" s="1"/>
  <c r="G33" i="9" s="1"/>
  <c r="X32" i="9"/>
  <c r="Y32" i="9"/>
  <c r="M174" i="134" l="1"/>
  <c r="I225" i="9"/>
  <c r="K225" i="9"/>
  <c r="K193" i="9" s="1"/>
  <c r="K235" i="9"/>
  <c r="I87" i="9"/>
  <c r="S87" i="9"/>
  <c r="I160" i="9"/>
  <c r="S160" i="9"/>
  <c r="I64" i="9"/>
  <c r="S64" i="9"/>
  <c r="S25" i="9" s="1"/>
  <c r="S235" i="9" s="1"/>
  <c r="G214" i="9"/>
  <c r="D213" i="9"/>
  <c r="G213" i="9" s="1"/>
  <c r="G209" i="9"/>
  <c r="D208" i="9"/>
  <c r="G208" i="9" s="1"/>
  <c r="G57" i="9"/>
  <c r="D56" i="9"/>
  <c r="G56" i="9" s="1"/>
  <c r="D154" i="9"/>
  <c r="G154" i="9" s="1"/>
  <c r="G84" i="9"/>
  <c r="D83" i="9"/>
  <c r="G83" i="9" s="1"/>
  <c r="G81" i="9"/>
  <c r="D80" i="9"/>
  <c r="G80" i="9" s="1"/>
  <c r="G53" i="9"/>
  <c r="D52" i="9"/>
  <c r="G52" i="9" s="1"/>
  <c r="AA222" i="9"/>
  <c r="D161" i="6" s="1"/>
  <c r="G161" i="6" s="1"/>
  <c r="Y222" i="9"/>
  <c r="AB222" i="9"/>
  <c r="D226" i="9" s="1"/>
  <c r="G226" i="9" s="1"/>
  <c r="D196" i="9"/>
  <c r="D96" i="9"/>
  <c r="AB160" i="9"/>
  <c r="D161" i="9" s="1"/>
  <c r="G161" i="9" s="1"/>
  <c r="M161" i="9" s="1"/>
  <c r="AA160" i="9"/>
  <c r="D138" i="6" s="1"/>
  <c r="G138" i="6" s="1"/>
  <c r="Y160" i="9"/>
  <c r="D131" i="9"/>
  <c r="G131" i="9" s="1"/>
  <c r="D132" i="9"/>
  <c r="G132" i="9" s="1"/>
  <c r="AA87" i="9"/>
  <c r="D135" i="6" s="1"/>
  <c r="G135" i="6" s="1"/>
  <c r="K135" i="6" s="1"/>
  <c r="Y87" i="9"/>
  <c r="D75" i="9"/>
  <c r="AB87" i="9"/>
  <c r="D88" i="9" s="1"/>
  <c r="G88" i="9" s="1"/>
  <c r="M88" i="9" s="1"/>
  <c r="D37" i="9"/>
  <c r="G37" i="9" s="1"/>
  <c r="AB32" i="9"/>
  <c r="AB64" i="9" s="1"/>
  <c r="D65" i="9" s="1"/>
  <c r="G65" i="9" s="1"/>
  <c r="M65" i="9" s="1"/>
  <c r="M25" i="9" l="1"/>
  <c r="O193" i="9"/>
  <c r="M226" i="9"/>
  <c r="M193" i="9" s="1"/>
  <c r="I275" i="9"/>
  <c r="I25" i="9"/>
  <c r="C24" i="20" s="1"/>
  <c r="O25" i="9"/>
  <c r="G196" i="9"/>
  <c r="D195" i="9"/>
  <c r="G195" i="9" s="1"/>
  <c r="G96" i="9"/>
  <c r="D95" i="9"/>
  <c r="G95" i="9" s="1"/>
  <c r="G75" i="9"/>
  <c r="D74" i="9"/>
  <c r="G74" i="9" s="1"/>
  <c r="I138" i="6"/>
  <c r="K138" i="6"/>
  <c r="I161" i="6"/>
  <c r="I157" i="6" s="1"/>
  <c r="E17" i="20" s="1"/>
  <c r="K161" i="6"/>
  <c r="K157" i="6" s="1"/>
  <c r="Y64" i="9"/>
  <c r="AA64" i="9"/>
  <c r="D132" i="6" s="1"/>
  <c r="G132" i="6" s="1"/>
  <c r="K132" i="6" s="1"/>
  <c r="D32" i="9"/>
  <c r="M235" i="9" l="1"/>
  <c r="O235" i="9"/>
  <c r="G32" i="9"/>
  <c r="D31" i="9"/>
  <c r="G31" i="9" s="1"/>
  <c r="A111" i="9"/>
  <c r="G25" i="147"/>
  <c r="I25" i="147" s="1"/>
  <c r="A103" i="9"/>
  <c r="A99" i="9"/>
  <c r="A123" i="9"/>
  <c r="A121" i="9"/>
  <c r="G73" i="134"/>
  <c r="I73" i="134" s="1"/>
  <c r="K73" i="134" s="1"/>
  <c r="G72" i="134"/>
  <c r="G69" i="134"/>
  <c r="G67" i="134"/>
  <c r="G65" i="134"/>
  <c r="G59" i="134"/>
  <c r="G57" i="134"/>
  <c r="G40" i="134"/>
  <c r="G50" i="134"/>
  <c r="G48" i="134"/>
  <c r="G46" i="134"/>
  <c r="G44" i="134"/>
  <c r="D42" i="134"/>
  <c r="G42" i="134" s="1"/>
  <c r="D38" i="134"/>
  <c r="G38" i="134" s="1"/>
  <c r="S52" i="148"/>
  <c r="S54" i="148" s="1"/>
  <c r="S56" i="148" s="1"/>
  <c r="Q52" i="148"/>
  <c r="Q54" i="148" s="1"/>
  <c r="Q56" i="148" s="1"/>
  <c r="O52" i="148"/>
  <c r="O54" i="148" s="1"/>
  <c r="M52" i="148"/>
  <c r="M54" i="148" s="1"/>
  <c r="M56" i="148" s="1"/>
  <c r="K52" i="148"/>
  <c r="K54" i="148" s="1"/>
  <c r="K56" i="148" s="1"/>
  <c r="G49" i="148"/>
  <c r="G48" i="148"/>
  <c r="G47" i="148"/>
  <c r="G46" i="148"/>
  <c r="G45" i="148"/>
  <c r="G44" i="148"/>
  <c r="G43" i="148"/>
  <c r="G42" i="148"/>
  <c r="G41" i="148"/>
  <c r="G40" i="148"/>
  <c r="G39" i="148"/>
  <c r="G38" i="148"/>
  <c r="G37" i="148"/>
  <c r="G36" i="148"/>
  <c r="G35" i="148"/>
  <c r="G34" i="148"/>
  <c r="G33" i="148"/>
  <c r="G32" i="148"/>
  <c r="G31" i="148"/>
  <c r="G30" i="148"/>
  <c r="G29" i="148"/>
  <c r="G28" i="148"/>
  <c r="G27" i="148"/>
  <c r="G26" i="148"/>
  <c r="G25" i="148"/>
  <c r="G24" i="148"/>
  <c r="B5" i="148"/>
  <c r="G28" i="147"/>
  <c r="I28" i="147" s="1"/>
  <c r="G29" i="147"/>
  <c r="I29" i="147" s="1"/>
  <c r="G30" i="147"/>
  <c r="I30" i="147" s="1"/>
  <c r="G50" i="147"/>
  <c r="I50" i="147" s="1"/>
  <c r="G49" i="147"/>
  <c r="I49" i="147" s="1"/>
  <c r="G48" i="147"/>
  <c r="I48" i="147" s="1"/>
  <c r="G47" i="147"/>
  <c r="I47" i="147" s="1"/>
  <c r="G46" i="147"/>
  <c r="I46" i="147" s="1"/>
  <c r="G45" i="147"/>
  <c r="I45" i="147" s="1"/>
  <c r="G44" i="147"/>
  <c r="I44" i="147" s="1"/>
  <c r="G43" i="147"/>
  <c r="I43" i="147" s="1"/>
  <c r="G42" i="147"/>
  <c r="I42" i="147" s="1"/>
  <c r="G41" i="147"/>
  <c r="I41" i="147" s="1"/>
  <c r="G40" i="147"/>
  <c r="I40" i="147" s="1"/>
  <c r="G39" i="147"/>
  <c r="I39" i="147" s="1"/>
  <c r="G38" i="147"/>
  <c r="I38" i="147" s="1"/>
  <c r="G37" i="147"/>
  <c r="I37" i="147" s="1"/>
  <c r="G36" i="147"/>
  <c r="I36" i="147" s="1"/>
  <c r="G35" i="147"/>
  <c r="I35" i="147" s="1"/>
  <c r="G34" i="147"/>
  <c r="I34" i="147" s="1"/>
  <c r="G33" i="147"/>
  <c r="I33" i="147" s="1"/>
  <c r="G32" i="147"/>
  <c r="I32" i="147" s="1"/>
  <c r="G31" i="147"/>
  <c r="I31" i="147" s="1"/>
  <c r="G22" i="147"/>
  <c r="I22" i="147" s="1"/>
  <c r="B5" i="147"/>
  <c r="D154" i="134"/>
  <c r="G154" i="134" s="1"/>
  <c r="D152" i="134"/>
  <c r="G152" i="134" s="1"/>
  <c r="M73" i="134" l="1"/>
  <c r="K215" i="134"/>
  <c r="I21" i="147"/>
  <c r="G52" i="148"/>
  <c r="G54" i="148" s="1"/>
  <c r="J9" i="148"/>
  <c r="I52" i="148"/>
  <c r="L9" i="148"/>
  <c r="P9" i="148"/>
  <c r="R9" i="148"/>
  <c r="O56" i="148"/>
  <c r="G51" i="147"/>
  <c r="A48" i="9"/>
  <c r="A41" i="9"/>
  <c r="G56" i="148" l="1"/>
  <c r="N9" i="148"/>
  <c r="I54" i="148"/>
  <c r="I56" i="148"/>
  <c r="G53" i="147"/>
  <c r="G55" i="147" s="1"/>
  <c r="D163" i="134"/>
  <c r="D122" i="134"/>
  <c r="G122" i="134" s="1"/>
  <c r="D138" i="134"/>
  <c r="G138" i="134" s="1"/>
  <c r="D136" i="134"/>
  <c r="G136" i="134" s="1"/>
  <c r="D114" i="134"/>
  <c r="G114" i="134" s="1"/>
  <c r="D130" i="134"/>
  <c r="G130" i="134" s="1"/>
  <c r="C253" i="134" l="1"/>
  <c r="C29" i="20" s="1"/>
  <c r="M136" i="134"/>
  <c r="B91" i="148"/>
  <c r="H40" i="20" s="1"/>
  <c r="K40" i="20" s="1"/>
  <c r="H9" i="148"/>
  <c r="G163" i="134"/>
  <c r="D146" i="134"/>
  <c r="G146" i="134" s="1"/>
  <c r="D140" i="134" l="1"/>
  <c r="G140" i="134" s="1"/>
  <c r="D116" i="134"/>
  <c r="G116" i="134" s="1"/>
  <c r="G26" i="131"/>
  <c r="D132" i="134"/>
  <c r="G132" i="134" s="1"/>
  <c r="G29" i="142"/>
  <c r="D29" i="134"/>
  <c r="G24" i="131"/>
  <c r="G38" i="131"/>
  <c r="G39" i="131"/>
  <c r="G40" i="131"/>
  <c r="G41" i="131"/>
  <c r="G44" i="131"/>
  <c r="G43" i="131"/>
  <c r="G42" i="131"/>
  <c r="G34" i="131"/>
  <c r="G180" i="8"/>
  <c r="G151" i="8"/>
  <c r="I151" i="8" s="1"/>
  <c r="G152" i="8"/>
  <c r="G153" i="8"/>
  <c r="G154" i="8"/>
  <c r="G155" i="8"/>
  <c r="G156" i="8"/>
  <c r="G157" i="8"/>
  <c r="G158" i="8"/>
  <c r="I158" i="8" s="1"/>
  <c r="G159" i="8"/>
  <c r="G146" i="8"/>
  <c r="I145" i="8" l="1"/>
  <c r="D21" i="20" s="1"/>
  <c r="G161" i="8"/>
  <c r="G162" i="8"/>
  <c r="I162" i="8" s="1"/>
  <c r="G163" i="8"/>
  <c r="I163" i="8" s="1"/>
  <c r="G164" i="8"/>
  <c r="I164" i="8" s="1"/>
  <c r="G165" i="8"/>
  <c r="I165" i="8" s="1"/>
  <c r="G166" i="8"/>
  <c r="G177" i="8"/>
  <c r="G178" i="8"/>
  <c r="I178" i="8" s="1"/>
  <c r="G179" i="8"/>
  <c r="D134" i="8"/>
  <c r="G134" i="8" s="1"/>
  <c r="I134" i="8" s="1"/>
  <c r="G133" i="8"/>
  <c r="I133" i="8" s="1"/>
  <c r="G130" i="8"/>
  <c r="G131" i="8"/>
  <c r="G63" i="8"/>
  <c r="I63" i="8" s="1"/>
  <c r="G123" i="8"/>
  <c r="G124" i="8"/>
  <c r="G125" i="8"/>
  <c r="G126" i="8"/>
  <c r="G127" i="8"/>
  <c r="G128" i="8"/>
  <c r="G129" i="8"/>
  <c r="G60" i="8"/>
  <c r="I60" i="8" s="1"/>
  <c r="G61" i="8"/>
  <c r="I61" i="8" s="1"/>
  <c r="G62" i="8"/>
  <c r="G40" i="8"/>
  <c r="G45" i="8"/>
  <c r="G46" i="8"/>
  <c r="G47" i="8"/>
  <c r="G48" i="8"/>
  <c r="G49" i="8"/>
  <c r="G50" i="8"/>
  <c r="G51" i="8"/>
  <c r="G52" i="8"/>
  <c r="G53" i="8"/>
  <c r="G54" i="8"/>
  <c r="G55" i="8"/>
  <c r="G57" i="8"/>
  <c r="G58" i="8"/>
  <c r="I58" i="8" s="1"/>
  <c r="G59" i="8"/>
  <c r="I59" i="8" s="1"/>
  <c r="G63" i="126"/>
  <c r="G64" i="126"/>
  <c r="G65" i="126"/>
  <c r="G66" i="126"/>
  <c r="G67" i="126"/>
  <c r="K63" i="126" l="1"/>
  <c r="M21" i="126"/>
  <c r="M68" i="126" s="1"/>
  <c r="I63" i="126"/>
  <c r="I160" i="8"/>
  <c r="E21" i="20" s="1"/>
  <c r="G132" i="8"/>
  <c r="I132" i="8" s="1"/>
  <c r="D81" i="134"/>
  <c r="G81" i="134" s="1"/>
  <c r="G83" i="134"/>
  <c r="G85" i="134"/>
  <c r="M215" i="134"/>
  <c r="S215" i="134"/>
  <c r="S217" i="134" s="1"/>
  <c r="O215" i="134"/>
  <c r="O217" i="134" s="1"/>
  <c r="D63" i="134"/>
  <c r="G63" i="134" s="1"/>
  <c r="G78" i="134"/>
  <c r="G76" i="134"/>
  <c r="G27" i="134"/>
  <c r="G29" i="134"/>
  <c r="G25" i="134"/>
  <c r="G35" i="134"/>
  <c r="G33" i="134"/>
  <c r="D31" i="134"/>
  <c r="G31" i="134" s="1"/>
  <c r="D109" i="134"/>
  <c r="G109" i="134" s="1"/>
  <c r="D107" i="134"/>
  <c r="G107" i="134" s="1"/>
  <c r="G111" i="134"/>
  <c r="S97" i="145"/>
  <c r="Q97" i="145"/>
  <c r="O97" i="145"/>
  <c r="O99" i="145" s="1"/>
  <c r="M97" i="145"/>
  <c r="M99" i="145" s="1"/>
  <c r="K97" i="145"/>
  <c r="K99" i="145" s="1"/>
  <c r="G91" i="145"/>
  <c r="G86" i="145"/>
  <c r="G30" i="145"/>
  <c r="G29" i="145"/>
  <c r="G28" i="145"/>
  <c r="B5" i="145"/>
  <c r="D166" i="10" a="1"/>
  <c r="D166" i="10" s="1"/>
  <c r="G166" i="10" s="1"/>
  <c r="D164" i="10"/>
  <c r="D169" i="10" s="1"/>
  <c r="G169" i="10" s="1"/>
  <c r="G153" i="10"/>
  <c r="G128" i="10"/>
  <c r="G129" i="10"/>
  <c r="D141" i="10"/>
  <c r="G141" i="10" s="1"/>
  <c r="D139" i="10"/>
  <c r="D146" i="10" s="1"/>
  <c r="G146" i="10" s="1"/>
  <c r="G127" i="10"/>
  <c r="O127" i="10" l="1"/>
  <c r="S127" i="10"/>
  <c r="G95" i="145"/>
  <c r="G97" i="145" s="1"/>
  <c r="S99" i="145"/>
  <c r="R9" i="145" s="1"/>
  <c r="O153" i="10"/>
  <c r="O184" i="10" s="1"/>
  <c r="I153" i="10"/>
  <c r="S153" i="10" s="1"/>
  <c r="G164" i="10"/>
  <c r="S219" i="134"/>
  <c r="M217" i="134"/>
  <c r="M219" i="134" s="1"/>
  <c r="M228" i="134" s="1"/>
  <c r="O219" i="134"/>
  <c r="J9" i="145"/>
  <c r="L9" i="145"/>
  <c r="N9" i="145"/>
  <c r="Q99" i="145"/>
  <c r="G139" i="10"/>
  <c r="Q153" i="10" l="1"/>
  <c r="Q184" i="10" s="1"/>
  <c r="D239" i="10"/>
  <c r="O186" i="10"/>
  <c r="O188" i="10" s="1"/>
  <c r="O214" i="10" s="1"/>
  <c r="I184" i="10"/>
  <c r="D28" i="20"/>
  <c r="G99" i="145"/>
  <c r="L9" i="134"/>
  <c r="N9" i="134"/>
  <c r="R9" i="134"/>
  <c r="P9" i="145"/>
  <c r="D24" i="128"/>
  <c r="G24" i="128" s="1"/>
  <c r="Y121" i="128"/>
  <c r="Y122" i="128" s="1"/>
  <c r="G118" i="10"/>
  <c r="N9" i="10" l="1"/>
  <c r="D117" i="10"/>
  <c r="G117" i="10" s="1"/>
  <c r="K117" i="10" s="1"/>
  <c r="G58" i="7"/>
  <c r="G73" i="7"/>
  <c r="G74" i="7"/>
  <c r="G22" i="58"/>
  <c r="I22" i="58" s="1"/>
  <c r="I21" i="58" s="1"/>
  <c r="C14" i="20" s="1"/>
  <c r="G53" i="7"/>
  <c r="G54" i="7"/>
  <c r="G55" i="7"/>
  <c r="G56" i="7"/>
  <c r="G57" i="7"/>
  <c r="G107" i="7"/>
  <c r="G101" i="7"/>
  <c r="G52" i="7"/>
  <c r="G49" i="7"/>
  <c r="G50" i="7"/>
  <c r="G51" i="7"/>
  <c r="S74" i="7" l="1"/>
  <c r="Q74" i="7"/>
  <c r="O74" i="7"/>
  <c r="M74" i="7"/>
  <c r="K74" i="7"/>
  <c r="I74" i="7"/>
  <c r="K73" i="7"/>
  <c r="K21" i="7" s="1"/>
  <c r="I73" i="7"/>
  <c r="S73" i="7"/>
  <c r="Q73" i="7"/>
  <c r="Q21" i="7" s="1"/>
  <c r="O73" i="7"/>
  <c r="M73" i="7"/>
  <c r="M51" i="7"/>
  <c r="S51" i="7"/>
  <c r="G40" i="7"/>
  <c r="G45" i="7"/>
  <c r="G47" i="7"/>
  <c r="G44" i="7"/>
  <c r="C35" i="21" l="1"/>
  <c r="C33" i="21"/>
  <c r="C30" i="21"/>
  <c r="C28" i="21"/>
  <c r="C26" i="21"/>
  <c r="C24" i="21"/>
  <c r="C19" i="21"/>
  <c r="C16" i="21"/>
  <c r="I145" i="6"/>
  <c r="G142" i="6"/>
  <c r="G46" i="6"/>
  <c r="G124" i="6"/>
  <c r="G125" i="6"/>
  <c r="D87" i="6" l="1"/>
  <c r="G87" i="6" s="1"/>
  <c r="D92" i="6"/>
  <c r="G92" i="6" s="1"/>
  <c r="D80" i="6"/>
  <c r="G80" i="6" s="1"/>
  <c r="D98" i="6"/>
  <c r="G98" i="6" s="1"/>
  <c r="D68" i="6"/>
  <c r="G68" i="6" s="1"/>
  <c r="D82" i="6"/>
  <c r="G82" i="6" s="1"/>
  <c r="D81" i="6"/>
  <c r="G81" i="6" s="1"/>
  <c r="G67" i="6"/>
  <c r="G88" i="6"/>
  <c r="D60" i="6"/>
  <c r="G59" i="6"/>
  <c r="F258" i="127"/>
  <c r="I258" i="127" s="1"/>
  <c r="G55" i="57"/>
  <c r="G56" i="57"/>
  <c r="G70" i="57"/>
  <c r="D121" i="6"/>
  <c r="G121" i="6" s="1"/>
  <c r="G126" i="6"/>
  <c r="G128" i="6"/>
  <c r="K128" i="6" s="1"/>
  <c r="G104" i="6"/>
  <c r="G105" i="6"/>
  <c r="I21" i="127"/>
  <c r="A116" i="6"/>
  <c r="D116" i="6" s="1"/>
  <c r="G116" i="6" s="1"/>
  <c r="G112" i="6"/>
  <c r="G115" i="6"/>
  <c r="D117" i="6"/>
  <c r="G117" i="6" s="1"/>
  <c r="D114" i="6"/>
  <c r="G114" i="6" s="1"/>
  <c r="A113" i="6"/>
  <c r="D113" i="6" s="1"/>
  <c r="G113" i="6" s="1"/>
  <c r="D111" i="6"/>
  <c r="G111" i="6" s="1"/>
  <c r="A110" i="6"/>
  <c r="D110" i="6" s="1"/>
  <c r="G110" i="6" s="1"/>
  <c r="G108" i="6"/>
  <c r="G109" i="6"/>
  <c r="G63" i="6"/>
  <c r="G64" i="6"/>
  <c r="G65" i="6"/>
  <c r="G66" i="6"/>
  <c r="G90" i="6"/>
  <c r="G91" i="6"/>
  <c r="A120" i="6"/>
  <c r="D120" i="6" s="1"/>
  <c r="G120" i="6" s="1"/>
  <c r="G119" i="6"/>
  <c r="G96" i="6"/>
  <c r="G70" i="6"/>
  <c r="G73" i="6"/>
  <c r="G74" i="6"/>
  <c r="G75" i="6"/>
  <c r="G76" i="6"/>
  <c r="G77" i="6"/>
  <c r="G78" i="6"/>
  <c r="G79" i="6"/>
  <c r="D72" i="6"/>
  <c r="G72" i="6" s="1"/>
  <c r="D71" i="6"/>
  <c r="G97" i="6"/>
  <c r="G95" i="6"/>
  <c r="D62" i="6"/>
  <c r="D102" i="6"/>
  <c r="G102" i="6" s="1"/>
  <c r="D101" i="6"/>
  <c r="G101" i="6" s="1"/>
  <c r="G86" i="6"/>
  <c r="G85" i="6"/>
  <c r="G58" i="6"/>
  <c r="G57" i="6"/>
  <c r="G56" i="6"/>
  <c r="G55" i="6"/>
  <c r="G54" i="6"/>
  <c r="G53" i="6"/>
  <c r="G52" i="6"/>
  <c r="G51" i="6"/>
  <c r="G50" i="6"/>
  <c r="G49" i="6"/>
  <c r="G48" i="6"/>
  <c r="G45" i="6"/>
  <c r="G44" i="6"/>
  <c r="C297" i="127"/>
  <c r="F275" i="127"/>
  <c r="I275" i="127" s="1"/>
  <c r="F274" i="127"/>
  <c r="I274" i="127" s="1"/>
  <c r="F273" i="127"/>
  <c r="I273" i="127" s="1"/>
  <c r="F272" i="127"/>
  <c r="F253" i="127"/>
  <c r="I253" i="127" s="1"/>
  <c r="F252" i="127"/>
  <c r="I252" i="127" s="1"/>
  <c r="F251" i="127"/>
  <c r="I251" i="127" s="1"/>
  <c r="F250" i="127"/>
  <c r="I250" i="127" s="1"/>
  <c r="F249" i="127"/>
  <c r="I249" i="127" s="1"/>
  <c r="F248" i="127"/>
  <c r="I248" i="127" s="1"/>
  <c r="F247" i="127"/>
  <c r="I247" i="127" s="1"/>
  <c r="F246" i="127"/>
  <c r="I246" i="127" s="1"/>
  <c r="I226" i="127"/>
  <c r="I224" i="127"/>
  <c r="C223" i="127"/>
  <c r="F223" i="127" s="1"/>
  <c r="I223" i="127" s="1"/>
  <c r="B223" i="127"/>
  <c r="C222" i="127"/>
  <c r="F222" i="127" s="1"/>
  <c r="I222" i="127" s="1"/>
  <c r="B222" i="127"/>
  <c r="I221" i="127"/>
  <c r="I220" i="127"/>
  <c r="F205" i="127"/>
  <c r="F203" i="127" s="1"/>
  <c r="C157" i="127"/>
  <c r="F157" i="127" s="1"/>
  <c r="I157" i="127" s="1"/>
  <c r="B157" i="127"/>
  <c r="C156" i="127"/>
  <c r="F156" i="127" s="1"/>
  <c r="I156" i="127" s="1"/>
  <c r="B156" i="127"/>
  <c r="C155" i="127"/>
  <c r="F155" i="127" s="1"/>
  <c r="I155" i="127" s="1"/>
  <c r="B155" i="127"/>
  <c r="C154" i="127"/>
  <c r="F154" i="127" s="1"/>
  <c r="I154" i="127" s="1"/>
  <c r="B154" i="127"/>
  <c r="C153" i="127"/>
  <c r="F153" i="127" s="1"/>
  <c r="I153" i="127" s="1"/>
  <c r="B153" i="127"/>
  <c r="C152" i="127"/>
  <c r="F152" i="127" s="1"/>
  <c r="I152" i="127" s="1"/>
  <c r="B152" i="127"/>
  <c r="C151" i="127"/>
  <c r="F151" i="127" s="1"/>
  <c r="I151" i="127" s="1"/>
  <c r="B151" i="127"/>
  <c r="C150" i="127"/>
  <c r="F150" i="127" s="1"/>
  <c r="I150" i="127" s="1"/>
  <c r="B150" i="127"/>
  <c r="C149" i="127"/>
  <c r="F149" i="127" s="1"/>
  <c r="I149" i="127" s="1"/>
  <c r="B149" i="127"/>
  <c r="C148" i="127"/>
  <c r="F148" i="127" s="1"/>
  <c r="I148" i="127" s="1"/>
  <c r="B148" i="127"/>
  <c r="C147" i="127"/>
  <c r="F147" i="127" s="1"/>
  <c r="I147" i="127" s="1"/>
  <c r="B147" i="127"/>
  <c r="C146" i="127"/>
  <c r="F146" i="127" s="1"/>
  <c r="I146" i="127" s="1"/>
  <c r="B146" i="127"/>
  <c r="C145" i="127"/>
  <c r="F145" i="127" s="1"/>
  <c r="I145" i="127" s="1"/>
  <c r="B145" i="127"/>
  <c r="C144" i="127"/>
  <c r="F144" i="127" s="1"/>
  <c r="I144" i="127" s="1"/>
  <c r="B144" i="127"/>
  <c r="C143" i="127"/>
  <c r="F143" i="127" s="1"/>
  <c r="I143" i="127" s="1"/>
  <c r="B143" i="127"/>
  <c r="C142" i="127"/>
  <c r="F142" i="127" s="1"/>
  <c r="I142" i="127" s="1"/>
  <c r="B142" i="127"/>
  <c r="C141" i="127"/>
  <c r="F141" i="127" s="1"/>
  <c r="I141" i="127" s="1"/>
  <c r="B141" i="127"/>
  <c r="C140" i="127"/>
  <c r="F140" i="127" s="1"/>
  <c r="I140" i="127" s="1"/>
  <c r="B140" i="127"/>
  <c r="C139" i="127"/>
  <c r="F139" i="127" s="1"/>
  <c r="I139" i="127" s="1"/>
  <c r="B139" i="127"/>
  <c r="C138" i="127"/>
  <c r="F138" i="127" s="1"/>
  <c r="I138" i="127" s="1"/>
  <c r="B138" i="127"/>
  <c r="C137" i="127"/>
  <c r="F137" i="127" s="1"/>
  <c r="I137" i="127" s="1"/>
  <c r="B137" i="127"/>
  <c r="C136" i="127"/>
  <c r="F136" i="127" s="1"/>
  <c r="I136" i="127" s="1"/>
  <c r="B136" i="127"/>
  <c r="C135" i="127"/>
  <c r="F135" i="127" s="1"/>
  <c r="I135" i="127" s="1"/>
  <c r="B135" i="127"/>
  <c r="C134" i="127"/>
  <c r="F134" i="127" s="1"/>
  <c r="I134" i="127" s="1"/>
  <c r="B134" i="127"/>
  <c r="C133" i="127"/>
  <c r="F133" i="127" s="1"/>
  <c r="I133" i="127" s="1"/>
  <c r="B133" i="127"/>
  <c r="C132" i="127"/>
  <c r="F132" i="127" s="1"/>
  <c r="I132" i="127" s="1"/>
  <c r="B132" i="127"/>
  <c r="C131" i="127"/>
  <c r="F131" i="127" s="1"/>
  <c r="I131" i="127" s="1"/>
  <c r="B131" i="127"/>
  <c r="C130" i="127"/>
  <c r="F130" i="127" s="1"/>
  <c r="I130" i="127" s="1"/>
  <c r="B130" i="127"/>
  <c r="C129" i="127"/>
  <c r="F129" i="127" s="1"/>
  <c r="I129" i="127" s="1"/>
  <c r="B129" i="127"/>
  <c r="C128" i="127"/>
  <c r="F128" i="127" s="1"/>
  <c r="I128" i="127" s="1"/>
  <c r="B128" i="127"/>
  <c r="C127" i="127"/>
  <c r="F127" i="127" s="1"/>
  <c r="I127" i="127" s="1"/>
  <c r="B127" i="127"/>
  <c r="C126" i="127"/>
  <c r="F126" i="127" s="1"/>
  <c r="I126" i="127" s="1"/>
  <c r="B126" i="127"/>
  <c r="C125" i="127"/>
  <c r="F125" i="127" s="1"/>
  <c r="I125" i="127" s="1"/>
  <c r="B125" i="127"/>
  <c r="C124" i="127"/>
  <c r="F124" i="127" s="1"/>
  <c r="I124" i="127" s="1"/>
  <c r="B124" i="127"/>
  <c r="C123" i="127"/>
  <c r="F123" i="127" s="1"/>
  <c r="I123" i="127" s="1"/>
  <c r="B123" i="127"/>
  <c r="C122" i="127"/>
  <c r="F122" i="127" s="1"/>
  <c r="I122" i="127" s="1"/>
  <c r="B122" i="127"/>
  <c r="C121" i="127"/>
  <c r="F121" i="127" s="1"/>
  <c r="I121" i="127" s="1"/>
  <c r="B121" i="127"/>
  <c r="C120" i="127"/>
  <c r="F120" i="127" s="1"/>
  <c r="I120" i="127" s="1"/>
  <c r="B120" i="127"/>
  <c r="C119" i="127"/>
  <c r="F119" i="127" s="1"/>
  <c r="I119" i="127" s="1"/>
  <c r="B119" i="127"/>
  <c r="C118" i="127"/>
  <c r="F118" i="127" s="1"/>
  <c r="I118" i="127" s="1"/>
  <c r="B118" i="127"/>
  <c r="C117" i="127"/>
  <c r="F117" i="127" s="1"/>
  <c r="I117" i="127" s="1"/>
  <c r="B117" i="127"/>
  <c r="C116" i="127"/>
  <c r="F116" i="127" s="1"/>
  <c r="I116" i="127" s="1"/>
  <c r="B116" i="127"/>
  <c r="C115" i="127"/>
  <c r="F115" i="127" s="1"/>
  <c r="I115" i="127" s="1"/>
  <c r="B115" i="127"/>
  <c r="C114" i="127"/>
  <c r="F114" i="127" s="1"/>
  <c r="I114" i="127" s="1"/>
  <c r="B114" i="127"/>
  <c r="C113" i="127"/>
  <c r="F113" i="127" s="1"/>
  <c r="I113" i="127" s="1"/>
  <c r="B113" i="127"/>
  <c r="C112" i="127"/>
  <c r="F112" i="127" s="1"/>
  <c r="I112" i="127" s="1"/>
  <c r="B112" i="127"/>
  <c r="C111" i="127"/>
  <c r="F111" i="127" s="1"/>
  <c r="I111" i="127" s="1"/>
  <c r="B111" i="127"/>
  <c r="C110" i="127"/>
  <c r="F110" i="127" s="1"/>
  <c r="I110" i="127" s="1"/>
  <c r="B110" i="127"/>
  <c r="C109" i="127"/>
  <c r="F109" i="127" s="1"/>
  <c r="I109" i="127" s="1"/>
  <c r="B109" i="127"/>
  <c r="C108" i="127"/>
  <c r="F108" i="127" s="1"/>
  <c r="I108" i="127" s="1"/>
  <c r="B108" i="127"/>
  <c r="C107" i="127"/>
  <c r="F107" i="127" s="1"/>
  <c r="I107" i="127" s="1"/>
  <c r="B107" i="127"/>
  <c r="C106" i="127"/>
  <c r="F106" i="127" s="1"/>
  <c r="I106" i="127" s="1"/>
  <c r="B106" i="127"/>
  <c r="C105" i="127"/>
  <c r="F105" i="127" s="1"/>
  <c r="I105" i="127" s="1"/>
  <c r="B105" i="127"/>
  <c r="C104" i="127"/>
  <c r="F104" i="127" s="1"/>
  <c r="I104" i="127" s="1"/>
  <c r="B104" i="127"/>
  <c r="C103" i="127"/>
  <c r="F103" i="127" s="1"/>
  <c r="I103" i="127" s="1"/>
  <c r="B103" i="127"/>
  <c r="C102" i="127"/>
  <c r="F102" i="127" s="1"/>
  <c r="I102" i="127" s="1"/>
  <c r="B102" i="127"/>
  <c r="C101" i="127"/>
  <c r="F101" i="127" s="1"/>
  <c r="I101" i="127" s="1"/>
  <c r="B101" i="127"/>
  <c r="C100" i="127"/>
  <c r="F100" i="127" s="1"/>
  <c r="I100" i="127" s="1"/>
  <c r="B100" i="127"/>
  <c r="C99" i="127"/>
  <c r="F99" i="127" s="1"/>
  <c r="I99" i="127" s="1"/>
  <c r="B99" i="127"/>
  <c r="C98" i="127"/>
  <c r="F98" i="127" s="1"/>
  <c r="I98" i="127" s="1"/>
  <c r="B98" i="127"/>
  <c r="C97" i="127"/>
  <c r="F97" i="127" s="1"/>
  <c r="I97" i="127" s="1"/>
  <c r="B97" i="127"/>
  <c r="C96" i="127"/>
  <c r="F96" i="127" s="1"/>
  <c r="I96" i="127" s="1"/>
  <c r="B96" i="127"/>
  <c r="C95" i="127"/>
  <c r="F95" i="127" s="1"/>
  <c r="I95" i="127" s="1"/>
  <c r="B95" i="127"/>
  <c r="C94" i="127"/>
  <c r="F94" i="127" s="1"/>
  <c r="I94" i="127" s="1"/>
  <c r="B94" i="127"/>
  <c r="C93" i="127"/>
  <c r="F93" i="127" s="1"/>
  <c r="I93" i="127" s="1"/>
  <c r="B93" i="127"/>
  <c r="C92" i="127"/>
  <c r="F92" i="127" s="1"/>
  <c r="I92" i="127" s="1"/>
  <c r="B92" i="127"/>
  <c r="C91" i="127"/>
  <c r="F91" i="127" s="1"/>
  <c r="I91" i="127" s="1"/>
  <c r="B91" i="127"/>
  <c r="C90" i="127"/>
  <c r="F90" i="127" s="1"/>
  <c r="I90" i="127" s="1"/>
  <c r="B90" i="127"/>
  <c r="C89" i="127"/>
  <c r="F89" i="127" s="1"/>
  <c r="I89" i="127" s="1"/>
  <c r="B89" i="127"/>
  <c r="C88" i="127"/>
  <c r="F88" i="127" s="1"/>
  <c r="I88" i="127" s="1"/>
  <c r="B88" i="127"/>
  <c r="C87" i="127"/>
  <c r="F87" i="127" s="1"/>
  <c r="I87" i="127" s="1"/>
  <c r="B87" i="127"/>
  <c r="C86" i="127"/>
  <c r="F86" i="127" s="1"/>
  <c r="I86" i="127" s="1"/>
  <c r="B86" i="127"/>
  <c r="C85" i="127"/>
  <c r="F85" i="127" s="1"/>
  <c r="I85" i="127" s="1"/>
  <c r="B85" i="127"/>
  <c r="C84" i="127"/>
  <c r="F84" i="127" s="1"/>
  <c r="I84" i="127" s="1"/>
  <c r="B84" i="127"/>
  <c r="C83" i="127"/>
  <c r="F83" i="127" s="1"/>
  <c r="I83" i="127" s="1"/>
  <c r="B83" i="127"/>
  <c r="C82" i="127"/>
  <c r="F82" i="127" s="1"/>
  <c r="I82" i="127" s="1"/>
  <c r="B82" i="127"/>
  <c r="C81" i="127"/>
  <c r="F81" i="127" s="1"/>
  <c r="I81" i="127" s="1"/>
  <c r="B81" i="127"/>
  <c r="C80" i="127"/>
  <c r="F80" i="127" s="1"/>
  <c r="I80" i="127" s="1"/>
  <c r="B80" i="127"/>
  <c r="C79" i="127"/>
  <c r="F79" i="127" s="1"/>
  <c r="I79" i="127" s="1"/>
  <c r="B79" i="127"/>
  <c r="C78" i="127"/>
  <c r="F78" i="127" s="1"/>
  <c r="I78" i="127" s="1"/>
  <c r="B78" i="127"/>
  <c r="C77" i="127"/>
  <c r="F77" i="127" s="1"/>
  <c r="I77" i="127" s="1"/>
  <c r="B77" i="127"/>
  <c r="C161" i="127"/>
  <c r="F161" i="127" s="1"/>
  <c r="I161" i="127" s="1"/>
  <c r="F182" i="127"/>
  <c r="C75" i="127"/>
  <c r="F75" i="127" s="1"/>
  <c r="I75" i="127" s="1"/>
  <c r="B75" i="127"/>
  <c r="C74" i="127"/>
  <c r="F74" i="127" s="1"/>
  <c r="I74" i="127" s="1"/>
  <c r="B74" i="127"/>
  <c r="C73" i="127"/>
  <c r="F73" i="127" s="1"/>
  <c r="I73" i="127" s="1"/>
  <c r="B73" i="127"/>
  <c r="C72" i="127"/>
  <c r="F72" i="127" s="1"/>
  <c r="I72" i="127" s="1"/>
  <c r="B72" i="127"/>
  <c r="C71" i="127"/>
  <c r="F71" i="127" s="1"/>
  <c r="I71" i="127" s="1"/>
  <c r="B71" i="127"/>
  <c r="C70" i="127"/>
  <c r="F70" i="127" s="1"/>
  <c r="I70" i="127" s="1"/>
  <c r="B70" i="127"/>
  <c r="Z69" i="127"/>
  <c r="C69" i="127" s="1"/>
  <c r="F69" i="127" s="1"/>
  <c r="I69" i="127" s="1"/>
  <c r="B69" i="127"/>
  <c r="C68" i="127"/>
  <c r="F68" i="127" s="1"/>
  <c r="I68" i="127" s="1"/>
  <c r="B68" i="127"/>
  <c r="C67" i="127"/>
  <c r="F67" i="127" s="1"/>
  <c r="I67" i="127" s="1"/>
  <c r="B67" i="127"/>
  <c r="F66" i="127"/>
  <c r="I66" i="127" s="1"/>
  <c r="B66" i="127"/>
  <c r="C65" i="127"/>
  <c r="F65" i="127" s="1"/>
  <c r="I65" i="127" s="1"/>
  <c r="B65" i="127"/>
  <c r="F64" i="127"/>
  <c r="I64" i="127" s="1"/>
  <c r="B64" i="127"/>
  <c r="C63" i="127"/>
  <c r="F63" i="127" s="1"/>
  <c r="I63" i="127" s="1"/>
  <c r="B63" i="127"/>
  <c r="C62" i="127"/>
  <c r="F62" i="127" s="1"/>
  <c r="I62" i="127" s="1"/>
  <c r="B62" i="127"/>
  <c r="C61" i="127"/>
  <c r="F61" i="127" s="1"/>
  <c r="I61" i="127" s="1"/>
  <c r="B61" i="127"/>
  <c r="C60" i="127"/>
  <c r="F60" i="127" s="1"/>
  <c r="I60" i="127" s="1"/>
  <c r="B60" i="127"/>
  <c r="C59" i="127"/>
  <c r="F59" i="127" s="1"/>
  <c r="I59" i="127" s="1"/>
  <c r="B59" i="127"/>
  <c r="C58" i="127"/>
  <c r="F58" i="127" s="1"/>
  <c r="I58" i="127" s="1"/>
  <c r="B58" i="127"/>
  <c r="C57" i="127"/>
  <c r="F57" i="127" s="1"/>
  <c r="I57" i="127" s="1"/>
  <c r="B57" i="127"/>
  <c r="C56" i="127"/>
  <c r="F56" i="127" s="1"/>
  <c r="I56" i="127" s="1"/>
  <c r="B56" i="127"/>
  <c r="C55" i="127"/>
  <c r="F55" i="127" s="1"/>
  <c r="I55" i="127" s="1"/>
  <c r="B55" i="127"/>
  <c r="C54" i="127"/>
  <c r="F54" i="127" s="1"/>
  <c r="I54" i="127" s="1"/>
  <c r="B54" i="127"/>
  <c r="C53" i="127"/>
  <c r="F53" i="127" s="1"/>
  <c r="I53" i="127" s="1"/>
  <c r="B53" i="127"/>
  <c r="C52" i="127"/>
  <c r="F52" i="127" s="1"/>
  <c r="I52" i="127" s="1"/>
  <c r="B52" i="127"/>
  <c r="C51" i="127"/>
  <c r="F51" i="127" s="1"/>
  <c r="I51" i="127" s="1"/>
  <c r="B51" i="127"/>
  <c r="C50" i="127"/>
  <c r="F50" i="127" s="1"/>
  <c r="I50" i="127" s="1"/>
  <c r="B50" i="127"/>
  <c r="C49" i="127"/>
  <c r="F49" i="127" s="1"/>
  <c r="I49" i="127" s="1"/>
  <c r="B49" i="127"/>
  <c r="C48" i="127"/>
  <c r="F48" i="127" s="1"/>
  <c r="I48" i="127" s="1"/>
  <c r="B48" i="127"/>
  <c r="C47" i="127"/>
  <c r="F47" i="127" s="1"/>
  <c r="I47" i="127" s="1"/>
  <c r="B47" i="127"/>
  <c r="C46" i="127"/>
  <c r="F46" i="127" s="1"/>
  <c r="I46" i="127" s="1"/>
  <c r="B46" i="127"/>
  <c r="C45" i="127"/>
  <c r="F45" i="127" s="1"/>
  <c r="I45" i="127" s="1"/>
  <c r="B45" i="127"/>
  <c r="C44" i="127"/>
  <c r="F44" i="127" s="1"/>
  <c r="B44" i="127"/>
  <c r="I43" i="127"/>
  <c r="I42" i="127"/>
  <c r="C39" i="127"/>
  <c r="F39" i="127" s="1"/>
  <c r="I39" i="127" s="1"/>
  <c r="B39" i="127"/>
  <c r="C38" i="127"/>
  <c r="F38" i="127" s="1"/>
  <c r="I38" i="127" s="1"/>
  <c r="B38" i="127"/>
  <c r="C37" i="127"/>
  <c r="F37" i="127" s="1"/>
  <c r="I37" i="127" s="1"/>
  <c r="B37" i="127"/>
  <c r="C36" i="127"/>
  <c r="F36" i="127" s="1"/>
  <c r="I36" i="127" s="1"/>
  <c r="B36" i="127"/>
  <c r="C35" i="127"/>
  <c r="F35" i="127" s="1"/>
  <c r="I35" i="127" s="1"/>
  <c r="B35" i="127"/>
  <c r="C34" i="127"/>
  <c r="F34" i="127" s="1"/>
  <c r="I34" i="127" s="1"/>
  <c r="B34" i="127"/>
  <c r="C33" i="127"/>
  <c r="F33" i="127" s="1"/>
  <c r="I33" i="127" s="1"/>
  <c r="B33" i="127"/>
  <c r="C32" i="127"/>
  <c r="F32" i="127" s="1"/>
  <c r="I32" i="127" s="1"/>
  <c r="B32" i="127"/>
  <c r="C31" i="127"/>
  <c r="F31" i="127" s="1"/>
  <c r="I31" i="127" s="1"/>
  <c r="B31" i="127"/>
  <c r="C30" i="127"/>
  <c r="F30" i="127" s="1"/>
  <c r="I30" i="127" s="1"/>
  <c r="B30" i="127"/>
  <c r="C29" i="127"/>
  <c r="F29" i="127" s="1"/>
  <c r="I29" i="127" s="1"/>
  <c r="B29" i="127"/>
  <c r="C28" i="127"/>
  <c r="F28" i="127" s="1"/>
  <c r="B28" i="127"/>
  <c r="I27" i="127"/>
  <c r="I20" i="127"/>
  <c r="D20" i="49" l="1"/>
  <c r="I55" i="57"/>
  <c r="I88" i="6"/>
  <c r="K88" i="6"/>
  <c r="G71" i="6"/>
  <c r="D69" i="6"/>
  <c r="G69" i="6" s="1"/>
  <c r="G62" i="6"/>
  <c r="D61" i="6"/>
  <c r="G61" i="6" s="1"/>
  <c r="G60" i="6"/>
  <c r="D47" i="6"/>
  <c r="G47" i="6" s="1"/>
  <c r="I260" i="127"/>
  <c r="I203" i="127"/>
  <c r="D11" i="49" s="1"/>
  <c r="I205" i="127"/>
  <c r="I44" i="127"/>
  <c r="F183" i="127"/>
  <c r="F184" i="127" s="1"/>
  <c r="I182" i="127"/>
  <c r="F276" i="127"/>
  <c r="F277" i="127" s="1"/>
  <c r="I277" i="127" s="1"/>
  <c r="F254" i="127"/>
  <c r="F255" i="127" s="1"/>
  <c r="I255" i="127" s="1"/>
  <c r="F40" i="127"/>
  <c r="F41" i="127" s="1"/>
  <c r="I41" i="127" s="1"/>
  <c r="I28" i="127"/>
  <c r="I272" i="127"/>
  <c r="O260" i="127" l="1"/>
  <c r="K260" i="127"/>
  <c r="M260" i="127"/>
  <c r="F185" i="127"/>
  <c r="M203" i="127"/>
  <c r="K203" i="127"/>
  <c r="O203" i="127"/>
  <c r="I276" i="127"/>
  <c r="I254" i="127"/>
  <c r="I40" i="127"/>
  <c r="G25" i="77" l="1"/>
  <c r="F27" i="117" l="1"/>
  <c r="D25" i="117"/>
  <c r="F25" i="117"/>
  <c r="D39" i="57"/>
  <c r="D40" i="57"/>
  <c r="G40" i="57" s="1"/>
  <c r="G39" i="57"/>
  <c r="D37" i="57"/>
  <c r="G37" i="57" s="1"/>
  <c r="D39" i="126"/>
  <c r="G37" i="30" l="1"/>
  <c r="G113" i="30" s="1"/>
  <c r="B5" i="57"/>
  <c r="G149" i="10"/>
  <c r="D105" i="10"/>
  <c r="G105" i="10" s="1"/>
  <c r="G23" i="125"/>
  <c r="D96" i="10"/>
  <c r="G96" i="10" s="1"/>
  <c r="D93" i="10"/>
  <c r="G93" i="10" s="1"/>
  <c r="G46" i="126"/>
  <c r="G47" i="126"/>
  <c r="G32" i="126"/>
  <c r="G34" i="126"/>
  <c r="G37" i="126"/>
  <c r="D43" i="126"/>
  <c r="G43" i="126" s="1"/>
  <c r="D42" i="126"/>
  <c r="G42" i="126" s="1"/>
  <c r="D41" i="126"/>
  <c r="G41" i="126" s="1"/>
  <c r="D40" i="126"/>
  <c r="G40" i="126" s="1"/>
  <c r="D38" i="126" l="1"/>
  <c r="G38" i="126" s="1"/>
  <c r="G39" i="126"/>
  <c r="G27" i="57"/>
  <c r="G31" i="57"/>
  <c r="G32" i="57"/>
  <c r="G33" i="57"/>
  <c r="G34" i="57"/>
  <c r="G35" i="57"/>
  <c r="G36" i="57"/>
  <c r="D36" i="126" l="1"/>
  <c r="G36" i="126" s="1"/>
  <c r="D29" i="57"/>
  <c r="G29" i="57" s="1"/>
  <c r="D31" i="126"/>
  <c r="D33" i="126"/>
  <c r="G33" i="126" s="1"/>
  <c r="D28" i="57"/>
  <c r="G28" i="57" s="1"/>
  <c r="D26" i="57"/>
  <c r="G43" i="57"/>
  <c r="G44" i="57"/>
  <c r="G45" i="57"/>
  <c r="G47" i="57"/>
  <c r="G48" i="57"/>
  <c r="G49" i="57"/>
  <c r="G50" i="57"/>
  <c r="D46" i="57"/>
  <c r="A49" i="57"/>
  <c r="A48" i="57"/>
  <c r="D30" i="57"/>
  <c r="G30" i="57" s="1"/>
  <c r="D35" i="126"/>
  <c r="G35" i="126" s="1"/>
  <c r="G46" i="57" l="1"/>
  <c r="D42" i="57"/>
  <c r="G42" i="57" s="1"/>
  <c r="G26" i="57"/>
  <c r="D25" i="57"/>
  <c r="D54" i="126"/>
  <c r="G54" i="126" s="1"/>
  <c r="G31" i="126"/>
  <c r="Q49" i="142"/>
  <c r="O49" i="142"/>
  <c r="G23" i="142"/>
  <c r="B5" i="142"/>
  <c r="H62" i="20"/>
  <c r="K62" i="20" s="1"/>
  <c r="S53" i="138"/>
  <c r="S55" i="138" s="1"/>
  <c r="S51" i="138"/>
  <c r="Q51" i="138"/>
  <c r="Q53" i="138" s="1"/>
  <c r="O51" i="138"/>
  <c r="O53" i="138" s="1"/>
  <c r="O55" i="138" s="1"/>
  <c r="M51" i="138"/>
  <c r="K51" i="138"/>
  <c r="G51" i="138"/>
  <c r="G53" i="138" s="1"/>
  <c r="G49" i="138"/>
  <c r="I49" i="138" s="1"/>
  <c r="I48" i="138"/>
  <c r="G48" i="138"/>
  <c r="G47" i="138"/>
  <c r="I47" i="138" s="1"/>
  <c r="G46" i="138"/>
  <c r="I46" i="138" s="1"/>
  <c r="G45" i="138"/>
  <c r="I45" i="138" s="1"/>
  <c r="G44" i="138"/>
  <c r="I44" i="138" s="1"/>
  <c r="G43" i="138"/>
  <c r="I43" i="138" s="1"/>
  <c r="G42" i="138"/>
  <c r="I42" i="138" s="1"/>
  <c r="G41" i="138"/>
  <c r="I41" i="138" s="1"/>
  <c r="I40" i="138"/>
  <c r="G40" i="138"/>
  <c r="G39" i="138"/>
  <c r="I39" i="138" s="1"/>
  <c r="G38" i="138"/>
  <c r="I38" i="138" s="1"/>
  <c r="G37" i="138"/>
  <c r="I37" i="138" s="1"/>
  <c r="G36" i="138"/>
  <c r="I36" i="138" s="1"/>
  <c r="G35" i="138"/>
  <c r="I35" i="138" s="1"/>
  <c r="G34" i="138"/>
  <c r="I34" i="138" s="1"/>
  <c r="G33" i="138"/>
  <c r="I33" i="138" s="1"/>
  <c r="I32" i="138"/>
  <c r="G32" i="138"/>
  <c r="G31" i="138"/>
  <c r="I31" i="138" s="1"/>
  <c r="G30" i="138"/>
  <c r="I30" i="138" s="1"/>
  <c r="G29" i="138"/>
  <c r="I29" i="138" s="1"/>
  <c r="G28" i="138"/>
  <c r="I28" i="138" s="1"/>
  <c r="G27" i="138"/>
  <c r="I27" i="138" s="1"/>
  <c r="G26" i="138"/>
  <c r="I26" i="138" s="1"/>
  <c r="G25" i="138"/>
  <c r="I25" i="138" s="1"/>
  <c r="I24" i="138"/>
  <c r="G24" i="138"/>
  <c r="G23" i="138"/>
  <c r="I23" i="138" s="1"/>
  <c r="G22" i="138"/>
  <c r="I22" i="138" s="1"/>
  <c r="G21" i="138"/>
  <c r="I21" i="138" s="1"/>
  <c r="B5" i="138"/>
  <c r="S53" i="28"/>
  <c r="S55" i="28" s="1"/>
  <c r="Q53" i="28"/>
  <c r="M53" i="28"/>
  <c r="K53" i="28"/>
  <c r="G50" i="28"/>
  <c r="O50" i="28" s="1"/>
  <c r="G49" i="28"/>
  <c r="O49" i="28" s="1"/>
  <c r="G48" i="28"/>
  <c r="O48" i="28" s="1"/>
  <c r="G47" i="28"/>
  <c r="O47" i="28" s="1"/>
  <c r="G46" i="28"/>
  <c r="O46" i="28" s="1"/>
  <c r="G45" i="28"/>
  <c r="O45" i="28" s="1"/>
  <c r="G44" i="28"/>
  <c r="O44" i="28" s="1"/>
  <c r="G43" i="28"/>
  <c r="O43" i="28" s="1"/>
  <c r="G40" i="28"/>
  <c r="G39" i="28"/>
  <c r="O39" i="28" s="1"/>
  <c r="G38" i="28"/>
  <c r="O38" i="28" s="1"/>
  <c r="G37" i="28"/>
  <c r="O37" i="28" s="1"/>
  <c r="G36" i="28"/>
  <c r="G35" i="28"/>
  <c r="O35" i="28" s="1"/>
  <c r="G34" i="28"/>
  <c r="G28" i="28"/>
  <c r="G26" i="28"/>
  <c r="G25" i="28"/>
  <c r="G24" i="28"/>
  <c r="G23" i="28"/>
  <c r="G22" i="28"/>
  <c r="G21" i="28"/>
  <c r="B5" i="28"/>
  <c r="K48" i="20"/>
  <c r="K46" i="20"/>
  <c r="S53" i="135"/>
  <c r="S55" i="135" s="1"/>
  <c r="S51" i="135"/>
  <c r="Q51" i="135"/>
  <c r="Q53" i="135" s="1"/>
  <c r="Q55" i="135" s="1"/>
  <c r="O51" i="135"/>
  <c r="O53" i="135" s="1"/>
  <c r="M51" i="135"/>
  <c r="M53" i="135" s="1"/>
  <c r="K51" i="135"/>
  <c r="K53" i="135" s="1"/>
  <c r="G49" i="135"/>
  <c r="I49" i="135" s="1"/>
  <c r="G48" i="135"/>
  <c r="I48" i="135" s="1"/>
  <c r="G47" i="135"/>
  <c r="I47" i="135" s="1"/>
  <c r="G46" i="135"/>
  <c r="I46" i="135" s="1"/>
  <c r="G45" i="135"/>
  <c r="I45" i="135" s="1"/>
  <c r="G44" i="135"/>
  <c r="I44" i="135" s="1"/>
  <c r="G43" i="135"/>
  <c r="I43" i="135" s="1"/>
  <c r="I42" i="135"/>
  <c r="G42" i="135"/>
  <c r="G41" i="135"/>
  <c r="I41" i="135" s="1"/>
  <c r="G40" i="135"/>
  <c r="I40" i="135" s="1"/>
  <c r="G39" i="135"/>
  <c r="I39" i="135" s="1"/>
  <c r="G38" i="135"/>
  <c r="I38" i="135" s="1"/>
  <c r="G37" i="135"/>
  <c r="I37" i="135" s="1"/>
  <c r="G36" i="135"/>
  <c r="I36" i="135" s="1"/>
  <c r="G35" i="135"/>
  <c r="I35" i="135" s="1"/>
  <c r="I34" i="135"/>
  <c r="G34" i="135"/>
  <c r="G33" i="135"/>
  <c r="I33" i="135" s="1"/>
  <c r="G32" i="135"/>
  <c r="I32" i="135" s="1"/>
  <c r="G31" i="135"/>
  <c r="I31" i="135" s="1"/>
  <c r="G30" i="135"/>
  <c r="I30" i="135" s="1"/>
  <c r="G29" i="135"/>
  <c r="I29" i="135" s="1"/>
  <c r="G28" i="135"/>
  <c r="I28" i="135" s="1"/>
  <c r="G27" i="135"/>
  <c r="I27" i="135" s="1"/>
  <c r="I26" i="135"/>
  <c r="G26" i="135"/>
  <c r="G25" i="135"/>
  <c r="I25" i="135" s="1"/>
  <c r="G24" i="135"/>
  <c r="I24" i="135" s="1"/>
  <c r="G23" i="135"/>
  <c r="I23" i="135" s="1"/>
  <c r="G22" i="135"/>
  <c r="I22" i="135" s="1"/>
  <c r="G21" i="135"/>
  <c r="I21" i="135" s="1"/>
  <c r="B5" i="135"/>
  <c r="G49" i="142" l="1"/>
  <c r="M23" i="142"/>
  <c r="M49" i="142" s="1"/>
  <c r="D19" i="49"/>
  <c r="I42" i="57"/>
  <c r="D55" i="126"/>
  <c r="G55" i="126" s="1"/>
  <c r="O51" i="28"/>
  <c r="M51" i="142"/>
  <c r="M53" i="142" s="1"/>
  <c r="I51" i="142"/>
  <c r="I53" i="142" s="1"/>
  <c r="O51" i="142"/>
  <c r="O53" i="142" s="1"/>
  <c r="Q51" i="142"/>
  <c r="Q53" i="142" s="1"/>
  <c r="I51" i="138"/>
  <c r="N9" i="138"/>
  <c r="R9" i="138"/>
  <c r="G55" i="138"/>
  <c r="K53" i="138"/>
  <c r="K55" i="138" s="1"/>
  <c r="M53" i="138"/>
  <c r="M55" i="138" s="1"/>
  <c r="Q55" i="138"/>
  <c r="R9" i="28"/>
  <c r="Q55" i="28"/>
  <c r="K55" i="28"/>
  <c r="G51" i="28"/>
  <c r="M55" i="28"/>
  <c r="I51" i="135"/>
  <c r="P9" i="135"/>
  <c r="R9" i="135"/>
  <c r="G51" i="135"/>
  <c r="K55" i="135"/>
  <c r="M55" i="135"/>
  <c r="O55" i="135"/>
  <c r="Q215" i="134"/>
  <c r="Q217" i="134" s="1"/>
  <c r="Q219" i="134" s="1"/>
  <c r="K217" i="134"/>
  <c r="K219" i="134" s="1"/>
  <c r="B5" i="134"/>
  <c r="S42" i="133"/>
  <c r="S44" i="133" s="1"/>
  <c r="S46" i="133" s="1"/>
  <c r="K42" i="133"/>
  <c r="K44" i="133" s="1"/>
  <c r="K46" i="133" s="1"/>
  <c r="O42" i="133"/>
  <c r="O44" i="133" s="1"/>
  <c r="O46" i="133" s="1"/>
  <c r="B5" i="133"/>
  <c r="M53" i="132"/>
  <c r="M55" i="132" s="1"/>
  <c r="M57" i="132" s="1"/>
  <c r="L9" i="132" s="1"/>
  <c r="Q55" i="132"/>
  <c r="Q57" i="132" s="1"/>
  <c r="P9" i="132" s="1"/>
  <c r="O55" i="132"/>
  <c r="O57" i="132" s="1"/>
  <c r="N9" i="132" s="1"/>
  <c r="B5" i="132"/>
  <c r="G66" i="131"/>
  <c r="G59" i="131"/>
  <c r="G56" i="131"/>
  <c r="G53" i="131"/>
  <c r="G52" i="131"/>
  <c r="G51" i="131"/>
  <c r="G50" i="131"/>
  <c r="G49" i="131"/>
  <c r="G37" i="131"/>
  <c r="G36" i="131"/>
  <c r="G35" i="131"/>
  <c r="G33" i="131"/>
  <c r="G32" i="131"/>
  <c r="G31" i="131"/>
  <c r="G25" i="131"/>
  <c r="B5" i="131"/>
  <c r="Q53" i="130"/>
  <c r="Q55" i="130" s="1"/>
  <c r="O53" i="130"/>
  <c r="O55" i="130" s="1"/>
  <c r="M53" i="130"/>
  <c r="M55" i="130" s="1"/>
  <c r="K53" i="130"/>
  <c r="G32" i="130"/>
  <c r="I32" i="130" s="1"/>
  <c r="G31" i="130"/>
  <c r="I31" i="130" s="1"/>
  <c r="G30" i="130"/>
  <c r="I30" i="130" s="1"/>
  <c r="G29" i="130"/>
  <c r="I29" i="130" s="1"/>
  <c r="G28" i="130"/>
  <c r="I28" i="130" s="1"/>
  <c r="G27" i="130"/>
  <c r="I27" i="130" s="1"/>
  <c r="G26" i="130"/>
  <c r="G25" i="130"/>
  <c r="I25" i="130" s="1"/>
  <c r="G23" i="130"/>
  <c r="G22" i="130"/>
  <c r="I22" i="130" s="1"/>
  <c r="M53" i="129"/>
  <c r="M55" i="129" s="1"/>
  <c r="I53" i="129"/>
  <c r="I55" i="129" s="1"/>
  <c r="O53" i="129"/>
  <c r="O55" i="129" s="1"/>
  <c r="G49" i="129"/>
  <c r="G48" i="129"/>
  <c r="G47" i="129"/>
  <c r="G46" i="129"/>
  <c r="G45" i="129"/>
  <c r="G44" i="129"/>
  <c r="G43" i="129"/>
  <c r="G38" i="129"/>
  <c r="G37" i="129"/>
  <c r="G36" i="129"/>
  <c r="G35" i="129"/>
  <c r="G34" i="129"/>
  <c r="G33" i="129"/>
  <c r="G32" i="129"/>
  <c r="G28" i="129"/>
  <c r="G27" i="129"/>
  <c r="G26" i="129"/>
  <c r="G25" i="129"/>
  <c r="G23" i="129"/>
  <c r="G22" i="129"/>
  <c r="B5" i="129"/>
  <c r="S51" i="128"/>
  <c r="S53" i="128" s="1"/>
  <c r="S55" i="128" s="1"/>
  <c r="Q51" i="128"/>
  <c r="Q53" i="128" s="1"/>
  <c r="Q55" i="128" s="1"/>
  <c r="O51" i="128"/>
  <c r="O53" i="128" s="1"/>
  <c r="M51" i="128"/>
  <c r="K51" i="128"/>
  <c r="K53" i="128" s="1"/>
  <c r="G49" i="128"/>
  <c r="G48" i="128"/>
  <c r="G47" i="128"/>
  <c r="G46" i="128"/>
  <c r="G45" i="128"/>
  <c r="G44" i="128"/>
  <c r="G43" i="128"/>
  <c r="G42" i="128"/>
  <c r="G41" i="128"/>
  <c r="G40" i="128"/>
  <c r="G39" i="128"/>
  <c r="G38" i="128"/>
  <c r="G37" i="128"/>
  <c r="G36" i="128"/>
  <c r="G35" i="128"/>
  <c r="G34" i="128"/>
  <c r="G33" i="128"/>
  <c r="G32" i="128"/>
  <c r="G30" i="128"/>
  <c r="G29" i="128"/>
  <c r="G28" i="128"/>
  <c r="G27" i="128"/>
  <c r="G26" i="128"/>
  <c r="G25" i="128"/>
  <c r="G23" i="128"/>
  <c r="B5" i="128"/>
  <c r="S68" i="126"/>
  <c r="O70" i="126"/>
  <c r="O72" i="126" s="1"/>
  <c r="M70" i="126"/>
  <c r="M72" i="126" s="1"/>
  <c r="G22" i="126"/>
  <c r="B5" i="126"/>
  <c r="S51" i="125"/>
  <c r="Q51" i="125"/>
  <c r="Q53" i="125" s="1"/>
  <c r="Q55" i="125" s="1"/>
  <c r="O51" i="125"/>
  <c r="O53" i="125" s="1"/>
  <c r="M51" i="125"/>
  <c r="M53" i="125" s="1"/>
  <c r="M55" i="125" s="1"/>
  <c r="K51" i="125"/>
  <c r="K53" i="125" s="1"/>
  <c r="K55" i="125" s="1"/>
  <c r="G46" i="125"/>
  <c r="G45" i="125"/>
  <c r="G37" i="125"/>
  <c r="G22" i="125"/>
  <c r="A4" i="49"/>
  <c r="A4" i="123"/>
  <c r="A3" i="123"/>
  <c r="J9" i="134" l="1"/>
  <c r="K228" i="134"/>
  <c r="C27" i="20"/>
  <c r="G25" i="69"/>
  <c r="D141" i="6"/>
  <c r="G141" i="6" s="1"/>
  <c r="K21" i="126"/>
  <c r="I21" i="126"/>
  <c r="K70" i="126"/>
  <c r="K72" i="126" s="1"/>
  <c r="Q21" i="126"/>
  <c r="O91" i="28"/>
  <c r="O92" i="28" s="1"/>
  <c r="G42" i="133"/>
  <c r="G44" i="133" s="1"/>
  <c r="G46" i="133" s="1"/>
  <c r="G51" i="130"/>
  <c r="G53" i="130" s="1"/>
  <c r="G55" i="130" s="1"/>
  <c r="S53" i="130"/>
  <c r="S55" i="130" s="1"/>
  <c r="R9" i="130" s="1"/>
  <c r="K25" i="129"/>
  <c r="S53" i="129"/>
  <c r="S55" i="129" s="1"/>
  <c r="G51" i="128"/>
  <c r="G53" i="128" s="1"/>
  <c r="G55" i="128" s="1"/>
  <c r="I51" i="125"/>
  <c r="I53" i="125" s="1"/>
  <c r="G51" i="125"/>
  <c r="G53" i="125" s="1"/>
  <c r="S53" i="125"/>
  <c r="S55" i="125" s="1"/>
  <c r="R9" i="125" s="1"/>
  <c r="G215" i="134"/>
  <c r="G217" i="134" s="1"/>
  <c r="G219" i="134" s="1"/>
  <c r="I215" i="134"/>
  <c r="S70" i="126"/>
  <c r="S72" i="126" s="1"/>
  <c r="G68" i="126"/>
  <c r="G70" i="126" s="1"/>
  <c r="P9" i="142"/>
  <c r="N9" i="142"/>
  <c r="H9" i="142"/>
  <c r="B88" i="142" s="1"/>
  <c r="L9" i="142"/>
  <c r="K51" i="142"/>
  <c r="K53" i="142" s="1"/>
  <c r="G51" i="142"/>
  <c r="G53" i="142" s="1"/>
  <c r="L9" i="138"/>
  <c r="J9" i="138"/>
  <c r="P9" i="138"/>
  <c r="I53" i="138"/>
  <c r="I55" i="138"/>
  <c r="L9" i="28"/>
  <c r="G53" i="28"/>
  <c r="G55" i="28" s="1"/>
  <c r="J9" i="28"/>
  <c r="P9" i="28"/>
  <c r="O53" i="28"/>
  <c r="O55" i="28" s="1"/>
  <c r="N9" i="135"/>
  <c r="B90" i="135"/>
  <c r="L9" i="135"/>
  <c r="J9" i="135"/>
  <c r="G53" i="135"/>
  <c r="G55" i="135"/>
  <c r="I53" i="135"/>
  <c r="I55" i="135"/>
  <c r="P9" i="134"/>
  <c r="N9" i="133"/>
  <c r="J9" i="133"/>
  <c r="R9" i="133"/>
  <c r="G53" i="132"/>
  <c r="G71" i="131"/>
  <c r="L9" i="130"/>
  <c r="N9" i="130"/>
  <c r="P9" i="130"/>
  <c r="K55" i="130"/>
  <c r="I26" i="130"/>
  <c r="N9" i="129"/>
  <c r="H9" i="129"/>
  <c r="L9" i="129"/>
  <c r="G51" i="129"/>
  <c r="P9" i="128"/>
  <c r="R9" i="128"/>
  <c r="K55" i="128"/>
  <c r="O55" i="128"/>
  <c r="M53" i="128"/>
  <c r="M55" i="128" s="1"/>
  <c r="L9" i="126"/>
  <c r="N9" i="126"/>
  <c r="J9" i="125"/>
  <c r="L9" i="125"/>
  <c r="P9" i="125"/>
  <c r="O55" i="125"/>
  <c r="I35" i="69" l="1"/>
  <c r="C26" i="20"/>
  <c r="K35" i="69"/>
  <c r="K37" i="69" s="1"/>
  <c r="K39" i="69" s="1"/>
  <c r="I70" i="126"/>
  <c r="I72" i="126" s="1"/>
  <c r="B107" i="126" s="1"/>
  <c r="C10" i="20"/>
  <c r="J9" i="126"/>
  <c r="K21" i="129"/>
  <c r="K51" i="129" s="1"/>
  <c r="K53" i="129" s="1"/>
  <c r="K55" i="129" s="1"/>
  <c r="J9" i="129" s="1"/>
  <c r="I55" i="125"/>
  <c r="B90" i="125" s="1"/>
  <c r="H12" i="20" s="1"/>
  <c r="G55" i="125"/>
  <c r="Q42" i="133"/>
  <c r="Q44" i="133" s="1"/>
  <c r="I21" i="130"/>
  <c r="I53" i="130" s="1"/>
  <c r="I55" i="130" s="1"/>
  <c r="B90" i="130" s="1"/>
  <c r="G72" i="126"/>
  <c r="R9" i="126"/>
  <c r="H30" i="20"/>
  <c r="K30" i="20" s="1"/>
  <c r="J9" i="142"/>
  <c r="B90" i="138"/>
  <c r="H9" i="138"/>
  <c r="N9" i="28"/>
  <c r="H9" i="135"/>
  <c r="I217" i="134"/>
  <c r="I219" i="134" s="1"/>
  <c r="I228" i="134" s="1"/>
  <c r="G55" i="132"/>
  <c r="G57" i="132" s="1"/>
  <c r="G73" i="131"/>
  <c r="G75" i="131" s="1"/>
  <c r="J9" i="130"/>
  <c r="R9" i="129"/>
  <c r="G53" i="129"/>
  <c r="G55" i="129" s="1"/>
  <c r="Q53" i="129"/>
  <c r="Q55" i="129" s="1"/>
  <c r="L9" i="128"/>
  <c r="J9" i="128"/>
  <c r="N9" i="128"/>
  <c r="I53" i="128"/>
  <c r="I55" i="128" s="1"/>
  <c r="N9" i="125"/>
  <c r="Q46" i="133" l="1"/>
  <c r="H9" i="126"/>
  <c r="J9" i="69"/>
  <c r="H9" i="125"/>
  <c r="H10" i="20"/>
  <c r="K10" i="20" s="1"/>
  <c r="Q70" i="126"/>
  <c r="Q72" i="126" s="1"/>
  <c r="B253" i="134"/>
  <c r="H29" i="20" s="1"/>
  <c r="K29" i="20" s="1"/>
  <c r="H9" i="134"/>
  <c r="H27" i="20"/>
  <c r="K27" i="20" s="1"/>
  <c r="H25" i="20"/>
  <c r="K25" i="20" s="1"/>
  <c r="H9" i="130"/>
  <c r="H23" i="20"/>
  <c r="K23" i="20" s="1"/>
  <c r="P9" i="129"/>
  <c r="B90" i="128"/>
  <c r="H20" i="20" s="1"/>
  <c r="K20" i="20" s="1"/>
  <c r="H9" i="128"/>
  <c r="P9" i="133" l="1"/>
  <c r="Q67" i="133"/>
  <c r="P9" i="126"/>
  <c r="H33" i="20"/>
  <c r="K33" i="20" s="1"/>
  <c r="G57" i="84" l="1"/>
  <c r="I57" i="84" s="1"/>
  <c r="G56" i="84"/>
  <c r="I56" i="84" s="1"/>
  <c r="G55" i="84"/>
  <c r="I55" i="84" s="1"/>
  <c r="G54" i="84"/>
  <c r="I54" i="84" s="1"/>
  <c r="G52" i="84"/>
  <c r="I52" i="84" s="1"/>
  <c r="G51" i="84"/>
  <c r="I51" i="84" s="1"/>
  <c r="G50" i="84"/>
  <c r="I50" i="84" s="1"/>
  <c r="G46" i="84"/>
  <c r="G45" i="84"/>
  <c r="G36" i="84"/>
  <c r="I36" i="84" s="1"/>
  <c r="G35" i="84"/>
  <c r="I35" i="84" s="1"/>
  <c r="G34" i="84"/>
  <c r="I34" i="84" s="1"/>
  <c r="G33" i="84"/>
  <c r="I33" i="84" s="1"/>
  <c r="G32" i="84"/>
  <c r="I32" i="84" s="1"/>
  <c r="G25" i="84"/>
  <c r="I25" i="84" s="1"/>
  <c r="G24" i="84"/>
  <c r="I24" i="84" s="1"/>
  <c r="G23" i="84"/>
  <c r="I23" i="84" s="1"/>
  <c r="G22" i="84"/>
  <c r="G52" i="41"/>
  <c r="I52" i="41" s="1"/>
  <c r="G51" i="41"/>
  <c r="I51" i="41" s="1"/>
  <c r="G50" i="41"/>
  <c r="I50" i="41" s="1"/>
  <c r="G49" i="41"/>
  <c r="I49" i="41" s="1"/>
  <c r="G48" i="41"/>
  <c r="I48" i="41" s="1"/>
  <c r="G47" i="41"/>
  <c r="I47" i="41" s="1"/>
  <c r="G46" i="41"/>
  <c r="I46" i="41" s="1"/>
  <c r="G45" i="41"/>
  <c r="I45" i="41" s="1"/>
  <c r="G44" i="41"/>
  <c r="I44" i="41" s="1"/>
  <c r="G43" i="41"/>
  <c r="I43" i="41" s="1"/>
  <c r="G42" i="41"/>
  <c r="I42" i="41" s="1"/>
  <c r="G41" i="41"/>
  <c r="I41" i="41" s="1"/>
  <c r="G40" i="41"/>
  <c r="I40" i="41" s="1"/>
  <c r="G39" i="41"/>
  <c r="I39" i="41" s="1"/>
  <c r="I38" i="41" s="1"/>
  <c r="G38" i="41"/>
  <c r="G37" i="41"/>
  <c r="I37" i="41" s="1"/>
  <c r="I34" i="41" s="1"/>
  <c r="G30" i="41"/>
  <c r="I30" i="41" s="1"/>
  <c r="G29" i="41"/>
  <c r="I29" i="41" s="1"/>
  <c r="G28" i="41"/>
  <c r="I28" i="41" s="1"/>
  <c r="G26" i="41"/>
  <c r="I26" i="41" s="1"/>
  <c r="G25" i="41"/>
  <c r="I25" i="41" s="1"/>
  <c r="G24" i="41"/>
  <c r="I24" i="41" s="1"/>
  <c r="G50" i="117"/>
  <c r="I50" i="117" s="1"/>
  <c r="G49" i="117"/>
  <c r="I49" i="117" s="1"/>
  <c r="G48" i="117"/>
  <c r="I48" i="117" s="1"/>
  <c r="G47" i="117"/>
  <c r="I47" i="117" s="1"/>
  <c r="G46" i="117"/>
  <c r="I46" i="117" s="1"/>
  <c r="G45" i="117"/>
  <c r="I45" i="117" s="1"/>
  <c r="G44" i="117"/>
  <c r="I44" i="117" s="1"/>
  <c r="G43" i="117"/>
  <c r="I43" i="117" s="1"/>
  <c r="G42" i="117"/>
  <c r="I42" i="117" s="1"/>
  <c r="G41" i="117"/>
  <c r="I41" i="117" s="1"/>
  <c r="G40" i="117"/>
  <c r="I40" i="117" s="1"/>
  <c r="G39" i="117"/>
  <c r="I39" i="117" s="1"/>
  <c r="G38" i="117"/>
  <c r="I38" i="117" s="1"/>
  <c r="G37" i="117"/>
  <c r="I37" i="117" s="1"/>
  <c r="G36" i="117"/>
  <c r="I36" i="117" s="1"/>
  <c r="G35" i="117"/>
  <c r="I35" i="117" s="1"/>
  <c r="G34" i="117"/>
  <c r="I34" i="117" s="1"/>
  <c r="G33" i="117"/>
  <c r="I33" i="117" s="1"/>
  <c r="G32" i="117"/>
  <c r="I32" i="117" s="1"/>
  <c r="G31" i="117"/>
  <c r="I31" i="117" s="1"/>
  <c r="G30" i="117"/>
  <c r="I30" i="117" s="1"/>
  <c r="G29" i="117"/>
  <c r="I29" i="117" s="1"/>
  <c r="G28" i="117"/>
  <c r="I28" i="117" s="1"/>
  <c r="G27" i="117"/>
  <c r="I27" i="117" s="1"/>
  <c r="G26" i="117"/>
  <c r="I26" i="117" s="1"/>
  <c r="G25" i="117"/>
  <c r="I25" i="117" s="1"/>
  <c r="G24" i="117"/>
  <c r="I24" i="117" s="1"/>
  <c r="G23" i="117"/>
  <c r="I23" i="117" s="1"/>
  <c r="G54" i="75"/>
  <c r="G37" i="77"/>
  <c r="G35" i="77"/>
  <c r="G24" i="77"/>
  <c r="G22" i="77"/>
  <c r="G57" i="10"/>
  <c r="G42" i="10"/>
  <c r="G27" i="69"/>
  <c r="G24" i="69"/>
  <c r="G233" i="9"/>
  <c r="G232" i="9"/>
  <c r="G231" i="9"/>
  <c r="G235" i="9" s="1"/>
  <c r="G230" i="9"/>
  <c r="I193" i="9" s="1"/>
  <c r="I235" i="9" s="1"/>
  <c r="G229" i="9"/>
  <c r="G39" i="8"/>
  <c r="G38" i="8"/>
  <c r="G37" i="8"/>
  <c r="G36" i="8"/>
  <c r="G34" i="8"/>
  <c r="G33" i="8"/>
  <c r="G32" i="8"/>
  <c r="G31" i="8"/>
  <c r="G27" i="8"/>
  <c r="G30" i="8"/>
  <c r="G29" i="8"/>
  <c r="G28" i="8"/>
  <c r="G26" i="8"/>
  <c r="G25" i="8"/>
  <c r="G24" i="8"/>
  <c r="G23" i="8"/>
  <c r="G112" i="7"/>
  <c r="G111" i="7"/>
  <c r="G110" i="7"/>
  <c r="G109" i="7"/>
  <c r="G108" i="7"/>
  <c r="G106" i="7"/>
  <c r="G104" i="7"/>
  <c r="G100" i="7"/>
  <c r="G98" i="7"/>
  <c r="G48" i="7"/>
  <c r="G43" i="7"/>
  <c r="G39" i="7"/>
  <c r="G38" i="7"/>
  <c r="G22" i="23"/>
  <c r="G127" i="6"/>
  <c r="G118" i="6"/>
  <c r="G79" i="58"/>
  <c r="I79" i="58" s="1"/>
  <c r="G78" i="58"/>
  <c r="I78" i="58" s="1"/>
  <c r="G77" i="58"/>
  <c r="I77" i="58" s="1"/>
  <c r="G76" i="58"/>
  <c r="I76" i="58" s="1"/>
  <c r="G75" i="58"/>
  <c r="I75" i="58" s="1"/>
  <c r="G73" i="58"/>
  <c r="I73" i="58" s="1"/>
  <c r="G66" i="58"/>
  <c r="G64" i="58"/>
  <c r="G63" i="58"/>
  <c r="G62" i="58"/>
  <c r="G61" i="58"/>
  <c r="G60" i="58"/>
  <c r="G58" i="58"/>
  <c r="G57" i="58"/>
  <c r="I57" i="58" s="1"/>
  <c r="I49" i="58" s="1"/>
  <c r="D14" i="20" s="1"/>
  <c r="G22" i="57"/>
  <c r="G23" i="57"/>
  <c r="G24" i="57"/>
  <c r="G59" i="57"/>
  <c r="G60" i="57"/>
  <c r="G25" i="57"/>
  <c r="G71" i="57"/>
  <c r="I21" i="117" l="1"/>
  <c r="I23" i="41"/>
  <c r="D18" i="49"/>
  <c r="I25" i="57"/>
  <c r="D17" i="49"/>
  <c r="I23" i="57"/>
  <c r="I21" i="8"/>
  <c r="C21" i="20" s="1"/>
  <c r="D41" i="20"/>
  <c r="I53" i="84"/>
  <c r="I21" i="84"/>
  <c r="O21" i="7"/>
  <c r="S91" i="7"/>
  <c r="I91" i="7"/>
  <c r="I151" i="7" s="1"/>
  <c r="M91" i="7"/>
  <c r="I58" i="58"/>
  <c r="E14" i="20" s="1"/>
  <c r="I21" i="7" l="1"/>
  <c r="C19" i="20" s="1"/>
  <c r="I154" i="7"/>
  <c r="M21" i="7"/>
  <c r="M151" i="7"/>
  <c r="M154" i="7" s="1"/>
  <c r="S21" i="7"/>
  <c r="S151" i="7"/>
  <c r="S154" i="7" s="1"/>
  <c r="C39" i="20"/>
  <c r="C41" i="20"/>
  <c r="I59" i="84"/>
  <c r="I80" i="58"/>
  <c r="A6" i="123" l="1"/>
  <c r="K51" i="117" l="1"/>
  <c r="K53" i="117" s="1"/>
  <c r="K55" i="117" s="1"/>
  <c r="J9" i="117" l="1"/>
  <c r="D92" i="48" l="1"/>
  <c r="S51" i="117"/>
  <c r="S53" i="117" s="1"/>
  <c r="S55" i="117" s="1"/>
  <c r="Q51" i="117"/>
  <c r="Q53" i="117" s="1"/>
  <c r="O51" i="117"/>
  <c r="O53" i="117" s="1"/>
  <c r="O55" i="117" s="1"/>
  <c r="B5" i="117"/>
  <c r="M51" i="117" l="1"/>
  <c r="M53" i="117" s="1"/>
  <c r="M55" i="117" s="1"/>
  <c r="G51" i="117"/>
  <c r="G53" i="117" s="1"/>
  <c r="G55" i="117" s="1"/>
  <c r="N9" i="117"/>
  <c r="R9" i="117"/>
  <c r="Q55" i="117"/>
  <c r="I51" i="117" l="1"/>
  <c r="I53" i="117" s="1"/>
  <c r="I55" i="117" s="1"/>
  <c r="H9" i="117" s="1"/>
  <c r="P9" i="117"/>
  <c r="L9" i="117"/>
  <c r="B90" i="117" l="1"/>
  <c r="S61" i="84" l="1"/>
  <c r="S63" i="84" s="1"/>
  <c r="Q61" i="84"/>
  <c r="Q63" i="84" s="1"/>
  <c r="O61" i="84"/>
  <c r="O63" i="84" s="1"/>
  <c r="M61" i="84"/>
  <c r="M63" i="84" s="1"/>
  <c r="K61" i="84"/>
  <c r="K63" i="84" s="1"/>
  <c r="G59" i="84"/>
  <c r="Q175" i="81"/>
  <c r="Q177" i="81" s="1"/>
  <c r="Q179" i="81" s="1"/>
  <c r="O175" i="81"/>
  <c r="O177" i="81" s="1"/>
  <c r="O179" i="81" s="1"/>
  <c r="Q113" i="30"/>
  <c r="Q115" i="30" s="1"/>
  <c r="Q117" i="30" s="1"/>
  <c r="O113" i="30"/>
  <c r="O115" i="30" s="1"/>
  <c r="O117" i="30" s="1"/>
  <c r="M113" i="30"/>
  <c r="M115" i="30" s="1"/>
  <c r="K113" i="30"/>
  <c r="K115" i="30" s="1"/>
  <c r="M56" i="75"/>
  <c r="M58" i="75" s="1"/>
  <c r="O40" i="77"/>
  <c r="K40" i="77"/>
  <c r="K42" i="77" s="1"/>
  <c r="Q40" i="77"/>
  <c r="Q42" i="77" s="1"/>
  <c r="Q44" i="77" s="1"/>
  <c r="S40" i="77"/>
  <c r="S42" i="77" s="1"/>
  <c r="S44" i="77" s="1"/>
  <c r="M184" i="10"/>
  <c r="M186" i="10" s="1"/>
  <c r="M188" i="10" s="1"/>
  <c r="M214" i="10" s="1"/>
  <c r="S184" i="10"/>
  <c r="K184" i="10"/>
  <c r="K186" i="10" s="1"/>
  <c r="K188" i="10" s="1"/>
  <c r="K214" i="10" s="1"/>
  <c r="M35" i="69"/>
  <c r="M37" i="69" s="1"/>
  <c r="M39" i="69" s="1"/>
  <c r="L9" i="69" s="1"/>
  <c r="S35" i="69"/>
  <c r="S37" i="69" s="1"/>
  <c r="I37" i="69"/>
  <c r="Q35" i="69"/>
  <c r="Q37" i="69" s="1"/>
  <c r="Q39" i="69" s="1"/>
  <c r="Q237" i="9"/>
  <c r="M237" i="9"/>
  <c r="M239" i="9" s="1"/>
  <c r="L9" i="9" s="1"/>
  <c r="K237" i="9"/>
  <c r="K239" i="9" s="1"/>
  <c r="J9" i="9" s="1"/>
  <c r="O237" i="9"/>
  <c r="O239" i="9" s="1"/>
  <c r="S181" i="8"/>
  <c r="Q181" i="8"/>
  <c r="Q183" i="8" s="1"/>
  <c r="O181" i="8"/>
  <c r="O183" i="8" s="1"/>
  <c r="O185" i="8" s="1"/>
  <c r="M181" i="8"/>
  <c r="M183" i="8" s="1"/>
  <c r="M185" i="8" s="1"/>
  <c r="K181" i="8"/>
  <c r="K183" i="8" s="1"/>
  <c r="K185" i="8" s="1"/>
  <c r="S51" i="23"/>
  <c r="S53" i="23" s="1"/>
  <c r="Q51" i="23"/>
  <c r="Q53" i="23" s="1"/>
  <c r="Q55" i="23" s="1"/>
  <c r="O51" i="23"/>
  <c r="O53" i="23" s="1"/>
  <c r="O55" i="23" s="1"/>
  <c r="Q166" i="6"/>
  <c r="Q168" i="6" s="1"/>
  <c r="O166" i="6"/>
  <c r="O168" i="6" s="1"/>
  <c r="M166" i="6"/>
  <c r="M168" i="6" s="1"/>
  <c r="U656" i="111"/>
  <c r="U658" i="111" s="1"/>
  <c r="S656" i="111"/>
  <c r="S658" i="111" s="1"/>
  <c r="Q656" i="111"/>
  <c r="Q658" i="111" s="1"/>
  <c r="M654" i="111"/>
  <c r="M656" i="111" s="1"/>
  <c r="M658" i="111" s="1"/>
  <c r="L9" i="10" l="1"/>
  <c r="N9" i="9"/>
  <c r="O42" i="77"/>
  <c r="O44" i="77" s="1"/>
  <c r="N9" i="77" s="1"/>
  <c r="S183" i="8"/>
  <c r="S185" i="8" s="1"/>
  <c r="Q185" i="8"/>
  <c r="S166" i="6"/>
  <c r="S168" i="6" s="1"/>
  <c r="W656" i="111"/>
  <c r="W658" i="111" s="1"/>
  <c r="G56" i="75"/>
  <c r="G58" i="75" s="1"/>
  <c r="G60" i="75" s="1"/>
  <c r="S39" i="69"/>
  <c r="G175" i="81"/>
  <c r="G177" i="81" s="1"/>
  <c r="G115" i="30"/>
  <c r="G117" i="30" s="1"/>
  <c r="G184" i="10"/>
  <c r="G186" i="10" s="1"/>
  <c r="S186" i="10"/>
  <c r="S188" i="10" s="1"/>
  <c r="S214" i="10" s="1"/>
  <c r="Q239" i="9"/>
  <c r="P9" i="9" s="1"/>
  <c r="S55" i="23"/>
  <c r="G51" i="23"/>
  <c r="G654" i="111"/>
  <c r="G656" i="111" s="1"/>
  <c r="G61" i="84"/>
  <c r="G63" i="84" s="1"/>
  <c r="K117" i="30"/>
  <c r="M117" i="30"/>
  <c r="M60" i="75"/>
  <c r="L9" i="75" s="1"/>
  <c r="K226" i="134" s="1"/>
  <c r="I40" i="77"/>
  <c r="G40" i="77"/>
  <c r="K44" i="77"/>
  <c r="I39" i="69"/>
  <c r="H9" i="69" s="1"/>
  <c r="B72" i="69" s="1"/>
  <c r="G35" i="69"/>
  <c r="G181" i="8"/>
  <c r="G73" i="57"/>
  <c r="G75" i="57" s="1"/>
  <c r="G77" i="57" s="1"/>
  <c r="I237" i="9" l="1"/>
  <c r="I239" i="9" s="1"/>
  <c r="B274" i="9" s="1"/>
  <c r="H24" i="20" s="1"/>
  <c r="I276" i="9"/>
  <c r="I277" i="9" s="1"/>
  <c r="G53" i="23"/>
  <c r="G55" i="23" s="1"/>
  <c r="G179" i="81"/>
  <c r="G54" i="41"/>
  <c r="G56" i="41" s="1"/>
  <c r="G58" i="41" s="1"/>
  <c r="I58" i="75"/>
  <c r="Q186" i="10"/>
  <c r="Q188" i="10" s="1"/>
  <c r="Q214" i="10" s="1"/>
  <c r="G188" i="10"/>
  <c r="I186" i="10"/>
  <c r="I188" i="10" s="1"/>
  <c r="I214" i="10" s="1"/>
  <c r="O37" i="69"/>
  <c r="O39" i="69" s="1"/>
  <c r="S237" i="9"/>
  <c r="S239" i="9" s="1"/>
  <c r="I181" i="8"/>
  <c r="I183" i="8" s="1"/>
  <c r="I185" i="8" s="1"/>
  <c r="G658" i="111"/>
  <c r="I658" i="111"/>
  <c r="I177" i="81"/>
  <c r="I179" i="81" s="1"/>
  <c r="H9" i="81" s="1"/>
  <c r="G42" i="77"/>
  <c r="G44" i="77" s="1"/>
  <c r="I42" i="77"/>
  <c r="I44" i="77" s="1"/>
  <c r="G37" i="69"/>
  <c r="G39" i="69" s="1"/>
  <c r="G237" i="9"/>
  <c r="G239" i="9" s="1"/>
  <c r="G183" i="8"/>
  <c r="G185" i="8" s="1"/>
  <c r="M51" i="23"/>
  <c r="B5" i="111"/>
  <c r="A3" i="49"/>
  <c r="B5" i="84"/>
  <c r="H9" i="111" l="1"/>
  <c r="B693" i="111"/>
  <c r="I115" i="30"/>
  <c r="I117" i="30" s="1"/>
  <c r="I60" i="75"/>
  <c r="H9" i="75" s="1"/>
  <c r="I227" i="134" s="1"/>
  <c r="I51" i="23"/>
  <c r="I53" i="23" s="1"/>
  <c r="I55" i="23" s="1"/>
  <c r="B90" i="23" s="1"/>
  <c r="K51" i="23"/>
  <c r="K53" i="23" s="1"/>
  <c r="K55" i="23" s="1"/>
  <c r="M53" i="23"/>
  <c r="M55" i="23" s="1"/>
  <c r="P9" i="111"/>
  <c r="R9" i="111"/>
  <c r="T9" i="111"/>
  <c r="V9" i="111"/>
  <c r="L9" i="84"/>
  <c r="N9" i="84"/>
  <c r="J9" i="84"/>
  <c r="P9" i="84"/>
  <c r="R9" i="84"/>
  <c r="K12" i="20" l="1"/>
  <c r="L9" i="111"/>
  <c r="H16" i="20" l="1"/>
  <c r="K16" i="20" s="1"/>
  <c r="B5" i="81" l="1"/>
  <c r="B5" i="41"/>
  <c r="B5" i="30"/>
  <c r="L9" i="81" l="1"/>
  <c r="J9" i="81"/>
  <c r="P9" i="81"/>
  <c r="N9" i="81"/>
  <c r="L9" i="30"/>
  <c r="N9" i="30"/>
  <c r="J9" i="30"/>
  <c r="P9" i="30"/>
  <c r="B5" i="75"/>
  <c r="B5" i="77"/>
  <c r="B5" i="10"/>
  <c r="B5" i="69"/>
  <c r="B5" i="9"/>
  <c r="P9" i="77" l="1"/>
  <c r="R9" i="77"/>
  <c r="J9" i="77"/>
  <c r="B79" i="77" s="1"/>
  <c r="H31" i="20" s="1"/>
  <c r="K31" i="20" s="1"/>
  <c r="P9" i="10"/>
  <c r="J9" i="10"/>
  <c r="R9" i="10"/>
  <c r="H9" i="9"/>
  <c r="K24" i="20" s="1"/>
  <c r="H36" i="20" l="1"/>
  <c r="K36" i="20" s="1"/>
  <c r="B155" i="30"/>
  <c r="H34" i="20" s="1"/>
  <c r="K34" i="20" s="1"/>
  <c r="H9" i="30"/>
  <c r="B94" i="75" l="1"/>
  <c r="H32" i="20" s="1"/>
  <c r="K32" i="20" s="1"/>
  <c r="H9" i="77"/>
  <c r="H9" i="10"/>
  <c r="B239" i="10" s="1"/>
  <c r="H28" i="20" s="1"/>
  <c r="K28" i="20" s="1"/>
  <c r="H26" i="20"/>
  <c r="K26" i="20" s="1"/>
  <c r="N9" i="69"/>
  <c r="R9" i="9"/>
  <c r="B5" i="8" l="1"/>
  <c r="B220" i="8" l="1"/>
  <c r="H21" i="20" s="1"/>
  <c r="K21" i="20" s="1"/>
  <c r="H9" i="8"/>
  <c r="B5" i="7" l="1"/>
  <c r="B5" i="6"/>
  <c r="H9" i="23" l="1"/>
  <c r="J9" i="23"/>
  <c r="N9" i="23"/>
  <c r="P9" i="23"/>
  <c r="R9" i="23"/>
  <c r="L9" i="6"/>
  <c r="N9" i="6"/>
  <c r="R9" i="6"/>
  <c r="P9" i="6" l="1"/>
  <c r="H18" i="20" l="1"/>
  <c r="K18" i="20" s="1"/>
  <c r="L9" i="23"/>
  <c r="B5" i="58" l="1"/>
  <c r="J9" i="57" l="1"/>
  <c r="P9" i="57"/>
  <c r="L9" i="57"/>
  <c r="N9" i="57"/>
  <c r="R9" i="57"/>
  <c r="C1" i="48" l="1"/>
  <c r="A4" i="20"/>
  <c r="A3" i="20"/>
  <c r="K155" i="48"/>
  <c r="L155" i="48" s="1"/>
  <c r="K154" i="48"/>
  <c r="L154" i="48" s="1"/>
  <c r="K153" i="48"/>
  <c r="L153" i="48" s="1"/>
  <c r="K151" i="48"/>
  <c r="L151" i="48" s="1"/>
  <c r="K150" i="48"/>
  <c r="L150" i="48" s="1"/>
  <c r="K149" i="48"/>
  <c r="L149" i="48" s="1"/>
  <c r="K148" i="48"/>
  <c r="L148" i="48" s="1"/>
  <c r="K146" i="48"/>
  <c r="L146" i="48" s="1"/>
  <c r="K145" i="48"/>
  <c r="L145" i="48" s="1"/>
  <c r="K144" i="48"/>
  <c r="L144" i="48" s="1"/>
  <c r="K143" i="48"/>
  <c r="L143" i="48" s="1"/>
  <c r="K141" i="48"/>
  <c r="L141" i="48" s="1"/>
  <c r="K140" i="48"/>
  <c r="L140" i="48" s="1"/>
  <c r="K139" i="48"/>
  <c r="L139" i="48" s="1"/>
  <c r="I135" i="48"/>
  <c r="L135" i="48" s="1"/>
  <c r="K134" i="48"/>
  <c r="L134" i="48" s="1"/>
  <c r="K133" i="48"/>
  <c r="L133" i="48" s="1"/>
  <c r="K131" i="48"/>
  <c r="L131" i="48" s="1"/>
  <c r="K130" i="48"/>
  <c r="L130" i="48" s="1"/>
  <c r="K129" i="48"/>
  <c r="L129" i="48" s="1"/>
  <c r="D126" i="48"/>
  <c r="K126" i="48" s="1"/>
  <c r="L126" i="48" s="1"/>
  <c r="K125" i="48"/>
  <c r="L125" i="48" s="1"/>
  <c r="K124" i="48"/>
  <c r="L124" i="48" s="1"/>
  <c r="K115" i="48"/>
  <c r="L115" i="48" s="1"/>
  <c r="K112" i="48"/>
  <c r="L112" i="48" s="1"/>
  <c r="K111" i="48"/>
  <c r="L111" i="48" s="1"/>
  <c r="K110" i="48"/>
  <c r="L110" i="48" s="1"/>
  <c r="K109" i="48"/>
  <c r="L109" i="48" s="1"/>
  <c r="K108" i="48"/>
  <c r="L108" i="48" s="1"/>
  <c r="K105" i="48"/>
  <c r="L105" i="48" s="1"/>
  <c r="K104" i="48"/>
  <c r="L104" i="48" s="1"/>
  <c r="K103" i="48"/>
  <c r="L103" i="48" s="1"/>
  <c r="K102" i="48"/>
  <c r="L102" i="48" s="1"/>
  <c r="K101" i="48"/>
  <c r="L101" i="48" s="1"/>
  <c r="K99" i="48"/>
  <c r="L99" i="48" s="1"/>
  <c r="K93" i="48"/>
  <c r="L93" i="48" s="1"/>
  <c r="K91" i="48"/>
  <c r="L91" i="48" s="1"/>
  <c r="K90" i="48"/>
  <c r="L90" i="48" s="1"/>
  <c r="K89" i="48"/>
  <c r="L89" i="48" s="1"/>
  <c r="K86" i="48"/>
  <c r="L86" i="48" s="1"/>
  <c r="K85" i="48"/>
  <c r="L85" i="48" s="1"/>
  <c r="K82" i="48"/>
  <c r="L82" i="48" s="1"/>
  <c r="K80" i="48"/>
  <c r="L80" i="48" s="1"/>
  <c r="K78" i="48"/>
  <c r="L78" i="48" s="1"/>
  <c r="K76" i="48"/>
  <c r="L76" i="48" s="1"/>
  <c r="K75" i="48"/>
  <c r="L75" i="48" s="1"/>
  <c r="K71" i="48"/>
  <c r="L71" i="48" s="1"/>
  <c r="K68" i="48"/>
  <c r="L68" i="48" s="1"/>
  <c r="K66" i="48"/>
  <c r="I64" i="48"/>
  <c r="L64" i="48" s="1"/>
  <c r="I63" i="48"/>
  <c r="L63" i="48" s="1"/>
  <c r="I62" i="48"/>
  <c r="L62" i="48" s="1"/>
  <c r="I59" i="48"/>
  <c r="L59" i="48" s="1"/>
  <c r="I58" i="48"/>
  <c r="L58" i="48" s="1"/>
  <c r="I54" i="48"/>
  <c r="L54" i="48" s="1"/>
  <c r="I51" i="48"/>
  <c r="L51" i="48" s="1"/>
  <c r="I45" i="48"/>
  <c r="L45" i="48" s="1"/>
  <c r="O43" i="48"/>
  <c r="M41" i="48"/>
  <c r="O40" i="48"/>
  <c r="O39" i="48"/>
  <c r="M39" i="48"/>
  <c r="M38" i="48"/>
  <c r="O37" i="48"/>
  <c r="M36" i="48"/>
  <c r="M35" i="48"/>
  <c r="M33" i="48"/>
  <c r="O32" i="48"/>
  <c r="M32" i="48"/>
  <c r="O31" i="48"/>
  <c r="M31" i="48"/>
  <c r="M30" i="48"/>
  <c r="F27" i="48"/>
  <c r="O42" i="48"/>
  <c r="F26" i="48"/>
  <c r="O41" i="48"/>
  <c r="F25" i="48"/>
  <c r="F24" i="48"/>
  <c r="F23" i="48"/>
  <c r="F22" i="48"/>
  <c r="F21" i="48"/>
  <c r="F19" i="48"/>
  <c r="O36" i="48"/>
  <c r="F18" i="48"/>
  <c r="O35" i="48"/>
  <c r="F35" i="48" s="1"/>
  <c r="F16" i="48"/>
  <c r="F15" i="48"/>
  <c r="O33" i="48"/>
  <c r="F14" i="48"/>
  <c r="F13" i="48"/>
  <c r="F12" i="48"/>
  <c r="O30" i="48"/>
  <c r="F10" i="48"/>
  <c r="F30" i="48" l="1"/>
  <c r="F36" i="48"/>
  <c r="D119" i="48"/>
  <c r="K119" i="48" s="1"/>
  <c r="L119" i="48" s="1"/>
  <c r="F39" i="48"/>
  <c r="L138" i="48"/>
  <c r="L152" i="48"/>
  <c r="F31" i="48"/>
  <c r="F40" i="48"/>
  <c r="F33" i="48"/>
  <c r="L147" i="48"/>
  <c r="F43" i="48"/>
  <c r="F42" i="48"/>
  <c r="F41" i="48"/>
  <c r="F37" i="48"/>
  <c r="F32" i="48"/>
  <c r="D136" i="48"/>
  <c r="I136" i="48" s="1"/>
  <c r="L136" i="48" s="1"/>
  <c r="I60" i="48"/>
  <c r="L60" i="48" s="1"/>
  <c r="D52" i="48"/>
  <c r="I52" i="48" s="1"/>
  <c r="L52" i="48" s="1"/>
  <c r="I50" i="48"/>
  <c r="L50" i="48" s="1"/>
  <c r="K97" i="48"/>
  <c r="L97" i="48" s="1"/>
  <c r="D56" i="48"/>
  <c r="I56" i="48" s="1"/>
  <c r="L56" i="48" s="1"/>
  <c r="D69" i="48"/>
  <c r="K69" i="48" s="1"/>
  <c r="L69" i="48" s="1"/>
  <c r="D79" i="48"/>
  <c r="K79" i="48" s="1"/>
  <c r="L79" i="48" s="1"/>
  <c r="D74" i="48"/>
  <c r="K74" i="48" s="1"/>
  <c r="L74" i="48" s="1"/>
  <c r="I47" i="48"/>
  <c r="L47" i="48" s="1"/>
  <c r="D106" i="48"/>
  <c r="K106" i="48" s="1"/>
  <c r="L106" i="48" s="1"/>
  <c r="D55" i="48"/>
  <c r="I55" i="48" s="1"/>
  <c r="L55" i="48" s="1"/>
  <c r="D88" i="48"/>
  <c r="K88" i="48" s="1"/>
  <c r="L88" i="48" s="1"/>
  <c r="D114" i="48"/>
  <c r="K114" i="48" s="1"/>
  <c r="L114" i="48" s="1"/>
  <c r="D94" i="48"/>
  <c r="K94" i="48" s="1"/>
  <c r="L94" i="48" s="1"/>
  <c r="D84" i="48"/>
  <c r="K84" i="48" s="1"/>
  <c r="L84" i="48" s="1"/>
  <c r="K128" i="48"/>
  <c r="L128" i="48" s="1"/>
  <c r="I46" i="48"/>
  <c r="L46" i="48" s="1"/>
  <c r="D87" i="48"/>
  <c r="K87" i="48" s="1"/>
  <c r="L87" i="48" s="1"/>
  <c r="I48" i="48"/>
  <c r="L48" i="48" s="1"/>
  <c r="D113" i="48"/>
  <c r="K113" i="48" s="1"/>
  <c r="L113" i="48" s="1"/>
  <c r="D83" i="48"/>
  <c r="K83" i="48" s="1"/>
  <c r="L83" i="48" s="1"/>
  <c r="K127" i="48"/>
  <c r="L127" i="48" s="1"/>
  <c r="I49" i="48"/>
  <c r="L49" i="48" s="1"/>
  <c r="D96" i="48"/>
  <c r="K96" i="48" s="1"/>
  <c r="L96" i="48" s="1"/>
  <c r="K92" i="48"/>
  <c r="L92" i="48" s="1"/>
  <c r="D137" i="48"/>
  <c r="I137" i="48" s="1"/>
  <c r="L137" i="48" s="1"/>
  <c r="D67" i="48"/>
  <c r="K67" i="48" s="1"/>
  <c r="L67" i="48" s="1"/>
  <c r="D61" i="48"/>
  <c r="I61" i="48" s="1"/>
  <c r="L61" i="48" s="1"/>
  <c r="D53" i="48"/>
  <c r="I53" i="48" s="1"/>
  <c r="L53" i="48" s="1"/>
  <c r="D57" i="48"/>
  <c r="I57" i="48" s="1"/>
  <c r="L57" i="48" s="1"/>
  <c r="L142" i="48"/>
  <c r="L66" i="48"/>
  <c r="O29" i="48"/>
  <c r="F29" i="48" s="1"/>
  <c r="K118" i="48"/>
  <c r="L118" i="48" s="1"/>
  <c r="O34" i="48"/>
  <c r="F34" i="48" s="1"/>
  <c r="F17" i="48"/>
  <c r="O38" i="48"/>
  <c r="F38" i="48" s="1"/>
  <c r="L123" i="48" l="1"/>
  <c r="L95" i="48"/>
  <c r="L81" i="48"/>
  <c r="L132" i="48"/>
  <c r="D120" i="48"/>
  <c r="K120" i="48" s="1"/>
  <c r="L120" i="48" s="1"/>
  <c r="D26" i="48"/>
  <c r="G26" i="48" s="1"/>
  <c r="L26" i="48" s="1"/>
  <c r="D13" i="48"/>
  <c r="G13" i="48" s="1"/>
  <c r="L13" i="48" s="1"/>
  <c r="G12" i="48"/>
  <c r="L12" i="48" s="1"/>
  <c r="G18" i="48"/>
  <c r="L18" i="48" s="1"/>
  <c r="K107" i="48"/>
  <c r="L107" i="48" s="1"/>
  <c r="L100" i="48" s="1"/>
  <c r="D21" i="48"/>
  <c r="G21" i="48" s="1"/>
  <c r="L21" i="48" s="1"/>
  <c r="G15" i="48"/>
  <c r="L15" i="48" s="1"/>
  <c r="G10" i="48"/>
  <c r="G22" i="48"/>
  <c r="L22" i="48" s="1"/>
  <c r="D23" i="48"/>
  <c r="G23" i="48" s="1"/>
  <c r="L23" i="48" s="1"/>
  <c r="D17" i="48"/>
  <c r="G17" i="48" s="1"/>
  <c r="L17" i="48" s="1"/>
  <c r="D25" i="48"/>
  <c r="G25" i="48" s="1"/>
  <c r="L25" i="48" s="1"/>
  <c r="D27" i="48"/>
  <c r="G27" i="48" s="1"/>
  <c r="L27" i="48" s="1"/>
  <c r="G14" i="48"/>
  <c r="L14" i="48" s="1"/>
  <c r="G19" i="48"/>
  <c r="L19" i="48" s="1"/>
  <c r="D121" i="48"/>
  <c r="K121" i="48" s="1"/>
  <c r="L121" i="48" s="1"/>
  <c r="K117" i="48"/>
  <c r="L117" i="48" s="1"/>
  <c r="G16" i="48"/>
  <c r="L16" i="48" s="1"/>
  <c r="D24" i="48"/>
  <c r="G24" i="48" s="1"/>
  <c r="L24" i="48" s="1"/>
  <c r="L10" i="48" l="1"/>
  <c r="L9" i="48" s="1"/>
  <c r="C45" i="21"/>
  <c r="F6" i="21" s="1"/>
  <c r="D45" i="21"/>
  <c r="F5" i="21" s="1"/>
  <c r="E45" i="21"/>
  <c r="F7" i="21" s="1"/>
  <c r="M47" i="133" l="1"/>
  <c r="K180" i="81"/>
  <c r="M180" i="81"/>
  <c r="Y659" i="111"/>
  <c r="S118" i="30"/>
  <c r="K659" i="111"/>
  <c r="O659" i="111"/>
  <c r="O86" i="154"/>
  <c r="Q86" i="154"/>
  <c r="K86" i="154"/>
  <c r="S86" i="154"/>
  <c r="M86" i="154"/>
  <c r="M76" i="131"/>
  <c r="I71" i="151"/>
  <c r="O71" i="151"/>
  <c r="M71" i="151"/>
  <c r="S71" i="151"/>
  <c r="Q71" i="151"/>
  <c r="M45" i="77"/>
  <c r="G71" i="151"/>
  <c r="O56" i="149"/>
  <c r="S56" i="149"/>
  <c r="Q57" i="150"/>
  <c r="Q56" i="149"/>
  <c r="S57" i="150"/>
  <c r="G56" i="149"/>
  <c r="O57" i="150"/>
  <c r="M57" i="150"/>
  <c r="K57" i="150"/>
  <c r="M56" i="149"/>
  <c r="I47" i="133"/>
  <c r="I57" i="150"/>
  <c r="K56" i="149"/>
  <c r="K61" i="75"/>
  <c r="O61" i="75"/>
  <c r="G57" i="150"/>
  <c r="I56" i="149"/>
  <c r="K57" i="148"/>
  <c r="Q57" i="148"/>
  <c r="S57" i="148"/>
  <c r="M57" i="148"/>
  <c r="O57" i="148"/>
  <c r="G56" i="147"/>
  <c r="G57" i="148"/>
  <c r="I57" i="148"/>
  <c r="K100" i="145"/>
  <c r="O100" i="145"/>
  <c r="M100" i="145"/>
  <c r="S100" i="145"/>
  <c r="M220" i="134"/>
  <c r="S220" i="134"/>
  <c r="O220" i="134"/>
  <c r="Q100" i="145"/>
  <c r="G100" i="145"/>
  <c r="O189" i="10"/>
  <c r="D146" i="6"/>
  <c r="G146" i="6" s="1"/>
  <c r="K73" i="126"/>
  <c r="I73" i="126"/>
  <c r="K40" i="69"/>
  <c r="Q73" i="126"/>
  <c r="S56" i="138"/>
  <c r="Q56" i="135"/>
  <c r="S56" i="135"/>
  <c r="S56" i="28"/>
  <c r="O56" i="138"/>
  <c r="M56" i="130"/>
  <c r="I56" i="129"/>
  <c r="Q56" i="125"/>
  <c r="Q56" i="128"/>
  <c r="I54" i="142"/>
  <c r="K47" i="133"/>
  <c r="K220" i="134"/>
  <c r="K56" i="28"/>
  <c r="S47" i="133"/>
  <c r="O56" i="135"/>
  <c r="O56" i="130"/>
  <c r="M56" i="129"/>
  <c r="M56" i="135"/>
  <c r="K56" i="135"/>
  <c r="M54" i="142"/>
  <c r="K56" i="125"/>
  <c r="K56" i="129"/>
  <c r="M56" i="125"/>
  <c r="Q54" i="142"/>
  <c r="Q56" i="28"/>
  <c r="M56" i="138"/>
  <c r="G56" i="138"/>
  <c r="O47" i="133"/>
  <c r="S56" i="128"/>
  <c r="Q56" i="138"/>
  <c r="Q220" i="134"/>
  <c r="Q56" i="130"/>
  <c r="M73" i="126"/>
  <c r="S56" i="130"/>
  <c r="O73" i="126"/>
  <c r="K56" i="138"/>
  <c r="M56" i="28"/>
  <c r="O54" i="142"/>
  <c r="O56" i="129"/>
  <c r="O56" i="128"/>
  <c r="G56" i="125"/>
  <c r="G56" i="128"/>
  <c r="O56" i="125"/>
  <c r="I56" i="125"/>
  <c r="S73" i="126"/>
  <c r="K54" i="142"/>
  <c r="S56" i="125"/>
  <c r="G56" i="130"/>
  <c r="I56" i="135"/>
  <c r="K56" i="130"/>
  <c r="S56" i="129"/>
  <c r="G56" i="28"/>
  <c r="G47" i="133"/>
  <c r="G54" i="142"/>
  <c r="K56" i="128"/>
  <c r="G220" i="134"/>
  <c r="G56" i="135"/>
  <c r="I56" i="138"/>
  <c r="M56" i="128"/>
  <c r="O56" i="28"/>
  <c r="G73" i="126"/>
  <c r="G56" i="129"/>
  <c r="G58" i="132"/>
  <c r="I56" i="130"/>
  <c r="Q56" i="129"/>
  <c r="I56" i="128"/>
  <c r="Q47" i="133"/>
  <c r="G76" i="131"/>
  <c r="I220" i="134"/>
  <c r="K56" i="117"/>
  <c r="O56" i="117"/>
  <c r="S56" i="117"/>
  <c r="G56" i="117"/>
  <c r="M56" i="117"/>
  <c r="Q56" i="117"/>
  <c r="I56" i="117"/>
  <c r="K122" i="48"/>
  <c r="L122" i="48" s="1"/>
  <c r="L116" i="48" s="1"/>
  <c r="O180" i="81"/>
  <c r="S40" i="69"/>
  <c r="R9" i="69" s="1"/>
  <c r="O45" i="77"/>
  <c r="M40" i="69"/>
  <c r="Q56" i="23"/>
  <c r="K64" i="84"/>
  <c r="M240" i="9"/>
  <c r="Q186" i="8"/>
  <c r="P9" i="8" s="1"/>
  <c r="S45" i="77"/>
  <c r="W659" i="111"/>
  <c r="O240" i="9"/>
  <c r="O118" i="30"/>
  <c r="I240" i="9"/>
  <c r="K186" i="8"/>
  <c r="J9" i="8" s="1"/>
  <c r="O64" i="84"/>
  <c r="O169" i="6"/>
  <c r="S189" i="10"/>
  <c r="M189" i="10"/>
  <c r="M659" i="111"/>
  <c r="Q240" i="9"/>
  <c r="S186" i="8"/>
  <c r="R9" i="8" s="1"/>
  <c r="Q180" i="81"/>
  <c r="M169" i="6"/>
  <c r="Q40" i="69"/>
  <c r="P9" i="69" s="1"/>
  <c r="M64" i="84"/>
  <c r="K240" i="9"/>
  <c r="S64" i="84"/>
  <c r="Q659" i="111"/>
  <c r="O186" i="8"/>
  <c r="N9" i="8" s="1"/>
  <c r="Q189" i="10"/>
  <c r="S169" i="6"/>
  <c r="Q118" i="30"/>
  <c r="Q64" i="84"/>
  <c r="I56" i="23"/>
  <c r="U659" i="111"/>
  <c r="K189" i="10"/>
  <c r="S659" i="111"/>
  <c r="M186" i="8"/>
  <c r="L9" i="8" s="1"/>
  <c r="Q169" i="6"/>
  <c r="K56" i="23"/>
  <c r="O56" i="23"/>
  <c r="Q45" i="77"/>
  <c r="S56" i="23"/>
  <c r="G64" i="84"/>
  <c r="G659" i="111"/>
  <c r="G189" i="10"/>
  <c r="G56" i="23"/>
  <c r="G78" i="57"/>
  <c r="K118" i="30"/>
  <c r="M61" i="75"/>
  <c r="G61" i="75"/>
  <c r="G180" i="81"/>
  <c r="G118" i="30"/>
  <c r="G59" i="41"/>
  <c r="M118" i="30"/>
  <c r="I40" i="69"/>
  <c r="K45" i="77"/>
  <c r="I45" i="77"/>
  <c r="I118" i="30"/>
  <c r="O40" i="69"/>
  <c r="I189" i="10"/>
  <c r="I659" i="111"/>
  <c r="S240" i="9"/>
  <c r="G40" i="69"/>
  <c r="I186" i="8"/>
  <c r="G45" i="77"/>
  <c r="I180" i="81"/>
  <c r="G186" i="8"/>
  <c r="G240" i="9"/>
  <c r="I61" i="75"/>
  <c r="M56" i="23"/>
  <c r="S47" i="68"/>
  <c r="S46" i="68"/>
  <c r="Q47" i="68"/>
  <c r="Q46" i="68"/>
  <c r="O47" i="68"/>
  <c r="O46" i="68"/>
  <c r="M47" i="68"/>
  <c r="M46" i="68"/>
  <c r="K47" i="68"/>
  <c r="K46" i="68"/>
  <c r="I47" i="68"/>
  <c r="I46" i="68"/>
  <c r="Q72" i="82"/>
  <c r="Q70" i="82"/>
  <c r="P8" i="82"/>
  <c r="S66" i="82"/>
  <c r="Q68" i="82"/>
  <c r="Q66" i="82"/>
  <c r="O72" i="82"/>
  <c r="O71" i="82"/>
  <c r="M72" i="82"/>
  <c r="M71" i="82"/>
  <c r="K72" i="82"/>
  <c r="K71" i="82"/>
  <c r="I72" i="82"/>
  <c r="I71" i="82"/>
  <c r="S72" i="79"/>
  <c r="S71" i="79"/>
  <c r="Q72" i="79"/>
  <c r="Q71" i="79"/>
  <c r="O72" i="79"/>
  <c r="O71" i="79"/>
  <c r="M72" i="79"/>
  <c r="M71" i="79"/>
  <c r="K72" i="79"/>
  <c r="K71" i="79"/>
  <c r="I72" i="79"/>
  <c r="I71" i="79"/>
  <c r="S53" i="85"/>
  <c r="S52" i="85"/>
  <c r="Q53" i="85"/>
  <c r="Q52" i="85"/>
  <c r="O53" i="85"/>
  <c r="O52" i="85"/>
  <c r="M53" i="85"/>
  <c r="M52" i="85"/>
  <c r="K53" i="85"/>
  <c r="K52" i="85"/>
  <c r="I53" i="85"/>
  <c r="I52" i="85"/>
  <c r="S54" i="92"/>
  <c r="S53" i="92"/>
  <c r="Q54" i="92"/>
  <c r="Q53" i="92"/>
  <c r="O54" i="92"/>
  <c r="O53" i="92"/>
  <c r="M54" i="92"/>
  <c r="M53" i="92"/>
  <c r="K54" i="92"/>
  <c r="K53" i="92"/>
  <c r="I54" i="92"/>
  <c r="I53" i="92"/>
  <c r="S60" i="90"/>
  <c r="S59" i="90"/>
  <c r="Q60" i="90"/>
  <c r="Q59" i="90"/>
  <c r="O60" i="90"/>
  <c r="O59" i="90"/>
  <c r="M60" i="90"/>
  <c r="M59" i="90"/>
  <c r="K60" i="90"/>
  <c r="K59" i="90"/>
  <c r="I60" i="90"/>
  <c r="I59" i="90"/>
  <c r="S75" i="109"/>
  <c r="S74" i="109"/>
  <c r="Q75" i="109"/>
  <c r="Q74" i="109"/>
  <c r="O75" i="109"/>
  <c r="O74" i="109"/>
  <c r="M75" i="109"/>
  <c r="M74" i="109"/>
  <c r="K75" i="109"/>
  <c r="K74" i="109"/>
  <c r="I75" i="109"/>
  <c r="I74" i="109"/>
  <c r="B4" i="109"/>
  <c r="B4" i="90"/>
  <c r="B4" i="92"/>
  <c r="B4" i="85"/>
  <c r="B4" i="79"/>
  <c r="B4" i="82"/>
  <c r="B4" i="68"/>
  <c r="I146" i="6" l="1"/>
  <c r="I43" i="6" s="1"/>
  <c r="K146" i="6"/>
  <c r="K43" i="6" s="1"/>
  <c r="K164" i="6" s="1"/>
  <c r="K166" i="6" s="1"/>
  <c r="K168" i="6" s="1"/>
  <c r="G164" i="6"/>
  <c r="G166" i="6" s="1"/>
  <c r="G168" i="6" s="1"/>
  <c r="G169" i="6" s="1"/>
  <c r="S70" i="82"/>
  <c r="S68" i="82"/>
  <c r="Q71" i="82"/>
  <c r="J9" i="6" l="1"/>
  <c r="K169" i="6"/>
  <c r="I164" i="6"/>
  <c r="C17" i="20"/>
  <c r="S72" i="82"/>
  <c r="S71" i="82"/>
  <c r="A6" i="20" l="1"/>
  <c r="S69" i="109" l="1"/>
  <c r="S71" i="109" s="1"/>
  <c r="S73" i="109" s="1"/>
  <c r="Q69" i="109"/>
  <c r="Q71" i="109" s="1"/>
  <c r="Q73" i="109" s="1"/>
  <c r="O69" i="109"/>
  <c r="M69" i="109"/>
  <c r="M71" i="109" s="1"/>
  <c r="M73" i="109" s="1"/>
  <c r="K69" i="109"/>
  <c r="I69" i="109"/>
  <c r="B19" i="109"/>
  <c r="B18" i="109"/>
  <c r="B17" i="109"/>
  <c r="B16" i="109"/>
  <c r="B15" i="109"/>
  <c r="B14" i="109"/>
  <c r="B13" i="109"/>
  <c r="B12" i="109"/>
  <c r="B11" i="109"/>
  <c r="O71" i="109" l="1"/>
  <c r="O73" i="109" s="1"/>
  <c r="P8" i="109"/>
  <c r="L8" i="109"/>
  <c r="R8" i="109"/>
  <c r="I71" i="109"/>
  <c r="I73" i="109" s="1"/>
  <c r="K71" i="109"/>
  <c r="K73" i="109" s="1"/>
  <c r="N8" i="109" l="1"/>
  <c r="J8" i="109"/>
  <c r="H8" i="109"/>
  <c r="CR46" i="108"/>
  <c r="CJ46" i="108"/>
  <c r="CB46" i="108"/>
  <c r="BT46" i="108"/>
  <c r="BL46" i="108"/>
  <c r="BD46" i="108"/>
  <c r="AV46" i="108"/>
  <c r="AN46" i="108"/>
  <c r="AF46" i="108"/>
  <c r="X46" i="108"/>
  <c r="P46" i="108"/>
  <c r="H46" i="108"/>
  <c r="CU46" i="108" s="1"/>
  <c r="CR45" i="108"/>
  <c r="CJ45" i="108"/>
  <c r="CU45" i="108" s="1"/>
  <c r="CB45" i="108"/>
  <c r="BT45" i="108"/>
  <c r="BL45" i="108"/>
  <c r="BD45" i="108"/>
  <c r="AV45" i="108"/>
  <c r="AN45" i="108"/>
  <c r="AF45" i="108"/>
  <c r="X45" i="108"/>
  <c r="P45" i="108"/>
  <c r="H45" i="108"/>
  <c r="CR44" i="108"/>
  <c r="CJ44" i="108"/>
  <c r="CB44" i="108"/>
  <c r="BT44" i="108"/>
  <c r="BL44" i="108"/>
  <c r="CU44" i="108" s="1"/>
  <c r="BD44" i="108"/>
  <c r="AV44" i="108"/>
  <c r="AN44" i="108"/>
  <c r="AF44" i="108"/>
  <c r="X44" i="108"/>
  <c r="P44" i="108"/>
  <c r="H44" i="108"/>
  <c r="CR43" i="108"/>
  <c r="CJ43" i="108"/>
  <c r="CB43" i="108"/>
  <c r="BT43" i="108"/>
  <c r="BL43" i="108"/>
  <c r="BD43" i="108"/>
  <c r="AV43" i="108"/>
  <c r="CU43" i="108" s="1"/>
  <c r="AN43" i="108"/>
  <c r="AF43" i="108"/>
  <c r="X43" i="108"/>
  <c r="P43" i="108"/>
  <c r="H43" i="108"/>
  <c r="CR41" i="108"/>
  <c r="CJ41" i="108"/>
  <c r="CB41" i="108"/>
  <c r="BT41" i="108"/>
  <c r="BL41" i="108"/>
  <c r="BD41" i="108"/>
  <c r="AV41" i="108"/>
  <c r="AN41" i="108"/>
  <c r="AF41" i="108"/>
  <c r="X41" i="108"/>
  <c r="P41" i="108"/>
  <c r="CU41" i="108" s="1"/>
  <c r="H41" i="108"/>
  <c r="CR40" i="108"/>
  <c r="CJ40" i="108"/>
  <c r="CB40" i="108"/>
  <c r="BT40" i="108"/>
  <c r="BL40" i="108"/>
  <c r="BD40" i="108"/>
  <c r="AV40" i="108"/>
  <c r="AN40" i="108"/>
  <c r="AF40" i="108"/>
  <c r="X40" i="108"/>
  <c r="P40" i="108"/>
  <c r="H40" i="108"/>
  <c r="CU40" i="108" s="1"/>
  <c r="CR38" i="108"/>
  <c r="CU38" i="108" s="1"/>
  <c r="CJ38" i="108"/>
  <c r="CB38" i="108"/>
  <c r="BT38" i="108"/>
  <c r="BL38" i="108"/>
  <c r="BD38" i="108"/>
  <c r="AV38" i="108"/>
  <c r="AN38" i="108"/>
  <c r="AF38" i="108"/>
  <c r="X38" i="108"/>
  <c r="P38" i="108"/>
  <c r="H38" i="108"/>
  <c r="CR36" i="108"/>
  <c r="CJ36" i="108"/>
  <c r="CB36" i="108"/>
  <c r="BT36" i="108"/>
  <c r="CU36" i="108" s="1"/>
  <c r="BL36" i="108"/>
  <c r="BD36" i="108"/>
  <c r="AV36" i="108"/>
  <c r="AN36" i="108"/>
  <c r="AF36" i="108"/>
  <c r="X36" i="108"/>
  <c r="P36" i="108"/>
  <c r="H36" i="108"/>
  <c r="CR35" i="108"/>
  <c r="CJ35" i="108"/>
  <c r="CB35" i="108"/>
  <c r="BT35" i="108"/>
  <c r="BL35" i="108"/>
  <c r="BD35" i="108"/>
  <c r="AV35" i="108"/>
  <c r="CU35" i="108" s="1"/>
  <c r="AN35" i="108"/>
  <c r="AF35" i="108"/>
  <c r="X35" i="108"/>
  <c r="P35" i="108"/>
  <c r="H35" i="108"/>
  <c r="CR34" i="108"/>
  <c r="CJ34" i="108"/>
  <c r="CB34" i="108"/>
  <c r="BT34" i="108"/>
  <c r="BL34" i="108"/>
  <c r="BD34" i="108"/>
  <c r="AV34" i="108"/>
  <c r="AN34" i="108"/>
  <c r="AF34" i="108"/>
  <c r="X34" i="108"/>
  <c r="CU34" i="108" s="1"/>
  <c r="P34" i="108"/>
  <c r="H34" i="108"/>
  <c r="CR33" i="108"/>
  <c r="CJ33" i="108"/>
  <c r="CB33" i="108"/>
  <c r="BT33" i="108"/>
  <c r="BL33" i="108"/>
  <c r="BD33" i="108"/>
  <c r="AV33" i="108"/>
  <c r="AN33" i="108"/>
  <c r="AF33" i="108"/>
  <c r="X33" i="108"/>
  <c r="P33" i="108"/>
  <c r="H33" i="108"/>
  <c r="CU33" i="108" s="1"/>
  <c r="CP31" i="108"/>
  <c r="CR31" i="108" s="1"/>
  <c r="CH31" i="108"/>
  <c r="CJ31" i="108" s="1"/>
  <c r="BZ31" i="108"/>
  <c r="CB31" i="108" s="1"/>
  <c r="BT31" i="108"/>
  <c r="BR31" i="108"/>
  <c r="BJ31" i="108"/>
  <c r="BL31" i="108" s="1"/>
  <c r="BB31" i="108"/>
  <c r="BD31" i="108" s="1"/>
  <c r="AT31" i="108"/>
  <c r="AV31" i="108" s="1"/>
  <c r="AL31" i="108"/>
  <c r="AN31" i="108" s="1"/>
  <c r="AD31" i="108"/>
  <c r="AF31" i="108" s="1"/>
  <c r="V31" i="108"/>
  <c r="X31" i="108" s="1"/>
  <c r="N31" i="108"/>
  <c r="P31" i="108" s="1"/>
  <c r="CU31" i="108" s="1"/>
  <c r="H31" i="108"/>
  <c r="F31" i="108"/>
  <c r="CP30" i="108"/>
  <c r="CR30" i="108" s="1"/>
  <c r="CH30" i="108"/>
  <c r="CJ30" i="108" s="1"/>
  <c r="BZ30" i="108"/>
  <c r="CB30" i="108" s="1"/>
  <c r="BT30" i="108"/>
  <c r="BR30" i="108"/>
  <c r="BJ30" i="108"/>
  <c r="BL30" i="108" s="1"/>
  <c r="BB30" i="108"/>
  <c r="BD30" i="108" s="1"/>
  <c r="AT30" i="108"/>
  <c r="AV30" i="108" s="1"/>
  <c r="AL30" i="108"/>
  <c r="AN30" i="108" s="1"/>
  <c r="AD30" i="108"/>
  <c r="AF30" i="108" s="1"/>
  <c r="V30" i="108"/>
  <c r="X30" i="108" s="1"/>
  <c r="N30" i="108"/>
  <c r="P30" i="108" s="1"/>
  <c r="H30" i="108"/>
  <c r="CU30" i="108" s="1"/>
  <c r="F30" i="108"/>
  <c r="CP29" i="108"/>
  <c r="CR29" i="108" s="1"/>
  <c r="CH29" i="108"/>
  <c r="CJ29" i="108" s="1"/>
  <c r="CB29" i="108"/>
  <c r="BZ29" i="108"/>
  <c r="BR29" i="108"/>
  <c r="BT29" i="108" s="1"/>
  <c r="BJ29" i="108"/>
  <c r="BL29" i="108" s="1"/>
  <c r="BB29" i="108"/>
  <c r="BD29" i="108" s="1"/>
  <c r="AT29" i="108"/>
  <c r="AV29" i="108" s="1"/>
  <c r="AL29" i="108"/>
  <c r="AN29" i="108" s="1"/>
  <c r="AD29" i="108"/>
  <c r="AF29" i="108" s="1"/>
  <c r="V29" i="108"/>
  <c r="X29" i="108" s="1"/>
  <c r="P29" i="108"/>
  <c r="N29" i="108"/>
  <c r="F29" i="108"/>
  <c r="H29" i="108" s="1"/>
  <c r="CU29" i="108" s="1"/>
  <c r="CP28" i="108"/>
  <c r="CR28" i="108" s="1"/>
  <c r="CH28" i="108"/>
  <c r="CJ28" i="108" s="1"/>
  <c r="CB28" i="108"/>
  <c r="BZ28" i="108"/>
  <c r="BT28" i="108"/>
  <c r="BR28" i="108"/>
  <c r="BJ28" i="108"/>
  <c r="BL28" i="108" s="1"/>
  <c r="BB28" i="108"/>
  <c r="BD28" i="108" s="1"/>
  <c r="AT28" i="108"/>
  <c r="AV28" i="108" s="1"/>
  <c r="AL28" i="108"/>
  <c r="AN28" i="108" s="1"/>
  <c r="AD28" i="108"/>
  <c r="AF28" i="108" s="1"/>
  <c r="V28" i="108"/>
  <c r="X28" i="108" s="1"/>
  <c r="P28" i="108"/>
  <c r="N28" i="108"/>
  <c r="H28" i="108"/>
  <c r="F28" i="108"/>
  <c r="CP27" i="108"/>
  <c r="CR27" i="108" s="1"/>
  <c r="CJ27" i="108"/>
  <c r="CH27" i="108"/>
  <c r="BZ27" i="108"/>
  <c r="CB27" i="108" s="1"/>
  <c r="BR27" i="108"/>
  <c r="BR7" i="108" s="1"/>
  <c r="BT7" i="108" s="1"/>
  <c r="BJ27" i="108"/>
  <c r="BJ7" i="108" s="1"/>
  <c r="BL7" i="108" s="1"/>
  <c r="BB27" i="108"/>
  <c r="BD27" i="108" s="1"/>
  <c r="AT27" i="108"/>
  <c r="AV27" i="108" s="1"/>
  <c r="AL27" i="108"/>
  <c r="AN27" i="108" s="1"/>
  <c r="AD27" i="108"/>
  <c r="AF27" i="108" s="1"/>
  <c r="X27" i="108"/>
  <c r="V27" i="108"/>
  <c r="N27" i="108"/>
  <c r="P27" i="108" s="1"/>
  <c r="F27" i="108"/>
  <c r="H27" i="108" s="1"/>
  <c r="CP26" i="108"/>
  <c r="CR26" i="108" s="1"/>
  <c r="CJ26" i="108"/>
  <c r="CH26" i="108"/>
  <c r="CB26" i="108"/>
  <c r="BZ26" i="108"/>
  <c r="BR26" i="108"/>
  <c r="BT26" i="108" s="1"/>
  <c r="BJ26" i="108"/>
  <c r="BL26" i="108" s="1"/>
  <c r="BB26" i="108"/>
  <c r="BD26" i="108" s="1"/>
  <c r="AT26" i="108"/>
  <c r="AV26" i="108" s="1"/>
  <c r="AL26" i="108"/>
  <c r="AN26" i="108" s="1"/>
  <c r="AD26" i="108"/>
  <c r="AF26" i="108" s="1"/>
  <c r="X26" i="108"/>
  <c r="V26" i="108"/>
  <c r="P26" i="108"/>
  <c r="N26" i="108"/>
  <c r="F26" i="108"/>
  <c r="H26" i="108" s="1"/>
  <c r="CR25" i="108"/>
  <c r="CJ25" i="108"/>
  <c r="CB25" i="108"/>
  <c r="BT25" i="108"/>
  <c r="BL25" i="108"/>
  <c r="BD25" i="108"/>
  <c r="AV25" i="108"/>
  <c r="AN25" i="108"/>
  <c r="AF25" i="108"/>
  <c r="X25" i="108"/>
  <c r="CU25" i="108" s="1"/>
  <c r="P25" i="108"/>
  <c r="H25" i="108"/>
  <c r="CR24" i="108"/>
  <c r="CJ24" i="108"/>
  <c r="CB24" i="108"/>
  <c r="BT24" i="108"/>
  <c r="BL24" i="108"/>
  <c r="BD24" i="108"/>
  <c r="AV24" i="108"/>
  <c r="AN24" i="108"/>
  <c r="AF24" i="108"/>
  <c r="X24" i="108"/>
  <c r="P24" i="108"/>
  <c r="H24" i="108"/>
  <c r="CU24" i="108" s="1"/>
  <c r="CU23" i="108"/>
  <c r="CR23" i="108"/>
  <c r="CJ23" i="108"/>
  <c r="CB23" i="108"/>
  <c r="BT23" i="108"/>
  <c r="BL23" i="108"/>
  <c r="BD23" i="108"/>
  <c r="AV23" i="108"/>
  <c r="AN23" i="108"/>
  <c r="AF23" i="108"/>
  <c r="X23" i="108"/>
  <c r="P23" i="108"/>
  <c r="H23" i="108"/>
  <c r="CR21" i="108"/>
  <c r="CJ21" i="108"/>
  <c r="CB21" i="108"/>
  <c r="CU21" i="108" s="1"/>
  <c r="BT21" i="108"/>
  <c r="BL21" i="108"/>
  <c r="BD21" i="108"/>
  <c r="AV21" i="108"/>
  <c r="AN21" i="108"/>
  <c r="AF21" i="108"/>
  <c r="X21" i="108"/>
  <c r="P21" i="108"/>
  <c r="H21" i="108"/>
  <c r="CR20" i="108"/>
  <c r="CJ20" i="108"/>
  <c r="CB20" i="108"/>
  <c r="BT20" i="108"/>
  <c r="BL20" i="108"/>
  <c r="BD20" i="108"/>
  <c r="CU20" i="108" s="1"/>
  <c r="AV20" i="108"/>
  <c r="AN20" i="108"/>
  <c r="AF20" i="108"/>
  <c r="X20" i="108"/>
  <c r="P20" i="108"/>
  <c r="H20" i="108"/>
  <c r="CR19" i="108"/>
  <c r="CJ19" i="108"/>
  <c r="CB19" i="108"/>
  <c r="BT19" i="108"/>
  <c r="BL19" i="108"/>
  <c r="BD19" i="108"/>
  <c r="AV19" i="108"/>
  <c r="AN19" i="108"/>
  <c r="AF19" i="108"/>
  <c r="CU19" i="108" s="1"/>
  <c r="X19" i="108"/>
  <c r="CR18" i="108"/>
  <c r="CJ18" i="108"/>
  <c r="CB18" i="108"/>
  <c r="BT18" i="108"/>
  <c r="BL18" i="108"/>
  <c r="BD18" i="108"/>
  <c r="AV18" i="108"/>
  <c r="AN18" i="108"/>
  <c r="AF18" i="108"/>
  <c r="X18" i="108"/>
  <c r="P18" i="108"/>
  <c r="H18" i="108"/>
  <c r="CU18" i="108" s="1"/>
  <c r="CR17" i="108"/>
  <c r="CU17" i="108" s="1"/>
  <c r="CJ17" i="108"/>
  <c r="CB17" i="108"/>
  <c r="BT17" i="108"/>
  <c r="BL17" i="108"/>
  <c r="BD17" i="108"/>
  <c r="AV17" i="108"/>
  <c r="AN17" i="108"/>
  <c r="AF17" i="108"/>
  <c r="X17" i="108"/>
  <c r="P17" i="108"/>
  <c r="H17" i="108"/>
  <c r="CR15" i="108"/>
  <c r="CJ15" i="108"/>
  <c r="CB15" i="108"/>
  <c r="BT15" i="108"/>
  <c r="CU15" i="108" s="1"/>
  <c r="BL15" i="108"/>
  <c r="BD15" i="108"/>
  <c r="AV15" i="108"/>
  <c r="AN15" i="108"/>
  <c r="AF15" i="108"/>
  <c r="X15" i="108"/>
  <c r="P15" i="108"/>
  <c r="H15" i="108"/>
  <c r="CR14" i="108"/>
  <c r="CJ14" i="108"/>
  <c r="CB14" i="108"/>
  <c r="BT14" i="108"/>
  <c r="BL14" i="108"/>
  <c r="BD14" i="108"/>
  <c r="AV14" i="108"/>
  <c r="CU14" i="108" s="1"/>
  <c r="AN14" i="108"/>
  <c r="AF14" i="108"/>
  <c r="X14" i="108"/>
  <c r="P14" i="108"/>
  <c r="H14" i="108"/>
  <c r="CR13" i="108"/>
  <c r="CJ13" i="108"/>
  <c r="CB13" i="108"/>
  <c r="BT13" i="108"/>
  <c r="BL13" i="108"/>
  <c r="BD13" i="108"/>
  <c r="AV13" i="108"/>
  <c r="AN13" i="108"/>
  <c r="AF13" i="108"/>
  <c r="X13" i="108"/>
  <c r="CU13" i="108" s="1"/>
  <c r="P13" i="108"/>
  <c r="H13" i="108"/>
  <c r="CR12" i="108"/>
  <c r="CJ12" i="108"/>
  <c r="CB12" i="108"/>
  <c r="BT12" i="108"/>
  <c r="BL12" i="108"/>
  <c r="BD12" i="108"/>
  <c r="AV12" i="108"/>
  <c r="AN12" i="108"/>
  <c r="AF12" i="108"/>
  <c r="X12" i="108"/>
  <c r="P12" i="108"/>
  <c r="H12" i="108"/>
  <c r="CU12" i="108" s="1"/>
  <c r="CU11" i="108"/>
  <c r="CR11" i="108"/>
  <c r="CJ11" i="108"/>
  <c r="CB11" i="108"/>
  <c r="BT11" i="108"/>
  <c r="BL11" i="108"/>
  <c r="BD11" i="108"/>
  <c r="AV11" i="108"/>
  <c r="AN11" i="108"/>
  <c r="AF11" i="108"/>
  <c r="X11" i="108"/>
  <c r="P11" i="108"/>
  <c r="H11" i="108"/>
  <c r="CR10" i="108"/>
  <c r="CJ10" i="108"/>
  <c r="CB10" i="108"/>
  <c r="CU10" i="108" s="1"/>
  <c r="BT10" i="108"/>
  <c r="BL10" i="108"/>
  <c r="BD10" i="108"/>
  <c r="AV10" i="108"/>
  <c r="AN10" i="108"/>
  <c r="AF10" i="108"/>
  <c r="X10" i="108"/>
  <c r="P10" i="108"/>
  <c r="H10" i="108"/>
  <c r="CP7" i="108"/>
  <c r="CR7" i="108" s="1"/>
  <c r="CH7" i="108"/>
  <c r="CJ7" i="108" s="1"/>
  <c r="BZ7" i="108"/>
  <c r="CB7" i="108" s="1"/>
  <c r="AV7" i="108"/>
  <c r="AT7" i="108"/>
  <c r="AL7" i="108"/>
  <c r="AN7" i="108" s="1"/>
  <c r="AD7" i="108"/>
  <c r="AF7" i="108" s="1"/>
  <c r="V7" i="108"/>
  <c r="X7" i="108" s="1"/>
  <c r="N7" i="108"/>
  <c r="P7" i="108" s="1"/>
  <c r="CR6" i="108"/>
  <c r="CJ6" i="108"/>
  <c r="CB6" i="108"/>
  <c r="BT6" i="108"/>
  <c r="BL6" i="108"/>
  <c r="BD6" i="108"/>
  <c r="AV6" i="108"/>
  <c r="AN6" i="108"/>
  <c r="AF6" i="108"/>
  <c r="X6" i="108"/>
  <c r="P6" i="108"/>
  <c r="H6" i="108"/>
  <c r="CU6" i="108" s="1"/>
  <c r="CU5" i="108"/>
  <c r="CR5" i="108"/>
  <c r="CJ5" i="108"/>
  <c r="CB5" i="108"/>
  <c r="BT5" i="108"/>
  <c r="BL5" i="108"/>
  <c r="BD5" i="108"/>
  <c r="AV5" i="108"/>
  <c r="AN5" i="108"/>
  <c r="AF5" i="108"/>
  <c r="X5" i="108"/>
  <c r="P5" i="108"/>
  <c r="H5" i="108"/>
  <c r="CR4" i="108"/>
  <c r="CJ4" i="108"/>
  <c r="CB4" i="108"/>
  <c r="CU4" i="108" s="1"/>
  <c r="BT4" i="108"/>
  <c r="BL4" i="108"/>
  <c r="BD4" i="108"/>
  <c r="AV4" i="108"/>
  <c r="AN4" i="108"/>
  <c r="AF4" i="108"/>
  <c r="X4" i="108"/>
  <c r="P4" i="108"/>
  <c r="H4" i="108"/>
  <c r="CR2" i="108"/>
  <c r="CJ2" i="108"/>
  <c r="CB2" i="108"/>
  <c r="BT2" i="108"/>
  <c r="BL2" i="108"/>
  <c r="BD2" i="108"/>
  <c r="CU2" i="108" s="1"/>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CU28" i="108" l="1"/>
  <c r="CU26" i="108"/>
  <c r="BL27" i="108"/>
  <c r="CU27" i="108" s="1"/>
  <c r="BT27" i="108"/>
  <c r="BB7" i="108"/>
  <c r="BD7" i="108" s="1"/>
  <c r="F7" i="108"/>
  <c r="H7" i="108" s="1"/>
  <c r="CU7" i="108" s="1"/>
  <c r="S54" i="90" l="1"/>
  <c r="Q54" i="90"/>
  <c r="Q56" i="90" s="1"/>
  <c r="O54" i="90"/>
  <c r="M54" i="90"/>
  <c r="M56" i="90" s="1"/>
  <c r="K54" i="90"/>
  <c r="S50" i="92"/>
  <c r="S48" i="92"/>
  <c r="Q48" i="92"/>
  <c r="O48" i="92"/>
  <c r="M48" i="92"/>
  <c r="M50" i="92" s="1"/>
  <c r="K48" i="92"/>
  <c r="K50" i="92" s="1"/>
  <c r="S47" i="85"/>
  <c r="Q47" i="85"/>
  <c r="O47" i="85"/>
  <c r="M47" i="85"/>
  <c r="M49" i="85" s="1"/>
  <c r="K47" i="85"/>
  <c r="K49" i="85" s="1"/>
  <c r="K51" i="85" s="1"/>
  <c r="S66" i="79"/>
  <c r="Q66" i="79"/>
  <c r="Q68" i="79" s="1"/>
  <c r="Q70" i="79" s="1"/>
  <c r="O66" i="79"/>
  <c r="O68" i="79" s="1"/>
  <c r="M66" i="79"/>
  <c r="K66" i="79"/>
  <c r="O66" i="82"/>
  <c r="O68" i="82" s="1"/>
  <c r="M66" i="82"/>
  <c r="M68" i="82" s="1"/>
  <c r="K66" i="82"/>
  <c r="S52" i="92" l="1"/>
  <c r="K52" i="92"/>
  <c r="K56" i="90"/>
  <c r="K58" i="90" s="1"/>
  <c r="O56" i="90"/>
  <c r="O58" i="90" s="1"/>
  <c r="Q58" i="90"/>
  <c r="S56" i="90"/>
  <c r="S58" i="90" s="1"/>
  <c r="M58" i="90"/>
  <c r="Q50" i="92"/>
  <c r="Q52" i="92" s="1"/>
  <c r="O50" i="92"/>
  <c r="O52" i="92" s="1"/>
  <c r="M52" i="92"/>
  <c r="S49" i="85"/>
  <c r="S51" i="85" s="1"/>
  <c r="Q49" i="85"/>
  <c r="Q51" i="85" s="1"/>
  <c r="O49" i="85"/>
  <c r="O51" i="85" s="1"/>
  <c r="M51" i="85"/>
  <c r="S68" i="79"/>
  <c r="S70" i="79" s="1"/>
  <c r="O70" i="79"/>
  <c r="M68" i="79"/>
  <c r="M70" i="79" s="1"/>
  <c r="K68" i="79"/>
  <c r="K70" i="79" s="1"/>
  <c r="O70" i="82"/>
  <c r="M70" i="82"/>
  <c r="K68" i="82"/>
  <c r="K70" i="82" s="1"/>
  <c r="I54" i="90" l="1"/>
  <c r="B19" i="90"/>
  <c r="B18" i="90"/>
  <c r="B17" i="90"/>
  <c r="B16" i="90"/>
  <c r="B15" i="90"/>
  <c r="B14" i="90"/>
  <c r="B13" i="90"/>
  <c r="B12" i="90"/>
  <c r="B11" i="90"/>
  <c r="R8" i="90"/>
  <c r="P8" i="90"/>
  <c r="L8" i="90" l="1"/>
  <c r="N8" i="90"/>
  <c r="J8" i="90"/>
  <c r="I56" i="90"/>
  <c r="I58" i="90" s="1"/>
  <c r="I48" i="92"/>
  <c r="B19" i="92"/>
  <c r="B18" i="92"/>
  <c r="B17" i="92"/>
  <c r="B16" i="92"/>
  <c r="B15" i="92"/>
  <c r="B14" i="92"/>
  <c r="B13" i="92"/>
  <c r="B12" i="92"/>
  <c r="B11" i="92"/>
  <c r="R8" i="92"/>
  <c r="P8" i="92"/>
  <c r="I47" i="85"/>
  <c r="B19" i="85"/>
  <c r="B18" i="85"/>
  <c r="B17" i="85"/>
  <c r="B16" i="85"/>
  <c r="B15" i="85"/>
  <c r="B14" i="85"/>
  <c r="B13" i="85"/>
  <c r="B12" i="85"/>
  <c r="B11" i="85"/>
  <c r="R8" i="85"/>
  <c r="P8" i="85"/>
  <c r="I66" i="79"/>
  <c r="B19" i="79"/>
  <c r="B18" i="79"/>
  <c r="B17" i="79"/>
  <c r="B16" i="79"/>
  <c r="B15" i="79"/>
  <c r="B14" i="79"/>
  <c r="B13" i="79"/>
  <c r="B12" i="79"/>
  <c r="B11" i="79"/>
  <c r="R8" i="79"/>
  <c r="P8" i="79"/>
  <c r="I66" i="82"/>
  <c r="B19" i="82"/>
  <c r="B18" i="82"/>
  <c r="B17" i="82"/>
  <c r="B16" i="82"/>
  <c r="B15" i="82"/>
  <c r="B14" i="82"/>
  <c r="B13" i="82"/>
  <c r="B12" i="82"/>
  <c r="B11" i="82"/>
  <c r="R8" i="82"/>
  <c r="H8" i="90" l="1"/>
  <c r="J8" i="92"/>
  <c r="L8" i="92"/>
  <c r="N8" i="92"/>
  <c r="I50" i="92"/>
  <c r="I52" i="92" s="1"/>
  <c r="I49" i="85"/>
  <c r="I51" i="85" s="1"/>
  <c r="J8" i="79"/>
  <c r="L8" i="79"/>
  <c r="N8" i="79"/>
  <c r="I68" i="79"/>
  <c r="I70" i="79" s="1"/>
  <c r="L8" i="82"/>
  <c r="N8" i="82"/>
  <c r="J8" i="82"/>
  <c r="I68" i="82"/>
  <c r="I70" i="82" s="1"/>
  <c r="H8" i="92" l="1"/>
  <c r="H8" i="85"/>
  <c r="N8" i="85"/>
  <c r="L8" i="85"/>
  <c r="J8" i="85"/>
  <c r="H8" i="79"/>
  <c r="H8" i="82"/>
  <c r="S41" i="68" l="1"/>
  <c r="S43" i="68" s="1"/>
  <c r="S45" i="68" s="1"/>
  <c r="Q41" i="68"/>
  <c r="Q43" i="68" s="1"/>
  <c r="Q45" i="68" s="1"/>
  <c r="O41" i="68"/>
  <c r="O43" i="68" s="1"/>
  <c r="O45" i="68" s="1"/>
  <c r="M41" i="68"/>
  <c r="M43" i="68" s="1"/>
  <c r="M45" i="68" s="1"/>
  <c r="K41" i="68"/>
  <c r="K43" i="68" s="1"/>
  <c r="I41" i="68"/>
  <c r="B19" i="68"/>
  <c r="B18" i="68"/>
  <c r="B17" i="68"/>
  <c r="B16" i="68"/>
  <c r="B15" i="68"/>
  <c r="B14" i="68"/>
  <c r="B13" i="68"/>
  <c r="B12" i="68"/>
  <c r="B11" i="68"/>
  <c r="A9" i="49"/>
  <c r="A6" i="49"/>
  <c r="A10" i="49" l="1"/>
  <c r="A11" i="49" s="1"/>
  <c r="A12" i="49" s="1"/>
  <c r="A13" i="49" s="1"/>
  <c r="A14" i="49" s="1"/>
  <c r="A15" i="49" s="1"/>
  <c r="A18" i="49" s="1"/>
  <c r="A19" i="49" s="1"/>
  <c r="A20" i="49" s="1"/>
  <c r="A21" i="49" s="1"/>
  <c r="A22" i="49" s="1"/>
  <c r="A23" i="49" s="1"/>
  <c r="A24" i="49" s="1"/>
  <c r="A25" i="49" s="1"/>
  <c r="A26" i="49" s="1"/>
  <c r="A27" i="49" s="1"/>
  <c r="A28" i="49" s="1"/>
  <c r="A29" i="49" s="1"/>
  <c r="K45" i="68"/>
  <c r="I43" i="68"/>
  <c r="I45" i="68" s="1"/>
  <c r="A30" i="49" l="1"/>
  <c r="D95" i="21"/>
  <c r="F93" i="21"/>
  <c r="F92" i="21"/>
  <c r="D61" i="21"/>
  <c r="C61" i="21"/>
  <c r="A31" i="49" l="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59" i="49" s="1"/>
  <c r="A60" i="49" s="1"/>
  <c r="F95" i="21"/>
  <c r="A61" i="49" l="1"/>
  <c r="A62" i="49" s="1"/>
  <c r="L44" i="48"/>
  <c r="I156" i="48"/>
  <c r="D33" i="48"/>
  <c r="G33" i="48" s="1"/>
  <c r="L33" i="48" s="1"/>
  <c r="D29" i="48"/>
  <c r="G29" i="48" s="1"/>
  <c r="D30" i="48"/>
  <c r="G30" i="48" s="1"/>
  <c r="L30" i="48" s="1"/>
  <c r="D31" i="48"/>
  <c r="G31" i="48" s="1"/>
  <c r="L31" i="48" s="1"/>
  <c r="D32" i="48"/>
  <c r="G32" i="48" s="1"/>
  <c r="L32" i="48" s="1"/>
  <c r="D34" i="48"/>
  <c r="G34" i="48" s="1"/>
  <c r="L34" i="48" s="1"/>
  <c r="D35" i="48"/>
  <c r="G35" i="48" s="1"/>
  <c r="L35" i="48" s="1"/>
  <c r="D39" i="48"/>
  <c r="G39" i="48" s="1"/>
  <c r="L39" i="48" s="1"/>
  <c r="D40" i="48"/>
  <c r="G40" i="48" s="1"/>
  <c r="L40" i="48" s="1"/>
  <c r="D41" i="48"/>
  <c r="G41" i="48" s="1"/>
  <c r="L41" i="48" s="1"/>
  <c r="D42" i="48"/>
  <c r="G42" i="48" s="1"/>
  <c r="L42" i="48" s="1"/>
  <c r="D70" i="48"/>
  <c r="K70" i="48" s="1"/>
  <c r="L70" i="48" s="1"/>
  <c r="D72" i="48"/>
  <c r="K72" i="48" s="1"/>
  <c r="L72" i="48" s="1"/>
  <c r="D73" i="48"/>
  <c r="K73" i="48" s="1"/>
  <c r="L73" i="48" s="1"/>
  <c r="D77" i="48"/>
  <c r="K77" i="48" s="1"/>
  <c r="L77" i="48" s="1"/>
  <c r="D38" i="48" l="1"/>
  <c r="G38" i="48" s="1"/>
  <c r="L38" i="48" s="1"/>
  <c r="D37" i="48"/>
  <c r="G37" i="48" s="1"/>
  <c r="L37" i="48" s="1"/>
  <c r="D36" i="48"/>
  <c r="G36" i="48" s="1"/>
  <c r="L36" i="48" s="1"/>
  <c r="N65" i="48"/>
  <c r="K156" i="48"/>
  <c r="L159" i="48" s="1"/>
  <c r="H68" i="20" s="1"/>
  <c r="L29" i="48"/>
  <c r="D43" i="48"/>
  <c r="G43" i="48" s="1"/>
  <c r="L43" i="48" s="1"/>
  <c r="L28" i="48" l="1"/>
  <c r="L156" i="48" s="1"/>
  <c r="G156" i="48"/>
  <c r="L158" i="48" s="1"/>
  <c r="H67" i="20" s="1"/>
  <c r="L160" i="48" l="1"/>
  <c r="M160" i="48" s="1"/>
  <c r="L161" i="48" l="1"/>
  <c r="I166" i="6" l="1"/>
  <c r="I168" i="6" s="1"/>
  <c r="I169" i="6" l="1"/>
  <c r="H9" i="6"/>
  <c r="B203" i="6"/>
  <c r="H17" i="20" s="1"/>
  <c r="K17" i="20" s="1"/>
  <c r="F8" i="20" l="1"/>
  <c r="I58" i="2"/>
  <c r="I60" i="2" l="1"/>
  <c r="B95" i="2" l="1"/>
  <c r="H8" i="20" s="1"/>
  <c r="K8" i="20" s="1"/>
  <c r="H9" i="2"/>
  <c r="K58" i="2" l="1"/>
  <c r="M58" i="2"/>
  <c r="Q58" i="2"/>
  <c r="Q60" i="2" s="1"/>
  <c r="S58" i="2"/>
  <c r="S60" i="2"/>
  <c r="O58" i="2" l="1"/>
  <c r="O60" i="2" s="1"/>
  <c r="K60" i="2"/>
  <c r="M60" i="2"/>
  <c r="K68" i="151" l="1"/>
  <c r="K70" i="151" s="1"/>
  <c r="J9" i="151" s="1"/>
  <c r="K92" i="13"/>
  <c r="K94" i="13" s="1"/>
  <c r="J9" i="13" s="1"/>
  <c r="H38" i="20" l="1"/>
  <c r="K38" i="20" s="1"/>
  <c r="K71" i="151"/>
  <c r="H51" i="20"/>
  <c r="K51" i="20" s="1"/>
  <c r="N9" i="13"/>
  <c r="H9" i="13"/>
  <c r="P9" i="13"/>
  <c r="R9" i="13"/>
  <c r="K71" i="131" l="1"/>
  <c r="K73" i="131" l="1"/>
  <c r="K75" i="131" s="1"/>
  <c r="J9" i="131" s="1"/>
  <c r="K76" i="131" l="1"/>
  <c r="O73" i="131" l="1"/>
  <c r="Q73" i="131"/>
  <c r="Q75" i="131" s="1"/>
  <c r="P9" i="131" s="1"/>
  <c r="S73" i="131"/>
  <c r="S75" i="131" s="1"/>
  <c r="O75" i="131"/>
  <c r="N9" i="131" s="1"/>
  <c r="R9" i="131" l="1"/>
  <c r="S76" i="131"/>
  <c r="O76" i="131"/>
  <c r="Q76" i="131"/>
  <c r="I183" i="127"/>
  <c r="I184" i="127"/>
  <c r="M244" i="127"/>
  <c r="K244" i="127"/>
  <c r="D11" i="20" s="1"/>
  <c r="O244" i="127"/>
  <c r="Q244" i="127"/>
  <c r="S244" i="127"/>
  <c r="U244" i="127"/>
  <c r="I61" i="84"/>
  <c r="I63" i="84" s="1"/>
  <c r="K125" i="139"/>
  <c r="K127" i="139" s="1"/>
  <c r="J9" i="139" l="1"/>
  <c r="K177" i="139" s="1"/>
  <c r="K181" i="139" s="1"/>
  <c r="H52" i="20"/>
  <c r="H9" i="84"/>
  <c r="B98" i="84"/>
  <c r="H41" i="20" s="1"/>
  <c r="K41" i="20" s="1"/>
  <c r="I64" i="84"/>
  <c r="K52" i="20" l="1"/>
  <c r="I82" i="58"/>
  <c r="I84" i="58" l="1"/>
  <c r="B119" i="58" s="1"/>
  <c r="H14" i="20" s="1"/>
  <c r="K14" i="20" s="1"/>
  <c r="M82" i="58"/>
  <c r="M84" i="58" s="1"/>
  <c r="M85" i="58" s="1"/>
  <c r="O82" i="58"/>
  <c r="K82" i="58"/>
  <c r="I85" i="58" l="1"/>
  <c r="H9" i="58"/>
  <c r="K84" i="58"/>
  <c r="K85" i="58" s="1"/>
  <c r="S82" i="58"/>
  <c r="S84" i="58" s="1"/>
  <c r="Q82" i="58"/>
  <c r="Q84" i="58" s="1"/>
  <c r="O84" i="58"/>
  <c r="O85" i="58" s="1"/>
  <c r="L9" i="58"/>
  <c r="J9" i="58" l="1"/>
  <c r="N9" i="58"/>
  <c r="Q85" i="58"/>
  <c r="P9" i="58"/>
  <c r="S85" i="58"/>
  <c r="R9" i="58"/>
  <c r="G73" i="154"/>
  <c r="I73" i="154" s="1"/>
  <c r="I70" i="154" s="1"/>
  <c r="D42" i="20" s="1"/>
  <c r="I51" i="153"/>
  <c r="I53" i="153" s="1"/>
  <c r="I55" i="153" l="1"/>
  <c r="M51" i="153"/>
  <c r="O51" i="153"/>
  <c r="Q51" i="153"/>
  <c r="Q53" i="153" s="1"/>
  <c r="Q55" i="153" s="1"/>
  <c r="P9" i="153" s="1"/>
  <c r="S51" i="153"/>
  <c r="S53" i="153" s="1"/>
  <c r="S55" i="153" s="1"/>
  <c r="R9" i="153" s="1"/>
  <c r="M53" i="153"/>
  <c r="M55" i="153" s="1"/>
  <c r="L9" i="153" s="1"/>
  <c r="O53" i="153"/>
  <c r="O55" i="153"/>
  <c r="N9" i="153" s="1"/>
  <c r="I23" i="131"/>
  <c r="H9" i="153" l="1"/>
  <c r="B90" i="153"/>
  <c r="H54" i="20" s="1"/>
  <c r="I73" i="131"/>
  <c r="I75" i="131" s="1"/>
  <c r="H9" i="131" s="1"/>
  <c r="K54" i="20" l="1"/>
  <c r="I54" i="20"/>
  <c r="I76" i="131"/>
  <c r="B110" i="131"/>
  <c r="H22" i="20" s="1"/>
  <c r="K22" i="20" s="1"/>
  <c r="M189" i="140" l="1"/>
  <c r="M209" i="140"/>
  <c r="M227" i="140"/>
  <c r="M229" i="140" s="1"/>
  <c r="M231" i="140" l="1"/>
  <c r="L9" i="140" s="1"/>
  <c r="I189" i="140"/>
  <c r="D53" i="20" s="1"/>
  <c r="I227" i="140"/>
  <c r="I266" i="140" s="1"/>
  <c r="I267" i="140" s="1"/>
  <c r="I229" i="140" l="1"/>
  <c r="I231" i="140" s="1"/>
  <c r="G114" i="7"/>
  <c r="H9" i="140" l="1"/>
  <c r="I178" i="139" s="1"/>
  <c r="I181" i="139" s="1"/>
  <c r="K183" i="139" s="1"/>
  <c r="B266" i="140"/>
  <c r="H53" i="20" s="1"/>
  <c r="G116" i="7"/>
  <c r="G118" i="7" s="1"/>
  <c r="G119" i="7" s="1"/>
  <c r="I99" i="7"/>
  <c r="K53" i="20" l="1"/>
  <c r="I53" i="20"/>
  <c r="I64" i="20" s="1"/>
  <c r="I66" i="20" s="1"/>
  <c r="I75" i="20" s="1"/>
  <c r="D19" i="20"/>
  <c r="I114" i="7"/>
  <c r="I76" i="20" l="1"/>
  <c r="I116" i="7"/>
  <c r="I118" i="7" s="1"/>
  <c r="B153" i="7" s="1"/>
  <c r="I155" i="7"/>
  <c r="I156" i="7" s="1"/>
  <c r="H9" i="7"/>
  <c r="M99" i="7"/>
  <c r="M114" i="7" s="1"/>
  <c r="O99" i="7"/>
  <c r="S99" i="7"/>
  <c r="S114" i="7" s="1"/>
  <c r="K99" i="7"/>
  <c r="K114" i="7" s="1"/>
  <c r="K155" i="7" s="1"/>
  <c r="K156" i="7" s="1"/>
  <c r="Q99" i="7"/>
  <c r="Q114" i="7" s="1"/>
  <c r="O114" i="7" l="1"/>
  <c r="I119" i="7"/>
  <c r="S116" i="7"/>
  <c r="S155" i="7"/>
  <c r="S156" i="7" s="1"/>
  <c r="Q116" i="7"/>
  <c r="Q155" i="7"/>
  <c r="Q156" i="7" s="1"/>
  <c r="M116" i="7"/>
  <c r="M118" i="7" s="1"/>
  <c r="M155" i="7"/>
  <c r="M156" i="7" s="1"/>
  <c r="H19" i="20"/>
  <c r="K19" i="20" s="1"/>
  <c r="L9" i="7"/>
  <c r="M119" i="7"/>
  <c r="Q118" i="7"/>
  <c r="K116" i="7"/>
  <c r="K118" i="7" s="1"/>
  <c r="S118" i="7"/>
  <c r="O155" i="7" l="1"/>
  <c r="O156" i="7" s="1"/>
  <c r="O116" i="7"/>
  <c r="O118" i="7" s="1"/>
  <c r="J9" i="7"/>
  <c r="K119" i="7"/>
  <c r="S119" i="7"/>
  <c r="R9" i="7"/>
  <c r="P9" i="7"/>
  <c r="Q119" i="7"/>
  <c r="M215" i="127"/>
  <c r="M21" i="127" s="1"/>
  <c r="I292" i="127"/>
  <c r="N9" i="7" l="1"/>
  <c r="O119" i="7"/>
  <c r="M328" i="127"/>
  <c r="M332" i="127" s="1"/>
  <c r="I294" i="127"/>
  <c r="I296" i="127" s="1"/>
  <c r="I297" i="127" s="1"/>
  <c r="U21" i="127"/>
  <c r="U292" i="127" s="1"/>
  <c r="S21" i="127"/>
  <c r="S292" i="127" s="1"/>
  <c r="Q21" i="127"/>
  <c r="Q292" i="127" s="1"/>
  <c r="O215" i="127"/>
  <c r="K215" i="127"/>
  <c r="M292" i="127" l="1"/>
  <c r="M333" i="127" s="1"/>
  <c r="M334" i="127" s="1"/>
  <c r="K21" i="127"/>
  <c r="K332" i="127"/>
  <c r="O21" i="127"/>
  <c r="O292" i="127" s="1"/>
  <c r="O333" i="127" s="1"/>
  <c r="O328" i="127"/>
  <c r="O332" i="127" s="1"/>
  <c r="S294" i="127"/>
  <c r="S296" i="127" s="1"/>
  <c r="R9" i="127" s="1"/>
  <c r="Q294" i="127"/>
  <c r="Q296" i="127" s="1"/>
  <c r="P9" i="127" s="1"/>
  <c r="U294" i="127"/>
  <c r="U296" i="127" s="1"/>
  <c r="T9" i="127" s="1"/>
  <c r="K292" i="127" l="1"/>
  <c r="K333" i="127" s="1"/>
  <c r="K334" i="127" s="1"/>
  <c r="C11" i="20"/>
  <c r="M294" i="127"/>
  <c r="M296" i="127" s="1"/>
  <c r="O334" i="127"/>
  <c r="O294" i="127"/>
  <c r="O296" i="127" s="1"/>
  <c r="N9" i="127" s="1"/>
  <c r="L9" i="127"/>
  <c r="K294" i="127" l="1"/>
  <c r="K296" i="127" s="1"/>
  <c r="J9" i="127"/>
  <c r="B331" i="127"/>
  <c r="H11" i="20" s="1"/>
  <c r="K11" i="20" s="1"/>
  <c r="I51" i="147"/>
  <c r="I53" i="147" l="1"/>
  <c r="I55" i="147" s="1"/>
  <c r="I56" i="147" l="1"/>
  <c r="H9" i="147"/>
  <c r="B90" i="147"/>
  <c r="H35" i="20" s="1"/>
  <c r="K35" i="20" l="1"/>
  <c r="I95" i="145"/>
  <c r="I97" i="145" s="1"/>
  <c r="I99" i="145" s="1"/>
  <c r="C43" i="20" l="1"/>
  <c r="B134" i="145"/>
  <c r="H43" i="20" s="1"/>
  <c r="K43" i="20" s="1"/>
  <c r="H9" i="145"/>
  <c r="I100" i="145"/>
  <c r="G54" i="154"/>
  <c r="I54" i="154" s="1"/>
  <c r="K147" i="112"/>
  <c r="K148" i="112" s="1"/>
  <c r="K108" i="112" l="1"/>
  <c r="K110" i="112" s="1"/>
  <c r="J9" i="112" l="1"/>
  <c r="H44" i="20"/>
  <c r="K44" i="20" s="1"/>
  <c r="I110" i="61"/>
  <c r="I112" i="61" l="1"/>
  <c r="I114" i="61" s="1"/>
  <c r="H9" i="61" s="1"/>
  <c r="I152" i="61"/>
  <c r="I153" i="61" s="1"/>
  <c r="B150" i="61" l="1"/>
  <c r="H15" i="20" s="1"/>
  <c r="K15" i="20" s="1"/>
  <c r="K110" i="61"/>
  <c r="K112" i="61" s="1"/>
  <c r="M110" i="61"/>
  <c r="M112" i="61" s="1"/>
  <c r="O110" i="61"/>
  <c r="O112" i="61" s="1"/>
  <c r="Q110" i="61"/>
  <c r="Q112" i="61" s="1"/>
  <c r="S110" i="61"/>
  <c r="S112" i="61" s="1"/>
  <c r="S114" i="61" l="1"/>
  <c r="R9" i="61" s="1"/>
  <c r="Q114" i="61"/>
  <c r="P9" i="61" s="1"/>
  <c r="O114" i="61"/>
  <c r="N9" i="61" s="1"/>
  <c r="M114" i="61"/>
  <c r="L9" i="61" s="1"/>
  <c r="K114" i="61"/>
  <c r="J9" i="61" s="1"/>
  <c r="M90" i="13"/>
  <c r="M92" i="13" s="1"/>
  <c r="M94" i="13" s="1"/>
  <c r="L9" i="13" s="1"/>
  <c r="M131" i="13" l="1"/>
  <c r="M132" i="13" s="1"/>
  <c r="H58" i="20"/>
  <c r="K58" i="20" s="1"/>
  <c r="K54" i="41"/>
  <c r="K56" i="41" s="1"/>
  <c r="M54" i="41"/>
  <c r="O54" i="41"/>
  <c r="O56" i="41" s="1"/>
  <c r="Q54" i="41"/>
  <c r="Q56" i="41" s="1"/>
  <c r="S54" i="41"/>
  <c r="S56" i="41" s="1"/>
  <c r="K58" i="41" l="1"/>
  <c r="O58" i="41"/>
  <c r="M56" i="41"/>
  <c r="M58" i="41" s="1"/>
  <c r="S58" i="41"/>
  <c r="Q58" i="41"/>
  <c r="Q59" i="41" s="1"/>
  <c r="P9" i="41"/>
  <c r="M59" i="41" l="1"/>
  <c r="L9" i="41"/>
  <c r="S59" i="41"/>
  <c r="R9" i="41"/>
  <c r="O59" i="41"/>
  <c r="N9" i="41"/>
  <c r="J9" i="41"/>
  <c r="K59" i="41"/>
  <c r="G39" i="20"/>
  <c r="G64" i="20" s="1"/>
  <c r="G65" i="20" l="1"/>
  <c r="G66" i="20" s="1"/>
  <c r="G73" i="20" l="1"/>
  <c r="I54" i="41"/>
  <c r="E39" i="20"/>
  <c r="E64" i="20" s="1"/>
  <c r="E65" i="20" l="1"/>
  <c r="E66" i="20" s="1"/>
  <c r="I56" i="41"/>
  <c r="I58" i="41" s="1"/>
  <c r="B93" i="41" l="1"/>
  <c r="H39" i="20" s="1"/>
  <c r="H9" i="41"/>
  <c r="I59" i="41"/>
  <c r="E73" i="20"/>
  <c r="K39" i="20" l="1"/>
  <c r="I61" i="57"/>
  <c r="I21" i="57" l="1"/>
  <c r="D13" i="20"/>
  <c r="D64" i="20" s="1"/>
  <c r="C13" i="20" l="1"/>
  <c r="I73" i="57"/>
  <c r="I75" i="57" s="1"/>
  <c r="D65" i="20"/>
  <c r="D66" i="20" s="1"/>
  <c r="D73" i="20" l="1"/>
  <c r="I77" i="57"/>
  <c r="H9" i="57"/>
  <c r="I78" i="57"/>
  <c r="B112" i="57"/>
  <c r="H13" i="20" s="1"/>
  <c r="K13" i="20" l="1"/>
  <c r="I239" i="3"/>
  <c r="I261" i="3" s="1"/>
  <c r="I263" i="3" s="1"/>
  <c r="K61" i="57"/>
  <c r="K21" i="57" s="1"/>
  <c r="M61" i="57"/>
  <c r="M21" i="57" s="1"/>
  <c r="O61" i="57"/>
  <c r="O21" i="57" s="1"/>
  <c r="Q61" i="57"/>
  <c r="Q21" i="57" s="1"/>
  <c r="S61" i="57"/>
  <c r="S21" i="57" s="1"/>
  <c r="K73" i="57"/>
  <c r="M73" i="57"/>
  <c r="O73" i="57"/>
  <c r="Q73" i="57"/>
  <c r="S73" i="57"/>
  <c r="K75" i="57"/>
  <c r="M75" i="57"/>
  <c r="O75" i="57"/>
  <c r="Q75" i="57"/>
  <c r="S75" i="57"/>
  <c r="K77" i="57"/>
  <c r="M77" i="57"/>
  <c r="O77" i="57"/>
  <c r="Q77" i="57"/>
  <c r="S77" i="57"/>
  <c r="K78" i="57"/>
  <c r="M78" i="57"/>
  <c r="O78" i="57"/>
  <c r="Q78" i="57"/>
  <c r="S78" i="57"/>
  <c r="I265" i="3" l="1"/>
  <c r="H10" i="3" l="1"/>
  <c r="B300" i="3"/>
  <c r="H9" i="20" s="1"/>
  <c r="K9" i="20" s="1"/>
  <c r="I21" i="154" l="1"/>
  <c r="C42" i="20" s="1"/>
  <c r="C64" i="20" l="1"/>
  <c r="I81" i="154"/>
  <c r="I83" i="154" l="1"/>
  <c r="I85" i="154" s="1"/>
  <c r="C65" i="20"/>
  <c r="C66" i="20" s="1"/>
  <c r="C73" i="20" s="1"/>
  <c r="Y120" i="154" l="1"/>
  <c r="H9" i="154"/>
  <c r="I86" i="154"/>
  <c r="B120" i="154"/>
  <c r="H42" i="20" s="1"/>
  <c r="K42" i="20" l="1"/>
  <c r="D62" i="49" l="1"/>
  <c r="I51" i="28" l="1"/>
  <c r="I91" i="28" s="1"/>
  <c r="I92" i="28" s="1"/>
  <c r="I53" i="28" l="1"/>
  <c r="I55" i="28" s="1"/>
  <c r="F61" i="20"/>
  <c r="F64" i="20" s="1"/>
  <c r="H9" i="28" l="1"/>
  <c r="I94" i="28" s="1"/>
  <c r="I95" i="28" s="1"/>
  <c r="B90" i="28"/>
  <c r="H61" i="20" s="1"/>
  <c r="H64" i="20" s="1"/>
  <c r="H65" i="20" s="1"/>
  <c r="H66" i="20" s="1"/>
  <c r="J69" i="20" s="1"/>
  <c r="I56" i="28"/>
  <c r="K61" i="20"/>
  <c r="H73" i="20" l="1"/>
  <c r="H74" i="20"/>
  <c r="H75" i="20" s="1"/>
  <c r="H76" i="20" s="1"/>
  <c r="H77" i="20" s="1"/>
  <c r="J68" i="20"/>
  <c r="C68" i="20" s="1"/>
  <c r="J67" i="20"/>
  <c r="E67" i="20" s="1"/>
  <c r="K64" i="20"/>
  <c r="F65" i="20"/>
  <c r="K65" i="20" s="1"/>
  <c r="G69" i="20"/>
  <c r="E69" i="20"/>
  <c r="C69" i="20"/>
  <c r="D69" i="20"/>
  <c r="D68" i="20" l="1"/>
  <c r="E68" i="20"/>
  <c r="D67" i="20"/>
  <c r="G68" i="20"/>
  <c r="G67" i="20"/>
  <c r="C67" i="20"/>
  <c r="D74" i="20"/>
  <c r="D75" i="20" s="1"/>
  <c r="G74" i="20"/>
  <c r="G75" i="20" s="1"/>
  <c r="C74" i="20"/>
  <c r="E74" i="20"/>
  <c r="E75" i="20" s="1"/>
  <c r="F66" i="20"/>
  <c r="G76" i="20" l="1"/>
  <c r="G77" i="20" s="1"/>
  <c r="E76" i="20"/>
  <c r="E77" i="20" s="1"/>
  <c r="F67" i="20"/>
  <c r="K67" i="20" s="1"/>
  <c r="F73" i="20"/>
  <c r="K73" i="20" s="1"/>
  <c r="F69" i="20"/>
  <c r="K69" i="20" s="1"/>
  <c r="K66" i="20"/>
  <c r="F68" i="20"/>
  <c r="K68" i="20" s="1"/>
  <c r="C75" i="20"/>
  <c r="D76" i="20"/>
  <c r="D77" i="20" s="1"/>
  <c r="D79" i="20" s="1"/>
  <c r="D80" i="20" l="1"/>
  <c r="F74" i="20"/>
  <c r="K74" i="20" s="1"/>
  <c r="C76" i="20"/>
  <c r="C77" i="20" s="1"/>
  <c r="C79" i="20" l="1"/>
  <c r="I77" i="20"/>
  <c r="F75" i="20"/>
  <c r="F76" i="20" s="1"/>
  <c r="K75" i="20" l="1"/>
  <c r="F77" i="20"/>
  <c r="K77" i="20" s="1"/>
  <c r="K76" i="20"/>
  <c r="G21" i="58"/>
  <c r="G80" i="58"/>
  <c r="G82" i="58"/>
  <c r="G84" i="58"/>
  <c r="G85" i="58"/>
  <c r="J9" i="147"/>
  <c r="L9" i="147"/>
  <c r="N9" i="147"/>
  <c r="P9" i="147"/>
  <c r="R9" i="147"/>
  <c r="K21" i="147"/>
  <c r="M21" i="147"/>
  <c r="O21" i="147"/>
  <c r="Q21" i="147"/>
  <c r="S21" i="147"/>
  <c r="K51" i="147"/>
  <c r="M51" i="147"/>
  <c r="O51" i="147"/>
  <c r="Q51" i="147"/>
  <c r="S51" i="147"/>
  <c r="K53" i="147"/>
  <c r="M53" i="147"/>
  <c r="O53" i="147"/>
  <c r="Q53" i="147"/>
  <c r="S53" i="147"/>
  <c r="K55" i="147"/>
  <c r="M55" i="147"/>
  <c r="O55" i="147"/>
  <c r="Q55" i="147"/>
  <c r="S55" i="147"/>
  <c r="K56" i="147"/>
  <c r="M56" i="147"/>
  <c r="O56" i="147"/>
  <c r="Q56" i="147"/>
  <c r="S56" i="147"/>
  <c r="D65" i="154"/>
  <c r="G65" i="154"/>
  <c r="G81" i="154"/>
  <c r="G83" i="154"/>
  <c r="G85" i="154"/>
  <c r="G86" i="1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Hutchins</author>
  </authors>
  <commentList>
    <comment ref="N63" authorId="0" shapeId="0" xr:uid="{836AAE76-1FAF-46DA-8210-20B6E272DA5A}">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I14" authorId="0" shapeId="0" xr:uid="{7D406E89-8F5D-4194-A631-94D83B57F6A7}">
      <text>
        <r>
          <rPr>
            <sz val="11"/>
            <color theme="1"/>
            <rFont val="Calibri"/>
            <family val="2"/>
            <scheme val="minor"/>
          </rPr>
          <t>Vito Carbone:
He has $61,600.00 for 7.7M of scope which equals 0.8%</t>
        </r>
      </text>
    </comment>
    <comment ref="H18" authorId="0" shapeId="0" xr:uid="{D9FB075E-7AE8-4F1F-80E9-BEF68737481F}">
      <text>
        <r>
          <rPr>
            <sz val="11"/>
            <color theme="1"/>
            <rFont val="Calibri"/>
            <family val="2"/>
            <scheme val="minor"/>
          </rPr>
          <t>Vito Carbone:
Hedrick doesn't have authorization</t>
        </r>
      </text>
    </comment>
    <comment ref="J18" authorId="0" shapeId="0" xr:uid="{85ABA088-062D-4AA5-8B48-697B610F2085}">
      <text>
        <r>
          <rPr>
            <sz val="11"/>
            <color theme="1"/>
            <rFont val="Calibri"/>
            <family val="2"/>
            <scheme val="minor"/>
          </rPr>
          <t>Vito Carbone:
Hedrick doesn't have authorization</t>
        </r>
      </text>
    </comment>
    <comment ref="L18" authorId="0" shapeId="0" xr:uid="{DC18DD8A-1E36-4C4F-A8CF-72992BB91FC9}">
      <text>
        <r>
          <rPr>
            <sz val="11"/>
            <color theme="1"/>
            <rFont val="Calibri"/>
            <family val="2"/>
            <scheme val="minor"/>
          </rPr>
          <t>Vito Carbone:
Hedrick doesn't have authorization</t>
        </r>
      </text>
    </comment>
    <comment ref="P18" authorId="0" shapeId="0" xr:uid="{D116E235-3395-4FE2-87F5-7BFD216D3C62}">
      <text>
        <r>
          <rPr>
            <sz val="11"/>
            <color theme="1"/>
            <rFont val="Calibri"/>
            <family val="2"/>
            <scheme val="minor"/>
          </rPr>
          <t>Vito Carbone:
Hedrick doesn't have authorization</t>
        </r>
      </text>
    </comment>
    <comment ref="I23" authorId="0" shapeId="0" xr:uid="{E576799D-8E1C-4893-899C-5E7DF4A16D7C}">
      <text>
        <r>
          <rPr>
            <sz val="11"/>
            <color theme="1"/>
            <rFont val="Calibri"/>
            <family val="2"/>
            <scheme val="minor"/>
          </rPr>
          <t>Vito Carbone:
See Acoustical Ceiling package</t>
        </r>
      </text>
    </comment>
    <comment ref="A36" authorId="0" shapeId="0" xr:uid="{1606F0BA-EC93-4026-BED5-5673E1F3DFCC}">
      <text>
        <r>
          <rPr>
            <sz val="11"/>
            <color theme="1"/>
            <rFont val="Calibri"/>
            <family val="2"/>
            <scheme val="minor"/>
          </rPr>
          <t>Vito Carbone:
VC039
No specs</t>
        </r>
      </text>
    </comment>
    <comment ref="A37" authorId="0" shapeId="0" xr:uid="{1A5A737D-4989-490D-B2F2-F42C71D942A5}">
      <text>
        <r>
          <rPr>
            <sz val="11"/>
            <color theme="1"/>
            <rFont val="Calibri"/>
            <family val="2"/>
            <scheme val="minor"/>
          </rPr>
          <t>Vito Carbone:
VC039
No specs</t>
        </r>
      </text>
    </comment>
    <comment ref="A39" authorId="0" shapeId="0" xr:uid="{FCE8005A-565D-4825-90CF-CFADDFCFE354}">
      <text>
        <r>
          <rPr>
            <sz val="11"/>
            <color theme="1"/>
            <rFont val="Calibri"/>
            <family val="2"/>
            <scheme val="minor"/>
          </rPr>
          <t>Vito Carbone:
VC041
Need clarification if millwork presence</t>
        </r>
      </text>
    </comment>
    <comment ref="A40" authorId="0" shapeId="0" xr:uid="{1B5A95DD-CE75-4FBA-841F-497C531DC1D1}">
      <text>
        <r>
          <rPr>
            <sz val="11"/>
            <color theme="1"/>
            <rFont val="Calibri"/>
            <family val="2"/>
            <scheme val="minor"/>
          </rPr>
          <t>Vito Carbone:
VC041
Need clarification if millwork presence</t>
        </r>
      </text>
    </comment>
    <comment ref="A41" authorId="0" shapeId="0" xr:uid="{CBE2570C-8468-4381-BEE5-FE08EEDDFCAF}">
      <text>
        <r>
          <rPr>
            <sz val="11"/>
            <color theme="1"/>
            <rFont val="Calibri"/>
            <family val="2"/>
            <scheme val="minor"/>
          </rPr>
          <t>Vito Carbone:
VC041
Need clarification if millwork presence</t>
        </r>
      </text>
    </comment>
    <comment ref="A43" authorId="0" shapeId="0" xr:uid="{2CA0582D-24B7-44BE-8C06-D54EE88CE7AD}">
      <text>
        <r>
          <rPr>
            <sz val="11"/>
            <color theme="1"/>
            <rFont val="Calibri"/>
            <family val="2"/>
            <scheme val="minor"/>
          </rPr>
          <t>Vito Carbone:
VC040
PLAM-1 or PLAM-3?</t>
        </r>
      </text>
    </comment>
    <comment ref="A44" authorId="0" shapeId="0" xr:uid="{1EBA51CC-18C3-4CDD-85A3-5CDD35AA80D6}">
      <text>
        <r>
          <rPr>
            <sz val="11"/>
            <color theme="1"/>
            <rFont val="Calibri"/>
            <family val="2"/>
            <scheme val="minor"/>
          </rPr>
          <t>Vito Carbone:
VC041
Need clarification if millwork presence</t>
        </r>
      </text>
    </comment>
    <comment ref="A45" authorId="0" shapeId="0" xr:uid="{F7B6276E-29D7-4391-8019-D77A855DF7FC}">
      <text>
        <r>
          <rPr>
            <sz val="11"/>
            <color theme="1"/>
            <rFont val="Calibri"/>
            <family val="2"/>
            <scheme val="minor"/>
          </rPr>
          <t>Vito Carbone:
VC041
Need clarification if millwork presence</t>
        </r>
      </text>
    </comment>
    <comment ref="A46" authorId="0" shapeId="0" xr:uid="{B98D7445-3428-4DC9-94C7-79D2B6D6E5C5}">
      <text>
        <r>
          <rPr>
            <sz val="11"/>
            <color theme="1"/>
            <rFont val="Calibri"/>
            <family val="2"/>
            <scheme val="minor"/>
          </rPr>
          <t>Vito Carbone:
VC041
Need clarification if millwork presence</t>
        </r>
      </text>
    </comment>
    <comment ref="A48" authorId="0" shapeId="0" xr:uid="{90141A93-EDB7-4688-8EC0-ED3A0253B1F3}">
      <text>
        <r>
          <rPr>
            <sz val="11"/>
            <color theme="1"/>
            <rFont val="Calibri"/>
            <family val="2"/>
            <scheme val="minor"/>
          </rPr>
          <t>Vito Carbone:
VC019
No Response</t>
        </r>
      </text>
    </comment>
    <comment ref="A51" authorId="0" shapeId="0" xr:uid="{85C1ECC0-CF0E-4B60-BDD9-687EB6639CEE}">
      <text>
        <r>
          <rPr>
            <sz val="11"/>
            <color theme="1"/>
            <rFont val="Calibri"/>
            <family val="2"/>
            <scheme val="minor"/>
          </rPr>
          <t>Vito Carbone:
VC042
ID-5.28 shows no backsplash
ID-6.57 shows 4" backsplash</t>
        </r>
      </text>
    </comment>
    <comment ref="A53" authorId="0" shapeId="0" xr:uid="{786CF82E-6BC2-4021-971A-EFA89B5B4A8C}">
      <text>
        <r>
          <rPr>
            <sz val="11"/>
            <color theme="1"/>
            <rFont val="Calibri"/>
            <family val="2"/>
            <scheme val="minor"/>
          </rPr>
          <t>Vito Carbone:
VC042
ID-5.28 shows no backsplash
ID-6.57 shows 4" backsplash</t>
        </r>
      </text>
    </comment>
    <comment ref="A76" authorId="0" shapeId="0" xr:uid="{C848C338-0808-493F-84F7-37ADE514DD6C}">
      <text>
        <r>
          <rPr>
            <sz val="11"/>
            <color theme="1"/>
            <rFont val="Calibri"/>
            <family val="2"/>
            <scheme val="minor"/>
          </rPr>
          <t>Vito Carbone:
VC035
No response</t>
        </r>
      </text>
    </comment>
    <comment ref="A79" authorId="0" shapeId="0" xr:uid="{D9095682-C55C-46EF-B076-A9ECEB0BBCA7}">
      <text>
        <r>
          <rPr>
            <sz val="11"/>
            <color theme="1"/>
            <rFont val="Calibri"/>
            <family val="2"/>
            <scheme val="minor"/>
          </rPr>
          <t>Vito Carbone:
VC034
Backsplash stone or wood?
No response</t>
        </r>
      </text>
    </comment>
    <comment ref="A119" authorId="0" shapeId="0" xr:uid="{F7499435-A1A8-41EC-8521-C4937A39530D}">
      <text>
        <r>
          <rPr>
            <sz val="11"/>
            <color theme="1"/>
            <rFont val="Calibri"/>
            <family val="2"/>
            <scheme val="minor"/>
          </rPr>
          <t>Vito Carbone:
VC036
Could have paneling
No response</t>
        </r>
      </text>
    </comment>
    <comment ref="A133" authorId="0" shapeId="0" xr:uid="{394DEA85-0018-4AA4-884A-B8229B85E59F}">
      <text>
        <r>
          <rPr>
            <sz val="11"/>
            <color theme="1"/>
            <rFont val="Calibri"/>
            <family val="2"/>
            <scheme val="minor"/>
          </rPr>
          <t>Vito Carbone:
VC036
Shouldn't be any paneling</t>
        </r>
      </text>
    </comment>
    <comment ref="A145" authorId="0" shapeId="0" xr:uid="{5787D017-8E09-449A-8288-C1AA10444A3C}">
      <text>
        <r>
          <rPr>
            <sz val="11"/>
            <color theme="1"/>
            <rFont val="Calibri"/>
            <family val="2"/>
            <scheme val="minor"/>
          </rPr>
          <t>Vito Carbone:
VC043
Need clarification for presence of millwork in Northwest corner of salon</t>
        </r>
      </text>
    </comment>
    <comment ref="A147" authorId="0" shapeId="0" xr:uid="{2A03720E-34F2-49FE-9982-3D972C67803A}">
      <text>
        <r>
          <rPr>
            <sz val="11"/>
            <color theme="1"/>
            <rFont val="Calibri"/>
            <family val="2"/>
            <scheme val="minor"/>
          </rPr>
          <t>Vito Carbone:
VC038
Confusing RFI responses
Drawings show faux rafters but RFI response says GYP bd
Asked for clarification</t>
        </r>
      </text>
    </comment>
    <comment ref="B151" authorId="0" shapeId="0" xr:uid="{4D85BF30-607D-404E-B6FC-E3DFE0DF7475}">
      <text>
        <r>
          <rPr>
            <sz val="11"/>
            <color theme="1"/>
            <rFont val="Calibri"/>
            <family val="2"/>
            <scheme val="minor"/>
          </rPr>
          <t>Vito Carbone:
5/ID-5.42 references 2/ID-6.64 and should reference 3/ID-6.64</t>
        </r>
      </text>
    </comment>
    <comment ref="A194" authorId="0" shapeId="0" xr:uid="{29012D30-ED8F-43AF-86E9-645A873FED3D}">
      <text>
        <r>
          <rPr>
            <sz val="11"/>
            <color theme="1"/>
            <rFont val="Calibri"/>
            <family val="2"/>
            <scheme val="minor"/>
          </rPr>
          <t>Vito Carbone:
VC045
Wood or stone?</t>
        </r>
      </text>
    </comment>
    <comment ref="A207" authorId="0" shapeId="0" xr:uid="{0EA4B8DB-8D9B-492E-BA9A-D0B100F5E6B1}">
      <text>
        <r>
          <rPr>
            <sz val="11"/>
            <color theme="1"/>
            <rFont val="Calibri"/>
            <family val="2"/>
            <scheme val="minor"/>
          </rPr>
          <t>Vito Carbone:
VC045
Wood or stone?</t>
        </r>
      </text>
    </comment>
    <comment ref="A220" authorId="0" shapeId="0" xr:uid="{15E6F02B-E987-42CB-8875-02A8FE886244}">
      <text>
        <r>
          <rPr>
            <sz val="11"/>
            <color theme="1"/>
            <rFont val="Calibri"/>
            <family val="2"/>
            <scheme val="minor"/>
          </rPr>
          <t>Vito Carbone:
detail removed from new set of drawings</t>
        </r>
      </text>
    </comment>
    <comment ref="A229" authorId="0" shapeId="0" xr:uid="{A759E29E-1112-4DF6-8B0B-7B20F8B543AD}">
      <text>
        <r>
          <rPr>
            <sz val="11"/>
            <color theme="1"/>
            <rFont val="Calibri"/>
            <family val="2"/>
            <scheme val="minor"/>
          </rPr>
          <t>Vito Carbone:
VC028
No tag but shows wood
No response</t>
        </r>
      </text>
    </comment>
    <comment ref="A272" authorId="0" shapeId="0" xr:uid="{81E44EDA-189A-43ED-B167-5D53F5101A34}">
      <text>
        <r>
          <rPr>
            <sz val="11"/>
            <color theme="1"/>
            <rFont val="Calibri"/>
            <family val="2"/>
            <scheme val="minor"/>
          </rPr>
          <t>Vito Carbone:
VC046
No millwork sections</t>
        </r>
      </text>
    </comment>
    <comment ref="A307" authorId="0" shapeId="0" xr:uid="{888459D0-03DB-4EDB-B8F2-6D39EA56FFE7}">
      <text>
        <r>
          <rPr>
            <sz val="11"/>
            <color theme="1"/>
            <rFont val="Calibri"/>
            <family val="2"/>
            <scheme val="minor"/>
          </rPr>
          <t xml:space="preserve">Vito Carbone:
SPEC on ID-5.44
</t>
        </r>
      </text>
    </comment>
    <comment ref="A326" authorId="0" shapeId="0" xr:uid="{AC41E735-4F37-447B-9F53-FB69A46AC5EC}">
      <text>
        <r>
          <rPr>
            <sz val="11"/>
            <color theme="1"/>
            <rFont val="Calibri"/>
            <family val="2"/>
            <scheme val="minor"/>
          </rPr>
          <t>Vito Carbone:
Hank's RFI #40
Freezer and fridge to receive MT-103 finish</t>
        </r>
      </text>
    </comment>
    <comment ref="A340" authorId="0" shapeId="0" xr:uid="{0CF7820F-E222-4CE1-ADDF-20C1E0BCE474}">
      <text>
        <r>
          <rPr>
            <sz val="11"/>
            <color theme="1"/>
            <rFont val="Calibri"/>
            <family val="2"/>
            <scheme val="minor"/>
          </rPr>
          <t xml:space="preserve">Vito Carbone:
VC014
Exclude per RFI response
This is FF&amp;E
</t>
        </r>
      </text>
    </comment>
    <comment ref="A380" authorId="0" shapeId="0" xr:uid="{AFE4F873-4FF0-4C4D-AD05-D957BEEF1791}">
      <text>
        <r>
          <rPr>
            <sz val="11"/>
            <color theme="1"/>
            <rFont val="Calibri"/>
            <family val="2"/>
            <scheme val="minor"/>
          </rPr>
          <t>Vito Carbone:
VC013
Exclude per RFI response
This is FF&amp;E</t>
        </r>
      </text>
    </comment>
    <comment ref="A381" authorId="0" shapeId="0" xr:uid="{5C849447-0E88-4A68-B700-DD47193A2FA6}">
      <text>
        <r>
          <rPr>
            <sz val="11"/>
            <color theme="1"/>
            <rFont val="Calibri"/>
            <family val="2"/>
            <scheme val="minor"/>
          </rPr>
          <t>Vito Carbone:
VC015
No reponse</t>
        </r>
      </text>
    </comment>
    <comment ref="A456" authorId="0" shapeId="0" xr:uid="{4C1DAB07-31E8-4D34-8212-D369D7B999AC}">
      <text>
        <r>
          <rPr>
            <sz val="11"/>
            <color theme="1"/>
            <rFont val="Calibri"/>
            <family val="2"/>
            <scheme val="minor"/>
          </rPr>
          <t>Vito Carbone:
VC015
No response</t>
        </r>
      </text>
    </comment>
    <comment ref="A477" authorId="0" shapeId="0" xr:uid="{7D2E9C42-7C43-4931-8A32-09C62AA324E5}">
      <text>
        <r>
          <rPr>
            <sz val="11"/>
            <color theme="1"/>
            <rFont val="Calibri"/>
            <family val="2"/>
            <scheme val="minor"/>
          </rPr>
          <t>Vito Carbone:
VC030
Per RFI response
WD-109</t>
        </r>
      </text>
    </comment>
    <comment ref="A497" authorId="0" shapeId="0" xr:uid="{38465046-A3D4-43E6-9392-35B108E5E994}">
      <text>
        <r>
          <rPr>
            <sz val="11"/>
            <color theme="1"/>
            <rFont val="Calibri"/>
            <family val="2"/>
            <scheme val="minor"/>
          </rPr>
          <t>Vito Carbone:
VC012
Exclude per RFI response
Ceiling to be PT-101</t>
        </r>
      </text>
    </comment>
    <comment ref="A501" authorId="0" shapeId="0" xr:uid="{6EB495C3-733D-41C1-9E0C-E7421BB7D743}">
      <text>
        <r>
          <rPr>
            <sz val="11"/>
            <color theme="1"/>
            <rFont val="Calibri"/>
            <family val="2"/>
            <scheme val="minor"/>
          </rPr>
          <t>Vito Carbone:
VC012
Exclude per RFI response
Ceiling to be PT-101</t>
        </r>
      </text>
    </comment>
    <comment ref="A528" authorId="0" shapeId="0" xr:uid="{184E5EE7-6A47-4545-9A74-0C91AB2624BC}">
      <text>
        <r>
          <rPr>
            <sz val="11"/>
            <color theme="1"/>
            <rFont val="Calibri"/>
            <family val="2"/>
            <scheme val="minor"/>
          </rPr>
          <t>Vito Carbone:
VC021
Exclude per RFI response
Ceiling to be PT-101</t>
        </r>
      </text>
    </comment>
    <comment ref="A531" authorId="0" shapeId="0" xr:uid="{84110FD5-E9F9-4BC0-B539-EF3E81E02774}">
      <text>
        <r>
          <rPr>
            <sz val="11"/>
            <color theme="1"/>
            <rFont val="Calibri"/>
            <family val="2"/>
            <scheme val="minor"/>
          </rPr>
          <t>Vito Carbone:
VC021
Exclude per RFI response
Ceiling to be PT-101</t>
        </r>
      </text>
    </comment>
    <comment ref="A544" authorId="0" shapeId="0" xr:uid="{EC579A1F-11BB-4E68-BF2D-660BB7D2C691}">
      <text>
        <r>
          <rPr>
            <sz val="11"/>
            <color theme="1"/>
            <rFont val="Calibri"/>
            <family val="2"/>
            <scheme val="minor"/>
          </rPr>
          <t>Vito Carbone:
VC023
Exclude per RFI response
Ceiling to be PT-101</t>
        </r>
      </text>
    </comment>
    <comment ref="A558" authorId="0" shapeId="0" xr:uid="{26E1E61B-A91F-4363-BED4-D17A67D1B868}">
      <text>
        <r>
          <rPr>
            <sz val="11"/>
            <color theme="1"/>
            <rFont val="Calibri"/>
            <family val="2"/>
            <scheme val="minor"/>
          </rPr>
          <t>Vito Carbone:
VC018
Exclude per RFI response
Ceiling to be PT-101</t>
        </r>
      </text>
    </comment>
    <comment ref="A561" authorId="0" shapeId="0" xr:uid="{17071A5A-BFFC-4566-88A6-A0CA75F81AFC}">
      <text>
        <r>
          <rPr>
            <sz val="11"/>
            <color theme="1"/>
            <rFont val="Calibri"/>
            <family val="2"/>
            <scheme val="minor"/>
          </rPr>
          <t>Vito Carbone:
VC018
Exclude per RFI response
Ceiling to be PT-101</t>
        </r>
      </text>
    </comment>
    <comment ref="A574" authorId="0" shapeId="0" xr:uid="{DEC6A14E-B8D9-4900-8579-EC08746D4048}">
      <text>
        <r>
          <rPr>
            <sz val="11"/>
            <color theme="1"/>
            <rFont val="Calibri"/>
            <family val="2"/>
            <scheme val="minor"/>
          </rPr>
          <t>Vito Carbone:
VC018
Exclude per RFI response
Ceiling to be PT-101</t>
        </r>
      </text>
    </comment>
    <comment ref="A577" authorId="0" shapeId="0" xr:uid="{96C5F2F6-6C13-4FBE-9040-932467882CD1}">
      <text>
        <r>
          <rPr>
            <sz val="11"/>
            <color theme="1"/>
            <rFont val="Calibri"/>
            <family val="2"/>
            <scheme val="minor"/>
          </rPr>
          <t>Vito Carbone:
VC018
Exclude per RFI response
Ceiling to be PT-101</t>
        </r>
      </text>
    </comment>
    <comment ref="A591" authorId="0" shapeId="0" xr:uid="{C7B9063E-F5D2-4184-9AC8-D649AD5B37AE}">
      <text>
        <r>
          <rPr>
            <sz val="11"/>
            <color theme="1"/>
            <rFont val="Calibri"/>
            <family val="2"/>
            <scheme val="minor"/>
          </rPr>
          <t>Vito Carbone:
VC018
Exclude per RFI response
Ceiling to be PT-101</t>
        </r>
      </text>
    </comment>
    <comment ref="A594" authorId="0" shapeId="0" xr:uid="{B626CB10-5E5F-4BF7-A9D7-0CB68AC41531}">
      <text>
        <r>
          <rPr>
            <sz val="11"/>
            <color theme="1"/>
            <rFont val="Calibri"/>
            <family val="2"/>
            <scheme val="minor"/>
          </rPr>
          <t>Vito Carbone:
VC018
Exclude per RFI response
Ceiling to be PT-101</t>
        </r>
      </text>
    </comment>
    <comment ref="A599" authorId="0" shapeId="0" xr:uid="{42F36014-9F49-497C-BA16-25670933DEBB}">
      <text>
        <r>
          <rPr>
            <sz val="11"/>
            <color theme="1"/>
            <rFont val="Calibri"/>
            <family val="2"/>
            <scheme val="minor"/>
          </rPr>
          <t>Vito Carbone:
VC031
Drawings refer to detail 6/ID-601 which has no tags for finishes. Drawings never refer to detail 9/ID-5.03 which has the tag
No response</t>
        </r>
      </text>
    </comment>
    <comment ref="A602" authorId="0" shapeId="0" xr:uid="{AFACDFC2-568C-418F-BB80-6D7F9FFF9835}">
      <text>
        <r>
          <rPr>
            <sz val="11"/>
            <color theme="1"/>
            <rFont val="Calibri"/>
            <family val="2"/>
            <scheme val="minor"/>
          </rPr>
          <t>Vito Carbone:
VC024
Price Wilsonart Laminate for PLAM-2 per RFI response</t>
        </r>
      </text>
    </comment>
    <comment ref="A603" authorId="0" shapeId="0" xr:uid="{C7526E99-F43C-405D-8ACE-2095D271BEF0}">
      <text>
        <r>
          <rPr>
            <sz val="11"/>
            <color theme="1"/>
            <rFont val="Calibri"/>
            <family val="2"/>
            <scheme val="minor"/>
          </rPr>
          <t>Vito Carbone:
VC024
Price Wilsonart Laminate for PLAM-2 per RFI response</t>
        </r>
      </text>
    </comment>
    <comment ref="A604" authorId="0" shapeId="0" xr:uid="{8145B7B3-6C07-4548-A5C1-C943EFD1725F}">
      <text>
        <r>
          <rPr>
            <sz val="11"/>
            <color theme="1"/>
            <rFont val="Calibri"/>
            <family val="2"/>
            <scheme val="minor"/>
          </rPr>
          <t>Vito Carbone:
VC024
Price Wilsonart Laminate for PLAM-2 per RFI response</t>
        </r>
      </text>
    </comment>
    <comment ref="A618" authorId="0" shapeId="0" xr:uid="{282614C3-F873-468A-9222-870073191596}">
      <text>
        <r>
          <rPr>
            <sz val="11"/>
            <color theme="1"/>
            <rFont val="Calibri"/>
            <family val="2"/>
            <scheme val="minor"/>
          </rPr>
          <t>Vito Carbone:
VC033
No response</t>
        </r>
      </text>
    </comment>
    <comment ref="A619" authorId="0" shapeId="0" xr:uid="{FA2CFEFC-91A2-4E63-9F36-FDB6326B999A}">
      <text>
        <r>
          <rPr>
            <sz val="11"/>
            <color theme="1"/>
            <rFont val="Calibri"/>
            <family val="2"/>
            <scheme val="minor"/>
          </rPr>
          <t>Vito Carbone:
VC033
No response</t>
        </r>
      </text>
    </comment>
    <comment ref="A620" authorId="0" shapeId="0" xr:uid="{3CBC6E57-17EA-4A96-A21C-4C808E094A8C}">
      <text>
        <r>
          <rPr>
            <sz val="11"/>
            <color theme="1"/>
            <rFont val="Calibri"/>
            <family val="2"/>
            <scheme val="minor"/>
          </rPr>
          <t>Vito Carbone:
VC033
No response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K25" authorId="0" shapeId="0" xr:uid="{3C7EE949-EF7F-4BB8-8C57-D01C22D6183D}">
      <text>
        <r>
          <rPr>
            <sz val="11"/>
            <color theme="1"/>
            <rFont val="Calibri"/>
            <family val="2"/>
            <scheme val="minor"/>
          </rPr>
          <t>Claudia Mejias:
Griffin wont price the scratch.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K49" authorId="0" shapeId="0" xr:uid="{B202FFFE-EF02-47BC-8349-FD0F9A208490}">
      <text>
        <r>
          <rPr>
            <sz val="11"/>
            <color theme="1"/>
            <rFont val="Calibri"/>
            <family val="2"/>
            <scheme val="minor"/>
          </rPr>
          <t>Claudia Mejias:
sales taxes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51" authorId="0" shapeId="0" xr:uid="{8D202A15-1973-402C-9CF5-E5E17C3E64C3}">
      <text>
        <r>
          <rPr>
            <sz val="11"/>
            <color theme="1"/>
            <rFont val="Calibri"/>
            <family val="2"/>
            <scheme val="minor"/>
          </rPr>
          <t>Claudia Mejias:
RFI'ed</t>
        </r>
      </text>
    </comment>
    <comment ref="H104" authorId="0" shapeId="0" xr:uid="{8811300A-E467-4E5C-8E7B-D7475EF8BD0C}">
      <text>
        <r>
          <rPr>
            <sz val="11"/>
            <color theme="1"/>
            <rFont val="Calibri"/>
            <family val="2"/>
            <scheme val="minor"/>
          </rPr>
          <t>Claudia Mejias:
TO CONFIRM with TONY</t>
        </r>
      </text>
    </comment>
    <comment ref="N104" authorId="0" shapeId="0" xr:uid="{3B152EF5-136C-4F0E-95DF-0746583219C5}">
      <text>
        <r>
          <rPr>
            <sz val="11"/>
            <color theme="1"/>
            <rFont val="Calibri"/>
            <family val="2"/>
            <scheme val="minor"/>
          </rPr>
          <t>Claudia Mejias:
TO CONFIRM with James</t>
        </r>
      </text>
    </comment>
    <comment ref="I113" authorId="0" shapeId="0" xr:uid="{EE7D8BC7-B884-4B5D-B994-9A418402E282}">
      <text>
        <r>
          <rPr>
            <sz val="11"/>
            <color theme="1"/>
            <rFont val="Calibri"/>
            <family val="2"/>
            <scheme val="minor"/>
          </rPr>
          <t xml:space="preserve">Claudia Mejias:
$350 per access panels - By Tony Rodrigues
</t>
        </r>
      </text>
    </comment>
    <comment ref="B116" authorId="0" shapeId="0" xr:uid="{E744C515-E4B9-439E-B57C-9C6AA4D3BBDB}">
      <text>
        <r>
          <rPr>
            <sz val="11"/>
            <color theme="1"/>
            <rFont val="Calibri"/>
            <family val="2"/>
            <scheme val="minor"/>
          </rPr>
          <t>Claudia Mejias:
1/A4.00, 2/A4.02, 1/A4.03</t>
        </r>
      </text>
    </comment>
    <comment ref="B117" authorId="0" shapeId="0" xr:uid="{6E9C2427-1DB8-418F-AD16-D21AB1FB1C00}">
      <text>
        <r>
          <rPr>
            <sz val="11"/>
            <color theme="1"/>
            <rFont val="Calibri"/>
            <family val="2"/>
            <scheme val="minor"/>
          </rPr>
          <t>Claudia Mejias:
1/A4.01</t>
        </r>
      </text>
    </comment>
    <comment ref="B118" authorId="0" shapeId="0" xr:uid="{E6B8CFCD-5095-4B45-9774-A34141831C98}">
      <text>
        <r>
          <rPr>
            <sz val="11"/>
            <color theme="1"/>
            <rFont val="Calibri"/>
            <family val="2"/>
            <scheme val="minor"/>
          </rPr>
          <t>Claudia Mejias:
Locations:
D-112 Outdoor Lounge 1/A4.02, 1/A4.01</t>
        </r>
      </text>
    </comment>
    <comment ref="K118" authorId="0" shapeId="0" xr:uid="{D2BA3A46-859B-4E1D-89A5-1FA4C62DF7C5}">
      <text>
        <r>
          <rPr>
            <sz val="11"/>
            <color theme="1"/>
            <rFont val="Calibri"/>
            <family val="2"/>
            <scheme val="minor"/>
          </rPr>
          <t>Claudia Mejias:
he included densglass</t>
        </r>
      </text>
    </comment>
    <comment ref="K119" authorId="0" shapeId="0" xr:uid="{3ABC0F14-9850-4AFD-91D6-B57021F0A210}">
      <text>
        <r>
          <rPr>
            <sz val="11"/>
            <color theme="1"/>
            <rFont val="Calibri"/>
            <family val="2"/>
            <scheme val="minor"/>
          </rPr>
          <t>Claudia Mejias:
plug from Dorado until Joseph send me hard number</t>
        </r>
      </text>
    </comment>
    <comment ref="K150" authorId="0" shapeId="0" xr:uid="{AA539EC2-722E-48BA-8659-985594C729C7}">
      <text>
        <r>
          <rPr>
            <sz val="11"/>
            <color theme="1"/>
            <rFont val="Calibri"/>
            <family val="2"/>
            <scheme val="minor"/>
          </rPr>
          <t>Claudia Mejias:
plug from Tony, waiting for Oceanside hard number</t>
        </r>
      </text>
    </comment>
    <comment ref="I177" authorId="0" shapeId="0" xr:uid="{94ED8E36-4BC0-4E2A-9168-587C2D7BF6B6}">
      <text>
        <r>
          <rPr>
            <sz val="11"/>
            <color theme="1"/>
            <rFont val="Calibri"/>
            <family val="2"/>
            <scheme val="minor"/>
          </rPr>
          <t>Claudia Mejias:
$350 per access panel by Tony Rodrigues</t>
        </r>
      </text>
    </comment>
    <comment ref="K179" authorId="0" shapeId="0" xr:uid="{281A094A-7B1E-4E76-A9BE-E29E7A99B1BA}">
      <text>
        <r>
          <rPr>
            <sz val="11"/>
            <color theme="1"/>
            <rFont val="Calibri"/>
            <family val="2"/>
            <scheme val="minor"/>
          </rPr>
          <t>Claudia Mejias:
he included densglass</t>
        </r>
      </text>
    </comment>
    <comment ref="I204" authorId="0" shapeId="0" xr:uid="{BF02FF24-E1D5-4025-ACE0-F341559D548D}">
      <text>
        <r>
          <rPr>
            <sz val="11"/>
            <color theme="1"/>
            <rFont val="Calibri"/>
            <family val="2"/>
            <scheme val="minor"/>
          </rPr>
          <t>Claudia Mejias:
To confirm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I36" authorId="0" shapeId="0" xr:uid="{25BA9FB7-EB3E-46A7-97CB-661AB00D6C31}">
      <text>
        <r>
          <rPr>
            <sz val="11"/>
            <color theme="1"/>
            <rFont val="Calibri"/>
            <family val="2"/>
            <scheme val="minor"/>
          </rPr>
          <t>Claudia Mejias:
verify cove height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M21" authorId="0" shapeId="0" xr:uid="{9B742E66-F9B1-4E74-835B-5042EE44AD0C}">
      <text>
        <r>
          <rPr>
            <sz val="11"/>
            <color theme="1"/>
            <rFont val="Calibri"/>
            <family val="2"/>
            <scheme val="minor"/>
          </rPr>
          <t>Claudia Mejias:
this includes wood, I asked her to deduct</t>
        </r>
      </text>
    </comment>
    <comment ref="M42" authorId="0" shapeId="0" xr:uid="{20E53EC7-D2F0-4A49-9FEB-E156BDFAA604}">
      <text>
        <r>
          <rPr>
            <sz val="11"/>
            <color theme="1"/>
            <rFont val="Calibri"/>
            <family val="2"/>
            <scheme val="minor"/>
          </rPr>
          <t>Claudia Mejias:
includes wood flooring, asked to break out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<sst xmlns="http://schemas.openxmlformats.org/spreadsheetml/2006/main" count="27072" uniqueCount="7439">
  <si>
    <t>PROJECT AREA CALCULATIONS</t>
  </si>
  <si>
    <t>Atlantic Fields Club Core / Dock Bar / Spa Pods / Water Features</t>
  </si>
  <si>
    <t>Hobe Sound</t>
  </si>
  <si>
    <t>Gross (sf)</t>
  </si>
  <si>
    <t>AC (sf)</t>
  </si>
  <si>
    <t>Leasable (sf)</t>
  </si>
  <si>
    <t>Site (acres)</t>
  </si>
  <si>
    <t>Parking Spaces</t>
  </si>
  <si>
    <t>No. of Units:</t>
  </si>
  <si>
    <t>Build Duration (months)</t>
  </si>
  <si>
    <t>I.</t>
  </si>
  <si>
    <t>Floors</t>
  </si>
  <si>
    <t>AC SF</t>
  </si>
  <si>
    <t>Gross SF</t>
  </si>
  <si>
    <t>LSF</t>
  </si>
  <si>
    <t>LEVEL 00</t>
  </si>
  <si>
    <t>DINING - LOWER LEVEL</t>
  </si>
  <si>
    <t>DINING - LOWER LEVEL - COVERED PATIO</t>
  </si>
  <si>
    <t>DINING - LOWER LEVEL - COVERED SERVICE</t>
  </si>
  <si>
    <t xml:space="preserve">FITNESS - LOWER LEVEL </t>
  </si>
  <si>
    <t xml:space="preserve">POOL EQUIPMENT 01 </t>
  </si>
  <si>
    <t>POOL EQUIPMENT 02</t>
  </si>
  <si>
    <t>POOL EQUIPMENT 03</t>
  </si>
  <si>
    <t xml:space="preserve">POOL EQUIPMENT 04 </t>
  </si>
  <si>
    <t xml:space="preserve">WELLNESS - LOWER LEVEL </t>
  </si>
  <si>
    <t>LEVEL 01</t>
  </si>
  <si>
    <t xml:space="preserve">DINING - LEVEL 01 </t>
  </si>
  <si>
    <t xml:space="preserve">DINING - LEVEL 01 -COVERED PATIO </t>
  </si>
  <si>
    <t xml:space="preserve">FITNESS - LEVEL 01 </t>
  </si>
  <si>
    <t xml:space="preserve">FITNESS - LEVEL 01 - COVERED PATIO </t>
  </si>
  <si>
    <t xml:space="preserve">WELLNESS - LEVEL 01 </t>
  </si>
  <si>
    <t xml:space="preserve">WELLNESS - LEVEL 01 - COVERED PATIO </t>
  </si>
  <si>
    <t>LEVEL 02</t>
  </si>
  <si>
    <t xml:space="preserve">DINING - LEVEL 02 </t>
  </si>
  <si>
    <t>DINING - LEVEL 02 - COVERED PATIO</t>
  </si>
  <si>
    <t xml:space="preserve">WELLNESS - LEVEL 02 </t>
  </si>
  <si>
    <t>WELLNESS - LEVEL 02 - COVERED PATIO</t>
  </si>
  <si>
    <t xml:space="preserve">DoCK BAR </t>
  </si>
  <si>
    <t>TOTAL</t>
  </si>
  <si>
    <t>II.</t>
  </si>
  <si>
    <t>Site SF</t>
  </si>
  <si>
    <t>Site(acres)</t>
  </si>
  <si>
    <t xml:space="preserve">TOTAL </t>
  </si>
  <si>
    <t>IV.</t>
  </si>
  <si>
    <t>SITE AREAS</t>
  </si>
  <si>
    <t>$ /UNIT</t>
  </si>
  <si>
    <t>%</t>
  </si>
  <si>
    <t xml:space="preserve">Site Perimeter </t>
  </si>
  <si>
    <t>LF</t>
  </si>
  <si>
    <t>Walk Gates</t>
  </si>
  <si>
    <t>Drive Gates</t>
  </si>
  <si>
    <t>Tire Grates / Truck Wash</t>
  </si>
  <si>
    <t>III.</t>
  </si>
  <si>
    <t xml:space="preserve">Sidewalks </t>
  </si>
  <si>
    <t>Drives</t>
  </si>
  <si>
    <t>Asphalt Parking</t>
  </si>
  <si>
    <t xml:space="preserve">Fill CY </t>
  </si>
  <si>
    <t>Barking Spaces</t>
  </si>
  <si>
    <t>QTY.</t>
  </si>
  <si>
    <t>TOTAL Units</t>
  </si>
  <si>
    <t>Note 4 - S-121 - W8x10 centered under all CMU</t>
  </si>
  <si>
    <t>Pool - standard tile, std glass tile - std coping</t>
  </si>
  <si>
    <t>Finishes</t>
  </si>
  <si>
    <t>We have included 5/8" stucco with sand/float finish and bonding agent only at the wellness exterior site wall. All stucco accessories are included as PVC.</t>
  </si>
  <si>
    <t>We have included 5/8" scratch coat under stone cladding as specified in A0.32 . The material is assumed to be compatible with the specified mortar bed for the stone cladding</t>
  </si>
  <si>
    <t>We include UR-1 (Dur-a-Flex., style: quartz blends, color: hybr-flex EQ) at the tunnels connecting Dining, Fitness and Wellnes ground levels</t>
  </si>
  <si>
    <t>We included concrete sealer SC-1 at BOH stair treads</t>
  </si>
  <si>
    <t>We have exlcuded all finishes for D-107 Rhoze area as not shown in plans</t>
  </si>
  <si>
    <t>We have included 3/4" plywood subfloor and Proflex SIM-90 sound membrane for all wood floors</t>
  </si>
  <si>
    <t>We have included BOH ceilings as exposed non painted ceilings.</t>
  </si>
  <si>
    <t xml:space="preserve">We have included  high performance painting all decorative C channel fascia </t>
  </si>
  <si>
    <t>We have included painting all exposed steel at occupied spaces</t>
  </si>
  <si>
    <t>We have included painting exposed pipes at Golf Cart Barn</t>
  </si>
  <si>
    <t>We have included Schluter waterproofing at all showers and Laticrete Hydroban waterproofing at Steam Rooms and Hammam room</t>
  </si>
  <si>
    <t>Framing and Drywall</t>
  </si>
  <si>
    <t>We include G60 metal framing as specified. See VA log for deduct</t>
  </si>
  <si>
    <t>We include 5/8" CDX fire treated  plywood under all ceilings to receive wood cladding</t>
  </si>
  <si>
    <t>We include 5/8" CDX  plywood backing behind  all walls to receive wood cladding</t>
  </si>
  <si>
    <t>We have included level 5 finish for all front of house areas and level 4 finish for all BOH areas</t>
  </si>
  <si>
    <t>We have included 2" rigid insulation for exterior block walls as specified. See VA log for VR Plus Fi Foil option</t>
  </si>
  <si>
    <t>We have included R-11 Fiberglass Batt Insulation at interior walls and partitions</t>
  </si>
  <si>
    <t>We have included 2" rigid insulation at unconditioned space below conditioned space. Areas to be included are W-001 Cart Barn and D-000A Service Area. See VA log</t>
  </si>
  <si>
    <t>We have included 3 5/8" 18 Gga metal studs with 5/8" CDX plywood for all exterior ceilings and soffits</t>
  </si>
  <si>
    <t>We have included  3 5/8" 18 Gga metal studs with 5/8" densglass for all exterior framed parapets to receive metal plates</t>
  </si>
  <si>
    <t>Atlantic Fields Club Core</t>
  </si>
  <si>
    <t>Master RFI Log - Pending</t>
  </si>
  <si>
    <t>No.</t>
  </si>
  <si>
    <t>Subject</t>
  </si>
  <si>
    <t>Reference</t>
  </si>
  <si>
    <t>Question</t>
  </si>
  <si>
    <t>Date Created</t>
  </si>
  <si>
    <t>Answer</t>
  </si>
  <si>
    <t>Date Answered</t>
  </si>
  <si>
    <t>Bid Bond</t>
  </si>
  <si>
    <t xml:space="preserve">DOCUMENT 001116 - INVITATION TO BID 
1.3 BID SECURITY </t>
  </si>
  <si>
    <t>Please confirm that a bid bond will be required to be submitted with our bid proposal.</t>
  </si>
  <si>
    <t xml:space="preserve">No bid bond to be required. </t>
  </si>
  <si>
    <t>Liquidated damages</t>
  </si>
  <si>
    <t xml:space="preserve">DOCUMENT 001116 - INVITATION TO BID 
1.5 TIME OF COMPLETION AND LIQUIDATED DAMAGES </t>
  </si>
  <si>
    <t>This section states that the Work is subject to liquidated damages. Please confirm and if stipulated, provide amounts for damages and how they are to be applied.</t>
  </si>
  <si>
    <t xml:space="preserve">liquidated damages will be negotiated with the selected contractor. </t>
  </si>
  <si>
    <t>AIA Document A701</t>
  </si>
  <si>
    <t xml:space="preserve">DOCUMENT 002113 - INSTRUCTIONS TO BIDDERS
1.2 SUMMARY: </t>
  </si>
  <si>
    <t>This section refers to an attached sample AIA Document A701 for reference. Please provide a copy of AIA Document A701.</t>
  </si>
  <si>
    <t>Existing site conditions</t>
  </si>
  <si>
    <t xml:space="preserve">DOCUMENT 003119 - EXISTING CONDITION INFORMATION 
1.1 EXISTING CONDITION INFORMATION </t>
  </si>
  <si>
    <t>Paragraph B. of this section references a site survey of existing conditions. Please provide a copy of the site survey. Please confirm that this survey is representative of the site conditions that will exist when the general contractor is to start work on site.</t>
  </si>
  <si>
    <t xml:space="preserve">The rough grading is still in progress, so there is no site survey available at this time.  However, a survey will be provided 
Owner will provide a building pad including geotechnical certification to elevation 42 NAVD.  A topo survey of all buildings is 
still being developed but will be provided to the awarded General Contractor during the execution of the construction 
contract. 
</t>
  </si>
  <si>
    <t>Geotechnical investigation report.</t>
  </si>
  <si>
    <t xml:space="preserve">DOCUMENT 003132 - GEOTECHNICAL DATA 
1.1 GEOTECHNICAL DATA </t>
  </si>
  <si>
    <t>Please provide a copy of the referenced geotechnical investigation report.</t>
  </si>
  <si>
    <t xml:space="preserve">The rough grading is still in progress, so the Geotech report provided is preliminary at this time.  However, a final report will be provided prior to mobilization to the site. </t>
  </si>
  <si>
    <t>Additional borings</t>
  </si>
  <si>
    <t>Paragraph C.2. states:  Any party using information described in the geotechnical report shall make additional test borings and conduct other exploratory operations that may be required to determine the character of subsurface materials that may be encountered. Are we to include the costs for additional test borings and other exploratory operations in our bid proposal? Are we to allow time in our proposed schedule for this work?</t>
  </si>
  <si>
    <t xml:space="preserve">No. Owner will assume all costs for geotechnical reports and borings. </t>
  </si>
  <si>
    <t>Allowances</t>
  </si>
  <si>
    <t xml:space="preserve">DOCUMENT 004321 - ALLOWANCE FORM </t>
  </si>
  <si>
    <t>Paragraph 1.2 B. references Section 012100 "Allowances." Sections 012100 was not provided. Please provide a copy of Section 012100 "Allowances."</t>
  </si>
  <si>
    <t xml:space="preserve">Only one allowance has been determined at this time. $350,000 for Dining roof retractable awning. Otherwise, bid should be based on the documents provided. Final version of allowances will be added to Section 012100 document during Contract 
negotiations. </t>
  </si>
  <si>
    <t>Form of Agreement</t>
  </si>
  <si>
    <t xml:space="preserve">DOCUMENT 006000 - PROJECT FORMS
1.1 FORM OF AGREEMENT AND GENERAL CONDITIONS </t>
  </si>
  <si>
    <t>This section states that the contract for the Project is to be AIA Document A102, "Standard Form of Agreement between Owner and Contractor, Cost Plus Fee, Guaranteed Maximum Price." 
The Request for Proposal dated 12/23 references a Stipulate Sum contract. Please confirm the form of contract that will be used for the Project.</t>
  </si>
  <si>
    <t xml:space="preserve">The contract will be Cost Plus Fee, Guaranteed Maximum Price. Refer to sample copy of AIA A102. </t>
  </si>
  <si>
    <t>Special and Supplementary Conditions</t>
  </si>
  <si>
    <t xml:space="preserve">SECTION 010000 - GENERAL REQUIREMENTS </t>
  </si>
  <si>
    <t>Section 1.1 A. references Special and Supplementary Conditions. Please provide a copy of the Special and Supplementary Conditions.</t>
  </si>
  <si>
    <t xml:space="preserve">There are no special and supplementary conditions at this time. </t>
  </si>
  <si>
    <t>Kitchen Equipment</t>
  </si>
  <si>
    <t xml:space="preserve">SECTION 011000 - SUMMARY </t>
  </si>
  <si>
    <t>Section 1.7 B. states that the kitchen equipment installation will be under a separate contract with the owner. Sections 1.8 A. and B. indicate that the owner's contract for the kitchen equipment will be assigned to the Contractor. Please confirm that this contract will be assigned to the Contractor and if so, please provided a copy of the contract. Are we to include the value of this contract in our bid proposal?</t>
  </si>
  <si>
    <t xml:space="preserve">Section 1.8.B-a is incorrect and will be removed from the specifications. </t>
  </si>
  <si>
    <t>Owner Furnished Products</t>
  </si>
  <si>
    <t>SECTION 011000 - SUMMARY 
Section 1.9 OWNER-FURNISHED PRODUCTS</t>
  </si>
  <si>
    <t>Please confirm that the items listed in this section will be furnished and installed by the owner. See #8 above regarding the kitchen equipment.</t>
  </si>
  <si>
    <t xml:space="preserve">Section 1.9 contains owner furnished, contractor installed list of items. </t>
  </si>
  <si>
    <t>Assuming that the items in this section are to be furnished and installed by the owner, please confirm that the owner will furnish and install all Division 27 and Division 28  "Low Voltage" scopes of work.</t>
  </si>
  <si>
    <t xml:space="preserve">Section 1.9 contains owner furnished, contractor installed list of items.  Refer to KCL LV drawings for schedule of OFCI vs. </t>
  </si>
  <si>
    <t>Early turn over of areas of the project</t>
  </si>
  <si>
    <t>SECTION 011000 - SUMMARY 
Section 1.11 COORDINATION WITH OCCUPANTS</t>
  </si>
  <si>
    <t>This section indicates that the Contractor will be required to turn over areas of the project prior to overall completion of the project and that these areas are to receive a Certificate of Occupancy. Please provide a list of these areas and  a schedule indicating when these area are required to be turned over.</t>
  </si>
  <si>
    <t>Main kitchen at Dining Level 01 to receive Temporary Certificate of Occupancy 30 days prior to scheduled construction completion.</t>
  </si>
  <si>
    <t>Alternates</t>
  </si>
  <si>
    <t xml:space="preserve">SECTION 012300 - ALTERNATES </t>
  </si>
  <si>
    <t>Section 3.1 references a SCHEDULE OF ALTERNATES. Please provide a copy of the SCHEDULE OF ALTERNATES.</t>
  </si>
  <si>
    <t xml:space="preserve">There are no additional alternates at this time. </t>
  </si>
  <si>
    <t>Site Access Prior to Bid Due Date</t>
  </si>
  <si>
    <t>Please provide instructions for site access prior to the bid due date.</t>
  </si>
  <si>
    <t xml:space="preserve">The project site requires security access. Access will be granted on a reserved. Please contact Director of Architecture Peter 
Oliver to schedule any site visits. </t>
  </si>
  <si>
    <t>Site Conditions at Construction Commencement</t>
  </si>
  <si>
    <t>Please clarify the anticipated site conditions at the commencement of construction, specifically regarding grading and utility installations. What grading will be competed? What utilities will be in place and up to what connection point?</t>
  </si>
  <si>
    <t xml:space="preserve">Rough grading will be completed to a pad elevation, provided by the Owner, of 42’-0” and utilities will be provided, by Owner, to within 20 feet of the building envelopes.  Contractor shall be responsible for site work within the proposed area including parking installation. </t>
  </si>
  <si>
    <t>Utility Points of Connection</t>
  </si>
  <si>
    <t>Regarding the new utilities shown on the civil drawings to be installed by the Contractor, please provide the location of connection points to utilities being brought to the site by others. This includes, but is not limited to, storm drainage, sewer, water, fiber optic, and electrical connections.</t>
  </si>
  <si>
    <t xml:space="preserve">Owner is providing a pad ready site at all building locations.  Owner will provide utilities (water, fireline, sanitary sewer, storm drainage) at 20’ outside of the building footprint. </t>
  </si>
  <si>
    <t>Interior Windows</t>
  </si>
  <si>
    <t>Window Elevation Notes</t>
  </si>
  <si>
    <t>Window Elevation Notes state that all interior window frame systems are to be Haworth Enclosed Frameless Glass Systems. Please provide a specification for the Haworth Glass system.</t>
  </si>
  <si>
    <t>All Interior window systems are to be Haworth single frame glass fronts systems. Haworth product "4SPACE will be highlighted with specific spec and locations on the revised Window schedule in next submittal</t>
  </si>
  <si>
    <t>Door Hardware</t>
  </si>
  <si>
    <t>Specifications</t>
  </si>
  <si>
    <t>Two separate Door Hardware Specifications 087100 have been provided. One was included with the architectural plans for the Club Core. The other was included with the overall group of specifications provided most recently. Please confirm which Specification 087100 we should use.</t>
  </si>
  <si>
    <t xml:space="preserve">Current door Hardware schedule has been revised and updated based on corresponding hardware types to specific doors. </t>
  </si>
  <si>
    <t>Dock Bar bar interior floor finish</t>
  </si>
  <si>
    <t>Please provided a specification for the Dock Bar bar interior floor finish.</t>
  </si>
  <si>
    <t>Interior Floor Finish will be Ipe. Please refer to A0.60.</t>
  </si>
  <si>
    <t>Intumescent Fire Coating</t>
  </si>
  <si>
    <t>A4.13</t>
  </si>
  <si>
    <t>Please provide a specification for the Intumescent Fire Coating called for on the Cart Barn structural steel..</t>
  </si>
  <si>
    <t xml:space="preserve">Exposed steel columns at Cart Barn intumescent fire coating is specified to be Isolatek CAFCO Spray film or equal. </t>
  </si>
  <si>
    <t>Fire Proofing</t>
  </si>
  <si>
    <t>1/A4.01</t>
  </si>
  <si>
    <t>Detail 1/A4.01 appears to show fire proofing on some of the steel members. Please confirm if this is required and if so, please provide a specification.</t>
  </si>
  <si>
    <t xml:space="preserve">See revised drawing A4.01 for updated information. Drawing 1/4.01 illustrates a close cell foam insultation (not fireproofing) to underside slab of interior space over an external space for thermal bridging. </t>
  </si>
  <si>
    <t>Dock construction</t>
  </si>
  <si>
    <t>Dock Bar - A8.01</t>
  </si>
  <si>
    <t>The details on Drawing A8.01 for the Dock Bar show 2x framing members for the framing of the pier portion of the dock platform. These details refer to the structural drawings. The structural drawings do not include any information regarding this farming. Please provide structural details for the dock (pier) platform framing.</t>
  </si>
  <si>
    <t xml:space="preserve">Below FF Structural platform slab, piers and beams will all be provided by Ownership prior to Club Core Construction. All sub-flooring elements, columns, walls and roofing will all be coordinated as part of the Club Core scope of work.  
 </t>
  </si>
  <si>
    <t>Paragraph C. 2. of this section references Document 003126 "Existing Hazardous Material Information". Please provide a copy of any hazardous materials reports.</t>
  </si>
  <si>
    <t xml:space="preserve">No Hazardous Materials are present. </t>
  </si>
  <si>
    <t>Storm Drainage Pipe Material</t>
  </si>
  <si>
    <t xml:space="preserve">Civil Sheet 24 </t>
  </si>
  <si>
    <t>Martin County Public Works - Standard Detail R-70 on Civil Sheet 24 states "ALL PIPE LOCATED UNDER ROADWAYS AND/OR RESIDENTIAL PARKING AREAS SHALL BE REINFORCED CONCRETE PIPE (RCP)." Please clarify storm drainage pipe material specification for installations in green areas or otherwise not governed by this detail.</t>
  </si>
  <si>
    <t>Pursuant to the Discovery PUD agreement, ADS may be used in lieu of RCP under all pavement areas.</t>
  </si>
  <si>
    <t>Civil Permit Responsibility</t>
  </si>
  <si>
    <t xml:space="preserve">Civil sheet 23 </t>
  </si>
  <si>
    <t>General Construction Note #6 on Civil sheet 23 states "CONTRACTOR SHALL OBTAIN ALL REQUIRED PERMITS / LICENSES PRIOR TO COMMENCING WORK." Please clarify which permits the Contractor shall be responsible for obtaining.</t>
  </si>
  <si>
    <t>Contractor shall be responsible for the building permit. All other permits shall be owners supplied.</t>
  </si>
  <si>
    <t>Spa Pod Water Supply</t>
  </si>
  <si>
    <t>The civil plans do not show a source for the domestic water for Spa Pod buildings. Please clarify. Please provide a plumbing site plan if available.</t>
  </si>
  <si>
    <t xml:space="preserve">Civil plans are currently being updated per comments from Martin County. Updated plans will be provided by February 14, 2025.  Contractor should assume services will be provided to within 20 feet of all buildings. </t>
  </si>
  <si>
    <t>Fiber optic site conduits</t>
  </si>
  <si>
    <t>Telecom drawings TT3.02, TT3.02</t>
  </si>
  <si>
    <t>Will the general contractor's electrical subcontractor be responsible for the telecom site conduits shown on the Telecon drawings?</t>
  </si>
  <si>
    <t>Yes, the general contractor's electrical subcontractor be responsible for the telecom site conduits shown on the Telecon drawings.</t>
  </si>
  <si>
    <t>Pool Technical Specifications.</t>
  </si>
  <si>
    <r>
      <t xml:space="preserve">The General Notes on pool drawing W0.001 reference a set of "Technical Specifications". Please provide a copy of the following:
</t>
    </r>
    <r>
      <rPr>
        <sz val="8"/>
        <rFont val="Calibri  "/>
      </rPr>
      <t>13 1105           AQUATIC SPECIFICATIONS TABLE OF CONTENTS          
13 1110           AQUATICS GENERAL
13 1113           BELOW-GRADE SWIMMING POOLS (CONCRETE)
13 1114           BELOW-GRADE SWIMMING POOLS (SST/LINER-BASED BASINS)
13 1125           POOL BONDING AND GROUNDING
13 1126           POOL ELECTRICAL
13 1133           ELEVATED SWIMMING POOLS (CONCRETE)
13 1134           ELEVATED SWIMMING POOLS (SST/ LINER-BASED BASINS)
13 1146           SWIMMING POOL ACCESSORIES
22 5100           SWIMMING POOL PLUMBING SYSTEMS</t>
    </r>
  </si>
  <si>
    <t>Specifications were provided with the doucuments included with the  02/19/25 RFI responses.</t>
  </si>
  <si>
    <t>Retractable Awning Canopy</t>
  </si>
  <si>
    <t>A6.30</t>
  </si>
  <si>
    <t>Drawing A6.30 shows a retractable awning canopy in the roof adjacent to the Sky Bar. No information has been provided for this canopy. Should we include an allowance for this?</t>
  </si>
  <si>
    <t xml:space="preserve">Retractable roof system (Enfold) is still being coordinated, and design has not yet been solidified. Please include an allowance of $350,000.00 so suffice this item. </t>
  </si>
  <si>
    <t>Concrete Pier DCP-1</t>
  </si>
  <si>
    <t>S-101</t>
  </si>
  <si>
    <t>Concrete pier DCP-1 appears to sit on footing at 24'-10" which means pier would be taller than 24". Please confirm pier DCP-1 height</t>
  </si>
  <si>
    <t xml:space="preserve">DCP-1 extends from foundation at elevation 24'- 10" to first floor framing plan. </t>
  </si>
  <si>
    <t>Roofing assembly</t>
  </si>
  <si>
    <t>The architectural plans show the roofing membrane on ridged insulation on metal deck. Some structural drawing sections show the roofing membrane on ridged insulation on concrete (assume LWIC) on metal deck. Please confirm roofing insulation requirements.</t>
  </si>
  <si>
    <t xml:space="preserve">Projects roofing conditions are distinguished between two main systems. (i) 1-1/2" Metal Decking with Insulation and roofing 
application above. (ii) 3" Concrete Slab over 2" Metal Decking. Depending on location (Covered Exterior Space vs. Covered 
Interior space) Insulation application is as follows: Layer 1 (3.5" Iso board). Layer 2 ( 1/4" Tapered 1-1/2" start point insulation 
board) Layer 3 (1/8" spot fastened Asphaltic cover board. Please refer to sheet A2.50-A2.54 for all application areas and 
conditions. </t>
  </si>
  <si>
    <t>PVC Roofing Specification</t>
  </si>
  <si>
    <t xml:space="preserve">SECTION 07 54 19 
POLYVINYL-CHLORIDE (PVC) ROOFING </t>
  </si>
  <si>
    <t>Roofing specification 07 54 19 was issued with the other Division 7 specifications. Please provide direction as to where this roofing type will apply.</t>
  </si>
  <si>
    <t xml:space="preserve">Roofing specification 07 54 19 will not be part of the building envelop and should be omitted from bid. </t>
  </si>
  <si>
    <t>Pit Slab - Wellness</t>
  </si>
  <si>
    <t>S-113</t>
  </si>
  <si>
    <t>Please provide a section thru the 14" CONC PIT SLAB at column lines U &amp; 21 of does Section 11/S-403.1 also apply here?</t>
  </si>
  <si>
    <t xml:space="preserve">Section 11/S-403.1 is a similar section at U/21. </t>
  </si>
  <si>
    <t>Section 11/S-403.1</t>
  </si>
  <si>
    <t>Is the  8" CONC PIT WALL on all 3 sides?</t>
  </si>
  <si>
    <t>yes</t>
  </si>
  <si>
    <t>Pool Equipment Room structure</t>
  </si>
  <si>
    <t>S-103</t>
  </si>
  <si>
    <t xml:space="preserve">Section 12/S-403.2 at the south equipment room wall appears to be an incorrect section. Please provide a section from north wall to south wall. </t>
  </si>
  <si>
    <t xml:space="preserve">Section is applicable at first floor framing plan. </t>
  </si>
  <si>
    <t>Please confirm WB-10 running in both directions is the same thing as the 30" CONC MAT.</t>
  </si>
  <si>
    <t>WB-10 is within the 30" concrete mat and is indicated to localize stirrups specified in the concrete beam schedule.</t>
  </si>
  <si>
    <t>First Floor Framing Plan - Dining</t>
  </si>
  <si>
    <t>S-111</t>
  </si>
  <si>
    <t>Section 1/S-301.1 appears to be an incorrect section for this location. Please provide the correct section reference.</t>
  </si>
  <si>
    <t>Section 1/S-301.1 is a full building section and is correct on plan.</t>
  </si>
  <si>
    <t>Landscaping</t>
  </si>
  <si>
    <t>LP-200</t>
  </si>
  <si>
    <t>Column 2 of the plant list is cropped at the top of the page.  Please provide a copy of the complete plant list.</t>
  </si>
  <si>
    <t xml:space="preserve">column 2 was a continuation of column 1 no plants were missing.  These plans will be updated. </t>
  </si>
  <si>
    <t>Grease Trap</t>
  </si>
  <si>
    <t>P119.30
Civil Sheet 29</t>
  </si>
  <si>
    <t>Plumbing drawing P119.30 shows a single 1500 gal grease trap. Civil Sheet 29 shows 2 1000 gal grease traps. Please advise.</t>
  </si>
  <si>
    <t>Millwork</t>
  </si>
  <si>
    <t>Elevation 3/ID-5.01</t>
  </si>
  <si>
    <t>Reference EQ-107 and EQ-108.  Are Freezer and Fridge Drawers to receive MT-103 faced panels?</t>
  </si>
  <si>
    <t>EQ-107 and EQ-108 will receive MT-103 Finish.</t>
  </si>
  <si>
    <t>Club BOH Ceiling</t>
  </si>
  <si>
    <t>A6.10.2</t>
  </si>
  <si>
    <t>Please provide specifications for F2 ceiling type (D-015 Storage, W-001 Car Barn)</t>
  </si>
  <si>
    <t xml:space="preserve">Ceiling type F2 will not be part of the building envelop ceiling type and should be omitted from bid. </t>
  </si>
  <si>
    <t>Concrete Piles for dock</t>
  </si>
  <si>
    <t>In order to determine the pile depth for the dock and dock bar piles we will need to know the lake bottom elevation and final lake water elevation relative to the elevations shown on the structural plans.</t>
  </si>
  <si>
    <t xml:space="preserve">Concrete Piles, Concrete Beams and 8" Slab are all being furnished and installed by Owner Subcontractor, and not by GC. </t>
  </si>
  <si>
    <t>Steel Facia at metal deck canopy</t>
  </si>
  <si>
    <t>Section 17/S-403.2</t>
  </si>
  <si>
    <t>Section 17/S-403.2 incorrectly calls out the c-channel at the perimeter as a W12x20.7. Assuming that one size c-channel is to be used in all locations, what is the correct specification for the c-channel to be used at the facia of all perimeter metal deck canopy?</t>
  </si>
  <si>
    <t>BOH ceiling finishes</t>
  </si>
  <si>
    <t>I5.48,I5.47</t>
  </si>
  <si>
    <t>There are no ceiling specifications for the BOH areas in the Club Core, Dock Bar, and Spa Dock. Please confirm if it is the design intent to have exposed, non-painted ceilings in all BOH areas.</t>
  </si>
  <si>
    <t xml:space="preserve">Yes, the design intent to have exposed, non-painted ceilings in all BOH areas. </t>
  </si>
  <si>
    <t>Dining structural roof framing</t>
  </si>
  <si>
    <t>S-131</t>
  </si>
  <si>
    <t>See sheet S-131. There are steel beams labeled as "STEEL BEAM". Please provided sizes for these beams.</t>
  </si>
  <si>
    <t>Please provide details for the steal framing at the roof opening for the roof pergola. Framing information surrounding opening is missing. Please advise.</t>
  </si>
  <si>
    <t>Fitness structural 3rd floor (roof) framing</t>
  </si>
  <si>
    <t>S-132</t>
  </si>
  <si>
    <t>There are W8 STEEL BEAMS call out for the roof framing for Stair 3. Please provide W8 beam weight specification.</t>
  </si>
  <si>
    <t>Missing Note</t>
  </si>
  <si>
    <t>See sheet S-131. Columns at column line L are referenced to NOTE 4. Note 4 is not provided on this sheet. Please provide NOTE 4.</t>
  </si>
  <si>
    <t>Wellness spa rooms</t>
  </si>
  <si>
    <t xml:space="preserve">1) Are the spa room modules/assemblies as shown on the Design for Leisure drawings to be included in the GC scope of work?
2) If the spa room modules/assemblies are part of the GC scope of work, is the GC to source the spa room modules/assemblies from Design for Leisure or can the GC go out to other sources? </t>
  </si>
  <si>
    <t>Wood panel canopy</t>
  </si>
  <si>
    <t>S-133</t>
  </si>
  <si>
    <t>See sheet S-133 and the wood canopy along the north elevation between column lines U &amp; V. There steel W8X24 beams supporting the canopy. There appear to be intermediate supports between the W8X24 beams. If these are intermediate supports, please provide material spec,  sizes and appropriate details.</t>
  </si>
  <si>
    <t>Metal on planter wall</t>
  </si>
  <si>
    <t>A2.30</t>
  </si>
  <si>
    <t>Please confirm that the planter shown at the Exterior Terrace D-117 at grid line 03, is to receive metal caldding. Detail 2/A8.13 at this planter does not call out the metal cladding.</t>
  </si>
  <si>
    <t xml:space="preserve">The planter will receive metal cladding finish. </t>
  </si>
  <si>
    <t>Exterior site walls</t>
  </si>
  <si>
    <t>Club Core 50% Hardscape plans</t>
  </si>
  <si>
    <t>Very few of the site walls shown on the hardscape plans are labeled with top of wall and bottom of wall elevations. These elevations are needed to determine the stone cladding quantities. Will updated hardscape plans be forthcoming?</t>
  </si>
  <si>
    <t>See sheet L3.04. The wall details do not provide any structural information for the footings or the walls. This information is not provided on the structural plans. Will structural details for the site retaining walls be forthcoming?</t>
  </si>
  <si>
    <t>Are there any finish materials that will be supplied by others? If so, please provide a list or a schedule of those finish materials.</t>
  </si>
  <si>
    <t xml:space="preserve">Drapery Window treatments.  Refer to the FFE project manual. </t>
  </si>
  <si>
    <t>Entry Bar Wall Finish</t>
  </si>
  <si>
    <t>ID-5.05</t>
  </si>
  <si>
    <t>Please provide specifications for SF-102 plaster.</t>
  </si>
  <si>
    <t>Confirm wall type</t>
  </si>
  <si>
    <t>A2.10.2</t>
  </si>
  <si>
    <t>See sheet A2.10.2. There are numerous walls labeled W7.8 which is 8" CMU. These walls are not shown on the structural drawings as CMU. Please advise.</t>
  </si>
  <si>
    <t xml:space="preserve">Refer to the updated Structural Drawings. </t>
  </si>
  <si>
    <t>Exterior wood at Port Cochere</t>
  </si>
  <si>
    <t>A4.23</t>
  </si>
  <si>
    <t>Please provide specification and details for steel column wood infill.</t>
  </si>
  <si>
    <t xml:space="preserve">Refer to sheet A8.01. </t>
  </si>
  <si>
    <t>Please provide specification and details for the wood shingle system (ceiling).</t>
  </si>
  <si>
    <t>Exterior Soffits at Wellness</t>
  </si>
  <si>
    <t xml:space="preserve">A3.04 &amp; A3.05 </t>
  </si>
  <si>
    <t>Elevations on Sheets A3.04 &amp; A3.05 specify WD-09 at soffits. Sections 1 &amp; 2 on Sheet A4.10 specify WD-08 at soffits. Please confirm soffits are to be WD-08, consistent with other buildings.</t>
  </si>
  <si>
    <t xml:space="preserve">Wood Soffit to be WD-08 consistently at all buildings. </t>
  </si>
  <si>
    <t>Aluminum Windows finish</t>
  </si>
  <si>
    <t>Spec 085113</t>
  </si>
  <si>
    <t>The specification for the Aluminum Windows lists multiple finish types. Please confirm the finish type and color for the Aluminum Windows.</t>
  </si>
  <si>
    <t xml:space="preserve">Window color to be “High Performance White.” </t>
  </si>
  <si>
    <t>Folding Glass Storefronts finish</t>
  </si>
  <si>
    <t>Spec 084333</t>
  </si>
  <si>
    <t>The specification for the Aluminum Windows lists multiple finish types in Sections 3.H. and 3. I. Please confirm the finish color (3.H.) and finish (3.I.) for the Folding Glass Storefronts.</t>
  </si>
  <si>
    <t xml:space="preserve"> There are no longer any folding glass storefronts in the scope of work.  Section 08 4333 will be deleted from the Specs. </t>
  </si>
  <si>
    <t>Architectural Material Schedule</t>
  </si>
  <si>
    <t>A0.60</t>
  </si>
  <si>
    <t>See Material Schedule. MT-01 calls for a "High Performance Finish". Please provide a specification for this finish.</t>
  </si>
  <si>
    <t>See Material Schedule. MT-04 calls for a Dark Bronze. Please provide the finish specification for MT-04.</t>
  </si>
  <si>
    <t>Planters metal cladding</t>
  </si>
  <si>
    <t>See Material Schedule. MT-04 is called out for the planters. Some wall sections, elevations and details call for MT-01 at the planters. Please confirm which metal is to be applied at the planters.</t>
  </si>
  <si>
    <t xml:space="preserve">All planters have MT-04 finish. </t>
  </si>
  <si>
    <t>Steel members - architectural vs structural</t>
  </si>
  <si>
    <t>The architectural and structural are not coordinated with regard to steel member sizes. Are we to assume that the structural drawings will govern?</t>
  </si>
  <si>
    <t xml:space="preserve">The structural drawings will govern but the General Contractor is responsible for reviewing the Architectural sheets for any misc. steel not included in structural drawings. </t>
  </si>
  <si>
    <t>Canopy steel connection</t>
  </si>
  <si>
    <t>17/S-401.3</t>
  </si>
  <si>
    <t xml:space="preserve">See section 17/S-401.3. </t>
  </si>
  <si>
    <t>Landscape - sod</t>
  </si>
  <si>
    <t>LP-105</t>
  </si>
  <si>
    <t>Sheet LP-105 specifies two areas of sod with differing symbols to the west of the Dining building.  Please clarify what type of sod is to be used for each.</t>
  </si>
  <si>
    <t>Grasspave</t>
  </si>
  <si>
    <t>L3.02</t>
  </si>
  <si>
    <t>Is a second layer of hyroseed or sod required to be placed over the Grasspave2?</t>
  </si>
  <si>
    <t>ST-02 cladding</t>
  </si>
  <si>
    <t>A0.60 Material Schedule</t>
  </si>
  <si>
    <t>Regarding the ST-02 Dominical Coral Stone, is it to be honed or filled or just to have a smooth saw cut face?</t>
  </si>
  <si>
    <t>Liquor Storage finishes</t>
  </si>
  <si>
    <t>ID-1.11, ID-7.01</t>
  </si>
  <si>
    <t>Liquor storage elevations in ID-1.11 redirect to Door details. Please provide Liquor storage interior wall finishes</t>
  </si>
  <si>
    <t xml:space="preserve">Refer to updated drawings ID-1.11 and ID-7.01 </t>
  </si>
  <si>
    <t>Gym wall panel</t>
  </si>
  <si>
    <t>2/ID-5.21, 3/ID-5.21</t>
  </si>
  <si>
    <t>Elevation 2/ID-5.21 specifies WC-109 shiplap for the gym wall, while Elevation 4/ID-5.21 specifies WD-109 shiplap. Please confirm if WD-109 is the intended finish for both areas.</t>
  </si>
  <si>
    <t xml:space="preserve">Confirmed.  ID-5.21/D-2 should read as WD-109 shiplap. </t>
  </si>
  <si>
    <t>See section 17/S-401.3. Regarding the "W-Section Beam" where the canopy beam attaches to the tube steel, the size has not been provided on the plans. Please provide size and confirm structural shape for this steel.</t>
  </si>
  <si>
    <t>Ribbon Canopy structural</t>
  </si>
  <si>
    <t>15/S-402.2</t>
  </si>
  <si>
    <t>See detail 15/S-402.2. The beam type/size for the "Cont. Beam At Edge" is not provided. Please provide beam type/size.</t>
  </si>
  <si>
    <t>Ribbon Canopy architectural details</t>
  </si>
  <si>
    <t>3/A4.20</t>
  </si>
  <si>
    <t>See detail 3/A4.20. 
1) Please provide specification for "WD Soffit".
2) Please provide specification for "Horizontal Stl Rain Screen"</t>
  </si>
  <si>
    <t xml:space="preserve">Wd. Soffit to be T&amp;G cypress 5 ½” select grade clear (ref: A0.60). Horizontal steel rain screen is no longer part of this scope of work. </t>
  </si>
  <si>
    <t>Dining Port Cochere</t>
  </si>
  <si>
    <t>A4.22</t>
  </si>
  <si>
    <t>See A4.22. Details for the Dinning Port Cochere are incomplete. Please provide complete details showing structure, finishes, materials, etc.</t>
  </si>
  <si>
    <t xml:space="preserve">Refer to updated sheet A4.22. </t>
  </si>
  <si>
    <t>Emergency Generator</t>
  </si>
  <si>
    <t>E101.00, E181.10</t>
  </si>
  <si>
    <t xml:space="preserve">See E101.00 and E181.10. An emergency Generator and 2 ATS are shown. No specifications for the generator and ATS have been provided. Please provide generator and ATS specifications. </t>
  </si>
  <si>
    <t>Exterior stone clad walls</t>
  </si>
  <si>
    <t>Wall Type W4.8 - A0.32</t>
  </si>
  <si>
    <t>See wall type W4.8 on drawing A0.32. This detail calls for a 3/4" direct bond plaster behind the stone. This is addition to the waterproofing, 5/8" scratch coat and 5/8" mud set. All of the double sided stone walls are exterior walls. Is the 3/4" direct bond plaster an actual requirement for this wall type. Please confirm.</t>
  </si>
  <si>
    <t xml:space="preserve">Refer to sheet A0.32 for updated wall type schedule. </t>
  </si>
  <si>
    <t>Ceiling finishes FOH</t>
  </si>
  <si>
    <t>Interior design drawings indicate painted ceilings for many FOH areas. Please clarify if these ceilings are C1 (painted plaster ceiling) or C3 (gypsum board ceiling)</t>
  </si>
  <si>
    <t xml:space="preserve">Refer to sheets A6.10 thru A6.32 for Reflected Ceiling Plans that document locations of ceiling finishes. </t>
  </si>
  <si>
    <t>Temporary Fence</t>
  </si>
  <si>
    <t>Please confirm the requirements for temporary fencing of the site.</t>
  </si>
  <si>
    <t>Landscape &amp; Irrigation</t>
  </si>
  <si>
    <t>Please confirm that the landscape and irrigation scope of work will be provided and installed by others.</t>
  </si>
  <si>
    <t xml:space="preserve">Landscape material shall be supplied by owner; installation and irrigation will be the responsibility of the contractor. </t>
  </si>
  <si>
    <t>Civil Scope of Work - utilities</t>
  </si>
  <si>
    <t>Civil plan Sheets 25 thru 31</t>
  </si>
  <si>
    <t>Please confirm that all site water and sanitary utilities will be provided and installed by others up to within 5' of the Club Core structures at the locations shown on the plumbing drawings where utilities are shown to enter the structures.</t>
  </si>
  <si>
    <t xml:space="preserve">Owner will provide utilities to within 5’-0” of the building envelopes.  Contractor shall be responsible for site work within the proposed area including parking installation. </t>
  </si>
  <si>
    <t>Civil Scope of Work - storm water</t>
  </si>
  <si>
    <t>Civil plan Sheets 10 thru 16</t>
  </si>
  <si>
    <t>Please confirm that all storm water piping will be provided and installed by others up to within 5' of the Club Core structures at the locations shown on the plumbing drawings where utilities are shown to enter the structures. Currently only the Wellness building shows any storm water piping exiting the building.</t>
  </si>
  <si>
    <t>Owner will provide necessary storm water piping to within 5’-0” of the building envelopes.  Contractor shall be responsible 
for site work within the proposed area including parking installation.</t>
  </si>
  <si>
    <t>Civil Scope of Work - grading</t>
  </si>
  <si>
    <t>Civil plans</t>
  </si>
  <si>
    <t xml:space="preserve">1) Please confirm the grading scope of work that the owner's sitework contractor in accordance with the civil plans.
2) Please confirm the overall site grade elevations that will be representative of the site condition when it is turned over to the GC for construction. </t>
  </si>
  <si>
    <t xml:space="preserve">A: 1) Contractor will be responsible for finish grading.  
 2) Rough grading will be completed to a pad elevation, provided by the Owner, of 42’-0”. </t>
  </si>
  <si>
    <t>Spa Pod Sanitary</t>
  </si>
  <si>
    <t>Civil plan Sheet 29</t>
  </si>
  <si>
    <t>Please confirm what portion of the sanitary work shown on Civil plan Sheet 29 will be performed by others.</t>
  </si>
  <si>
    <t xml:space="preserve">Dock Bar  </t>
  </si>
  <si>
    <t>Civil plan Sheet 26</t>
  </si>
  <si>
    <t>Please confirm the location of the GC point of connection to the Dock Bar sanitary force main being installed by others.</t>
  </si>
  <si>
    <t>Hardscape</t>
  </si>
  <si>
    <t>Hardscape plans Sheets L1.00 thru L1.04</t>
  </si>
  <si>
    <t>Please provide a marked up plan or plans that indicate the site wall, retaining wall, paver, concrete paving, crushed stone path, Grasspave and any other hardscape scope of work that will be provided and installed by others.</t>
  </si>
  <si>
    <t xml:space="preserve">Dining storm water piping at  Level 00 </t>
  </si>
  <si>
    <t>P104.10</t>
  </si>
  <si>
    <t xml:space="preserve">There is no storm water piping shown on P104.10. The Dining building storm water piping is not continued from above. Please advise. </t>
  </si>
  <si>
    <t xml:space="preserve">Storm piping is under development and will be provided in updated Plumbing Drawings on 2/28.. Reference Gravity piping sheets </t>
  </si>
  <si>
    <t>Fitness roof drains and storm water piping</t>
  </si>
  <si>
    <t>P112.22 thru P115.22</t>
  </si>
  <si>
    <t>There are no roof drains shown for the Fitness building roof. There is no storm water piping shown on any level. Please Advise.</t>
  </si>
  <si>
    <t xml:space="preserve">Storm piping is under development and will be provided in updated Plumbing Drawings on 2/28. Reference Gravity piping sheets </t>
  </si>
  <si>
    <t>Ribbon Canopy gutter</t>
  </si>
  <si>
    <t>A2.45, 3/A4.20</t>
  </si>
  <si>
    <t>See sheet A2.45.  Roof Key Notes #18 and call out on Roof Plan call for a Gutter. Detail 3/A4.20 does not show a gutter. Please advise.</t>
  </si>
  <si>
    <t xml:space="preserve">STEEL GUTTERS TO BE DESIGNED AT EDGE OF ROOF. COORDINATION TO ALLOW FOR WATER SHED OFF ROOF  AREA AT SPECIFIC LOCATION WILL BE SPECIFIED ON UPDATED ROOFING PLANS. </t>
  </si>
  <si>
    <t>Concrete add-mixture</t>
  </si>
  <si>
    <t>Structural Plans</t>
  </si>
  <si>
    <t>The structural plans include the following note:
PROVIDE VANDEX AM-10 ADMIXTURE TO ALL EXTERIOR
CONCRETE WALLS, EXPOSED CONCRETE SLABS, AND
STRUCTURAL SLABS BELOW GRADE.
The architectural drawings call for a waterproofing system on all footings, below grade walls, slab on grade, etc. Is this concrete admixture still required for these area?</t>
  </si>
  <si>
    <t>Soprema Roof Specification</t>
  </si>
  <si>
    <t>Specification 075216-3</t>
  </si>
  <si>
    <t>See Specification 075216-3, 2.02 A. This specification states that SOPREMA is the basis of design. Are other equal roofing systems acceptable?</t>
  </si>
  <si>
    <t xml:space="preserve">SPECIFICATIONS FOR REVISIONS 7 HAVE BEEN REVISEDTO ALLOW FOR ALTERNATIVE MANUFACTURERS. </t>
  </si>
  <si>
    <t>Ribbon Canopy Columns</t>
  </si>
  <si>
    <t>See detail 3/A4.20. This detail is calling for a "WD COLUMN CAP". Is this a wood cladding just on the interior side of the canopy columns? Please clarify and provide specification for the wood.</t>
  </si>
  <si>
    <t xml:space="preserve">PLEASE SEE SHEET A8.00 FOR STEEL COLUMN, WOOD INSET DETAIL WOOD TO BE 3/4" WITH CLEAR COAT FINISH. </t>
  </si>
  <si>
    <t>Galvanized Rebar</t>
  </si>
  <si>
    <t>The structural plans include the following note:
FOR BALCONIES, SLABS AND WALKWAYS EXPOSED TO WEATHER ALL REINFORCING STEEL SHALL BE GALVANIZED
Please provide further clarification regarding where the galvanized reinforcing will be required. If possible, please provide highlighted plans or details indicating locations.</t>
  </si>
  <si>
    <t>Level 00 tunnel finishes.</t>
  </si>
  <si>
    <t>I5.16</t>
  </si>
  <si>
    <t>See Interior Design sheet I5.16. There are finishes called out for BOH HALLWAY D-000. Are these finishes continued in the tunnels between Dining &amp; Fitness and Fitness, &amp; Wellness?</t>
  </si>
  <si>
    <t xml:space="preserve">Yes, these finishes continued in the tunnels between Dining &amp; Fitness and Fitness, &amp; Wellness. </t>
  </si>
  <si>
    <t>Overhead Coiling Door</t>
  </si>
  <si>
    <t>A2.12</t>
  </si>
  <si>
    <t>Regarding the overhead coiling door at the exterior entrance to the Cart Barn, there is no size given and no specification has been provided. Please provide size and a specification.</t>
  </si>
  <si>
    <t xml:space="preserve">PLEASE REFER TO SHEET A0.56 FOR  ALL INFORMATION REGARDING  COILING DOOR. </t>
  </si>
  <si>
    <t>Leather stair treads</t>
  </si>
  <si>
    <t>A7.02</t>
  </si>
  <si>
    <t>Please provide a specification for the leather wrap at the stair treads at the Dining Stair.</t>
  </si>
  <si>
    <t>BOH Lockers</t>
  </si>
  <si>
    <t>I504</t>
  </si>
  <si>
    <t>ID drawing I504 shows the lockers in the staff lounge. Section 3/I9.01 appears to show these lockers as wood lockers. We have been provided with a Metal Lockers specification and a Wood Lockers specification. Please confirm which locker is to be included for the Staff Lounge lockers.</t>
  </si>
  <si>
    <t xml:space="preserve">LOCKER SYSTEM IS A LAMINATE LOCKER FROM BRADFORD W/ MANUAL LOCK. </t>
  </si>
  <si>
    <t>Euro Wall slider</t>
  </si>
  <si>
    <t>Euro Wall door has a max height slider tested at 144” for HVHZ. Openings F-102.1, F-103.3, F-103.4, F-104.2 exceed 144". Please advise.</t>
  </si>
  <si>
    <t>Euro Wall fixed window</t>
  </si>
  <si>
    <t>Euro Wall fixed window systems are tested up to 144" per product approvals. May windows exceed 144". Please advise.</t>
  </si>
  <si>
    <t>Door Frames - Club Core &amp; Dock Bar</t>
  </si>
  <si>
    <t>Regarding the door frame types, there is a conflict between the Architectural door schedules and details on the ID drawings. The Arch door schedule call for HM frames whereas the ID drawing details call for wood frames for the same openings. Please advise.</t>
  </si>
  <si>
    <t>PLEASE SEE REVISED DOOR SCHEDULE ARCHITECTURAL TO MATCH IDDOOR INFORMATIONON SHEET A0.50 &amp; A0.51</t>
  </si>
  <si>
    <t>Roofing Details</t>
  </si>
  <si>
    <t>A2.54</t>
  </si>
  <si>
    <t>The roofing details on sheer A2.54 show a 1/8" Sopraboard over the 2 layers of insulation. All of the roofing details (except 2 and 3/A2.52) on sheets A2.50 thru A2.53 do not show the protection board. Please advise.</t>
  </si>
  <si>
    <t xml:space="preserve">1/8" COVER BOARD SHOULD BE PRESENT AT ALL ROOFING CONDITIONS WHERE SLOPING INSULATION EXISTS. </t>
  </si>
  <si>
    <t>Intumescent Coating</t>
  </si>
  <si>
    <t>2/A4.13</t>
  </si>
  <si>
    <t>What is the required rating for the intumescent coating?</t>
  </si>
  <si>
    <t xml:space="preserve">The fire rating is 2-hours. </t>
  </si>
  <si>
    <t>Artisan Tile Spa</t>
  </si>
  <si>
    <t>Artisan Tile T-132 is described as custom ceramic artisan tiles and no specifications are provided. Please provide a material allowance for T-132</t>
  </si>
  <si>
    <t xml:space="preserve">A: $100 PER SQ. FT. ALLOWANCE FOR ART TILE MATERIAL ONLY. </t>
  </si>
  <si>
    <t>Royal Thai carpet</t>
  </si>
  <si>
    <t>Please provide a material allowance for CP-101 Speakeasy carpet.</t>
  </si>
  <si>
    <t xml:space="preserve">ALLOWANCE $60 per sq. yd. </t>
  </si>
  <si>
    <t>A/V system</t>
  </si>
  <si>
    <t>AUDIO VISUAL RESPONSIBILITY MATRIX</t>
  </si>
  <si>
    <t>We want to make sure we are clear regarding the A/V scope of work. Specification Section 011000 / 1.9 Owner Furnished Products states that TV's/AV Equipment will be provided by Owner. The RFI response we received regarding the Low Voltage scopes of work state that we should refer to KCL LV drawings for schedule of OFCI vs. OFOI vs. CFCI items. KCL drawing TA0.00 / AUDIO VISUAL RESPONSIBILITY MATRIX states that all parts of the  Audio-Visual Systems are CFCI. Please confirm what A/V equipment will or will not be provided by the owner.</t>
  </si>
  <si>
    <t xml:space="preserve">Confirmed.  Contractor pricing for the audio visual systems is to comply with the RESPONSIBILITY MATRIX shown on KCL 
drawings TA0.00. </t>
  </si>
  <si>
    <t>Low Voltage</t>
  </si>
  <si>
    <t xml:space="preserve"> - AUDIO VISUAL RESPONSIBILITY MATRIX
 - SECURITY RESPONSIBILITY MATRIX
 - TELECOMMUNICATION RESPONSIBILITY MATRIX</t>
  </si>
  <si>
    <t>Specification Section 011000 / 1.9 Owner Furnished Products includes "Low Voltage". The RESPONSIBILITY MATRIX shown on KCL drawings TA0.00, TS0.00, TT0.00 all indicate all or some equipment is to be provided by the contractor (CFCI). Please confirm that our pricing for the low voltage systems is to comply with the RESPONSIBILITY MATRIX shown on KCL drawings TA0.00, TS0.00, TT0.00.</t>
  </si>
  <si>
    <t>Confirmed.  Contractor pricing for the low voltage systems is to comply with the RESPONSIBILITY MATRIX shown on KCL 
drawings TA0.00, TS0.00, TT0.00.</t>
  </si>
  <si>
    <t>Owner - Furnished Products</t>
  </si>
  <si>
    <t>Specification Section 011000 / 1.9 Owner Furnished Products</t>
  </si>
  <si>
    <t>Specification Section 011000 / 1.9 Owner Furnished Products includes "All furniture and accessories" and "Artwork". Per this Section the contractor is to include receiving, unloading, handling, storing, protecting, and installing these items. Please confirm that the GC is to include receiving, unloading, handling, storing, protecting, and installing all furniture, accessories and artwork.</t>
  </si>
  <si>
    <t xml:space="preserve">No.  The General Contractor will not be responsible for receiving, unloading, handling, storing, protecting, and installing furniture, accessories and artwork. </t>
  </si>
  <si>
    <t>Stair Treads</t>
  </si>
  <si>
    <t>Club Core: There is a discrepancy between elevation 4/ID-5.05 and the detail 3/ID-6.04 identified on the Finish Floor plan ID-3.12.  Please clarify if it is WD-102 Wood treads per the elevation or Stone treads per the floor detail.</t>
  </si>
  <si>
    <t xml:space="preserve">STAIR TREADS TO BE STONE TO MATCH STONE FLOOR FINISH. </t>
  </si>
  <si>
    <t>WD-XXX finish</t>
  </si>
  <si>
    <t>12)	Refer to all WD-xxx finish in the Interior Design Project Manual, portion Architectural Finishes &amp; OFCI Index.   
All the wood finish has the following Special Instructions:
•	All materials to be resist UV color change
•	All material to be treated against rot, insect infestation, etc.
Are these special instructions required for all the wood of the project as indicated in the   Interior Design Project Manual?  What is the intention with those recommendations?  It is required a special attention in the plant that will imply additional cost, please comments, and clarify.</t>
  </si>
  <si>
    <t>Irrigation System</t>
  </si>
  <si>
    <t>Will the landscape irrigation system be provided and installed by the owner?</t>
  </si>
  <si>
    <t xml:space="preserve">Landscape irrigation will be the responsibility of the contractor. </t>
  </si>
  <si>
    <t>Golf Bag Storage W-002 Ceiling</t>
  </si>
  <si>
    <t>BOH ID drawings I 5.00 and schedule 5.47 shows no finish.
A6.12 shows wood ceiliong to be Sculptform timber click-on batten wood ceiling system. Spec does not exist. Please Clarify.</t>
  </si>
  <si>
    <t xml:space="preserve">GOLF BAG STORAGE CEILING IS TO BE UNFINISHED; REFERENCE UPDATED RCP </t>
  </si>
  <si>
    <t>BOH Hallway W-101 Ceiling</t>
  </si>
  <si>
    <t>A6.22 shows ACT T2. I 5.47 schedule shows no finish
RFI Response says that all BOH ceiling are exposed and not painted. Please clarify</t>
  </si>
  <si>
    <t>BOH HALLWAY IS A TRANSITION SPACE TO PUBLIC SPACE;  ACT-2 CEILING TILE IS REQUIRED.</t>
  </si>
  <si>
    <t>Ceiling Finish</t>
  </si>
  <si>
    <t>WELNESS BUILDING room D-115 (this is how they called it) Steam Equipment room</t>
  </si>
  <si>
    <t>A6.22 overall RCP plan for level shows drywall finish. A6.22.4 shows the “vestibule” area of the room to receive T1 finish. We have no spec for T1. I 5.24 has no finish. I 5.47 indicates “…”. Please clarify.</t>
  </si>
  <si>
    <t xml:space="preserve">ROOM NUMBER INCORECTLY TAGGED, SHOULD BE W-140; CLG TO BE UNFINISHED. </t>
  </si>
  <si>
    <t>Room - W-115 Barber</t>
  </si>
  <si>
    <t>A6.22 shows wood ceiling. A6.22.3 shows wood ceiling finish but is tagged C1 as painted plaster ceiling system.
ID-2.15 shows drywall finish. Please clarify</t>
  </si>
  <si>
    <t xml:space="preserve">W-115 BARBER SHOP TO BE GYP. BD. Ceiling with PT-106. </t>
  </si>
  <si>
    <t>Floor Finish</t>
  </si>
  <si>
    <t>Room - W-121</t>
  </si>
  <si>
    <t>I 5.20 shows a floor finish(wood) for W-121. W-S.01 stairs and W-121 have no finishes on drawings and is not listed on finish schedule I 5.47. Please clarify</t>
  </si>
  <si>
    <t xml:space="preserve">Room W-121 BOH HALLWAY/ SEALED CONCRETE; SC-1 </t>
  </si>
  <si>
    <t>Room - W-126 Lockers</t>
  </si>
  <si>
    <t>A6.22 shows drywall. 1/A4.10 shows WD-08 at recessed area. ID-2.15 shows drywall. Please clarify.</t>
  </si>
  <si>
    <t xml:space="preserve">Room W-126 LOCKERS Receive GYP Bd. w/PT-106. </t>
  </si>
  <si>
    <t xml:space="preserve">Rooms W-136 &amp; W-137 </t>
  </si>
  <si>
    <t>A6.22 shows all drywall. A6.22.1 shows wood but is tagged C1 for painted plaster ceiling system. ID-2.15 shows  drywall. Please clarify</t>
  </si>
  <si>
    <t xml:space="preserve">Room W-137 receives GYP. Bd. w/PT-101. </t>
  </si>
  <si>
    <t xml:space="preserve">Room W-213 BOH Mech Equipment </t>
  </si>
  <si>
    <t>I 5.35 shows some kind of finishing on the floor. What is the finish? Please clarify
I 5.47 schedule shows “…” for ceiling. A6.31 shows drywall.
Please clarify</t>
  </si>
  <si>
    <t xml:space="preserve">Room W-213 BOH SC-1 IS SEALED CONCRETE. </t>
  </si>
  <si>
    <t xml:space="preserve">Room W-222 BOH and W-S.01 stairs </t>
  </si>
  <si>
    <t>I 5.35 shows some kind of finish on the floor. What is the finish? Please clarify.
I 5.47 schedule calls for ACT2 in W-222 and does not list W-S.01. A6.31 shows drywall. Please clarify.</t>
  </si>
  <si>
    <t>I5.35 Floor Finish is SC-1/Sealed Concrete; W-222 Ceiling Finish is ACT-2</t>
  </si>
  <si>
    <t>Rooms W-225,226,227,228</t>
  </si>
  <si>
    <t>I 5.35 shows wood flooring. I 5.47 schedule calls for UR1 for floor. Please clarify.
ACT2 is shown for ceiling. A6.31 shows drywall. Please clarify.</t>
  </si>
  <si>
    <t>REFERENCE REVISED DRAWINGS; THESE ROOMS ARE TO BE UR-1- URETHANE FLOORING</t>
  </si>
  <si>
    <t>SP-110 &amp; SP-110A</t>
  </si>
  <si>
    <t>A6.01 shows wood ceiling. ID-2.12 shows drywall. Please clarify.</t>
  </si>
  <si>
    <t xml:space="preserve">Rooms SP-110 &amp; SP-110A receive GYP. BD. Ceiling w/PT-101 finish. </t>
  </si>
  <si>
    <t>Treatment Pavilion Massage SP-104, SP-114A, SP-106, &amp; SP-106A</t>
  </si>
  <si>
    <t>Treatment Pavilion Massage SP-104, SP-114A, SP-106, &amp; SP-106A receive GYP. BD. Ceiling w/PT-101 finish.</t>
  </si>
  <si>
    <t>Room D-007 Liquor Storage</t>
  </si>
  <si>
    <t>A6.10 shows ACT. A6.10.2 tagged as T2. ID-2.11 calls for PT-101, drywall. I 5.16 says EPT-2. Please clarify.</t>
  </si>
  <si>
    <t>Room D-007 Liquor Storage receives GYP. BD. Ceiling w/PT-101 finish.</t>
  </si>
  <si>
    <t xml:space="preserve">Door Frames </t>
  </si>
  <si>
    <t>Door Schedule A0.50</t>
  </si>
  <si>
    <t>Door Schedule A0.50, calls for wood door frames at openings W-103.1, W-105A.1, W-105B.1, W-105D.1, W-130A.1, W-130B.1, W-135.3, W-137.3 at shower. Detail 9/ID-7.03 shows stone jamb, please clarify.</t>
  </si>
  <si>
    <t xml:space="preserve">PLEASE SEE REVISED DOOR SCHEDULES.  ARCHITECTURAL TO MATCH ID SPECIFICATION AND UPDATE DETAILS and  
HARDWARE MATERIAL. </t>
  </si>
  <si>
    <t>Garbage Equipment</t>
  </si>
  <si>
    <t>Conditioned Garbage D-011</t>
  </si>
  <si>
    <t>Drawing I 5.15 apperas t0 show some type of equipment in D-011. What is this and is the GC repsonible for providoing and installing?</t>
  </si>
  <si>
    <t xml:space="preserve">The trash management equipment will be OFOI. </t>
  </si>
  <si>
    <t>Shelving</t>
  </si>
  <si>
    <t>Storage D-002</t>
  </si>
  <si>
    <t>Drawing I 5.16 apperas to show shelving in D-002. What is this and is the GC repsonible for providoing and installing?</t>
  </si>
  <si>
    <t xml:space="preserve">These shelves will be Owner provided and Owner installed. </t>
  </si>
  <si>
    <t>Laundry Equipment</t>
  </si>
  <si>
    <t>Will the laundry equipment be provided and insatlled by the owner?</t>
  </si>
  <si>
    <t xml:space="preserve">The Laundry equipment will be provided by the Owner and installed by the General Contractor. </t>
  </si>
  <si>
    <t>Treatment Pavilion Massage SP-108 &amp; SP-108A</t>
  </si>
  <si>
    <t>A6.01 shows wood ceiling. ID-2.11 shows drywall. Please clarify.</t>
  </si>
  <si>
    <t xml:space="preserve">Treatment Pavilion Massage SP-108 &amp; SP-108A receive GYP. BD. Ceiling w/PT-101 finish. </t>
  </si>
  <si>
    <t>Single Body Treatment Pavilion SP-110 &amp; SP-110A</t>
  </si>
  <si>
    <t xml:space="preserve">Single Body Treatment Pavilion SP-110 &amp; SP-110A receive GYP. BD. Ceiling w/PT-101 finish. </t>
  </si>
  <si>
    <t>Double Treatment ADA Pavilion SP-101 &amp; SP-102</t>
  </si>
  <si>
    <t xml:space="preserve">Double Treatment ADA Pavilion SP-101 &amp; SP-102 receive GYP. BD. Ceiling w/PT-101 finish. </t>
  </si>
  <si>
    <t>PLAM</t>
  </si>
  <si>
    <t>Comfort Station SP-111 BOH</t>
  </si>
  <si>
    <t>I 5.03 schedule does not give specs for PLAM-1 &amp; PLAM-2 indicated on all details of BOH set of drawings. Please clarify.</t>
  </si>
  <si>
    <t>Please price standard Wilsonart Laminate</t>
  </si>
  <si>
    <t>Door</t>
  </si>
  <si>
    <t>Comfort Station SP-112</t>
  </si>
  <si>
    <t>Door schedule on A0.35 says by Interior Design for door SP-112.1. There is no door schedule in the ID and BOH ID drawings. Please clarify.</t>
  </si>
  <si>
    <t xml:space="preserve">PLEASE SEE REVISED DOOR SCHEDULES. ARCHITECTURAL TO MATCH ID SPECIFICATION AND UPDATE DETAILS/ HARDWARE AND MATERIAL. </t>
  </si>
  <si>
    <t>Comfort Station SP-111</t>
  </si>
  <si>
    <t>Door schedule on A0.35 doesn’t provide finish/type for door SP-104.4. There is no door schedule in the ID and BOH ID drawings. Please clarify.</t>
  </si>
  <si>
    <t>Vanity mirror</t>
  </si>
  <si>
    <t>Is the Vanity mirror an FFE item. Drawings do not indicate who will supply and install. Please clarify.</t>
  </si>
  <si>
    <t xml:space="preserve">This mirror is to be Contractor furnished and Contractor installed. </t>
  </si>
  <si>
    <t>HVAC duct insulation</t>
  </si>
  <si>
    <t>Specification 230710, M Sheet M002.00</t>
  </si>
  <si>
    <t>Regarding the requiremet for insulation for ductwork exposed in mechanical rooms and for ductwork exposed to weather, between Spec 230710 and M Sheet M002.00 there are 4 diferent applications called for. Please advise whch one is to be used.</t>
  </si>
  <si>
    <t xml:space="preserve">All exposed insulated ductwork exterior to building shall be insulated with 2" thick rigid Ductboard and finished with Venture Tape Venture Clad 1577CW jacketing system (R-8.0 minimum). All exposed insulated ductwork interior to the building shall be insulated with 1.5" thick rigid Ductboard with either FSK facing or Venture Tape Venture Clad 1577CW jacketing system (R-6.0 minimum). </t>
  </si>
  <si>
    <t>Elevator cab finish</t>
  </si>
  <si>
    <t>ID-6.90</t>
  </si>
  <si>
    <t>ID-6.90 shows bronze mirror panels for part of the elevator ceiling. Please confirm if we should include WC-105 wallcovering as the finish for the remainder of the ceiling.</t>
  </si>
  <si>
    <t xml:space="preserve">Provide bronze mirror panels for the full elevator cab ceiling. </t>
  </si>
  <si>
    <t>Wallcovering selection</t>
  </si>
  <si>
    <t>ID-5.44</t>
  </si>
  <si>
    <t>Please provide an allowance for WC-108 and WC-112 (shown as Open Item in the Project Manual)</t>
  </si>
  <si>
    <t xml:space="preserve">The designation “open item” means not in use – no need to keep allowance for open items. </t>
  </si>
  <si>
    <t>Glass specification</t>
  </si>
  <si>
    <t>Specification 088000</t>
  </si>
  <si>
    <t>Please confirm the glass specification for both the fixed storefront and sliding doors. Insulated, laminated or both? Performance requirements? Specification 088000 lists numerious types.</t>
  </si>
  <si>
    <t xml:space="preserve">A: Glas specification to be Glazing 1 (9/16" O.A. IMPACT GLASS CONSISTING OF: 
• 1/4" HEAT STRENGTHENED 
• 0.090" SENTRYGLAS INTERLAYER BY KURARAY 
• 1/4" HEAT STRENGTHENED </t>
  </si>
  <si>
    <t>Roof drains</t>
  </si>
  <si>
    <t>P106.12</t>
  </si>
  <si>
    <t>Plumbing sheet P106.12 shows a "PD-1". We assume this is a roof drain below the pedestal pavers. No specification is provided for the PD-1. Please provide a specification.</t>
  </si>
  <si>
    <t>Overflow roof drains</t>
  </si>
  <si>
    <t>Plumbing Roof Plans</t>
  </si>
  <si>
    <t>No roof overflow drains are shown on any of the plumbing roof plans. Are overflow drawings required? If so, please issue roof plans showing the overflow drain locations.</t>
  </si>
  <si>
    <t>Plumbing</t>
  </si>
  <si>
    <t>The plumbing plans are not complete. Fixture callouts are missing. Fixtures are shown on architectural plans but not on plumbing plans. Storm drain piping is missing. Gas piping is not shown for all kitchen connections. Water pipe sizes are missing. Will completed plumbing plans be issue prior to bid due date? Subs are declining to bid because of missing information.</t>
  </si>
  <si>
    <t>Fireproofing</t>
  </si>
  <si>
    <t>The response to our RFI regarding the specification for the intumescent fireproofing of the Cart Barn deck and beans said "exposed steel columns". Detail A4.13 only shows the deck and beams to be fireproofed. Please confirm what steel members and decking are to be fireproofed in the Cart Barn and Bag Storage.</t>
  </si>
  <si>
    <t>Dining wood soffits</t>
  </si>
  <si>
    <t>7/A2.53 &amp; 2/A4.03</t>
  </si>
  <si>
    <t>Regarding Dining Level 02 exterior soffits, detail 7/A2.53 calls for WD-08, detail 2/A4.03 calls for vertical wood siding system. Please confirm wood specification for these soffit areas.</t>
  </si>
  <si>
    <t>Spa Pods Meditation Pavillion</t>
  </si>
  <si>
    <t>A6.01</t>
  </si>
  <si>
    <t>It appears that there is no wood ceiling in the Meditation Pavilion. The 5/8 sheathing appears to be left exposed. Please confirm.</t>
  </si>
  <si>
    <t>WD-08 Soffit</t>
  </si>
  <si>
    <t>Regarding the WD-08 soffit material, the Materia Schedule on architectural sheet A0.60 calls for Accoya Cypress T&amp;G. Accoya does not produce a Cypress T&amp;G. Please advise.</t>
  </si>
  <si>
    <t xml:space="preserve">W-108 Thermal Area </t>
  </si>
  <si>
    <t>7/ID-6.62.0 Shows bottom portion of backsplash to be stone and top two portions to be solid wood. Details1,2,3/ID-6.69.6 sections show all backsplash to be stone. Please clarify</t>
  </si>
  <si>
    <t>DB.100 Dock Bar &amp; Patio</t>
  </si>
  <si>
    <t>Detail 4 on ID-5.02 shows a trim and cap on the “outside” wall of the men’s restroom entry. Detail 7 on ID-5.03 shows trim cap and shiplap for the Women’s side. It should say “Exterior Wall Finish By AOR”. Please clarify.</t>
  </si>
  <si>
    <t>Please provide details of millwork shown at Wall Hung TV locations ID-1.01 &amp; ID-3.01.</t>
  </si>
  <si>
    <t>Door &amp; Casing</t>
  </si>
  <si>
    <t>Comfort Station Pavilion SP-112.1</t>
  </si>
  <si>
    <t>What is the finish material of door SP-112.1. A0.35 indicates by interior designer. No information on ID drawings.</t>
  </si>
  <si>
    <t>Does Interior elevation detail 9 on ID-5.03 complement detail 6 on ID-6.01?</t>
  </si>
  <si>
    <t>Shiplap</t>
  </si>
  <si>
    <t>F-103 Gym</t>
  </si>
  <si>
    <t>ID-5.21 details are contradicting. Details1 &amp; 2 indicate WC-109 while, detail 4 indicates WD-109. Please clarify.</t>
  </si>
  <si>
    <t>Vanity Wood Spec</t>
  </si>
  <si>
    <t>W-225 BOH Staff Restroom</t>
  </si>
  <si>
    <t>On details7,8/I 5.44, vanity finish is indicated as PLAM-4. Specifications on I 5.45 do not give PLAM-4 spec. Please clarify.</t>
  </si>
  <si>
    <t>Hallway W-201</t>
  </si>
  <si>
    <t>Ceiling is shown as wood on ID-2.16 at the exterior entrances of neuro, treatment, hammam, and IR Sauna rooms. Type of wood is not indicated. Please clarify</t>
  </si>
  <si>
    <t>List of Drawings</t>
  </si>
  <si>
    <t>SHEET  NO.</t>
  </si>
  <si>
    <t>DESCRIPTION</t>
  </si>
  <si>
    <t xml:space="preserve">DATE </t>
  </si>
  <si>
    <t>DATE REC'D</t>
  </si>
  <si>
    <t>Add #1</t>
  </si>
  <si>
    <t>CLUB CORE</t>
  </si>
  <si>
    <t>PEACOCK + LEWIS</t>
  </si>
  <si>
    <t>CVR</t>
  </si>
  <si>
    <t>COVER SHEET</t>
  </si>
  <si>
    <t>A0.00</t>
  </si>
  <si>
    <t>SHEET INDEX</t>
  </si>
  <si>
    <t>A0.01</t>
  </si>
  <si>
    <t>S0.02</t>
  </si>
  <si>
    <t>GENERAL NOTES AND PROJECT INFORMATION</t>
  </si>
  <si>
    <t>A0.08</t>
  </si>
  <si>
    <t>AREA PLANS</t>
  </si>
  <si>
    <t>A0.09</t>
  </si>
  <si>
    <t>ROOM SCHEDULE</t>
  </si>
  <si>
    <t>A0.10</t>
  </si>
  <si>
    <t>LIEF SAFETY &amp; CODE STUDY</t>
  </si>
  <si>
    <t>A0.10A</t>
  </si>
  <si>
    <t>PLUMBING CALCULATIONS</t>
  </si>
  <si>
    <t>A0.11</t>
  </si>
  <si>
    <t>ADA STANDARDS</t>
  </si>
  <si>
    <t>A0.12</t>
  </si>
  <si>
    <t>A0.13</t>
  </si>
  <si>
    <t>LEVEL 00 - LIFE SAFETY OVERALL</t>
  </si>
  <si>
    <t>A0.14</t>
  </si>
  <si>
    <t>LEVEL 01 - LIFE SAFETY OVERALL</t>
  </si>
  <si>
    <t>A-0.15</t>
  </si>
  <si>
    <t>LEVEL 02 - LIFE SAFETY OVERALL</t>
  </si>
  <si>
    <t>A0.16</t>
  </si>
  <si>
    <t>LEVEL 00 - LIFE SAFETY DINING</t>
  </si>
  <si>
    <t>A0.17</t>
  </si>
  <si>
    <t>LEVEL 00 - LIFE SAFETY FITNESS</t>
  </si>
  <si>
    <t>A0.18</t>
  </si>
  <si>
    <t>LEVEL 00 - LIFE SAFETY WELLNESS</t>
  </si>
  <si>
    <t>A0.19</t>
  </si>
  <si>
    <t>LEVEL 01 - LIFE SAFETY DINING</t>
  </si>
  <si>
    <t>A0.20</t>
  </si>
  <si>
    <t>LEVEL 01 - LIFE SAFETY FITNESS</t>
  </si>
  <si>
    <t>A0.21</t>
  </si>
  <si>
    <t>LEVEL 01 - LIFE SAFETY WELLNESS</t>
  </si>
  <si>
    <t>A0.22</t>
  </si>
  <si>
    <t>LEVEL 02 - LIFE SAFETY DINING</t>
  </si>
  <si>
    <t>A0.23</t>
  </si>
  <si>
    <t>LEVEL 02 - LIFE SAFETY WELLNESS</t>
  </si>
  <si>
    <t>A0.24</t>
  </si>
  <si>
    <t>LIFE SAFETY POOL DECK</t>
  </si>
  <si>
    <t>A0.30</t>
  </si>
  <si>
    <t>ASSEMBLIES - ROOFS, CEILINGS, FLOORS</t>
  </si>
  <si>
    <t>A0.31</t>
  </si>
  <si>
    <t>ASSEMBLIES - INTERIOR PARTITIONS</t>
  </si>
  <si>
    <t>A0.32</t>
  </si>
  <si>
    <t>ASSEMBLIES - EXTERIOR PARTITIONS</t>
  </si>
  <si>
    <t>A0.34</t>
  </si>
  <si>
    <t>PARTITION FRAMING DETAILS</t>
  </si>
  <si>
    <t>A0.36</t>
  </si>
  <si>
    <t>EXTERIOR DOOR AND WINDOW ELEVATIONS - DINING</t>
  </si>
  <si>
    <t>A0.37</t>
  </si>
  <si>
    <t>A0.38</t>
  </si>
  <si>
    <t>EXTERIOR DOOR AND WINDOW ELEVATIONS - FITNESS</t>
  </si>
  <si>
    <t>A0.39</t>
  </si>
  <si>
    <t>EXTERIOR DOOR AND WINDOW ELEVATIONS - WELLNESS</t>
  </si>
  <si>
    <t>A0.40</t>
  </si>
  <si>
    <t>A0.50</t>
  </si>
  <si>
    <t>DOOR SCHEDULES</t>
  </si>
  <si>
    <t>A0.51</t>
  </si>
  <si>
    <t>A0.52</t>
  </si>
  <si>
    <t>DOOR ELEVATIONS</t>
  </si>
  <si>
    <t>A0.53</t>
  </si>
  <si>
    <t>EXTERIOR DOOR DETAILS</t>
  </si>
  <si>
    <t>A0.54</t>
  </si>
  <si>
    <t>INTERIOR DOOR DETAILS</t>
  </si>
  <si>
    <t>A0.54 A</t>
  </si>
  <si>
    <t>A0.54 B</t>
  </si>
  <si>
    <t>A0.55</t>
  </si>
  <si>
    <t>SLIDING GLASS DOOR DETAILS</t>
  </si>
  <si>
    <t>A0.55.2</t>
  </si>
  <si>
    <t>S0.55.3</t>
  </si>
  <si>
    <t>A0.56</t>
  </si>
  <si>
    <t>OVERHEAD COILING DOOR DETAILS</t>
  </si>
  <si>
    <t>A0.57</t>
  </si>
  <si>
    <t>WINDOW + LOUVER DETAILS</t>
  </si>
  <si>
    <t>A0.58</t>
  </si>
  <si>
    <t>STOREFRONT DOOR DETAILS</t>
  </si>
  <si>
    <t>MATERIAL SCHEDULE</t>
  </si>
  <si>
    <t>A1.00</t>
  </si>
  <si>
    <t>SITE PLAN - OVERALL</t>
  </si>
  <si>
    <t>A2.00</t>
  </si>
  <si>
    <t>LEVEL 00 - OVERALL FLOOR PLAN</t>
  </si>
  <si>
    <t>A2.01</t>
  </si>
  <si>
    <t>LEVEL 01 - OVERALL FLOOR PLAN</t>
  </si>
  <si>
    <t>A2.02</t>
  </si>
  <si>
    <t>LEVEL 02 - OVERALL FLOOR PLAN</t>
  </si>
  <si>
    <t>A2.03</t>
  </si>
  <si>
    <t>OVERALL ROOF PLAN</t>
  </si>
  <si>
    <t>A2.04</t>
  </si>
  <si>
    <t>LEVEL 01 - OVERALL CANOPY FLOOR PLAN</t>
  </si>
  <si>
    <t>A2.10</t>
  </si>
  <si>
    <t>LEVEL 00 - DINING OVERALL DIMENSION PLAN</t>
  </si>
  <si>
    <t>A2.10.1</t>
  </si>
  <si>
    <t>LEVEL 00 - DINING SPECIAL CONDITION FLOOR PLAN</t>
  </si>
  <si>
    <t>LEVEL 00 - DINING ENLARGED FLOOR PLAN 01</t>
  </si>
  <si>
    <t>A2.10.3</t>
  </si>
  <si>
    <t>LEVEL 00 - DINING ENLARGED FLOOR PLAN 02</t>
  </si>
  <si>
    <t>A2.11</t>
  </si>
  <si>
    <t>LEVEL 00 - FITNESS OVERALL DIMENSION PLAN</t>
  </si>
  <si>
    <t>A2.11.1</t>
  </si>
  <si>
    <t>LEVEL 00 - FITNESS SPECIAL CONDITION FLOOR PLAN</t>
  </si>
  <si>
    <t>A2.11.2</t>
  </si>
  <si>
    <t>LEVEL 00 - FITNESS ENLARGED FLOOR PLAN 01</t>
  </si>
  <si>
    <t>A2.11.3</t>
  </si>
  <si>
    <t>LEVEL 00 - FITNESS ENLARGED FLOOR PLAN 02</t>
  </si>
  <si>
    <t>LEVEL 00 - WELLNESS OVERALL DIMENSION PLAN</t>
  </si>
  <si>
    <t>A2.12.1</t>
  </si>
  <si>
    <t>LEVEL 00 - WELLNESS SPECIAL CONDITION FLOOR PLAN</t>
  </si>
  <si>
    <t>A2.12.2</t>
  </si>
  <si>
    <t>LEVEL 00 - WELLNESS ENLARGED FLOOR PLAN 01</t>
  </si>
  <si>
    <t>A2.12.3</t>
  </si>
  <si>
    <t>LEVEL 00 - WELLNESS ENLARGED FLOOR PLAN 02</t>
  </si>
  <si>
    <t>A2.12.4</t>
  </si>
  <si>
    <t>LEVEL 00 - WELLNESS ENLARGED FLOOR PLAN 03</t>
  </si>
  <si>
    <t>A2.12.5</t>
  </si>
  <si>
    <t>LEVEL 00 - WELLNESS ENLARGED FLOOR PLAN 04</t>
  </si>
  <si>
    <t>A2.20</t>
  </si>
  <si>
    <t>LEVEL 01 - DINING OVERALL DIMENSION PLAN</t>
  </si>
  <si>
    <t>A2.20.1</t>
  </si>
  <si>
    <t>LEVEL 01 - DINING SPECIAL CONDITION FLOOR PLAN</t>
  </si>
  <si>
    <t>A2.20.2</t>
  </si>
  <si>
    <t>LEVEL 01 - DINING ENLARGED FLOOR PLAN 01</t>
  </si>
  <si>
    <t>A2.20.3</t>
  </si>
  <si>
    <t>LEVEL 01 - DINING ENLARGED FLOOR PLAN 02</t>
  </si>
  <si>
    <t>A2.20.4</t>
  </si>
  <si>
    <t>LEVEL 01 - DINING ENLARGED FLOOR PLAN 03</t>
  </si>
  <si>
    <t>A2.20.5</t>
  </si>
  <si>
    <t>LEVEL 01 - DINING ENLARGED FLOOR PLAN 04</t>
  </si>
  <si>
    <t>A2.20.6</t>
  </si>
  <si>
    <t>LEVEL 01 - DINING ENLARGED FLOOR PLAN 05</t>
  </si>
  <si>
    <t>A2.20.7</t>
  </si>
  <si>
    <t>LEVEL 01 - DINING ENLARGED FLOOR PLAN 06</t>
  </si>
  <si>
    <t>A2.21</t>
  </si>
  <si>
    <t>LEVEL 01 - FITNESS OVERALL DIMENSION PLAN</t>
  </si>
  <si>
    <t>A2.21.1</t>
  </si>
  <si>
    <t>LEVEL 01 - FITNESS SPECIAL CONDITION FLOOR PLAN</t>
  </si>
  <si>
    <t>A2.21.2</t>
  </si>
  <si>
    <t>LEVEL 01 - FITNESS ENLARGED FLOOR PLAN 01</t>
  </si>
  <si>
    <t>A2.21.3</t>
  </si>
  <si>
    <t>LEVEL 01 - FITNESS ENLARGED FLOOR PLAN 02</t>
  </si>
  <si>
    <t>A2.21.4</t>
  </si>
  <si>
    <t>LEVEL 01 - FITNESS ENLARGED FLOOR PLAN 03</t>
  </si>
  <si>
    <t>A2.21.5</t>
  </si>
  <si>
    <t>LEVEL 01 - FITNESS ENLARGED FLOOR PLAN 04</t>
  </si>
  <si>
    <t>A2.22</t>
  </si>
  <si>
    <t>LEVEL 01 - WELLNESS OVERALL DIMENSION PLAN</t>
  </si>
  <si>
    <t>A2.22.1</t>
  </si>
  <si>
    <t>LEVEL 01 - WELLNESS SPECIAL CONDITION FLOOR PLAN</t>
  </si>
  <si>
    <t>A2.22.2</t>
  </si>
  <si>
    <t>LEVEL 01 - WELLNESS ENLARGED FLOOR PLAN 01</t>
  </si>
  <si>
    <t>A2.22.3</t>
  </si>
  <si>
    <t>LEVEL 01 - WELLNESS ENLARGED FLOOR PLAN 02</t>
  </si>
  <si>
    <t>A2.22.4</t>
  </si>
  <si>
    <t>LEVEL 01 - WELLNESS ENLARGED FLOOR PLAN 03</t>
  </si>
  <si>
    <t>A2.22.5</t>
  </si>
  <si>
    <t>LEVEL 01 - WELLNESS ENLARGED FLOOR PLAN 04</t>
  </si>
  <si>
    <t>LEVEL 02 - DINING OVERALL DIMENSION PLAN</t>
  </si>
  <si>
    <t>A2.30.1</t>
  </si>
  <si>
    <t>LEVEL 02 - DINING SPECIAL CONDITION FLOOR PLAN</t>
  </si>
  <si>
    <t>A2.30.2</t>
  </si>
  <si>
    <t>LEVEL 02 - DINING ENLARGED FLOOR PLAN 01</t>
  </si>
  <si>
    <t>A2.30.3</t>
  </si>
  <si>
    <t>LEVEL 02 - DINING ENLARGED FLOOR PLAN 02</t>
  </si>
  <si>
    <t>A2.30.4</t>
  </si>
  <si>
    <t>LEVEL 02 - DINING ENLARGED FLOOR PLAN 03</t>
  </si>
  <si>
    <t>A2.30.5</t>
  </si>
  <si>
    <t>LEVEL 02 - DINING ENLARGED FLOOR PLAN 04</t>
  </si>
  <si>
    <t>A2.30.6</t>
  </si>
  <si>
    <t>LEVEL 02 - DINING ENLARGED FLOOR PLAN 05</t>
  </si>
  <si>
    <t>A2.30.7</t>
  </si>
  <si>
    <t>LEVEL 02 - DINING ENLARGED FLOOR PLAN 06</t>
  </si>
  <si>
    <t>A2.31</t>
  </si>
  <si>
    <t>LEVEL 02 - WELLNESS OVERALL DIMENSION PLAN</t>
  </si>
  <si>
    <t>A2.31.1</t>
  </si>
  <si>
    <t>LEVEL 02 - WELLNESS SPECIAL CONDITION FLOOR PLAN</t>
  </si>
  <si>
    <t>A2.31.2</t>
  </si>
  <si>
    <t>LEVEL 02 - WELLNESS ENLARGED FLOOR PLAN 01</t>
  </si>
  <si>
    <t>A2.31.3</t>
  </si>
  <si>
    <t>LEVEL 02 - WELLNESS ENLARGED FLOOR PLAN 02</t>
  </si>
  <si>
    <t>A2.31.4</t>
  </si>
  <si>
    <t>LEVEL 02 - WELLNESS ENLARGED FLOOR PLAN 03</t>
  </si>
  <si>
    <t>A2.31.5</t>
  </si>
  <si>
    <t>LEVEL 02 - WELLNESS ENLARGED FLOOR PLAN 04</t>
  </si>
  <si>
    <t>A2.32</t>
  </si>
  <si>
    <t>POOL DECK</t>
  </si>
  <si>
    <t>A2.40</t>
  </si>
  <si>
    <t>ROOF PLAN - DINING</t>
  </si>
  <si>
    <t>A2.41</t>
  </si>
  <si>
    <t>A2.42</t>
  </si>
  <si>
    <t>ROOF PLAN - FITNESS</t>
  </si>
  <si>
    <t>A2.43</t>
  </si>
  <si>
    <t>ROOF PLAN - WELLNESS</t>
  </si>
  <si>
    <t>A2.44</t>
  </si>
  <si>
    <t>A2.45</t>
  </si>
  <si>
    <t>ROOF PLAN - RIBBON CANOPY</t>
  </si>
  <si>
    <t>A2.50</t>
  </si>
  <si>
    <t>ROOF DETAILS</t>
  </si>
  <si>
    <t>A2.51</t>
  </si>
  <si>
    <t>A2.52</t>
  </si>
  <si>
    <t>S2.53</t>
  </si>
  <si>
    <t>A3.00</t>
  </si>
  <si>
    <t>EXTERIOR ELEVATIONS - DINING</t>
  </si>
  <si>
    <t>A3.01</t>
  </si>
  <si>
    <t>A3.02</t>
  </si>
  <si>
    <t>EXTERIOR ELEVATIONS - FITNESS</t>
  </si>
  <si>
    <t>A3.03</t>
  </si>
  <si>
    <t>A3.04</t>
  </si>
  <si>
    <t>EXTERIOR ELEVATIONS - WELLNESS</t>
  </si>
  <si>
    <t>A3.05</t>
  </si>
  <si>
    <t>A3.10</t>
  </si>
  <si>
    <t>BUILDING SECTIONS - DINING</t>
  </si>
  <si>
    <t>A3.11</t>
  </si>
  <si>
    <t>BUILDING SECTIONS - FITNESS</t>
  </si>
  <si>
    <t>A3.12</t>
  </si>
  <si>
    <t>A3.13</t>
  </si>
  <si>
    <t>BUILDING SECTIONS - WELLNESS</t>
  </si>
  <si>
    <t>A3.14</t>
  </si>
  <si>
    <t>A4.00</t>
  </si>
  <si>
    <t>WALL SECTONS, ELEVATIONS - DINING</t>
  </si>
  <si>
    <t>A4.01</t>
  </si>
  <si>
    <t>A4.02</t>
  </si>
  <si>
    <t>A4.03</t>
  </si>
  <si>
    <t>A4.06</t>
  </si>
  <si>
    <t>WALL SECTONS, ELEVATIONS - FITNESS</t>
  </si>
  <si>
    <t>A4.07</t>
  </si>
  <si>
    <t>A4.08</t>
  </si>
  <si>
    <t>WALL SECTONS, ELEVATIONS - WELLNESS</t>
  </si>
  <si>
    <t>A4.09</t>
  </si>
  <si>
    <t>A4.10</t>
  </si>
  <si>
    <t>A4.11</t>
  </si>
  <si>
    <t>A4.20</t>
  </si>
  <si>
    <t>WALL SECTONS, ELEVATONS - RIBBON CANOPY</t>
  </si>
  <si>
    <t>A4.21</t>
  </si>
  <si>
    <t>WALL SECTIONS, PLAN - PORTE COCHERE</t>
  </si>
  <si>
    <t>A4.30</t>
  </si>
  <si>
    <t>FIREPLACE SECTON AND PLAN</t>
  </si>
  <si>
    <t>A6.10</t>
  </si>
  <si>
    <t>LEVEL 00 - RCP - DINING</t>
  </si>
  <si>
    <t>A6.10.1</t>
  </si>
  <si>
    <t>LEVEL 00 - RCP - DINING ENLARGED PLAN 01</t>
  </si>
  <si>
    <t>LEVEL 00 - RCP - DINING ENLARGED PLAN 02</t>
  </si>
  <si>
    <t>A6.11</t>
  </si>
  <si>
    <t>LEVEL 00 - RCP - FITNESS</t>
  </si>
  <si>
    <t>A6.11.1</t>
  </si>
  <si>
    <t>LEVEL 00 - RCP - FITNESS ENLARGED PLAN 01</t>
  </si>
  <si>
    <t>A6.11.2</t>
  </si>
  <si>
    <t>LEVEL 00 - RCP - FITNESS ENLARGED PLAN 02</t>
  </si>
  <si>
    <t>NO PAGE NUMBER</t>
  </si>
  <si>
    <t>NO DESCRIPTION</t>
  </si>
  <si>
    <t>A6.12.1</t>
  </si>
  <si>
    <t>LEVEL 00 - RCP - WELLNESS ENLARGED PLAN 01</t>
  </si>
  <si>
    <t>A6.12.2</t>
  </si>
  <si>
    <t>LEVEL 00 - RCP - WELLNESS ENLARGED PLAN 02</t>
  </si>
  <si>
    <t>A6.12.3</t>
  </si>
  <si>
    <t>LEVEL 00 - RCP - WELLNESS ENLARGED PLAN 03</t>
  </si>
  <si>
    <t>A6.12.4</t>
  </si>
  <si>
    <t>LEVEL 00 - RCP - WELLNESS ENLARGED PLAN 04</t>
  </si>
  <si>
    <t>A6.20</t>
  </si>
  <si>
    <t>LEVEL 01 - RCP - DINING</t>
  </si>
  <si>
    <t>A6.20.1</t>
  </si>
  <si>
    <t>LEVEL 01 - RCP - DINING ENLARGED PLAN 01</t>
  </si>
  <si>
    <t>A6.20.2</t>
  </si>
  <si>
    <t>LEVEL 01 - RCP - DINING ENLARGED PLAN 02</t>
  </si>
  <si>
    <t>A6.20.3</t>
  </si>
  <si>
    <t>LEVEL 01 - RCP - DINING ENLARGED PLAN 03</t>
  </si>
  <si>
    <t>A6.20.4</t>
  </si>
  <si>
    <t>LEVEL 01 - RCP - DINING ENLARGED PLAN 04</t>
  </si>
  <si>
    <t>A6.20.5</t>
  </si>
  <si>
    <t>LEVEL 01 - RCP - DINING ENLARGED PLAN 05</t>
  </si>
  <si>
    <t>A6.20.6</t>
  </si>
  <si>
    <t>LEVEL 01 - RCP - DINING ENLARGED PLAN 06</t>
  </si>
  <si>
    <t>A6.21</t>
  </si>
  <si>
    <t>LEVEL 01 - RCP - FITNESS</t>
  </si>
  <si>
    <t>A6.21.1</t>
  </si>
  <si>
    <t>LEVEL 01 - RCP - FITNESS ENLARGED PLAN 01</t>
  </si>
  <si>
    <t>A6.21.2</t>
  </si>
  <si>
    <t>LEVEL 01 - RCP - FITNESS ENLARGED PLAN 02</t>
  </si>
  <si>
    <t>A6.21.3</t>
  </si>
  <si>
    <t>LEVEL 01 - RCP - FITNESS ENLARGED PLAN 03</t>
  </si>
  <si>
    <t>A6.21.4</t>
  </si>
  <si>
    <t>LEVEL 01 - RCP - FITNESS ENLARGED PLAN 04</t>
  </si>
  <si>
    <t>A6.22</t>
  </si>
  <si>
    <t>LEVEL 01 - RCP - WELLNESS</t>
  </si>
  <si>
    <t>A6.22.1</t>
  </si>
  <si>
    <t>LEVEL 01 - RCP - WELLNESS ENLARGED PLAN 01</t>
  </si>
  <si>
    <t>A6.22.2</t>
  </si>
  <si>
    <t>LEVEL 01 - RCP - WELLNESS ENLARGED PLAN 02</t>
  </si>
  <si>
    <t>A6.22.3</t>
  </si>
  <si>
    <t>LEVEL 01 - RCP - WELLNESS ENLARGED PLAN 03</t>
  </si>
  <si>
    <t>A6.22.4</t>
  </si>
  <si>
    <t>LEVEL 01 - RCP - WELLNESS ENLARGED PLAN 04</t>
  </si>
  <si>
    <t>A6.23</t>
  </si>
  <si>
    <t>LEVEL 01 - RCP - RIBBON CANOPY</t>
  </si>
  <si>
    <t>A6.23.1</t>
  </si>
  <si>
    <t>LEVEL -1 - RCP - RIBBON CANOPY ENLARGED PLAN 01</t>
  </si>
  <si>
    <t>A6.23.2</t>
  </si>
  <si>
    <t>LEVEL -1 - RCP - RIBBON CANOPY ENLARGED PLAN 02</t>
  </si>
  <si>
    <t>LEVEL -1 - RCP - RIBBON CANOPY ENLARGED PLAN 03</t>
  </si>
  <si>
    <t>A6.23.4</t>
  </si>
  <si>
    <t>LEVEL -1 - RCP - RIBBON CANOPY ENLARGED PLAN 04</t>
  </si>
  <si>
    <t>LEVEL 02 - RCP - DINING</t>
  </si>
  <si>
    <t>A6.30.1</t>
  </si>
  <si>
    <t>LEVEL 02 - RCP - DINING ENLARGED PLAN 01</t>
  </si>
  <si>
    <t>A6.30.2</t>
  </si>
  <si>
    <t>LEVEL 02 - RCP - DINING ENLARGED PLAN 02</t>
  </si>
  <si>
    <t>A6.30.3</t>
  </si>
  <si>
    <t>LEVEL 02 - RCP - DINING ENLARGED PLAN 03</t>
  </si>
  <si>
    <t>A6.30.4</t>
  </si>
  <si>
    <t>LEVEL 02 - RCP - DINING ENLARGED PLAN 04</t>
  </si>
  <si>
    <t>A6.31</t>
  </si>
  <si>
    <t>LEVEL 02 - RCP - WELLNESS</t>
  </si>
  <si>
    <t>A6.31.1</t>
  </si>
  <si>
    <t>LEVEL 02 - RCP - WELLNESS ENLARGED PLAN 01</t>
  </si>
  <si>
    <t>A6.31.2</t>
  </si>
  <si>
    <t>LEVEL 02 - RCP - WELLNESS ENLARGED PLAN 02</t>
  </si>
  <si>
    <t>A6.31.3</t>
  </si>
  <si>
    <t>LEVEL 02 - RCP - WELLNESS ENLARGED PLAN 03</t>
  </si>
  <si>
    <t>A6.31.4</t>
  </si>
  <si>
    <t>LEVEL 02 - RCP - WELLNESS ENLARGED PLAN 04</t>
  </si>
  <si>
    <t>A6.32</t>
  </si>
  <si>
    <t>LEVEL 01 - RCP - PORTE COCHERE ENLARGED PLAN</t>
  </si>
  <si>
    <t>A6.40</t>
  </si>
  <si>
    <t>INTERIOR CEILING DETAILS</t>
  </si>
  <si>
    <t>A6.41</t>
  </si>
  <si>
    <t>A6.42</t>
  </si>
  <si>
    <t>A7.00</t>
  </si>
  <si>
    <t>VERTICAL CIRCULATION - DINING STAIR</t>
  </si>
  <si>
    <t>A7.01</t>
  </si>
  <si>
    <t>A7.03</t>
  </si>
  <si>
    <t>VERTICAL CIRCULATION - STAIR PLAN &amp; SECTION</t>
  </si>
  <si>
    <t>A7.04</t>
  </si>
  <si>
    <t>A7.05</t>
  </si>
  <si>
    <t>A7.06</t>
  </si>
  <si>
    <t>A7.07</t>
  </si>
  <si>
    <t>VERTICAL CIRCULATION - VERTICAL CHUTE</t>
  </si>
  <si>
    <t>A7.08</t>
  </si>
  <si>
    <t>VERTICAL CIRCULATION - ELEVATOR PLAN &amp; SECTION</t>
  </si>
  <si>
    <t>A7.09</t>
  </si>
  <si>
    <t>A7.10</t>
  </si>
  <si>
    <t>A7.11</t>
  </si>
  <si>
    <t>A7.12</t>
  </si>
  <si>
    <t>VERTICAL CIRCULATION - ELEVATOR SPECIFICATIONS &amp; DETAILS</t>
  </si>
  <si>
    <t>A7.13</t>
  </si>
  <si>
    <t>VERTICAL CIRCULATION - STAIR DETAILS</t>
  </si>
  <si>
    <t>A7.14</t>
  </si>
  <si>
    <t>VERTICAL CIRCULATION - WELLNESS</t>
  </si>
  <si>
    <t>A7.15</t>
  </si>
  <si>
    <t>A7.16</t>
  </si>
  <si>
    <t>A7.17</t>
  </si>
  <si>
    <t>VERTICAL CIRCULATION - WELLNESS STAIR DETAILS</t>
  </si>
  <si>
    <t>A7.18</t>
  </si>
  <si>
    <t>A8.00</t>
  </si>
  <si>
    <t>EXTERIOR PLAN DETAILS</t>
  </si>
  <si>
    <t>A8.01</t>
  </si>
  <si>
    <t>A8.02</t>
  </si>
  <si>
    <t>A8.03</t>
  </si>
  <si>
    <t>A8.04</t>
  </si>
  <si>
    <t>A8.05</t>
  </si>
  <si>
    <t>A8.06</t>
  </si>
  <si>
    <t>A8.11</t>
  </si>
  <si>
    <t>EXTERIOR SECTION DETAILS</t>
  </si>
  <si>
    <t>A8.12</t>
  </si>
  <si>
    <t>A8.13</t>
  </si>
  <si>
    <t>A8.14</t>
  </si>
  <si>
    <t>A8.15</t>
  </si>
  <si>
    <t>A8.16</t>
  </si>
  <si>
    <t>A8.21</t>
  </si>
  <si>
    <t>EXTERIOR - BELOW GRADE DETAILS</t>
  </si>
  <si>
    <t>CIVIL</t>
  </si>
  <si>
    <t>COV</t>
  </si>
  <si>
    <t>COV COVER</t>
  </si>
  <si>
    <t>OVERALL HORIZONTAL CONTROL PLAN</t>
  </si>
  <si>
    <t>HORIZONTAL CONTROL PLAN</t>
  </si>
  <si>
    <t>HORIZONTAL CONTROL PLAN DETAILS</t>
  </si>
  <si>
    <t>PAVING, GRADING AND DRAINAGE PLAN</t>
  </si>
  <si>
    <t>PAVING, GRADING AND DRAINAGE SECTIONS</t>
  </si>
  <si>
    <t>PAVING, GRADING AND DRAINAGE DETAILS</t>
  </si>
  <si>
    <t>WATER &amp; SEWER PLAN</t>
  </si>
  <si>
    <t>EROSION CONTROL PLAN</t>
  </si>
  <si>
    <t>STORMWATER POLLUTION PREVENTION PLAN</t>
  </si>
  <si>
    <t>CIVIL - REV SEWER</t>
  </si>
  <si>
    <t>WATER &amp; SEWER</t>
  </si>
  <si>
    <t>ELECTRICAL</t>
  </si>
  <si>
    <t>E001.10</t>
  </si>
  <si>
    <t>ELECTRICAL COVER SHEET - CLUB CORE</t>
  </si>
  <si>
    <t>E101.00</t>
  </si>
  <si>
    <t>ELECTRICAL SITE PLAN - OVERALL</t>
  </si>
  <si>
    <t>E102.00</t>
  </si>
  <si>
    <t>LEVEL 00 - LIGHTING PLAN - SITE</t>
  </si>
  <si>
    <t>E103.00</t>
  </si>
  <si>
    <t>LEVEL 00 - LIGHTING CONTROLS PLAN - SITE</t>
  </si>
  <si>
    <t>E105.10</t>
  </si>
  <si>
    <t>LEVEL 00 - ELECTRICAL PLAN - DINING</t>
  </si>
  <si>
    <t>E106.11</t>
  </si>
  <si>
    <t>LEVEL 01 - ELECTRICAL PLAN - DINING</t>
  </si>
  <si>
    <t>E107.12</t>
  </si>
  <si>
    <t>LEVEL 02 - ELECTRICAL PLAN - DINING</t>
  </si>
  <si>
    <t>E110.10</t>
  </si>
  <si>
    <t>LEVEL 00 - LIGHTING PLAN - DINING</t>
  </si>
  <si>
    <t>E111.11</t>
  </si>
  <si>
    <t>LEVEL 01 - LIGHTING PLAN - DINING</t>
  </si>
  <si>
    <t>E112.12</t>
  </si>
  <si>
    <t>LEVEL 02 - LIGHTING PLAN - DINING</t>
  </si>
  <si>
    <t>E115.10</t>
  </si>
  <si>
    <t>LEVEL 00 - LIGHTING CONTROLS PLAN - DINING</t>
  </si>
  <si>
    <t>E116.11</t>
  </si>
  <si>
    <t>LEVEL 01 - LIGHTING CONTROLS PLAN - DINING</t>
  </si>
  <si>
    <t>E117.12</t>
  </si>
  <si>
    <t>LEVEL 02 - LIGHTING CONTROLS PLAN - DINING</t>
  </si>
  <si>
    <t>E120.20</t>
  </si>
  <si>
    <t>LEVEL 00 - ELECTRICAL PLAN - FITNESS</t>
  </si>
  <si>
    <t>E121.21</t>
  </si>
  <si>
    <t>LEVEL 01 - ELECTRICAL PLAN - FITNESS</t>
  </si>
  <si>
    <t>E122.22</t>
  </si>
  <si>
    <t>ROOF - ELECTRICAL PLAN - FITNESS</t>
  </si>
  <si>
    <t>E125.20</t>
  </si>
  <si>
    <t>LEVEL 00 - LIGHTING PLAN - FITNESS</t>
  </si>
  <si>
    <t>E126.21</t>
  </si>
  <si>
    <t>LEVEL 01 - LIGHTING PLAN - FITNESS</t>
  </si>
  <si>
    <t>E127.21</t>
  </si>
  <si>
    <t>LEVEL 01 - LIGHTING PLAN - RIBBON CANOPY</t>
  </si>
  <si>
    <t>E130.20</t>
  </si>
  <si>
    <t>LEVEL 00 - LIGHTING CONTROLS PLAN - FITNESS</t>
  </si>
  <si>
    <t>E131.21</t>
  </si>
  <si>
    <t>LEVEL 01 - LIGHTING CONTROLS PLAN - FITNESS</t>
  </si>
  <si>
    <t>E132.21</t>
  </si>
  <si>
    <t>LEVEL 01 - LIGHTING CONTROLS PLAN - RIBBON CANOPY</t>
  </si>
  <si>
    <t>E135.30</t>
  </si>
  <si>
    <t>LEVEL 00 - ELECTRICAL PLAN - WELLNESS</t>
  </si>
  <si>
    <t>E136.31</t>
  </si>
  <si>
    <t>LEVEL 01 - ELECTRICAL PLAN - WELLNESS</t>
  </si>
  <si>
    <t>E137.32</t>
  </si>
  <si>
    <t>LEVEL 02 - ELECTRICAL PLAN - WELLNESS</t>
  </si>
  <si>
    <t>E138.33</t>
  </si>
  <si>
    <t>ROOF - ELECTRICAL PLAN - WELLNESS</t>
  </si>
  <si>
    <t>E140.30</t>
  </si>
  <si>
    <t>LEVEL 00 - LIGHTING PLAN - WELLNESS</t>
  </si>
  <si>
    <t>E141.31</t>
  </si>
  <si>
    <t>LEVEL 01 - LIGHTING PLAN - WELLNESS</t>
  </si>
  <si>
    <t>E142.32</t>
  </si>
  <si>
    <t>LEVEL 02 - LIGHTING PLAN - WELLNESS</t>
  </si>
  <si>
    <t>E145.30</t>
  </si>
  <si>
    <t>LEVEL 00 - LIGHTING CONTROLS PLAN - WELLNESS</t>
  </si>
  <si>
    <t>E146.31</t>
  </si>
  <si>
    <t>LEVEL 01 - LIGHTING CONTROLS PLAN - WELLNESS</t>
  </si>
  <si>
    <t>E147.32</t>
  </si>
  <si>
    <t>LEVEL 02 - LIGHTING CONTROLS PLAN - WELLNESS</t>
  </si>
  <si>
    <t>E165.70</t>
  </si>
  <si>
    <t>ELECTRICAL PLAN - POOL DECK</t>
  </si>
  <si>
    <t>E166.70</t>
  </si>
  <si>
    <t>LIGHTING PLAN POOL DECK</t>
  </si>
  <si>
    <t>E167.70</t>
  </si>
  <si>
    <t>LIGHTINGCONTROLS PLAN - POOL DECK</t>
  </si>
  <si>
    <t>E170.10</t>
  </si>
  <si>
    <t>LIGHT FIXTURE SCHEDULE</t>
  </si>
  <si>
    <t>E172.10</t>
  </si>
  <si>
    <t>LIGHTING CONTROLS DIAGRAMS</t>
  </si>
  <si>
    <t>E173.10</t>
  </si>
  <si>
    <t>E174.10</t>
  </si>
  <si>
    <t>E175.10</t>
  </si>
  <si>
    <t>E176.10</t>
  </si>
  <si>
    <t>E177.10</t>
  </si>
  <si>
    <t>E178.10</t>
  </si>
  <si>
    <t>E180.10</t>
  </si>
  <si>
    <t>ELECTRICAL RISER DIAGRAM - NORMAL POWER</t>
  </si>
  <si>
    <t>E181.10</t>
  </si>
  <si>
    <t>ELECTRICAL RISER DIAGRAM - EMERGENCY AND STANDBY</t>
  </si>
  <si>
    <t>E185.10</t>
  </si>
  <si>
    <t>ELECTRICAL SCHEDULES</t>
  </si>
  <si>
    <t>E186.10</t>
  </si>
  <si>
    <t>E187.10</t>
  </si>
  <si>
    <t>E188.10</t>
  </si>
  <si>
    <t>E189.10</t>
  </si>
  <si>
    <t>E190.10</t>
  </si>
  <si>
    <t>E191.10</t>
  </si>
  <si>
    <t>E192.10</t>
  </si>
  <si>
    <t>E193.10</t>
  </si>
  <si>
    <t>E194.10</t>
  </si>
  <si>
    <t>E195.10</t>
  </si>
  <si>
    <t>E300.10</t>
  </si>
  <si>
    <t>ELECTRICAL DETAILS</t>
  </si>
  <si>
    <t>E400.10</t>
  </si>
  <si>
    <t>FOOD SERVICE INFORMATION</t>
  </si>
  <si>
    <t>E401.10</t>
  </si>
  <si>
    <t>E402.10</t>
  </si>
  <si>
    <t>E403.10</t>
  </si>
  <si>
    <t>E404.10</t>
  </si>
  <si>
    <t>E405.10</t>
  </si>
  <si>
    <t>E406.10</t>
  </si>
  <si>
    <t>E500.10</t>
  </si>
  <si>
    <t>FIRE ALARM</t>
  </si>
  <si>
    <t>FA001.00</t>
  </si>
  <si>
    <t>FIREALARM COVER SHEET</t>
  </si>
  <si>
    <t>FA101.10</t>
  </si>
  <si>
    <t>LEVEL 00 - FIRE ALARM PLAN -DINING</t>
  </si>
  <si>
    <t>FA102.20</t>
  </si>
  <si>
    <t>LEVEL 00 - FIRE ALARM PLAN - FITNESS</t>
  </si>
  <si>
    <t>FA103.30</t>
  </si>
  <si>
    <t>LEVEL 00 - FIRE ALARM PLAN - WELLNESS</t>
  </si>
  <si>
    <t>FA104.11</t>
  </si>
  <si>
    <t>LEVEL 01 - FIRE ALARM PLAN - DINING</t>
  </si>
  <si>
    <t>FA105.21</t>
  </si>
  <si>
    <t>LEVEL 01 - FIRE ALARM PLAN - FITNESS</t>
  </si>
  <si>
    <t>FA106.31</t>
  </si>
  <si>
    <t>FA107.12</t>
  </si>
  <si>
    <t>FA108.32</t>
  </si>
  <si>
    <t>LEVEL 02 - FIRE ALARM PLAN - WELLNESS</t>
  </si>
  <si>
    <t>FA501.00</t>
  </si>
  <si>
    <t>FIRE ALARM RISER AND DETAILS</t>
  </si>
  <si>
    <t>FIRE PROTECTION</t>
  </si>
  <si>
    <t>F001.00</t>
  </si>
  <si>
    <t>FIRE PROTECTION COVER SHEER</t>
  </si>
  <si>
    <t>F104.10</t>
  </si>
  <si>
    <t>LEVEL 00-DINING</t>
  </si>
  <si>
    <t>F105.11</t>
  </si>
  <si>
    <t>LEVEL 01 - DINING</t>
  </si>
  <si>
    <t>F106.12</t>
  </si>
  <si>
    <t>LEVEL 02 - DINING</t>
  </si>
  <si>
    <t>F113.20</t>
  </si>
  <si>
    <t>LEVEL 00 - FITNESS</t>
  </si>
  <si>
    <t>F114.21</t>
  </si>
  <si>
    <t>LEVEL 01 - FITNESS</t>
  </si>
  <si>
    <t>F120.30</t>
  </si>
  <si>
    <t>LEVEL 00 - WELLNESS</t>
  </si>
  <si>
    <t>F121.31</t>
  </si>
  <si>
    <t>LEVEL 01 - WELLNESS</t>
  </si>
  <si>
    <t>F122.32</t>
  </si>
  <si>
    <t>LEVEL 02 - WELLNESS</t>
  </si>
  <si>
    <t>MECHANICAL</t>
  </si>
  <si>
    <t>M001.00</t>
  </si>
  <si>
    <t>MECHANICAL COVER SHEET</t>
  </si>
  <si>
    <t>M002.00</t>
  </si>
  <si>
    <t>MECHANICAL SPECIFICATIONS</t>
  </si>
  <si>
    <t>M101.00</t>
  </si>
  <si>
    <t>LEVEL 00 - MECHANICAL SITE PLAN</t>
  </si>
  <si>
    <t>M102.01</t>
  </si>
  <si>
    <t>LEVEL 01 - MECHANICAL SITE PLAN</t>
  </si>
  <si>
    <t>M103.02</t>
  </si>
  <si>
    <t>LEVEL 02 - MECHANICAL SITE PLAN</t>
  </si>
  <si>
    <t>M104.10</t>
  </si>
  <si>
    <t>LEVEL 00 - MECHANICAL PLAN - DINING</t>
  </si>
  <si>
    <t>M105.11</t>
  </si>
  <si>
    <t>LEVEL 01 - MECHANICAL PLAN - DINING</t>
  </si>
  <si>
    <t>M106.12</t>
  </si>
  <si>
    <t>LEVEL 02 - MECHANICAL PLAN - DINING</t>
  </si>
  <si>
    <t>M107.12</t>
  </si>
  <si>
    <t>ROOF - MECHANICAL PLAN - DINING</t>
  </si>
  <si>
    <t>M108.20</t>
  </si>
  <si>
    <t>LEVEL 00 - MECHANICAL PLAN - FITNESS</t>
  </si>
  <si>
    <t>M109.21</t>
  </si>
  <si>
    <t>LEVEL 01 - MECHANICAL PLAN - FITNESS</t>
  </si>
  <si>
    <t>M110.22</t>
  </si>
  <si>
    <t>ROOF - MECHANICAL PLAN - FITNESS</t>
  </si>
  <si>
    <t xml:space="preserve">M111.30 </t>
  </si>
  <si>
    <t>LEVEL 00 - MECHANICAL PLAN - WELLNESS</t>
  </si>
  <si>
    <t>M112.31</t>
  </si>
  <si>
    <t>LEVEL 01 - MECHANICAL PLAN - WELLNESS</t>
  </si>
  <si>
    <t>M113.32</t>
  </si>
  <si>
    <t>LEVEL 02 - MECHANICAL PLAN - WELLNESS</t>
  </si>
  <si>
    <t>M114.33</t>
  </si>
  <si>
    <t>ROOF - MECHANICAL PLAN WELLNESS</t>
  </si>
  <si>
    <t>M115.00</t>
  </si>
  <si>
    <t>LEVEL 00 - MECHANICAL PIPING - SITE PLAN</t>
  </si>
  <si>
    <t>M116.01</t>
  </si>
  <si>
    <t>LEVEL 01 - MECHANICAL PIPING - SITE PLAN</t>
  </si>
  <si>
    <t>M117.02</t>
  </si>
  <si>
    <t>LEVEL 02 - MECHANICAL PIPING - SITE PLAN</t>
  </si>
  <si>
    <t>M118.10</t>
  </si>
  <si>
    <t>LEVEL 00 - MECHANICAL PIPING - DINING</t>
  </si>
  <si>
    <t>M119.11</t>
  </si>
  <si>
    <t>LEVEL 01 - MECHANICAL PIPING - DINING</t>
  </si>
  <si>
    <t>M120.12</t>
  </si>
  <si>
    <t>LEVEL 02 - MECHANICAL PIPING - DINING</t>
  </si>
  <si>
    <t>M121.20</t>
  </si>
  <si>
    <t>LEVEL 00 - MECHANICAL PIPING - FITNESS</t>
  </si>
  <si>
    <t>M122.30</t>
  </si>
  <si>
    <t>LEVEL 00 - MECHANICAL PIPING - WELLNESS</t>
  </si>
  <si>
    <t>M123.31</t>
  </si>
  <si>
    <t>LEVEL 01 - MECHANICAL PIPING - WELLNESS</t>
  </si>
  <si>
    <t>M124.32</t>
  </si>
  <si>
    <t>LEVEL 02 - MECHANICAL PIPING - WELLNESS</t>
  </si>
  <si>
    <t>M201.10</t>
  </si>
  <si>
    <t>LEVEL 00 - MECHANICAL ZONE MAP - DINING</t>
  </si>
  <si>
    <t>M202.11</t>
  </si>
  <si>
    <t>LEVEL 01 - MECHANICAL ZONE MAP - DINING</t>
  </si>
  <si>
    <t>M203.12</t>
  </si>
  <si>
    <t>LEVEL 02 - MECHANICAL ZONE MAP - DINING</t>
  </si>
  <si>
    <t>M204.20</t>
  </si>
  <si>
    <t>LEVEL 00 - MECHANICAL ZONE MAP - FITNESS</t>
  </si>
  <si>
    <t>M205.21</t>
  </si>
  <si>
    <t>LEVEL 01 - MECHANICAL ZONE MAP - FITNESS</t>
  </si>
  <si>
    <t>M206.30</t>
  </si>
  <si>
    <t>LEVEL 00 - MECHANICAL ZONE MAP - WELLNESS</t>
  </si>
  <si>
    <t>M207.31</t>
  </si>
  <si>
    <t>LEVEL 01 - MECHANICAL ZONE MAP - WELLNESS</t>
  </si>
  <si>
    <t>M208.32</t>
  </si>
  <si>
    <t>LEVEL 02 - MECHANICAL ZONE MAP - WELLNESS</t>
  </si>
  <si>
    <t>M401.00</t>
  </si>
  <si>
    <t>MECHANICAL SCHEDULES</t>
  </si>
  <si>
    <t>M402.00</t>
  </si>
  <si>
    <t>M403.00</t>
  </si>
  <si>
    <t>M404.00</t>
  </si>
  <si>
    <t>M405.00</t>
  </si>
  <si>
    <t>M406.00</t>
  </si>
  <si>
    <t>M407.00</t>
  </si>
  <si>
    <t>M408.00</t>
  </si>
  <si>
    <t>M501.00</t>
  </si>
  <si>
    <t>ENERGY COMPLIANCE</t>
  </si>
  <si>
    <t>M502.00</t>
  </si>
  <si>
    <t>M601.00</t>
  </si>
  <si>
    <t>MECHANICAL DETAILS</t>
  </si>
  <si>
    <t>M602.00</t>
  </si>
  <si>
    <t>M603.00</t>
  </si>
  <si>
    <t>M604.00</t>
  </si>
  <si>
    <t>M605.00</t>
  </si>
  <si>
    <t>M606.00</t>
  </si>
  <si>
    <t>MECHANICAL DETAILS - CONTROLS</t>
  </si>
  <si>
    <t>M607.00</t>
  </si>
  <si>
    <t>M608.00</t>
  </si>
  <si>
    <t>M609.00</t>
  </si>
  <si>
    <t>M610.00</t>
  </si>
  <si>
    <t>M611.00</t>
  </si>
  <si>
    <t>MECHANICAL DETAILS - PIPING</t>
  </si>
  <si>
    <t>M701.00</t>
  </si>
  <si>
    <t>KITCHEN VENTILATION EQUIPMENT DRAWINGS</t>
  </si>
  <si>
    <t>M702.00</t>
  </si>
  <si>
    <t>M703.00</t>
  </si>
  <si>
    <t>M704.00</t>
  </si>
  <si>
    <t>M705.00</t>
  </si>
  <si>
    <t>M706.00</t>
  </si>
  <si>
    <t>M707.00</t>
  </si>
  <si>
    <t>M708.00</t>
  </si>
  <si>
    <t>M709.00</t>
  </si>
  <si>
    <t>M710.00</t>
  </si>
  <si>
    <t>M801.00</t>
  </si>
  <si>
    <t>ISOMETRICS</t>
  </si>
  <si>
    <t>PLUMBING</t>
  </si>
  <si>
    <t>P001.00</t>
  </si>
  <si>
    <t>PLUMBING COVER SHEET</t>
  </si>
  <si>
    <t>P102.00</t>
  </si>
  <si>
    <t>PLUMBING PLAN SITE PLAN</t>
  </si>
  <si>
    <t>P103.10</t>
  </si>
  <si>
    <t>LEVEL 00 - UNDERGROUND PIPING - DINING</t>
  </si>
  <si>
    <t>LEVEL 00 - GRAVITY PIPING - DINING</t>
  </si>
  <si>
    <t>P105.11</t>
  </si>
  <si>
    <t>LEVEL 01 - GRAVITY PIPING - DINING</t>
  </si>
  <si>
    <t>LEVEL 02 - GRAVITY PIPING - DINING</t>
  </si>
  <si>
    <t>P107.13</t>
  </si>
  <si>
    <t>ROOF - GRAVITY PIPING - DINING</t>
  </si>
  <si>
    <t>P108.10</t>
  </si>
  <si>
    <t>LEVEL 00 - PRESSURE PIPING - DINING</t>
  </si>
  <si>
    <t>P109.11</t>
  </si>
  <si>
    <t>LEVEL 01 - PRESSURE PIPING - DINING</t>
  </si>
  <si>
    <t>P110.12</t>
  </si>
  <si>
    <t>LEVEL 02 - PRESSURE PIPING - DINING</t>
  </si>
  <si>
    <t>P111.13</t>
  </si>
  <si>
    <t>ROOF - PRESSURE PIPING - DINING</t>
  </si>
  <si>
    <t>P112.20</t>
  </si>
  <si>
    <t>LEVEL 00 - UNDERGROUND PIPING - FITNESS</t>
  </si>
  <si>
    <t>P113.20</t>
  </si>
  <si>
    <t>LEVEL 00 - GRAVITY PIPING - FITNESS</t>
  </si>
  <si>
    <t>P114.21</t>
  </si>
  <si>
    <t>LEVEL 01 - GRAVITY PIPING - FITNESS</t>
  </si>
  <si>
    <t>P115.22</t>
  </si>
  <si>
    <t>ROOF - GRAVITY PIPING - FITNESS</t>
  </si>
  <si>
    <t>P116.20</t>
  </si>
  <si>
    <t>LEVEL 00 - PRESSURE PIPING - FITNESS</t>
  </si>
  <si>
    <t>P117.21</t>
  </si>
  <si>
    <t>LEVEL 01 - PRESSURE PIPING - FITNESS</t>
  </si>
  <si>
    <t>P118.22</t>
  </si>
  <si>
    <t>ROOF - PRESSURE PIPING - FITNESS</t>
  </si>
  <si>
    <t>P119.30</t>
  </si>
  <si>
    <t>LEVEL 00 - UNDERGROUND PIPING - WELLNESS</t>
  </si>
  <si>
    <t>P120.30</t>
  </si>
  <si>
    <t>LEVEL 00 - GRAVITY PIPING - WELLNESS</t>
  </si>
  <si>
    <t>P121.31</t>
  </si>
  <si>
    <t>LEVEL 01 - GRAVITY PIPING - WELLNESS</t>
  </si>
  <si>
    <t>P122.32</t>
  </si>
  <si>
    <t>LEVEL 02 - GRAVITY PIPING - WELLNESS</t>
  </si>
  <si>
    <t>P123.33</t>
  </si>
  <si>
    <t>ROOF - GRAVITY PIPING - WELLNESS</t>
  </si>
  <si>
    <t>P124.30</t>
  </si>
  <si>
    <t>LEVEL 00 - PRESSURE PIPING - WELLNESS</t>
  </si>
  <si>
    <t>P125.31</t>
  </si>
  <si>
    <t>LEVEL 01 - PRESSURE PIPING - WELLNESS</t>
  </si>
  <si>
    <t>P126.32</t>
  </si>
  <si>
    <t>LEVEL 02 - PRESSURE PIPING - WELLNESS</t>
  </si>
  <si>
    <t>P127.33</t>
  </si>
  <si>
    <t>ROOF - PRESSURE PIPING - WELLNESS</t>
  </si>
  <si>
    <t>P401.00</t>
  </si>
  <si>
    <t>ENLARGED PLUMBING FLOOR PLANS</t>
  </si>
  <si>
    <t>P402.00</t>
  </si>
  <si>
    <t>P403.00</t>
  </si>
  <si>
    <t>P404.00</t>
  </si>
  <si>
    <t>P501.00</t>
  </si>
  <si>
    <t>PLUMBING DETAILS</t>
  </si>
  <si>
    <t>P502.00</t>
  </si>
  <si>
    <t>P503.00</t>
  </si>
  <si>
    <t>P601.00</t>
  </si>
  <si>
    <t>PLUMBING SCHEDULES</t>
  </si>
  <si>
    <t>P602.00</t>
  </si>
  <si>
    <t>STRUCTURAL</t>
  </si>
  <si>
    <t>S-100</t>
  </si>
  <si>
    <t>OVERALL PLAN</t>
  </si>
  <si>
    <t>FOUNDATION PLAN - DINING</t>
  </si>
  <si>
    <t>FIRST FLOOR FRAMING PLAN - DINING</t>
  </si>
  <si>
    <t>S-121</t>
  </si>
  <si>
    <t>SECOND FLOOR FRAMING PLAN - DINING</t>
  </si>
  <si>
    <t>ROOF FRAMING PLAN - DINING</t>
  </si>
  <si>
    <t>S102</t>
  </si>
  <si>
    <t>FOUNDATION PLAN - FITNESS</t>
  </si>
  <si>
    <t>S-112</t>
  </si>
  <si>
    <t>FIRST FLOOR FRAMING PLAN - FITNESS</t>
  </si>
  <si>
    <t>ROOF FRAMING PLAN - FITNESS</t>
  </si>
  <si>
    <t>FOUNDATION PLAN - WELLNESS</t>
  </si>
  <si>
    <t>FIRST FLOOR FRAMING PLAN - WELLNESS</t>
  </si>
  <si>
    <t>S-123</t>
  </si>
  <si>
    <t>SECOND FLOOR FRAMING PLAN - WELLNESS</t>
  </si>
  <si>
    <t>ROOF FRAMING PLAN - WELLNESS</t>
  </si>
  <si>
    <t>S-200</t>
  </si>
  <si>
    <t>STRUCTURAL NOTES</t>
  </si>
  <si>
    <t>S-201</t>
  </si>
  <si>
    <t>WIND LOADS - DINING</t>
  </si>
  <si>
    <t>S-202</t>
  </si>
  <si>
    <t>WIND LOADS - FITNESS</t>
  </si>
  <si>
    <t>S-203</t>
  </si>
  <si>
    <t>WIND LOADS - WELLNESS</t>
  </si>
  <si>
    <t>S-204</t>
  </si>
  <si>
    <t>SCHEDULES</t>
  </si>
  <si>
    <t>S-205</t>
  </si>
  <si>
    <t>PLATE DETAILS</t>
  </si>
  <si>
    <t>S-206</t>
  </si>
  <si>
    <t>TYPICAL DETAILS</t>
  </si>
  <si>
    <t>S-207</t>
  </si>
  <si>
    <t>S-208</t>
  </si>
  <si>
    <t>S-301.1</t>
  </si>
  <si>
    <t>SECTIONS - DINING</t>
  </si>
  <si>
    <t>S-301.2</t>
  </si>
  <si>
    <t>S-301.3</t>
  </si>
  <si>
    <t>S-302.1</t>
  </si>
  <si>
    <t>SECTIONS - FITNESS</t>
  </si>
  <si>
    <t>S-302.2</t>
  </si>
  <si>
    <t>S-303.1</t>
  </si>
  <si>
    <t>SECTIONS - WELLNESS</t>
  </si>
  <si>
    <t>S-303.2</t>
  </si>
  <si>
    <t>S-401.1</t>
  </si>
  <si>
    <t>S-401.2</t>
  </si>
  <si>
    <t>S-401.3</t>
  </si>
  <si>
    <t>S-402.1</t>
  </si>
  <si>
    <t>S-402.2</t>
  </si>
  <si>
    <t>S-403.1</t>
  </si>
  <si>
    <t>S-403.2</t>
  </si>
  <si>
    <t>S-403.3</t>
  </si>
  <si>
    <t>AV SECURITY</t>
  </si>
  <si>
    <t xml:space="preserve">AV    </t>
  </si>
  <si>
    <t>TA0.00</t>
  </si>
  <si>
    <t>AUDIO VISUAL GENERAL NOTES &amp; SYMBOLS - DOCK BAR</t>
  </si>
  <si>
    <t>TA0.01</t>
  </si>
  <si>
    <t>AUDIO VISUAL EQUIPMENT LIST - DOCK BAR</t>
  </si>
  <si>
    <t>TA1.00</t>
  </si>
  <si>
    <t>AUDIO VISUAL SITE PLAN - DOCK BAR</t>
  </si>
  <si>
    <t>TA1.01</t>
  </si>
  <si>
    <t>AUDIO VISUAL FLOOR PLAN - DOCK BAR</t>
  </si>
  <si>
    <t>TA1.11</t>
  </si>
  <si>
    <t>AUDIO VISUAL ROUGH-INS PLAN - DOCK BAR</t>
  </si>
  <si>
    <t>TA2.01</t>
  </si>
  <si>
    <t>AUDIO VISUAL RELFECTED CEILING - DOCK BAR</t>
  </si>
  <si>
    <t>TA4.00</t>
  </si>
  <si>
    <t>AUDIO VISUAL DETAILS - DOCK BAR</t>
  </si>
  <si>
    <t>TA5.00</t>
  </si>
  <si>
    <t>AUDIO VISUAL ELEVATIONS - DOCK BAR</t>
  </si>
  <si>
    <t>TA6.00</t>
  </si>
  <si>
    <t>AUDIO VISUAL SINGLE LINES - DOCK BAR</t>
  </si>
  <si>
    <t>AUDIO VISUAL GENERAL NOTES &amp; SYMBOLS - SPA PODS</t>
  </si>
  <si>
    <t>AUDIO VISUAL EQUIPMENT LIST - SPA PODS</t>
  </si>
  <si>
    <t>AUDIO VISUAL SITE PLAN - SPA PODS</t>
  </si>
  <si>
    <t>TA1.00A 1</t>
  </si>
  <si>
    <t>AUDIO VISUAL SITE CONDUITPLAN - SPA PODS</t>
  </si>
  <si>
    <t>AUDIO VISUAL FLOOR PLAN - SPA PODS</t>
  </si>
  <si>
    <t>AUDIO VISUAL ROUGH-INS PLAN - SPA PODS</t>
  </si>
  <si>
    <t>AUDIO VISUAL REFLECTED CEILING - SPA PODS</t>
  </si>
  <si>
    <t>AUDIO VISUAL DETAILS - SPA PODS</t>
  </si>
  <si>
    <t>AUDIO VISUAL ELEVATIONS - SPA PODS</t>
  </si>
  <si>
    <t>AUDIO VISUAL SINGLE LINES - SPA PODS</t>
  </si>
  <si>
    <t>AUDIO VISUAL GENERALL NOTES &amp; SYMBOLS</t>
  </si>
  <si>
    <t>AUDIO VISUAL EQUIPMENT LIST</t>
  </si>
  <si>
    <t>TA0.02</t>
  </si>
  <si>
    <t>TA0.03</t>
  </si>
  <si>
    <t>SUDIO VISUAL SITE PLAN</t>
  </si>
  <si>
    <t>AUDIO VISUAL FLOOR PLAN - LEVEL 00 - DINING</t>
  </si>
  <si>
    <t>TA1.02</t>
  </si>
  <si>
    <t>AUDIO VISUAL FLOOR PLAN - LEVEL 00 - FITNESS</t>
  </si>
  <si>
    <t>TA1.03</t>
  </si>
  <si>
    <t>AUDIO VISUAL FLOOR PLAN - LEVEL 00 - WELLNESS</t>
  </si>
  <si>
    <t>TA1.04</t>
  </si>
  <si>
    <t>AUDIO VISUAL FLOOR PLAN - LEVEL 01 - DINING</t>
  </si>
  <si>
    <t>TA1.05</t>
  </si>
  <si>
    <t>AUDIO VISUAL FLOOR PLAN - LEVEL 01 - FITNESS</t>
  </si>
  <si>
    <t>TA1.05B</t>
  </si>
  <si>
    <t>AUDIO VISUAL FLOOR PLAN - LEVEL 01 - POOL</t>
  </si>
  <si>
    <t>TA1.06</t>
  </si>
  <si>
    <t>AUDIO VISUAL FLOOR PLAN - LEVEL 01 - WELLNESS</t>
  </si>
  <si>
    <t>TA1.07</t>
  </si>
  <si>
    <t>AUDIO VISUAL FLOOR PLAN - LEVEL 02 - DINING</t>
  </si>
  <si>
    <t>TA1.08</t>
  </si>
  <si>
    <t>AUDIO VISUAL FLOOR PLAN - LEVEL 02 - WELLNESS</t>
  </si>
  <si>
    <t>AUDIO VISUAL ROUGH-INS PLAN - LEVEL 00 - DINING</t>
  </si>
  <si>
    <t>TA1.12</t>
  </si>
  <si>
    <t>AUDIO VISUAL ROUGH-INS PLAN - LEVEL 00 - FITNESS</t>
  </si>
  <si>
    <t>TA1.13</t>
  </si>
  <si>
    <t>AUDIO VISUAL ROUGH-INC PLAN - LEVEL 00 - WELLNESS</t>
  </si>
  <si>
    <t>TA1.14</t>
  </si>
  <si>
    <t>AUDIO VISUAL ROUGH-INS PLAN - LEVEL 01 - DINING</t>
  </si>
  <si>
    <t>TA1.15</t>
  </si>
  <si>
    <t>AUDIO VISUAL ROUGH-INS PLAN - LEVEL 01 - FITNESS</t>
  </si>
  <si>
    <t>TA1.16</t>
  </si>
  <si>
    <t>AUDIO VISUAL ROUGH-INS PLAN - LEVEL 01 - WELLNESS</t>
  </si>
  <si>
    <t>TA1.17</t>
  </si>
  <si>
    <t>AUDIO VISUAL ROUGH-INS PLAN - LEVEL 02 - DINING</t>
  </si>
  <si>
    <t>TA1.18</t>
  </si>
  <si>
    <t>AUDIO VISUAL ROUGH-IN PLANS - LEVEL 02 - WELLNESS</t>
  </si>
  <si>
    <t>AUDIO VISUAL REFLECTED CEILING PLAN - LEVEL 00 - DINING</t>
  </si>
  <si>
    <t>TA2.03</t>
  </si>
  <si>
    <t>AUDIO VISUAL REFLECTED CEILING PLAN - LEVEL 00 - WELLNESS</t>
  </si>
  <si>
    <t>TA2.04</t>
  </si>
  <si>
    <t>AUDIO VISUAL REFLECTED CEILING PLAN - LEVEL 01 - DINING</t>
  </si>
  <si>
    <t>TA2.05</t>
  </si>
  <si>
    <t>AUDIO VISUAL REFLECTED CEILING PLAN - LEVEL 01 - FITNESS</t>
  </si>
  <si>
    <t>TA2.06</t>
  </si>
  <si>
    <t>AUDIO VISUAL REFLECTED CEILING PLAN - LEVEL 01 - WELLNESS</t>
  </si>
  <si>
    <t>TA2.07</t>
  </si>
  <si>
    <t>AUDIO VISUAL REFLECTED CEILING PLAN - LEVEL 02 - DINING</t>
  </si>
  <si>
    <t>TA2.08</t>
  </si>
  <si>
    <t>AUDIO VISUAL REFLECTED CEILING PLAN - LEVEL 02 - FITNESS</t>
  </si>
  <si>
    <t>AUDIO VISUAL DETAILS</t>
  </si>
  <si>
    <t>AUDIO VISUAL ELEVATIONS</t>
  </si>
  <si>
    <t>TA5.01</t>
  </si>
  <si>
    <t>TA5.02</t>
  </si>
  <si>
    <t>TA5.03</t>
  </si>
  <si>
    <t>AUDIO VISUAL SINGLE LINES</t>
  </si>
  <si>
    <t>TA6.01</t>
  </si>
  <si>
    <t>TA6.02</t>
  </si>
  <si>
    <t>TA6.03</t>
  </si>
  <si>
    <t>SECURITY</t>
  </si>
  <si>
    <t>TS0.00A</t>
  </si>
  <si>
    <t>SECURITY GENERAL NOTES &amp; SYMBOLS - DOCK BAR</t>
  </si>
  <si>
    <t>TS2.01</t>
  </si>
  <si>
    <t>SECURITY REFLECTED CEILING - DOCK BAR</t>
  </si>
  <si>
    <t>TS3.00</t>
  </si>
  <si>
    <t>SECURITY DETAILS AND SCHEDULES - DOCK BAR</t>
  </si>
  <si>
    <t>TS3.00A</t>
  </si>
  <si>
    <t>SECURITY DOOR DETAILS - DOCK BAR</t>
  </si>
  <si>
    <t>TS0.00</t>
  </si>
  <si>
    <t>SECURITY GENERAL NOTES &amp; SYMBOLS - SPA PODS</t>
  </si>
  <si>
    <t>SECURITY REFLECTED CEILING - SPA PODS</t>
  </si>
  <si>
    <t>SECURITY DETAILS - SPA PODS</t>
  </si>
  <si>
    <t>TS4.00</t>
  </si>
  <si>
    <t>SECURITY SCHEDULES - SPA PODS</t>
  </si>
  <si>
    <t>SECURITY GENERAL NOTES &amp; SYMBOLS</t>
  </si>
  <si>
    <t>SECURITY REFLECTED CEILING - DINING</t>
  </si>
  <si>
    <t>TS2.02</t>
  </si>
  <si>
    <t>SECURITY REFLECTED CEILING PLAN - LEVEL 00 - FITNESS</t>
  </si>
  <si>
    <t>TS2.03</t>
  </si>
  <si>
    <t>SECURITY REFLECTED CEILING PLAN - LEVEL 00 - WELLNESS</t>
  </si>
  <si>
    <t>TS2.04</t>
  </si>
  <si>
    <t>SECURITY REFLECTED CEILING PLAN - LEVEL 01 - DINING</t>
  </si>
  <si>
    <t>TS2.05</t>
  </si>
  <si>
    <t>SECURITY REFLECTED CEILING PLAN - LEVEL 01 - FITNESS</t>
  </si>
  <si>
    <t>TS2.06</t>
  </si>
  <si>
    <t>SECURITY REFLECTED CEILING PLAN - LEVEL 01 - WELLNESS</t>
  </si>
  <si>
    <t>TS2.07</t>
  </si>
  <si>
    <t>SECURITY REFLECTED CEILING PLAN - LEVEL 02 - DINING</t>
  </si>
  <si>
    <t>TS2.08</t>
  </si>
  <si>
    <t>SECURITY REFLECTED CEILING PLAN - LEVEL 02 - WELLNESS</t>
  </si>
  <si>
    <t>SECURITY DETAILS</t>
  </si>
  <si>
    <t>TS3.01</t>
  </si>
  <si>
    <t>TS3.02</t>
  </si>
  <si>
    <t>TS3.03</t>
  </si>
  <si>
    <t xml:space="preserve">SECURITY SCHEDULES </t>
  </si>
  <si>
    <t>TS4.01</t>
  </si>
  <si>
    <t>TELECOM</t>
  </si>
  <si>
    <t>TT0.00</t>
  </si>
  <si>
    <t>COMMUNICATIONS GENERAL NOTES &amp; SYMBOLS - DOCK BAR</t>
  </si>
  <si>
    <t>TT1.01</t>
  </si>
  <si>
    <t>COMMUNICATIONS FLOOR PLAN - DOCK BAR</t>
  </si>
  <si>
    <t>TT2.01</t>
  </si>
  <si>
    <t>COMMUNICATIONS CEILING PLAN - DOCK BAR</t>
  </si>
  <si>
    <t>TT3.00</t>
  </si>
  <si>
    <t>COMMUNICATIONS DETAILS - DOCK BAR</t>
  </si>
  <si>
    <t>TT3.01</t>
  </si>
  <si>
    <t>TT3.02</t>
  </si>
  <si>
    <t>COMMUNICATIONS GENERAL NOTES &amp; SYMBOLS - SPA PODS</t>
  </si>
  <si>
    <t>COMMUNICATIONS FLOOR PLAN - SPA PODS</t>
  </si>
  <si>
    <t>COMMUNICATIONS DETAILS - SPA PODS</t>
  </si>
  <si>
    <t>COMMUNICATIONS GENERAL NOTES &amp; SYMBOLS</t>
  </si>
  <si>
    <t>COMMUNICATIONS FLOOR PLAN - LEVEL 00 - DINING</t>
  </si>
  <si>
    <t>TT1.02</t>
  </si>
  <si>
    <t>COMMUNICATIONS FLOOR PLAN - LEVEL 00 - FITNESS</t>
  </si>
  <si>
    <t>TT1.03</t>
  </si>
  <si>
    <t>COMMUNICATIONS FLOOR PLAN - LEVEL 00 - WELLNESS</t>
  </si>
  <si>
    <t>TT1.04</t>
  </si>
  <si>
    <t>COMMUNICATIONS FLOOR PLAN - LEVEL 01 - DINING</t>
  </si>
  <si>
    <t>TT1.05</t>
  </si>
  <si>
    <t>COMMUNICATIONS FLOOR PLAN - LEVEL 01 - FITNESS</t>
  </si>
  <si>
    <t>TT1.06</t>
  </si>
  <si>
    <t>COMMUNICATIONS FLOOR PLAN - LEVEL 01 - WELLNESS</t>
  </si>
  <si>
    <t>TT1.07</t>
  </si>
  <si>
    <t>COMMUNICATIONS FLOOR PLAN - LEVEL 02 - DINING</t>
  </si>
  <si>
    <t>TT1.08</t>
  </si>
  <si>
    <t>COMMUNICATIONS FLOOR PLAN - LEVEL 02 - WELLNESS</t>
  </si>
  <si>
    <t>COMMUNICATIONS REFLECTED CEILING PLAN - LEVEL 00 - DINING</t>
  </si>
  <si>
    <t>TT2.02</t>
  </si>
  <si>
    <t>COMMUNICATIONS REFLECTED CEILING PLAN - LEVEL 00 - FITNESS</t>
  </si>
  <si>
    <t>TT2.03</t>
  </si>
  <si>
    <t>COMMUNICATIONS REFLECTED CEILING PLAN - LEVEL 00 - WELLNESS</t>
  </si>
  <si>
    <t>TT2.04</t>
  </si>
  <si>
    <t>COMMUNICATIONS REFLECTED CEILING PLAN - LEVEL 01 - DINING</t>
  </si>
  <si>
    <t>TT2.05</t>
  </si>
  <si>
    <t>COMMUNICATIONS REFLECTED CEILING PLAN - LEVEL 01 - FITNESS</t>
  </si>
  <si>
    <t>TT2.06</t>
  </si>
  <si>
    <t>COMMUNICATIONS REFLECTED CEILING PLAN - LEVEL 01 - WELLNESS</t>
  </si>
  <si>
    <t>TT2.07</t>
  </si>
  <si>
    <t>COMMUNICATIONS REFLECTED CEILING PLAN - LEVEL 02 - DINING</t>
  </si>
  <si>
    <t>TT2.08</t>
  </si>
  <si>
    <t>COMMUNICATIONS REFLECTED CEILING PLAN - LEVEL 02 - WELLNESS</t>
  </si>
  <si>
    <t>COMMUNICATIONS DETAILS</t>
  </si>
  <si>
    <t>TT3.03</t>
  </si>
  <si>
    <t>ID DRAWINGS</t>
  </si>
  <si>
    <t>I 5.00</t>
  </si>
  <si>
    <t>LEVEL 00 - WELLNESS FINISH PLAN</t>
  </si>
  <si>
    <t>I 5.01</t>
  </si>
  <si>
    <t>LEVEL 00 - WELLNESS KEY INTERIOR PLAN</t>
  </si>
  <si>
    <t>I 5.02</t>
  </si>
  <si>
    <t>LEVEL 00 - WELLNESS FURNITURE PLAN</t>
  </si>
  <si>
    <t>I 5.03</t>
  </si>
  <si>
    <t>LEVEL 00 - WELLNESS INTERIOR PLANS &amp; ELEVATIONS</t>
  </si>
  <si>
    <t>I 5.04</t>
  </si>
  <si>
    <t>I 5.05</t>
  </si>
  <si>
    <t>I 5.06</t>
  </si>
  <si>
    <t>I 5.07</t>
  </si>
  <si>
    <t>I.5.08</t>
  </si>
  <si>
    <t>I 5.09</t>
  </si>
  <si>
    <t>I 5.10</t>
  </si>
  <si>
    <t>I 5.11</t>
  </si>
  <si>
    <t>I 5.12</t>
  </si>
  <si>
    <t>I 5.13</t>
  </si>
  <si>
    <t>I 5.14</t>
  </si>
  <si>
    <t>LEVEL 00 - OVERALL DINING ROOM FINISH PLAN</t>
  </si>
  <si>
    <t>I 5.15</t>
  </si>
  <si>
    <t>LEVEL 00 - DINING RM FINISH PLAN 01</t>
  </si>
  <si>
    <t>I 5.16</t>
  </si>
  <si>
    <t>LEVEL 00 - DINING RM FINISH PLAN 02</t>
  </si>
  <si>
    <t>I 5.17</t>
  </si>
  <si>
    <t>LEVEL 00 - OVERALL FITNESS FINISH PLAN</t>
  </si>
  <si>
    <t>I 5.18</t>
  </si>
  <si>
    <t>LEVEL 00 FITNESS FINISH PLAN 01</t>
  </si>
  <si>
    <t>I 5.19</t>
  </si>
  <si>
    <t>LEVEL 00 - FITNESS FINISH PLAN 02</t>
  </si>
  <si>
    <t>I 5.20</t>
  </si>
  <si>
    <t>LEVEL 01 WELLNESS OVERALL FINISH PLAN</t>
  </si>
  <si>
    <t>I 5.21</t>
  </si>
  <si>
    <t>LEVEL 01 WELLNESS OVERALL FINISH PLAN 01</t>
  </si>
  <si>
    <t>I 5.22</t>
  </si>
  <si>
    <t>LEVEL 01 WELLNESS OVERALL FINISH PLAN 02</t>
  </si>
  <si>
    <t>I 5.23</t>
  </si>
  <si>
    <t>LEVEL 01 WELLNESS OVERALL FINISH PLAN 03</t>
  </si>
  <si>
    <t>I 5.24</t>
  </si>
  <si>
    <t>LEVEL 01 WELLNESS OVERALL FINISH PLAN 04</t>
  </si>
  <si>
    <t>I 5.25</t>
  </si>
  <si>
    <t>LEVEL 01 DINING OVERALL FINISH PLAN</t>
  </si>
  <si>
    <t>I 5.26</t>
  </si>
  <si>
    <t>LEVEL 01 DINING ROOM FINISH PLAN 01</t>
  </si>
  <si>
    <t>I 5.27</t>
  </si>
  <si>
    <t>LEVEL 01 DINING ROOM FINISH PLAN 02</t>
  </si>
  <si>
    <t>I 5.28</t>
  </si>
  <si>
    <t>LEVEL 01 DINING ROOM FINISH PLAN 04</t>
  </si>
  <si>
    <t>I 5.29</t>
  </si>
  <si>
    <t>LEVEL 01 DINING ROOM FINISH PLAN 05</t>
  </si>
  <si>
    <t>I 5.30</t>
  </si>
  <si>
    <t>LEVEL 01 DINING ROOM FINISH PLAN 06</t>
  </si>
  <si>
    <t>I 5.31</t>
  </si>
  <si>
    <t>LEVEL 01 FITNESS OVERALL FINISH PLAN</t>
  </si>
  <si>
    <t>I 5.32</t>
  </si>
  <si>
    <t>LEVEL 01 FITNESS FINISH PLAN 01</t>
  </si>
  <si>
    <t>I 5.33</t>
  </si>
  <si>
    <t>LEVEL 01 FITNESS  FINISH PLAN 02</t>
  </si>
  <si>
    <t>I 5.34</t>
  </si>
  <si>
    <t>LEVEL 01 FITNESS OVERALL PLAN 03</t>
  </si>
  <si>
    <t>I 5.35</t>
  </si>
  <si>
    <t>LEVEL 02 WELLNESS OVERALL FINISH PLAN</t>
  </si>
  <si>
    <t>I 5.36</t>
  </si>
  <si>
    <t>LEVEL 02 WELLNESS FINISH PLAN 01</t>
  </si>
  <si>
    <t>I 5.37</t>
  </si>
  <si>
    <t>LEVEL 02 WELLNESS FINISH PLAN 02</t>
  </si>
  <si>
    <t>I 5.38</t>
  </si>
  <si>
    <t>LEVEL 02 WELLNESS FINISH PLAN 03</t>
  </si>
  <si>
    <t>I 5.39</t>
  </si>
  <si>
    <t>LEVEL 02 WELLNESS FINISH PLAN 04</t>
  </si>
  <si>
    <t>I 5.40</t>
  </si>
  <si>
    <t>LEVEL 02 DINING OVERALL FINISH PLAN</t>
  </si>
  <si>
    <t>I 5.41</t>
  </si>
  <si>
    <t>LEVEL 02 DINING ROOM FINISH PLAN 01</t>
  </si>
  <si>
    <t>I 5.42</t>
  </si>
  <si>
    <t>LEVEL 02 DINING ROOM FINISH PLAN 02</t>
  </si>
  <si>
    <t>I 5.43</t>
  </si>
  <si>
    <t>LEVEL 02 DINING ROOM FINISH PLAN 05</t>
  </si>
  <si>
    <t>I 5.44</t>
  </si>
  <si>
    <t>L01 DINING RM - L02 WELLNESS BOH INT. PLANS &amp; ELEVATIONS</t>
  </si>
  <si>
    <t>I 5.45</t>
  </si>
  <si>
    <t>LEVEL 00 - WELLNESS BOH FINISH SCHEDULES AND SPECIFICATIONS</t>
  </si>
  <si>
    <t>I 5.46</t>
  </si>
  <si>
    <t>L01 DINING-L02 WELLNESS BOH SCHEDULES AND SPECIFICATIONS</t>
  </si>
  <si>
    <t>I 5.47</t>
  </si>
  <si>
    <t>WELLNESS FINISH SCHEDULES</t>
  </si>
  <si>
    <t>I 5.48</t>
  </si>
  <si>
    <t>DINING FINISH SCHEDULES</t>
  </si>
  <si>
    <t>I 5.49</t>
  </si>
  <si>
    <t>FITNESS FINISH SCHEDULES</t>
  </si>
  <si>
    <t>I 9.00</t>
  </si>
  <si>
    <t>INTERIOR DETAILS - MILLWORK</t>
  </si>
  <si>
    <t>I 9.01</t>
  </si>
  <si>
    <t>I 9.02</t>
  </si>
  <si>
    <t>I 9.03</t>
  </si>
  <si>
    <t>I 9.04</t>
  </si>
  <si>
    <t>I 9.05</t>
  </si>
  <si>
    <t>I 9.06</t>
  </si>
  <si>
    <t xml:space="preserve">INTERIOR DETAILS    </t>
  </si>
  <si>
    <t>ID-000</t>
  </si>
  <si>
    <t>COVERSHEET</t>
  </si>
  <si>
    <t>ID-002</t>
  </si>
  <si>
    <t>GENERAL NOTES</t>
  </si>
  <si>
    <t>ID-1.01</t>
  </si>
  <si>
    <t>LEVEL 00 KEY PLAN</t>
  </si>
  <si>
    <t>ID-1.02</t>
  </si>
  <si>
    <t>LEVEL 01 KEY PLAN</t>
  </si>
  <si>
    <t>ID-1.03</t>
  </si>
  <si>
    <t>LEVEL 02 KEY PLAN</t>
  </si>
  <si>
    <t>ID-1.11</t>
  </si>
  <si>
    <t>LEVEL 00 DINING FLOOR PLAN</t>
  </si>
  <si>
    <t>ID-1.12</t>
  </si>
  <si>
    <t>LEVEL 01 DINING FLOOR PLAN</t>
  </si>
  <si>
    <t>ID-1.13</t>
  </si>
  <si>
    <t>LEVEL 02 DINING FLOOR PLAN</t>
  </si>
  <si>
    <t>ID-1.14</t>
  </si>
  <si>
    <t>LEVEL 01 FITNESS FLOOR PLAN</t>
  </si>
  <si>
    <t>ID-1.15</t>
  </si>
  <si>
    <t>LEVEL 01 POOL FLOOR PLAN</t>
  </si>
  <si>
    <t>ID-1.17</t>
  </si>
  <si>
    <t>LEVEL 01 SPA FLOOR PLAN</t>
  </si>
  <si>
    <t>ID-1.18</t>
  </si>
  <si>
    <t>LEVEL 02 SPA FLOOR PLAN</t>
  </si>
  <si>
    <t>ID-2.11</t>
  </si>
  <si>
    <t>LEVEL 00 DINING RCP</t>
  </si>
  <si>
    <t>ID-2.12</t>
  </si>
  <si>
    <t>LEVEL 01 DINING RCP</t>
  </si>
  <si>
    <t>ID-2.13</t>
  </si>
  <si>
    <t>LEVEL 02 DINING RCP</t>
  </si>
  <si>
    <t>ID-2.14</t>
  </si>
  <si>
    <t>LEVEL 01 FITNESS RCP</t>
  </si>
  <si>
    <t>ID-2.15</t>
  </si>
  <si>
    <t>LEVEL 01 SPA RCP</t>
  </si>
  <si>
    <t>ID-2.16</t>
  </si>
  <si>
    <t>LEVEL 02 SPA RCP</t>
  </si>
  <si>
    <t>ID-3.11</t>
  </si>
  <si>
    <t>LEVEL 00 DINING FINISH PLAN</t>
  </si>
  <si>
    <t>ID-3.11A</t>
  </si>
  <si>
    <t>LEVEL 00 DINING RM FINISH PLAN 01</t>
  </si>
  <si>
    <t>ID-3.11B</t>
  </si>
  <si>
    <t>LEVEL 00 DINING RM FINISH PLAN 02</t>
  </si>
  <si>
    <t>ID-3.12</t>
  </si>
  <si>
    <t>LEVEL 01 DINING FINISH PLAN</t>
  </si>
  <si>
    <t>ID-3.12A</t>
  </si>
  <si>
    <t>LEVEL 01 DINING FINISH PLAN 01</t>
  </si>
  <si>
    <t>ID-3.12B</t>
  </si>
  <si>
    <t>LEVEL 01 DINING FINISH PLAN 02</t>
  </si>
  <si>
    <t>ID-3.12C</t>
  </si>
  <si>
    <t>LEVEL 01 DINING FINISH PLAN 04</t>
  </si>
  <si>
    <t>ID-3.12D</t>
  </si>
  <si>
    <t>LEVEL 01 DINING FINISH PLAN 05</t>
  </si>
  <si>
    <t>ID-3.12E</t>
  </si>
  <si>
    <t>LEVEL 01 DINING FINISH PLAN 06</t>
  </si>
  <si>
    <t>ID-3.13</t>
  </si>
  <si>
    <t>LEVEL 02 DINING FINISH PLAN</t>
  </si>
  <si>
    <t>ID-3.13A</t>
  </si>
  <si>
    <t>ID-3.13B</t>
  </si>
  <si>
    <t>ID-3.13C</t>
  </si>
  <si>
    <t>LEVEL 02 DINING ROOM FINISH PLAN 03</t>
  </si>
  <si>
    <t>ID-3.14</t>
  </si>
  <si>
    <t>LEVEL 00 OVERALL FITNESS FINISH PLAN</t>
  </si>
  <si>
    <t>ID-3.14A</t>
  </si>
  <si>
    <t>LEVEL 00 OVERALL FITNESS FINISH PLAN 01</t>
  </si>
  <si>
    <t>ID-3.14B</t>
  </si>
  <si>
    <t>LEVEL 00 OVERALL FITNESS FINISH PLAN 02</t>
  </si>
  <si>
    <t>ID-3.15</t>
  </si>
  <si>
    <t>LEVEL 01 FITNESS FINISH PLAN</t>
  </si>
  <si>
    <t>ID-3.15A</t>
  </si>
  <si>
    <t>ID-3.15B</t>
  </si>
  <si>
    <t>LEVEL 01 FITNESS FINISH PLAN 02</t>
  </si>
  <si>
    <t>ID-3.15C</t>
  </si>
  <si>
    <t>LEVEL 01 FITNESS FINISH PLAN 03</t>
  </si>
  <si>
    <t>ID-3.16</t>
  </si>
  <si>
    <t>LEVEL 00 - SPA FINISH PLAN</t>
  </si>
  <si>
    <t>ID-3.16A</t>
  </si>
  <si>
    <t>LEVEL 00 - SPA KEY INTERIOR PLAN</t>
  </si>
  <si>
    <t>ID-3.16B</t>
  </si>
  <si>
    <t>LEVEL 00 - SPA FURNITURE PLAN</t>
  </si>
  <si>
    <t>ID-3.17</t>
  </si>
  <si>
    <t>LEVEL 01 SPA FINISH PLAN</t>
  </si>
  <si>
    <t>ID-3.17A</t>
  </si>
  <si>
    <t>LEVEL 01 SPA FINISH PLAN 01</t>
  </si>
  <si>
    <t>ID-3.17B</t>
  </si>
  <si>
    <t>LEVEL 01 SPA FINISH PLAN 02</t>
  </si>
  <si>
    <t>ID-3.17C</t>
  </si>
  <si>
    <t>LEVEL 01 SPA FINISH PLAN 03</t>
  </si>
  <si>
    <t>ID-3.17D</t>
  </si>
  <si>
    <t>LEVEL 01 SPA FINISH PLAN 04</t>
  </si>
  <si>
    <t>ID-3.18</t>
  </si>
  <si>
    <t>LEVEL 02 SPA FINISH PLAN</t>
  </si>
  <si>
    <t>ID-3.18A</t>
  </si>
  <si>
    <t>LEVEL 02 SPA FINISH PLAN 01</t>
  </si>
  <si>
    <t>ID-3.18B</t>
  </si>
  <si>
    <t>LEVEL 02 SPA FINISH PLAN 02</t>
  </si>
  <si>
    <t>ID-3.18C</t>
  </si>
  <si>
    <t>LEVEL 02 SPA FINISH PLAN 03</t>
  </si>
  <si>
    <t>ID-4.11</t>
  </si>
  <si>
    <t>LEVEL 00 - DINING FURNITURE &amp; POWER PLAN</t>
  </si>
  <si>
    <t>ID-4.12</t>
  </si>
  <si>
    <t>LEVEL 01 DINING FURNITURE &amp; POWER PLAN</t>
  </si>
  <si>
    <t>ID-4.13</t>
  </si>
  <si>
    <t>LEVEL 02 DINING FURNITURE &amp; POWER PLAN</t>
  </si>
  <si>
    <t>ID-4.14</t>
  </si>
  <si>
    <t>LEVEL 01 FITNESS FURNITURE &amp; POWER PLAN</t>
  </si>
  <si>
    <t>ID-4.15</t>
  </si>
  <si>
    <t>LEVEL 01 POOL FURNITURE &amp; POWER PLAN</t>
  </si>
  <si>
    <t>ID-4.16</t>
  </si>
  <si>
    <t>LEVEL 01 SPA FURNITURE &amp; POWER PLAN</t>
  </si>
  <si>
    <t>ID-4.17</t>
  </si>
  <si>
    <t>LEVEL 02 SPA FURNITURE &amp; POWER PLAN</t>
  </si>
  <si>
    <t>ID-5.01</t>
  </si>
  <si>
    <t>L00 DINING INTERIOR ELEVATIONS</t>
  </si>
  <si>
    <t>ID-5.02</t>
  </si>
  <si>
    <t>ID-5.03</t>
  </si>
  <si>
    <t>L00 DINING ENLARGED PLAN &amp; INTERIOR ELEVATIONS</t>
  </si>
  <si>
    <t>ID-5.04</t>
  </si>
  <si>
    <t>L01 DINING INTERIOR ELEVATIONS</t>
  </si>
  <si>
    <t>ID-5.06</t>
  </si>
  <si>
    <t>ID-5.07</t>
  </si>
  <si>
    <t>ID-5.08</t>
  </si>
  <si>
    <t>L01 DINING ENLARGED PLAN &amp; INTERIOR ELEVATIONS</t>
  </si>
  <si>
    <t>ID-5.09</t>
  </si>
  <si>
    <t>ID-5.10</t>
  </si>
  <si>
    <t>ID-5.11</t>
  </si>
  <si>
    <t>L02 DINING INTERIOR ELEVATIONS</t>
  </si>
  <si>
    <t>ID-5.12</t>
  </si>
  <si>
    <t>L02 DINING ENLARGED PLAN &amp; INTERIOR ELEVATIONS</t>
  </si>
  <si>
    <t>ID-5.13</t>
  </si>
  <si>
    <t>ID-5.14</t>
  </si>
  <si>
    <t>L01 DINING RM ENLARGED PLAN &amp; ELEVATIONS</t>
  </si>
  <si>
    <t>ID-5.20</t>
  </si>
  <si>
    <t>L01 FITNESS INTERIOR ELEVATIONS</t>
  </si>
  <si>
    <t>ID-5.21</t>
  </si>
  <si>
    <t>ID-5.22</t>
  </si>
  <si>
    <t>ID-5.23</t>
  </si>
  <si>
    <t>ID-5.224</t>
  </si>
  <si>
    <t>L01 FITNESS ENLARGED PLAN &amp; INTERIOR ELEVATIONS</t>
  </si>
  <si>
    <t>ID-5.25</t>
  </si>
  <si>
    <t>LEVEL 00 - SPA INTERIOR PLANS &amp; ELEVATIONS</t>
  </si>
  <si>
    <t>ID-5.26</t>
  </si>
  <si>
    <t>ID-5.27</t>
  </si>
  <si>
    <t>ID-5.28</t>
  </si>
  <si>
    <t>ID-5.29</t>
  </si>
  <si>
    <t>ID-5.30</t>
  </si>
  <si>
    <t>ID-5.31</t>
  </si>
  <si>
    <t>ID-5.32</t>
  </si>
  <si>
    <t>ID-5.33</t>
  </si>
  <si>
    <t>ID-5.34</t>
  </si>
  <si>
    <t>ID-5.35</t>
  </si>
  <si>
    <t>ID-5.36</t>
  </si>
  <si>
    <t>LEVEL 00 - SPA BOH FINISH SCHEDULES AND SPECIFICATIONS</t>
  </si>
  <si>
    <t>ID-5.37</t>
  </si>
  <si>
    <t>L01 DINING BOH SCHEDULES &amp; SPECIFICATIONS</t>
  </si>
  <si>
    <t>ID-5.38</t>
  </si>
  <si>
    <t>ID-5.39</t>
  </si>
  <si>
    <t>ID-5.40</t>
  </si>
  <si>
    <t>ID-5.41</t>
  </si>
  <si>
    <t>ARCHITECTURAL FINISHES REPORT</t>
  </si>
  <si>
    <t>ID-5.42</t>
  </si>
  <si>
    <t>ID-5.43</t>
  </si>
  <si>
    <t>ID-5.45</t>
  </si>
  <si>
    <t>ID-5.46</t>
  </si>
  <si>
    <t>ID-5.47</t>
  </si>
  <si>
    <t>ID-5.48</t>
  </si>
  <si>
    <t>ID-5.49</t>
  </si>
  <si>
    <t>ID-5.50</t>
  </si>
  <si>
    <t>ID-5.51</t>
  </si>
  <si>
    <t>ID-5.52</t>
  </si>
  <si>
    <t>ID-5.53</t>
  </si>
  <si>
    <t>ID-5.54</t>
  </si>
  <si>
    <t>ID-5.55</t>
  </si>
  <si>
    <t>ID-5.56</t>
  </si>
  <si>
    <t>ID-5.57</t>
  </si>
  <si>
    <t>L01 SPA ENLARGED PLAN &amp; INTERIOR ELEVATONS</t>
  </si>
  <si>
    <t>ID-5.58</t>
  </si>
  <si>
    <t>L01 SPA INTERIOR ELEVATIONS</t>
  </si>
  <si>
    <t>IT-5.59</t>
  </si>
  <si>
    <t>ID-5.60</t>
  </si>
  <si>
    <t>ID-5.61</t>
  </si>
  <si>
    <t>ID-5.62</t>
  </si>
  <si>
    <t>ID-5.63</t>
  </si>
  <si>
    <t>ID-5.64</t>
  </si>
  <si>
    <t>ID-5.65</t>
  </si>
  <si>
    <t>ID-5.66</t>
  </si>
  <si>
    <t>ID-5.67</t>
  </si>
  <si>
    <t>ID-5.68</t>
  </si>
  <si>
    <t>L02 SPA INTERIOR ELEVATIONS</t>
  </si>
  <si>
    <t>ID-5.69</t>
  </si>
  <si>
    <t>ID-5.70</t>
  </si>
  <si>
    <t>ID-5.71</t>
  </si>
  <si>
    <t>ID-5.72</t>
  </si>
  <si>
    <t>ID-5.73</t>
  </si>
  <si>
    <t>ID-5.74</t>
  </si>
  <si>
    <t>L01 POOL RESTRM ENLARGED PLAN &amp; INTERIOR ELEVATIONS</t>
  </si>
  <si>
    <t>IT-5.75</t>
  </si>
  <si>
    <t>L01 POOL RESTRM INTERIOR ELEVATIONS</t>
  </si>
  <si>
    <t>ID-5.76</t>
  </si>
  <si>
    <t>ID-5.77</t>
  </si>
  <si>
    <t>ID-5.78</t>
  </si>
  <si>
    <t>L02 SPA ENLARGED PLAN</t>
  </si>
  <si>
    <t>ID-5.79</t>
  </si>
  <si>
    <t>ID-5.80</t>
  </si>
  <si>
    <t>ID-5.81</t>
  </si>
  <si>
    <t>ID-5.82</t>
  </si>
  <si>
    <t>ID-5.83</t>
  </si>
  <si>
    <t>L02 SPA ENLARGED PLAN &amp; INTERIOR ELEVATIONS</t>
  </si>
  <si>
    <t>ID-5.84</t>
  </si>
  <si>
    <t>L02 SPA ENLARGED FLOOR PLAN</t>
  </si>
  <si>
    <t>ID-5.85</t>
  </si>
  <si>
    <t>L02 SPA INTERIOR FLOOR PLAN</t>
  </si>
  <si>
    <t>ID-5.86</t>
  </si>
  <si>
    <t>ID-5.87</t>
  </si>
  <si>
    <t>ID-5.88</t>
  </si>
  <si>
    <t>IT-5.89</t>
  </si>
  <si>
    <t>IT-5.90</t>
  </si>
  <si>
    <t>ID-6.00</t>
  </si>
  <si>
    <t>FLOOR/BASE DETAILS</t>
  </si>
  <si>
    <t>ID-6.01</t>
  </si>
  <si>
    <t>FLOOR DETAILS</t>
  </si>
  <si>
    <t>ID-6.02</t>
  </si>
  <si>
    <t>IT-6.03</t>
  </si>
  <si>
    <t>ID-6.04</t>
  </si>
  <si>
    <t>ID-6.05</t>
  </si>
  <si>
    <t>DINING CEILING DETAILS</t>
  </si>
  <si>
    <t>ID-6.06</t>
  </si>
  <si>
    <t>ID-6.07</t>
  </si>
  <si>
    <t>L01 FITNESS CEILING DETAILS</t>
  </si>
  <si>
    <t>ID-6.08</t>
  </si>
  <si>
    <t>L01 &amp; L02 SPA CEILING DETAILS</t>
  </si>
  <si>
    <t>ID-6.15</t>
  </si>
  <si>
    <t>WALL DETAILS TYPICAL</t>
  </si>
  <si>
    <t>ID-6.16</t>
  </si>
  <si>
    <t>L00 DINING WALL DETAILS</t>
  </si>
  <si>
    <t>ID-6.17</t>
  </si>
  <si>
    <t>ID-6.18</t>
  </si>
  <si>
    <t>L01 DINING WALL DETAILS</t>
  </si>
  <si>
    <t>ID-6.19</t>
  </si>
  <si>
    <t>L01 FITNESS WALL DETAILS</t>
  </si>
  <si>
    <t>ID-6.20</t>
  </si>
  <si>
    <t>L01 SPA WALL DETAILS</t>
  </si>
  <si>
    <t>ID-6.21</t>
  </si>
  <si>
    <t>ID-6.30</t>
  </si>
  <si>
    <t>L00 DINING MILLWORK DETAILS KIDS</t>
  </si>
  <si>
    <t>ID-6.31</t>
  </si>
  <si>
    <t>L00 DINING MILLWORK DETAILS KIDS &amp; RESTRM</t>
  </si>
  <si>
    <t>ID-6.32</t>
  </si>
  <si>
    <t>L00 DINING MILLWORK DETAILS SPEAKEASY</t>
  </si>
  <si>
    <t>ID-6.33</t>
  </si>
  <si>
    <t>ID-6.34</t>
  </si>
  <si>
    <t>ID-6.35</t>
  </si>
  <si>
    <t>L01 DINING MILLWORK DETAILS</t>
  </si>
  <si>
    <t>ID-6.36</t>
  </si>
  <si>
    <t>ID-6.37</t>
  </si>
  <si>
    <t>ID-6.38</t>
  </si>
  <si>
    <t>ID-6.39</t>
  </si>
  <si>
    <t>ID-6.40</t>
  </si>
  <si>
    <t>ID-6.41</t>
  </si>
  <si>
    <t>ID-6.42</t>
  </si>
  <si>
    <t>L01 DINING MILLWORK DETAILS WINE RM</t>
  </si>
  <si>
    <t>ID-6.43</t>
  </si>
  <si>
    <t>ID-6.44</t>
  </si>
  <si>
    <t>L02 DINING MILLWORK DETAILS SKYBAR</t>
  </si>
  <si>
    <t>ID-6.45</t>
  </si>
  <si>
    <t>ID-6.46</t>
  </si>
  <si>
    <t xml:space="preserve">L02 DINING MILLWORK DETAILS  </t>
  </si>
  <si>
    <t>ID-6.50</t>
  </si>
  <si>
    <t>L01 FITNESS MILLWORK DETAILS JUICE BAR</t>
  </si>
  <si>
    <t>ID-6.51</t>
  </si>
  <si>
    <t>ID-6.52</t>
  </si>
  <si>
    <t xml:space="preserve">L01 FITNESS MILLWORK DETAILS   </t>
  </si>
  <si>
    <t>ID-6.53</t>
  </si>
  <si>
    <t>ID-6.54</t>
  </si>
  <si>
    <t>L00 SPA MILLWORK SECTIONS-STAFF KITCHEN</t>
  </si>
  <si>
    <t>ID-6.55</t>
  </si>
  <si>
    <t>ID-6.56</t>
  </si>
  <si>
    <t>L00 SPA MILLWORK SECTIONS-SHOE REPAIR</t>
  </si>
  <si>
    <t>ID-6.57</t>
  </si>
  <si>
    <t>L00 SPA MILLWORK SECTIONS-RESTROOMS</t>
  </si>
  <si>
    <t>ID-6.58</t>
  </si>
  <si>
    <t>L00 SPA MILLWORK SECTIONS - CART BARN</t>
  </si>
  <si>
    <t>ID-6.59</t>
  </si>
  <si>
    <t>ID-6.60.1</t>
  </si>
  <si>
    <t>L01 SPA MILLWORK DETAILS RETAIL</t>
  </si>
  <si>
    <t>ID-6.60.2</t>
  </si>
  <si>
    <t>ID-6.60.3</t>
  </si>
  <si>
    <t>ID-6.61.1</t>
  </si>
  <si>
    <t>L01 SPA MILLWORK DETAILS MENS BAR</t>
  </si>
  <si>
    <t>ID-6.61.2</t>
  </si>
  <si>
    <t>ID-6.61.3</t>
  </si>
  <si>
    <t>ID-6.61.4</t>
  </si>
  <si>
    <t>L01 SPA MILLWORK DETAILS MENS TV UNIT</t>
  </si>
  <si>
    <t>ID-6.62.0</t>
  </si>
  <si>
    <t>L01 SPA MILLWORK DETAILS MENS ELEVATIONS</t>
  </si>
  <si>
    <t>ID-6.63.1</t>
  </si>
  <si>
    <t>L01 SPA MILLWORK DETAILS WOMENS BAR</t>
  </si>
  <si>
    <t>ID-6.63.2</t>
  </si>
  <si>
    <t>ID-6.63.3</t>
  </si>
  <si>
    <t>ID-6.63.4</t>
  </si>
  <si>
    <t>L01 SPA MILLWORK DETAILS WOMENS TV UNIT</t>
  </si>
  <si>
    <t>ID-6.64</t>
  </si>
  <si>
    <t>L01 SPA MILLWORK DETAILS WOMENS ELEVATIONS</t>
  </si>
  <si>
    <t>ID-6.65</t>
  </si>
  <si>
    <t>L01 SPA MILLWORK DETAILS LOCKERS</t>
  </si>
  <si>
    <t>ID-6.66</t>
  </si>
  <si>
    <t>L01 SPA SECTIONS STEAM/SAUNA</t>
  </si>
  <si>
    <t>ID-6.67.1</t>
  </si>
  <si>
    <t>L01 SPA DETAILS THERMAL</t>
  </si>
  <si>
    <t>ID-6.67.2</t>
  </si>
  <si>
    <t>ID-6.68.1</t>
  </si>
  <si>
    <t>L01 SPA MILLWORK DETAILS COMFORT STATION</t>
  </si>
  <si>
    <t>ID-6.68.2</t>
  </si>
  <si>
    <t>ID-6.69.1</t>
  </si>
  <si>
    <t>L01 SPA MILLWORK DETAILS ELEVATIONS</t>
  </si>
  <si>
    <t>ID-6.69.2</t>
  </si>
  <si>
    <t>L01 SPA MILLWORK DETAILS SECTIONS</t>
  </si>
  <si>
    <t>ID-6.69.3</t>
  </si>
  <si>
    <t>ID-6.69.4</t>
  </si>
  <si>
    <t>ID-6.69.5</t>
  </si>
  <si>
    <t>ID-6.69.6</t>
  </si>
  <si>
    <t>ID-6.69.7</t>
  </si>
  <si>
    <t>ID-6.70</t>
  </si>
  <si>
    <t>L01 SPA MILLWORK DETAILS BARBER</t>
  </si>
  <si>
    <t>ID-6.71.1</t>
  </si>
  <si>
    <t>L01 SPA MILLWORK DETAILS SALON</t>
  </si>
  <si>
    <t>ID-7.71.2</t>
  </si>
  <si>
    <t>ID-6.71.3</t>
  </si>
  <si>
    <t>ID-6.72.1</t>
  </si>
  <si>
    <t>L01 SPA MILLWORK DETAILS POOL RESTROOM ELEVATIONS</t>
  </si>
  <si>
    <t>ID-6.72.2</t>
  </si>
  <si>
    <t xml:space="preserve">L01 SPA MILLWORK DETAILS POOL RESTROOM </t>
  </si>
  <si>
    <t>ID-6.72.3</t>
  </si>
  <si>
    <t>ID6.73.1</t>
  </si>
  <si>
    <t>L02 SPA SECTIONS HAMMAM</t>
  </si>
  <si>
    <t>ID-6.73.2</t>
  </si>
  <si>
    <t>L02 SPA MILLWORK DETAILS ELEVATIONS</t>
  </si>
  <si>
    <t>ID-6.73.3</t>
  </si>
  <si>
    <t>L02 SPA MILLWORK SECTIONS</t>
  </si>
  <si>
    <t>ID-6.73.4</t>
  </si>
  <si>
    <t>ID-6.74</t>
  </si>
  <si>
    <t>L02 SPA MILLWORK ELEVATIONS/DETAILS</t>
  </si>
  <si>
    <t>ID-6.75.1</t>
  </si>
  <si>
    <t xml:space="preserve">L02 SPA MILLWORK ELEVATIONS    </t>
  </si>
  <si>
    <t>ID-6.75.2</t>
  </si>
  <si>
    <t>ID-6.75.3</t>
  </si>
  <si>
    <t>ID-6.76.1</t>
  </si>
  <si>
    <t>L02 SPA MILLWORK ELEVATIONS</t>
  </si>
  <si>
    <t>ID-6.76.2</t>
  </si>
  <si>
    <t>ID-6.80</t>
  </si>
  <si>
    <t>TYPICAL MILLWORK DETAILS</t>
  </si>
  <si>
    <t>ELEVATOR CAB DETAILS</t>
  </si>
  <si>
    <t>ID-7.01</t>
  </si>
  <si>
    <t>DOOR DETAILS</t>
  </si>
  <si>
    <t>ID-7.02</t>
  </si>
  <si>
    <t>DOOR JAMB DETAILS</t>
  </si>
  <si>
    <t>ID-7.03</t>
  </si>
  <si>
    <t>ID-7.04</t>
  </si>
  <si>
    <t>SPA</t>
  </si>
  <si>
    <t>DRAWING ISSUE REGISTER</t>
  </si>
  <si>
    <t>DRAWING PACKAGE NOTES</t>
  </si>
  <si>
    <t>TYPICAL DETAILS - WOODEN CABIN 1</t>
  </si>
  <si>
    <t>TYPICAL DETAILS - WOODEN CABIN 2</t>
  </si>
  <si>
    <t>TYPICAL DETAILS - WOODEN CABIN 3</t>
  </si>
  <si>
    <t>TYPICAL DETAILS - WOODEN CABIN 4</t>
  </si>
  <si>
    <t>TYPICAL DETAILS - LUX CABIN 1</t>
  </si>
  <si>
    <t>TYPICAL DETAILS - LUX CABIN 2</t>
  </si>
  <si>
    <t>TYPICAL DETAILS - LUX CABIN 3</t>
  </si>
  <si>
    <t>TYPICAL DETAILS - SNOW ROOM</t>
  </si>
  <si>
    <t>GENERAL ARRANGEMENT PLAN - LEVEL 01</t>
  </si>
  <si>
    <t>GENERAL ARRANGEMENT PLAN - LEVEL 01 ENLARGED PLANS</t>
  </si>
  <si>
    <t>GENERAL ARRANGEMENT PLAN - LEVEL 02</t>
  </si>
  <si>
    <t>GENERAL ARRANGEMENT PLAN - LEVEL 02 ENLARGED PLANS</t>
  </si>
  <si>
    <t>PLUMBING &amp; MECHANICAL PLAN - LEVEL 01 ENLARGED</t>
  </si>
  <si>
    <t>PLUMBING &amp; MECHANICAL PLAN - LEVEL 02 ENLARGED</t>
  </si>
  <si>
    <t>ELECTRICAL PLAN - THERMAL AREA 01</t>
  </si>
  <si>
    <t>ELECTRICAL PLAN - THERMAL AREA 02</t>
  </si>
  <si>
    <t>ELECTRICAL PLAN - LEVEL 02 ENLARGED</t>
  </si>
  <si>
    <t>LEVEL 01 DRAIN PLAN</t>
  </si>
  <si>
    <t>LEVEL 02 DRAIN PLAN</t>
  </si>
  <si>
    <t>SLAB DEPRESSION PLAN - LEVEL 02</t>
  </si>
  <si>
    <t>MEP TABLE - MECHANICAL</t>
  </si>
  <si>
    <t>MEP TABLE - ELECTRICAL</t>
  </si>
  <si>
    <t>MEP TABLE - PLUMBING</t>
  </si>
  <si>
    <t>SAUNA - THERMAL AREA 01 PLANS</t>
  </si>
  <si>
    <t>SAUNA - THERMAL AREA 01 SECTIONS</t>
  </si>
  <si>
    <t>SAUNA - THERMAL AREA 01 DETAILS</t>
  </si>
  <si>
    <t>SAUNA - THERMAL AREA 02 PLANS</t>
  </si>
  <si>
    <t>SAUNA - THERMAL AREA 02 SECTIONS</t>
  </si>
  <si>
    <t>SAUNA - THERMAL AREA 02 DETAILS</t>
  </si>
  <si>
    <t>INFRA RED SAUNA - THERMAL AREA 03 PLANS</t>
  </si>
  <si>
    <t>INFRA RED SAUNA - THERMAL AREA 03 SECTIONS</t>
  </si>
  <si>
    <t>INFRA RED SAUNA - THERMAL AREA 03 DETAILS</t>
  </si>
  <si>
    <t>STEAM ROOM - THERMAL AREA 01 PLANS</t>
  </si>
  <si>
    <t>STEAM ROOM - THERMAL AREA 01 SECTIONS</t>
  </si>
  <si>
    <t>STEAM ROOM - THERMAL AREA 01 DETAILS</t>
  </si>
  <si>
    <t>STEAM ROOM - THERMAL AREA 02 PLANS</t>
  </si>
  <si>
    <t>STEAM ROOM - THERMAL AREA 02 SECTIONS</t>
  </si>
  <si>
    <t>STEAM ROOM - THERMAL AREA 02 DETAILS</t>
  </si>
  <si>
    <t>STEAM ROOM - THERMAL AREA 03 PLANS</t>
  </si>
  <si>
    <t>HAMMAM - THERMAL AREA 03 SECTIONS</t>
  </si>
  <si>
    <t>HAMMAM DETAILS</t>
  </si>
  <si>
    <t>SNOW ROOM - THERMAL AREA 03 PLANS</t>
  </si>
  <si>
    <t>SNOW ROOM - THERMAL AREA 03 SECTIONS</t>
  </si>
  <si>
    <t>SNOW ROOM DETAILS</t>
  </si>
  <si>
    <t>MECHANICAL ROOM - THERMAL AREA 01 DETAILS</t>
  </si>
  <si>
    <t>MECHANICAL ROOM - THERMAL AREA 02 DETAILS</t>
  </si>
  <si>
    <t>POOL</t>
  </si>
  <si>
    <t>W0.001</t>
  </si>
  <si>
    <t>GENERAL NOTES &amp; LEGENDS</t>
  </si>
  <si>
    <t>W0.002</t>
  </si>
  <si>
    <t>W1.000</t>
  </si>
  <si>
    <t>OVERALL SITE - EQUIPMENT ID &amp; UTILITY CONNECTIONS</t>
  </si>
  <si>
    <t>W1.001</t>
  </si>
  <si>
    <t>PARTIAL SITE 1 - EQUIPMENT ID &amp; UTILITY CONNECTIONS</t>
  </si>
  <si>
    <t>W1.002</t>
  </si>
  <si>
    <t>PARTIAL SITE 2 - EQUIPMENT ID &amp; UTILITY CONNECTIONS</t>
  </si>
  <si>
    <t>W1.003</t>
  </si>
  <si>
    <t>PARTIAL SITE 3 - EQUIPMENT ID &amp; UTILITY CONNECTIONS</t>
  </si>
  <si>
    <t>W1.004</t>
  </si>
  <si>
    <t>PARTIAL SITE 4 - EQUIPMENT ID &amp; UTILITY CONNECTIONS</t>
  </si>
  <si>
    <t>W1.005</t>
  </si>
  <si>
    <t>PARTIAL SITE 5 - EQUIPMENT ID &amp; UTILITY CONNECTIONS</t>
  </si>
  <si>
    <t>W2.000</t>
  </si>
  <si>
    <t>LAP POOL EQUIPMENT ID</t>
  </si>
  <si>
    <t>W2.010</t>
  </si>
  <si>
    <t>LAP POOL DIMENSIONS</t>
  </si>
  <si>
    <t>W2.020</t>
  </si>
  <si>
    <t>LAP POOL TANK (STRUCTURE)</t>
  </si>
  <si>
    <t>W2.021</t>
  </si>
  <si>
    <t>LAP POOL TANK (HYDRAULIC)</t>
  </si>
  <si>
    <t>W2.030</t>
  </si>
  <si>
    <t>LAP POOL SECTIONS</t>
  </si>
  <si>
    <t>W2.041</t>
  </si>
  <si>
    <t>LAP POOL GRAVITY PIPING</t>
  </si>
  <si>
    <t>W2.042</t>
  </si>
  <si>
    <t>LAP POOL FILTER PIPING</t>
  </si>
  <si>
    <t>W2.050</t>
  </si>
  <si>
    <t>SPA EQUIPMENT ID, DIMENSIONS &amp; SECTIONS</t>
  </si>
  <si>
    <t>W2.091</t>
  </si>
  <si>
    <t>SPA PIPING</t>
  </si>
  <si>
    <t>W2.100</t>
  </si>
  <si>
    <t>CASCADING WATER FEATURE EQUIPMENT ID</t>
  </si>
  <si>
    <t>W2.110</t>
  </si>
  <si>
    <t>CASCADING WATER FEATURE DIMENSIONS</t>
  </si>
  <si>
    <t>W2.120</t>
  </si>
  <si>
    <t>CASCADING WATER FEATURE SECTIONS</t>
  </si>
  <si>
    <t>W2.121</t>
  </si>
  <si>
    <t>W2.150</t>
  </si>
  <si>
    <t>MEN'S HOT &amp; COLD SPA EQUIPMENT ID</t>
  </si>
  <si>
    <t>W2.160</t>
  </si>
  <si>
    <t>MEN'S HOT SPA TANK</t>
  </si>
  <si>
    <t>W2.161</t>
  </si>
  <si>
    <t>MEN'S COLD SPA TANK</t>
  </si>
  <si>
    <t>W2.200</t>
  </si>
  <si>
    <t>WOMEN'S HOT &amp; COLD SPA EQUPMENT ID</t>
  </si>
  <si>
    <t>W2.210</t>
  </si>
  <si>
    <t>WOMEN'S HOT SPA TANK</t>
  </si>
  <si>
    <t>W2.211</t>
  </si>
  <si>
    <t>WOMEN'S COLD SPA TANK</t>
  </si>
  <si>
    <t>W2.300</t>
  </si>
  <si>
    <t>WATER GARDEN EQUIPMENT ID</t>
  </si>
  <si>
    <t>W2.310</t>
  </si>
  <si>
    <t>WATER GARDEN DIMENSIONS</t>
  </si>
  <si>
    <t>W2.320</t>
  </si>
  <si>
    <t>WATER GARDEN SECTIONS</t>
  </si>
  <si>
    <t>W2.350</t>
  </si>
  <si>
    <t>TREATMENT SPA 1 EQUIPMENT ID</t>
  </si>
  <si>
    <t>W2.370</t>
  </si>
  <si>
    <t>TREATMENT SPA 1 TANK</t>
  </si>
  <si>
    <t>W2.400</t>
  </si>
  <si>
    <t>TREATMENT SPA 2 EQUIPMENT ID</t>
  </si>
  <si>
    <t>W2.420</t>
  </si>
  <si>
    <t>TREATMENT SPA 2 TANK</t>
  </si>
  <si>
    <t>W2.450</t>
  </si>
  <si>
    <t>TREATMENT SPA 3 EQUIPMENT ID</t>
  </si>
  <si>
    <t>W2.470</t>
  </si>
  <si>
    <t>TREATMENT SPA 3 TANK</t>
  </si>
  <si>
    <t>W2.500</t>
  </si>
  <si>
    <t>WELLENSS SPA 1 EQUIPMENT ID</t>
  </si>
  <si>
    <t>W2.520</t>
  </si>
  <si>
    <t>WELLNESS SPA 1 TANK</t>
  </si>
  <si>
    <t>W2.541</t>
  </si>
  <si>
    <t>WELLNESS SPA 1 - PIPING</t>
  </si>
  <si>
    <t>W2.550</t>
  </si>
  <si>
    <t>WELLNESS SPA 2 EQUIPMENT ID</t>
  </si>
  <si>
    <t>W2.570</t>
  </si>
  <si>
    <t>WELLNESS SPA 2 TANK</t>
  </si>
  <si>
    <t>W2.591</t>
  </si>
  <si>
    <t>WELLNESS SPA 2 - PIPING</t>
  </si>
  <si>
    <t>W3.000</t>
  </si>
  <si>
    <t>MECHANICAL ROOM 1 EQUIPMENT ID</t>
  </si>
  <si>
    <t>W3.010</t>
  </si>
  <si>
    <t>MECHANICAL ROOM 1 DIMENSIONS &amp; HOSEKEEPING PADS</t>
  </si>
  <si>
    <t>W3.020</t>
  </si>
  <si>
    <t>MECHANICAL ROOM 1 PENETRATIONS</t>
  </si>
  <si>
    <t>W3.030</t>
  </si>
  <si>
    <t>LAP POOL PIPING DIAGRAM</t>
  </si>
  <si>
    <t>W3.040</t>
  </si>
  <si>
    <t>SPA PIPING DIAGRAM</t>
  </si>
  <si>
    <t>W3.100</t>
  </si>
  <si>
    <t>MECHANICAL ROOM 2 EQUIPMENT ID</t>
  </si>
  <si>
    <t>W3.110</t>
  </si>
  <si>
    <t>MECHANICAL ROOM 2 DIMENSIONS &amp; HOUSEKEEPING PADS</t>
  </si>
  <si>
    <t>W3.130</t>
  </si>
  <si>
    <t>WOMEN'S SPA PIPING DIAGRAM</t>
  </si>
  <si>
    <t>W3.140</t>
  </si>
  <si>
    <t>WOMEN'S COLD SPA PIPING DIAGRAM</t>
  </si>
  <si>
    <t>W3.150</t>
  </si>
  <si>
    <t>WELLNESS SPA 1 PIPING DIAGRAM</t>
  </si>
  <si>
    <t>WELLNESS SPA 2 PAIPING DIAGRAM</t>
  </si>
  <si>
    <t>W3.200</t>
  </si>
  <si>
    <t>MECHANICAL ROOM 3 EQUIPMENT ID</t>
  </si>
  <si>
    <t>W3.210</t>
  </si>
  <si>
    <t>MECHANICAL ROOM 3 DIMENSIONS &amp; HOUSEKEEPING PADS</t>
  </si>
  <si>
    <t>W3.220</t>
  </si>
  <si>
    <t>MECHANICAL ROOM 3 PENETRATIONS</t>
  </si>
  <si>
    <t>W3.230</t>
  </si>
  <si>
    <t>CASCADING WATER FEATURE PIPING DIAGRAM</t>
  </si>
  <si>
    <t>W3.300</t>
  </si>
  <si>
    <t>MECHANICAL ROOM 4 EQUIPMENT ID</t>
  </si>
  <si>
    <t>W3.310</t>
  </si>
  <si>
    <t>MCHANICAL ROOJM 4 DIMENSIONS &amp; HOUSEKEEPING PADS</t>
  </si>
  <si>
    <t>W3.330</t>
  </si>
  <si>
    <t>MEN'S SPA PIPING DIAGRAM</t>
  </si>
  <si>
    <t>W3.340</t>
  </si>
  <si>
    <t>MEN'S COLD SPA PIPING DIAGRAM</t>
  </si>
  <si>
    <t>W3.50</t>
  </si>
  <si>
    <t>WATER GARDEN PIPING DIAGRAM</t>
  </si>
  <si>
    <t>W3.360</t>
  </si>
  <si>
    <t>TREATMENT SPA 1 PIPING DIAGRAM</t>
  </si>
  <si>
    <t>W3.370</t>
  </si>
  <si>
    <t>TREATMENT SPA 2 PIPING DIAGRAM</t>
  </si>
  <si>
    <t>W3.380</t>
  </si>
  <si>
    <t>TREATMENT SPA 3 PIPING DIAGRAM</t>
  </si>
  <si>
    <t>W4.000</t>
  </si>
  <si>
    <t>ELECTRICAL GENERAL NOTES</t>
  </si>
  <si>
    <t>W4.010</t>
  </si>
  <si>
    <t>PARTIAL SITE 1 ELECTRICAL PLAN</t>
  </si>
  <si>
    <t>W4.011</t>
  </si>
  <si>
    <t>PARTIAL SITE 2 ELECTRICAL PLAN</t>
  </si>
  <si>
    <t>W4.012</t>
  </si>
  <si>
    <t>PARTIAL SITE 3 ELECTRICAL PLAN</t>
  </si>
  <si>
    <t>W4.013</t>
  </si>
  <si>
    <t>PARTIAL SITE 4 ELECTRICAL PLAN</t>
  </si>
  <si>
    <t>W4.014</t>
  </si>
  <si>
    <t>PARTIAL SITE 5 ELECTRICAL PLAN</t>
  </si>
  <si>
    <t>W4.030</t>
  </si>
  <si>
    <t>LAP POOL BONDING</t>
  </si>
  <si>
    <t>W4.040</t>
  </si>
  <si>
    <t>SPA BONDING</t>
  </si>
  <si>
    <t>W4.050</t>
  </si>
  <si>
    <t>CASCADING WATER FEATURE BONDING</t>
  </si>
  <si>
    <t>W4.060</t>
  </si>
  <si>
    <t>MEN'S COLD &amp; HOT SPA BONDING</t>
  </si>
  <si>
    <t>W4.080</t>
  </si>
  <si>
    <t>WOMEN'S COLD &amp; HOT SPA BONDING</t>
  </si>
  <si>
    <t>W4.110</t>
  </si>
  <si>
    <t>TREATMENT SPA 1 BONDING</t>
  </si>
  <si>
    <t>W4.120</t>
  </si>
  <si>
    <t>TREATMENT SPA 2 BONDING</t>
  </si>
  <si>
    <t>W4.130</t>
  </si>
  <si>
    <t>TREATMENT SPA 3 BONDING</t>
  </si>
  <si>
    <t>W4.140</t>
  </si>
  <si>
    <t>WELLNESS SPA 1 BONDING</t>
  </si>
  <si>
    <t>W4.150</t>
  </si>
  <si>
    <t>WELLNESS SPA 2 BONDING</t>
  </si>
  <si>
    <t>W4.240</t>
  </si>
  <si>
    <t>LAP POOL FUNCTIONAL BLOCK DIAGRAM</t>
  </si>
  <si>
    <t>W4.250</t>
  </si>
  <si>
    <t>SPA FUNCTIONAL BLOCK DIAGRAM</t>
  </si>
  <si>
    <t>W4.260</t>
  </si>
  <si>
    <t>CASCADING WATER FEATURE FUNCTIONAL BLOCK DIAGRAM</t>
  </si>
  <si>
    <t>W4.270</t>
  </si>
  <si>
    <t>MEN'S HOT SPA FUNCTIONAL BLOCK DIAGRAM</t>
  </si>
  <si>
    <t>W4.280</t>
  </si>
  <si>
    <t>MEN'S COLD SPA FUNCTIONAL BLOCK DIAGRAM</t>
  </si>
  <si>
    <t>W4.290</t>
  </si>
  <si>
    <t>WOMEN'S HOT SPA FUNCTIONAL BLOCK DIAGRAM</t>
  </si>
  <si>
    <t>W4.300</t>
  </si>
  <si>
    <t>WOMEN'S COLD SPA FUNCTIONAL BLOCK DIAGRAM</t>
  </si>
  <si>
    <t>W4.310</t>
  </si>
  <si>
    <t>WATER GARDEN FUNCTIONAL BLOCK DIAGRAM</t>
  </si>
  <si>
    <t>W4.320</t>
  </si>
  <si>
    <t>TREATMENT SPA 1 FUNCITONAL BLOCK DIAGRAM</t>
  </si>
  <si>
    <t>W4.330</t>
  </si>
  <si>
    <t>TREATMENT SPA 2 FUNCITONAL BLOCK DIAGRAM</t>
  </si>
  <si>
    <t>W4.340</t>
  </si>
  <si>
    <t>TREATMENT SPA 3 FUNCTIONAL BLOCK DIAGRAM</t>
  </si>
  <si>
    <t>W4.350</t>
  </si>
  <si>
    <t>WELLNESS SPA 1 FUNCTIONAL BLOCK DIAGRAM</t>
  </si>
  <si>
    <t>W4.360</t>
  </si>
  <si>
    <t>WELLNESS SPA 2 FUNCTIONAL BLOCK DIAGRAM</t>
  </si>
  <si>
    <t>W4.370</t>
  </si>
  <si>
    <t>ROOM 1 SINGLE LINE DIAGRAM</t>
  </si>
  <si>
    <t>W4.371</t>
  </si>
  <si>
    <t>W4.380</t>
  </si>
  <si>
    <t>ROOM 2 SINGLE LINE DIAGRAM</t>
  </si>
  <si>
    <t>W4.381</t>
  </si>
  <si>
    <t>W4.382</t>
  </si>
  <si>
    <t>W4.390</t>
  </si>
  <si>
    <t>ROOM 3 SINGLE LINE DIAGRAM</t>
  </si>
  <si>
    <t>W4.410</t>
  </si>
  <si>
    <t>ROOM 4 SINGLE LINE DIAGRAM</t>
  </si>
  <si>
    <t>W4.411</t>
  </si>
  <si>
    <t>W4.412</t>
  </si>
  <si>
    <t>W4.413</t>
  </si>
  <si>
    <t>W4.414</t>
  </si>
  <si>
    <t>W4.420</t>
  </si>
  <si>
    <t>ROOM 1 PANEL SCHEDULES</t>
  </si>
  <si>
    <t>W4.430</t>
  </si>
  <si>
    <t>ROOM 2 PANEL SCHEUDLES</t>
  </si>
  <si>
    <t>W4.440</t>
  </si>
  <si>
    <t>ROOM 3 PANEL SCHEUDLES</t>
  </si>
  <si>
    <t>W4.450</t>
  </si>
  <si>
    <t>ROOM 4 PANEL SCHEUDLES</t>
  </si>
  <si>
    <t>W4.460</t>
  </si>
  <si>
    <t>ROOM 1 ELECTRICAL EQUIPMENT SCHEDULES</t>
  </si>
  <si>
    <t>W4.470</t>
  </si>
  <si>
    <t>ROOM 2 ELECTRICAL EQUIPMENT SCHEDULES</t>
  </si>
  <si>
    <t>W4.480</t>
  </si>
  <si>
    <t>ROOM 3 ELECTRICAL EQUIPMENT SCHEDULES</t>
  </si>
  <si>
    <t>W4.490</t>
  </si>
  <si>
    <t>ROOM 4 ELECTRICAL EQUIPMENT SCHEDULES</t>
  </si>
  <si>
    <t>W5.000</t>
  </si>
  <si>
    <t>DETAILS (SITE)</t>
  </si>
  <si>
    <t>W5.001</t>
  </si>
  <si>
    <t>W5.010</t>
  </si>
  <si>
    <t>DETAILS (STRUCTURE)</t>
  </si>
  <si>
    <t>W5.011</t>
  </si>
  <si>
    <t>W5.012</t>
  </si>
  <si>
    <t>W5.013</t>
  </si>
  <si>
    <t>W5.014</t>
  </si>
  <si>
    <t>W5.015</t>
  </si>
  <si>
    <t>W5.020</t>
  </si>
  <si>
    <t>DETAILS (FEATURE)</t>
  </si>
  <si>
    <t>W5.021</t>
  </si>
  <si>
    <t>W5.022</t>
  </si>
  <si>
    <t>W5.023</t>
  </si>
  <si>
    <t>DETAILS (FINISHES)</t>
  </si>
  <si>
    <t>W5.024</t>
  </si>
  <si>
    <t>W5.025</t>
  </si>
  <si>
    <t>W5.030</t>
  </si>
  <si>
    <t>DETAILS (MECH)</t>
  </si>
  <si>
    <t>W5.031</t>
  </si>
  <si>
    <t>W5.032</t>
  </si>
  <si>
    <t>W5.033</t>
  </si>
  <si>
    <t>W6.000</t>
  </si>
  <si>
    <t>EQUIPMENT SCHEUDLES</t>
  </si>
  <si>
    <t>W6.001</t>
  </si>
  <si>
    <t>LANDSCAPE</t>
  </si>
  <si>
    <t>L0.00</t>
  </si>
  <si>
    <t>L1.00</t>
  </si>
  <si>
    <t>OVERALL SITE PLAN</t>
  </si>
  <si>
    <t>L1.00A</t>
  </si>
  <si>
    <t>NO TITLE</t>
  </si>
  <si>
    <t>L1.00B</t>
  </si>
  <si>
    <t>L1.01</t>
  </si>
  <si>
    <t>SITE PLAN ENLARGEMENT</t>
  </si>
  <si>
    <t>L1.02</t>
  </si>
  <si>
    <t>L1.03</t>
  </si>
  <si>
    <t>L1.04</t>
  </si>
  <si>
    <t>L2.00</t>
  </si>
  <si>
    <t>FINE GRADING OVERALL</t>
  </si>
  <si>
    <t>L2.01</t>
  </si>
  <si>
    <t>L2.02</t>
  </si>
  <si>
    <t>L2.03</t>
  </si>
  <si>
    <t>L2.04</t>
  </si>
  <si>
    <t>L3.01</t>
  </si>
  <si>
    <t>L3.03</t>
  </si>
  <si>
    <t>L3.04</t>
  </si>
  <si>
    <t>L3.05</t>
  </si>
  <si>
    <t>L3.06</t>
  </si>
  <si>
    <t>L3.07</t>
  </si>
  <si>
    <t>L3.10</t>
  </si>
  <si>
    <t>L3.11</t>
  </si>
  <si>
    <t>L3.12</t>
  </si>
  <si>
    <t>L4.00</t>
  </si>
  <si>
    <t>CLUB CORE LIGHTING PLAN</t>
  </si>
  <si>
    <t>L4.01</t>
  </si>
  <si>
    <t>CLUB CORE LIGHTING PLAN ENLARGEMENT</t>
  </si>
  <si>
    <t>L4.02</t>
  </si>
  <si>
    <t>L4.03</t>
  </si>
  <si>
    <t>L4.04</t>
  </si>
  <si>
    <t>L4.05</t>
  </si>
  <si>
    <t>CLUB CORE LIGHTING PLAN SCHEDULE</t>
  </si>
  <si>
    <t>IR-001</t>
  </si>
  <si>
    <t>OVERALL LANDSCAPE PLAN</t>
  </si>
  <si>
    <t>IR-100</t>
  </si>
  <si>
    <t>OVERALL IRRIGATION PLAN</t>
  </si>
  <si>
    <t>IR-101</t>
  </si>
  <si>
    <t>IRRIGATION DEVELOPMENT PLAN</t>
  </si>
  <si>
    <t>IR-102</t>
  </si>
  <si>
    <t>IR-103</t>
  </si>
  <si>
    <t>IR-104</t>
  </si>
  <si>
    <t>IR-105</t>
  </si>
  <si>
    <t>IR-106</t>
  </si>
  <si>
    <t>IR-107</t>
  </si>
  <si>
    <t>IR-108</t>
  </si>
  <si>
    <t>IR-109</t>
  </si>
  <si>
    <t>IR-110</t>
  </si>
  <si>
    <t>IR-111</t>
  </si>
  <si>
    <t>IR-112</t>
  </si>
  <si>
    <t>IR-113</t>
  </si>
  <si>
    <t>IR-114</t>
  </si>
  <si>
    <t>IR-115</t>
  </si>
  <si>
    <t>IR-116</t>
  </si>
  <si>
    <t>IR-117</t>
  </si>
  <si>
    <t>IRRIGATION DETAILS</t>
  </si>
  <si>
    <t>IR-118</t>
  </si>
  <si>
    <t>LP-100</t>
  </si>
  <si>
    <t>LP-101</t>
  </si>
  <si>
    <t>LANDSCAPE DEVELOPMENT PLAN</t>
  </si>
  <si>
    <t>LP-102</t>
  </si>
  <si>
    <t>LP-103</t>
  </si>
  <si>
    <t>LP-104</t>
  </si>
  <si>
    <t>LP-106</t>
  </si>
  <si>
    <t>LP-107</t>
  </si>
  <si>
    <t>LP-1-8</t>
  </si>
  <si>
    <t>LP-109</t>
  </si>
  <si>
    <t>LP-110</t>
  </si>
  <si>
    <t>LP-111</t>
  </si>
  <si>
    <t>LP-112</t>
  </si>
  <si>
    <t>LP-113</t>
  </si>
  <si>
    <t>LP-114</t>
  </si>
  <si>
    <t>LP-115</t>
  </si>
  <si>
    <t>LP-116</t>
  </si>
  <si>
    <t>CLUB CORE PLANT LIST</t>
  </si>
  <si>
    <t>LP-201</t>
  </si>
  <si>
    <t>LANDSCAPE SPECIFICATION SHEET</t>
  </si>
  <si>
    <t>DOCK BAR</t>
  </si>
  <si>
    <t>LIFE SAFETY &amp; CODE PLANS</t>
  </si>
  <si>
    <t>LIFE SAFETY PLAN</t>
  </si>
  <si>
    <t>AREA PLANS &amp; ROOM SCHEDULE</t>
  </si>
  <si>
    <t>ASSEMBLIES - ROOFS, CEILING, FLOORS</t>
  </si>
  <si>
    <t>ASSEMBLIES - EXTERIOR WALLS</t>
  </si>
  <si>
    <t>A0.35</t>
  </si>
  <si>
    <t>DOOR SCHEDULE</t>
  </si>
  <si>
    <t>SITE PLAN</t>
  </si>
  <si>
    <t>LEVEL 01 - FLOOR PLAN</t>
  </si>
  <si>
    <t>LEVEL 01 - SPECIAL CONDITION FLOOR PLAN</t>
  </si>
  <si>
    <t>LEVEL 01 - ENLARGED FLOOR PLAN</t>
  </si>
  <si>
    <t>ROOF PLAN</t>
  </si>
  <si>
    <t>A2.05</t>
  </si>
  <si>
    <t>EXTERIOR ELEVATIONS</t>
  </si>
  <si>
    <t>BUILDING SECTIONS</t>
  </si>
  <si>
    <t>WALL SECTIONS</t>
  </si>
  <si>
    <t>LEVEL 01 - RCP</t>
  </si>
  <si>
    <t>A6.02</t>
  </si>
  <si>
    <t>LEVEL 01 - ENLARGED RCP</t>
  </si>
  <si>
    <t>EXTERIOR DETAILS</t>
  </si>
  <si>
    <t>GENERAL SPECIFICATIONS</t>
  </si>
  <si>
    <t>FOUNDATION PLAN</t>
  </si>
  <si>
    <t>S-102</t>
  </si>
  <si>
    <t>ROOF FRAMING PLAN</t>
  </si>
  <si>
    <t>DESIGN LOADS</t>
  </si>
  <si>
    <t>S-301</t>
  </si>
  <si>
    <t>SECTIONS</t>
  </si>
  <si>
    <t>S-302</t>
  </si>
  <si>
    <t>S-303</t>
  </si>
  <si>
    <t>M001.60</t>
  </si>
  <si>
    <t>M002.60</t>
  </si>
  <si>
    <t>M101.60</t>
  </si>
  <si>
    <t>MECHANICAL PLAN - DOCK BAR</t>
  </si>
  <si>
    <t>M102.60</t>
  </si>
  <si>
    <t>MECHANICAL PIPING - DOCK BAR</t>
  </si>
  <si>
    <t>M401.60</t>
  </si>
  <si>
    <t>M501.60</t>
  </si>
  <si>
    <t>M601.60</t>
  </si>
  <si>
    <t>E001.60</t>
  </si>
  <si>
    <t>ELECTRICAL COVER SHEET - DOCK</t>
  </si>
  <si>
    <t>E160.60</t>
  </si>
  <si>
    <t>ELECTRICAL PLAN - DOCK</t>
  </si>
  <si>
    <t>E161.60</t>
  </si>
  <si>
    <t>LIGHTING AND LIGHTING CONTROLS PLAN - DOCK BAR</t>
  </si>
  <si>
    <t>E170.60</t>
  </si>
  <si>
    <t>E175.60</t>
  </si>
  <si>
    <t>E180.60</t>
  </si>
  <si>
    <t>ELECTRICAL RISER DIAGRAM AND SCHEDULES</t>
  </si>
  <si>
    <t>E300.60</t>
  </si>
  <si>
    <t>E400.60</t>
  </si>
  <si>
    <t>P001.02</t>
  </si>
  <si>
    <t>P101.02</t>
  </si>
  <si>
    <t>UNDERDECK PLUMBING - DOCK BAR</t>
  </si>
  <si>
    <t>P102.02</t>
  </si>
  <si>
    <t>GRAVITY PIPING-DOCK BAR</t>
  </si>
  <si>
    <t>P103.02</t>
  </si>
  <si>
    <t>PRESSURE PIPING - DOCK BAR</t>
  </si>
  <si>
    <t>P501.02</t>
  </si>
  <si>
    <t>P502.02</t>
  </si>
  <si>
    <t>P601.02</t>
  </si>
  <si>
    <t>P602.02</t>
  </si>
  <si>
    <t>FOOD SERVICE</t>
  </si>
  <si>
    <t>FS1511</t>
  </si>
  <si>
    <t>FOODSERVICE LEVEL 01 DOCK BAR EQUIPMENT PLAN</t>
  </si>
  <si>
    <t>FS1512</t>
  </si>
  <si>
    <t>FOODSERVICE LEVEL 01 DOCK BAR BUILDING CONDITIONS PLAN</t>
  </si>
  <si>
    <t>FS1513</t>
  </si>
  <si>
    <t>FOODSERVICE LEVEL 01 DOCK BAR PLUMBING ROUGH-IN PLAN</t>
  </si>
  <si>
    <t>FS1514</t>
  </si>
  <si>
    <t>FS1521</t>
  </si>
  <si>
    <t>FOODSERVICE LEVEL 01 DOCK BAR ELEVATIONS</t>
  </si>
  <si>
    <t>AV</t>
  </si>
  <si>
    <t>AUDIO VISUAL REFLECTED CEILING - DOCK BAR</t>
  </si>
  <si>
    <t>INTERIOR DESIGN</t>
  </si>
  <si>
    <t>ENLARGED FINISH PLAN</t>
  </si>
  <si>
    <t>DETAILS</t>
  </si>
  <si>
    <t>LEVEL 00 DOCK FLOOR PLAN</t>
  </si>
  <si>
    <t>ID-2.01</t>
  </si>
  <si>
    <t>LEVEL 00 DOCK RCP</t>
  </si>
  <si>
    <t>ID-3.01</t>
  </si>
  <si>
    <t>LEVEL 00 DOCK FINISH PLAN</t>
  </si>
  <si>
    <t>ID-4.01</t>
  </si>
  <si>
    <t>LEVEL 00 DOCK FURNITURE &amp; POWER PLAN</t>
  </si>
  <si>
    <t>DOCK RR'S ENLARGED PLAN</t>
  </si>
  <si>
    <t>INTERIOR ELEVATIONS</t>
  </si>
  <si>
    <t>BAR DETAILS</t>
  </si>
  <si>
    <t>ID-6.03</t>
  </si>
  <si>
    <t>BATHROOM VANITY</t>
  </si>
  <si>
    <t>WALL, FLOOR &amp; DOOR DETAILS</t>
  </si>
  <si>
    <t>12/32/24</t>
  </si>
  <si>
    <t>SPA PODS</t>
  </si>
  <si>
    <t>ENLARGED LIFE SAFETY PLAN</t>
  </si>
  <si>
    <t>ASSEMBLIES - ROOF, CEILINGS, WALLS, FLOORS</t>
  </si>
  <si>
    <t>EXTERIOR DOOR &amp; WINDOW ELEVATIONS</t>
  </si>
  <si>
    <t>LEVEL 01 - FLOOR PLANS</t>
  </si>
  <si>
    <t>LEVEL 01 - SPECIAL CONDITION FLOOR PLANS</t>
  </si>
  <si>
    <t>LEVEL 01 - ENLARGED FLOOR PLAN 01</t>
  </si>
  <si>
    <t>LEVEL 01 - ENLARGED FLOOR PLAN 02</t>
  </si>
  <si>
    <t>ROOF PLANS</t>
  </si>
  <si>
    <t>A2.06</t>
  </si>
  <si>
    <t>LEVEL 01 - ENLARGED RCP 01</t>
  </si>
  <si>
    <t>A6.03</t>
  </si>
  <si>
    <t>LEVEL 01 - ENLARGED RCP 02</t>
  </si>
  <si>
    <t>A8.10</t>
  </si>
  <si>
    <t>EXTERIOR DETAILS - SLAT WALL</t>
  </si>
  <si>
    <t>FOUNDATIONS PLAN</t>
  </si>
  <si>
    <t>ROOF FRAMING PLANS</t>
  </si>
  <si>
    <t>WIND LOADS &amp; TYPICAL DETAILS</t>
  </si>
  <si>
    <t>M001.40</t>
  </si>
  <si>
    <t>M002.40</t>
  </si>
  <si>
    <t>M101.42</t>
  </si>
  <si>
    <t>OVERALL MECHANICAL PLAN - TREATMENT PAVILIONS</t>
  </si>
  <si>
    <t>M102.42</t>
  </si>
  <si>
    <t>MECHANICAL PLAN - TREATMENT PAVILIONS</t>
  </si>
  <si>
    <t>M103.42</t>
  </si>
  <si>
    <t>M104.42</t>
  </si>
  <si>
    <t>M401.40</t>
  </si>
  <si>
    <t>M402.40</t>
  </si>
  <si>
    <t>M403.40</t>
  </si>
  <si>
    <t>M501.40</t>
  </si>
  <si>
    <t>M502.40</t>
  </si>
  <si>
    <t>M601.40</t>
  </si>
  <si>
    <t>E001.40</t>
  </si>
  <si>
    <t>ELECTRICAL COVER SHEET - SPA PODS</t>
  </si>
  <si>
    <t>E101.41</t>
  </si>
  <si>
    <t>ELECTRICAL SITE PLAN - SPA PODS</t>
  </si>
  <si>
    <t>E150.42</t>
  </si>
  <si>
    <t>ELECTRICAL PLAN - SPA PODS1</t>
  </si>
  <si>
    <t>E151.42</t>
  </si>
  <si>
    <t>LIGHTING PLAN - SPA PODS1</t>
  </si>
  <si>
    <t>E152.42</t>
  </si>
  <si>
    <t>LIGHTING CONTROLS PLAN - SPA PODS1</t>
  </si>
  <si>
    <t>E155.52</t>
  </si>
  <si>
    <t>ELECTRICAL PLAN - SPA PODS2</t>
  </si>
  <si>
    <t>E156.52</t>
  </si>
  <si>
    <t>LIGHTING PLAN - SPA PODS2</t>
  </si>
  <si>
    <t>E157.52</t>
  </si>
  <si>
    <t>LIGHTING CONTROLS PLAN - SPA PODS2</t>
  </si>
  <si>
    <t>E160.52</t>
  </si>
  <si>
    <t>ELECTRICAL PLAN - SPA PODS3</t>
  </si>
  <si>
    <t>E161.53</t>
  </si>
  <si>
    <t>LIGHTING PLAN - SPA PODS3</t>
  </si>
  <si>
    <t>E162.53</t>
  </si>
  <si>
    <t>LIGHT CONTROLS PLAN - SPA PODS3</t>
  </si>
  <si>
    <t>E170.40</t>
  </si>
  <si>
    <t>E175.40</t>
  </si>
  <si>
    <t>E180.40</t>
  </si>
  <si>
    <t>E181.40</t>
  </si>
  <si>
    <t>E300.40</t>
  </si>
  <si>
    <t>P001.01</t>
  </si>
  <si>
    <t>P100.01</t>
  </si>
  <si>
    <t>TREATMENT PAVILIONS SITE PLAN</t>
  </si>
  <si>
    <t>P101.01</t>
  </si>
  <si>
    <t>P501.01</t>
  </si>
  <si>
    <t>P601.01</t>
  </si>
  <si>
    <t>LEVEL 01 - ENLARGED FINISH PLAN @ COMFORT STATION</t>
  </si>
  <si>
    <t>12.20/24</t>
  </si>
  <si>
    <t>LEVEL 01 - ENLARGED KEY PLAN @ COMFORT STATION</t>
  </si>
  <si>
    <t>L01 - COMFORT STATION - INTERIOR ELEVATIONS</t>
  </si>
  <si>
    <t>L01 - COMFORT STATION - INTERIOR FINISH SCHEDULES/NOTES</t>
  </si>
  <si>
    <t>L01 - COMFORT STATION - INTERIOR DETAILS</t>
  </si>
  <si>
    <t>SPA GARDEN OVERALL PLAN</t>
  </si>
  <si>
    <t>DOUBLE &amp; ADA TREATMENT PAVILION FLOOR PLANS</t>
  </si>
  <si>
    <t>MASSAGE &amp; SINGLE TREATMENT PAVILION FLOOR PLANS</t>
  </si>
  <si>
    <t>MEDITATION PAVILION &amp; COMFORT STATION FLOOR PLAN</t>
  </si>
  <si>
    <t>DOUBLE &amp; ADA TREATMENT PAVILION RCP</t>
  </si>
  <si>
    <t>MASSAGE &amp; SINGLE TREATMENT PAVILION RCP</t>
  </si>
  <si>
    <t>DOUBLE &amp; ADA TREATMENTPAVILION FINISH PLANS</t>
  </si>
  <si>
    <t>MASSAGE &amp; SINGLE TREATMENT PAVILION FINISH PLANS</t>
  </si>
  <si>
    <t>MEDITATION PAVILION &amp; COMFORT STATION FINISH PLANS</t>
  </si>
  <si>
    <t>DOUBLE &amp;ADA TREATMENT PAVILION FURNITURE &amp; POWER PLAN</t>
  </si>
  <si>
    <t>ID4.12</t>
  </si>
  <si>
    <t>MASSAGE &amp; SINGLE TREATMENT PAVILION FURNITURE &amp; POWER PLAN</t>
  </si>
  <si>
    <t>ID4.13</t>
  </si>
  <si>
    <t>MEDITATION PAVILION &amp; COMFORT STATION FURNITURE &amp; POWER PLAN</t>
  </si>
  <si>
    <t>SPA PODS MILLWORK ENLARGE PLAN/ELEVATIONS</t>
  </si>
  <si>
    <t>SPA PODS MILLWORK DETAILS</t>
  </si>
  <si>
    <t>VANITY MILLWORK DETAILS</t>
  </si>
  <si>
    <t>WALL/DOOR DETAILS</t>
  </si>
  <si>
    <t>FLOOR TRANSITION DTLS</t>
  </si>
  <si>
    <t>CEILING DETAILS</t>
  </si>
  <si>
    <t>Final updates to the Bid Package Drawings</t>
  </si>
  <si>
    <t>rec  03.07.25</t>
  </si>
  <si>
    <t>Second installment of responses to Bid questions</t>
  </si>
  <si>
    <t>rec  02.19.25</t>
  </si>
  <si>
    <t>First installment of responses to Bid questions</t>
  </si>
  <si>
    <t>rec  01.31.25</t>
  </si>
  <si>
    <t>List of Subcontractors</t>
  </si>
  <si>
    <t>NO.</t>
  </si>
  <si>
    <t>CSI DIV</t>
  </si>
  <si>
    <t>NAME</t>
  </si>
  <si>
    <t>Hedrick / A-1 Industries</t>
  </si>
  <si>
    <t>Subcontractor Proposal Count</t>
  </si>
  <si>
    <t>CSI DESCRIPTION</t>
  </si>
  <si>
    <t># SOLICITED</t>
  </si>
  <si>
    <t># RECEIVED</t>
  </si>
  <si>
    <t>NOTES</t>
  </si>
  <si>
    <t>Surveying</t>
  </si>
  <si>
    <t>Only solicited from Velcon Engineering and Surveying</t>
  </si>
  <si>
    <t>Concrete &amp; CMU</t>
  </si>
  <si>
    <t>Stone Veneer</t>
  </si>
  <si>
    <t>Structural Steel</t>
  </si>
  <si>
    <t>Handrails &amp; Railings - Metal</t>
  </si>
  <si>
    <t>Interior &amp; Exterior Architectural Metals</t>
  </si>
  <si>
    <t>Mostly allowances, 1 quote for dining stair</t>
  </si>
  <si>
    <t>Rough Carpentry</t>
  </si>
  <si>
    <t>Truss quotes</t>
  </si>
  <si>
    <t>Exterior Finish Carpentry</t>
  </si>
  <si>
    <t>1 for exterior siding, 1 for Ipe decking</t>
  </si>
  <si>
    <t>Waterproofing &amp; Caulking</t>
  </si>
  <si>
    <t>Insulation - Spray Foam</t>
  </si>
  <si>
    <t>Roofing</t>
  </si>
  <si>
    <t>Doors, Frames, &amp; Hardware</t>
  </si>
  <si>
    <t>Late issuance of total revison of door schedule caused 2 others to back out</t>
  </si>
  <si>
    <t>Roll-Up Insect Screens</t>
  </si>
  <si>
    <t>Overhead Coiling Doors</t>
  </si>
  <si>
    <t>Storefront / Glass</t>
  </si>
  <si>
    <t>Skylights</t>
  </si>
  <si>
    <t>Stucco</t>
  </si>
  <si>
    <t>Plaster</t>
  </si>
  <si>
    <t>Drywall / Framing</t>
  </si>
  <si>
    <t>Tile Work, Tile &amp; Stone Flooring</t>
  </si>
  <si>
    <t>Resinous Flooring</t>
  </si>
  <si>
    <t>Acoustical Ceilings</t>
  </si>
  <si>
    <t>Flooring</t>
  </si>
  <si>
    <t>Wood Flooring</t>
  </si>
  <si>
    <t>Painting</t>
  </si>
  <si>
    <t>Demountable Partitions</t>
  </si>
  <si>
    <t>Did not receive specification or confimation of locations</t>
  </si>
  <si>
    <t>Specialties</t>
  </si>
  <si>
    <t>Fireplace</t>
  </si>
  <si>
    <t>Lockers</t>
  </si>
  <si>
    <t>Only 2 manufactueres specified</t>
  </si>
  <si>
    <t>Signage</t>
  </si>
  <si>
    <t>Allowance</t>
  </si>
  <si>
    <t>Canopy</t>
  </si>
  <si>
    <t>Food Service &amp; Laundry Equipment</t>
  </si>
  <si>
    <t>All but 1 sub backed out due to equipment supply by others</t>
  </si>
  <si>
    <t>Appliances</t>
  </si>
  <si>
    <t>Window Treatments</t>
  </si>
  <si>
    <t>Swimming Pool, Spas &amp; Water Features</t>
  </si>
  <si>
    <t>Spa Rooms: Steam, Sauna, Hammam, Snow Room</t>
  </si>
  <si>
    <t>Only Design for Leisure can provide their product</t>
  </si>
  <si>
    <t>Elevators</t>
  </si>
  <si>
    <t>Specified as Otis</t>
  </si>
  <si>
    <t>Linen Chute</t>
  </si>
  <si>
    <t xml:space="preserve">Fire Protection Systems </t>
  </si>
  <si>
    <t>HVAC</t>
  </si>
  <si>
    <t xml:space="preserve">Electrical </t>
  </si>
  <si>
    <t>Structured Cabling</t>
  </si>
  <si>
    <t>Audio Visual Systems</t>
  </si>
  <si>
    <t>BDA System</t>
  </si>
  <si>
    <t>Electronic Security &amp; Safety Systems</t>
  </si>
  <si>
    <t>Sitework</t>
  </si>
  <si>
    <t>Only solicited from Guettler Brothers</t>
  </si>
  <si>
    <t>Soil Stabilization</t>
  </si>
  <si>
    <t>Not enough info provided to bid.</t>
  </si>
  <si>
    <t>Hardscape - Walls</t>
  </si>
  <si>
    <t>All allowances</t>
  </si>
  <si>
    <t>Hardscape - Pavers &amp; Stone</t>
  </si>
  <si>
    <t>Fencing &amp; Gates</t>
  </si>
  <si>
    <t>Most fence subs will only bid aluminum.</t>
  </si>
  <si>
    <t>Landscaping &amp; Irrigation</t>
  </si>
  <si>
    <t>VALUE</t>
  </si>
  <si>
    <t>03 30 00</t>
  </si>
  <si>
    <t>Note S-200 - Contractor Shall Include In His Base Bid The Cost Of 5 Tons Of Additional Reinforcing Steel, Including Detailing, Fabrication, Bending, Furnishing, And Placing. This Extra Stock Shall Be Furnished And Used For Special Conditions As Directed By The Architect, The Architect'S Agent Or By The Owner'S Construction Supervisor. The Price Of The Unused Extra Stock Shall Be Credited To The Owner'S Account.</t>
  </si>
  <si>
    <t>zss</t>
  </si>
  <si>
    <t>05 10 00</t>
  </si>
  <si>
    <t>Structural Steel Shown Not Sized</t>
  </si>
  <si>
    <t>Steel framing at opening for Pergola - S-131</t>
  </si>
  <si>
    <t>Steel shown on architectural plans only</t>
  </si>
  <si>
    <t>Steel allowance for arch/struct steel not coordinated, incomplete drawings.</t>
  </si>
  <si>
    <t xml:space="preserve">Spec section 05 12 00 - 3.8 - A.  --- All Steel to received SSPC-SP10 Blast &amp; Carbo Zinc II HS Coating </t>
  </si>
  <si>
    <t xml:space="preserve">Note S-200 - Contractor Shall Include In His Base Bid The Cost Of 10,000 Pounds Of Additional Structural Steel (Members Over 10 Lbs. Per Foot) And 10,000 Pounds Of Miscellaneous Steel (Members 10 Lbs. Per Foot Or Less) Including Furnishing, Detailing, Fabrication, Cleaning, Painting, Delivery And Erection. </t>
  </si>
  <si>
    <t>Spa Pods - Steel shown on architectural plans only</t>
  </si>
  <si>
    <t>Facilitate steel erection - Crane access before lake fill? Crane barge? CANNOT MAKE FINAL DETERMININATION UNTIL BASE STRUCTURE IS COMPLETE AND WE UNDERSTAND EXISTING CONDITIONS.</t>
  </si>
  <si>
    <t>05 70 00</t>
  </si>
  <si>
    <t>Ribbon Canopy - Decorative steel angle w/ high performance finish - not enough detail</t>
  </si>
  <si>
    <t>Club Core - Exterior metal plate cladding - MT-01 - not enough detail</t>
  </si>
  <si>
    <t>Club Core - Exterior metal plate cladding at planters - MT-01 &amp; MT-04 - not enough detail</t>
  </si>
  <si>
    <t>Club Core - Misc metal plate trim - not enough detail</t>
  </si>
  <si>
    <t>Dock Bar - MT--05 misc metal plate trim - not enough detail</t>
  </si>
  <si>
    <t>Spa Pods - MT--05 misc metal plate trim - not enough detail</t>
  </si>
  <si>
    <t>06 40 00</t>
  </si>
  <si>
    <t>Club Core Dining - Mechanical Yard Screen. Need WD-11 spec</t>
  </si>
  <si>
    <t>Club Core Dining - soffit - Port Cochere - Details incomplete</t>
  </si>
  <si>
    <t>Club Core Fitness  - WD-06: Trellis - overhang - Details incomplete</t>
  </si>
  <si>
    <t>Wellness WD-06: Trellis - lower roof overhang - Details incomplete</t>
  </si>
  <si>
    <t>Wellness WD-06: Trellis - upper roof overhang - Details incomplete</t>
  </si>
  <si>
    <t>Fitness Pool Cabanas - No dimensions</t>
  </si>
  <si>
    <t>06 50 00</t>
  </si>
  <si>
    <t>Club Core Dinning - Banquettes (D-008 &amp; D-102)</t>
  </si>
  <si>
    <t>Club Core Wellness - Stainless-Steel cabinets for Cart wash and prep stations</t>
  </si>
  <si>
    <t>07 50 00</t>
  </si>
  <si>
    <t>Ribbon Canopy gutters - no detail - assume aluminum</t>
  </si>
  <si>
    <t>Ribbon Canopy downspouts? - no detail - assume aluminum</t>
  </si>
  <si>
    <t>08 10 00</t>
  </si>
  <si>
    <t>Aluminum - Custom Engineered - Stacked Panel Shutter - no details</t>
  </si>
  <si>
    <t>08 50 00</t>
  </si>
  <si>
    <t>Glass Railings - conflicting details, missing detail</t>
  </si>
  <si>
    <t>10 22 00</t>
  </si>
  <si>
    <t>Demountable Partitions - Dining - specifications &amp; locations not provided</t>
  </si>
  <si>
    <t>Demountable Partitions - Wellness - specifications &amp; locations not provided</t>
  </si>
  <si>
    <t>10 51 00</t>
  </si>
  <si>
    <t>Employee Lockers - RFI response changed type - no spec provided</t>
  </si>
  <si>
    <t>10 53 00</t>
  </si>
  <si>
    <t>Interior &amp; Exterior Signage - sizes, locations, types not provided</t>
  </si>
  <si>
    <t>10 73 00</t>
  </si>
  <si>
    <t>Retractable Awning Canopy - A6.30 - Skybar</t>
  </si>
  <si>
    <t>12 20 00</t>
  </si>
  <si>
    <t>Drapery track only - propvide and install - spec not provided</t>
  </si>
  <si>
    <t>Roller Shades - installation of power supplies, wiring &amp; controls - not shown on electrical or lighting control drawings</t>
  </si>
  <si>
    <t>13 11 00</t>
  </si>
  <si>
    <t>Rock/stone within water feature &amp; surounding rock - material not specified</t>
  </si>
  <si>
    <t>Water Feature at Dining Entrance - no details</t>
  </si>
  <si>
    <t>13 12 00</t>
  </si>
  <si>
    <t>Design for Leisure spas - Lighting controls - nothing shown</t>
  </si>
  <si>
    <t>14 00 00</t>
  </si>
  <si>
    <t>FOH Cab finishes - ID-6.90 - details vague , assume for FOH cabs only</t>
  </si>
  <si>
    <t>22 00 00</t>
  </si>
  <si>
    <t>ID Manual plumbing fixtures - ID Manual and plumbing drawings fixture schedule are not coordinated</t>
  </si>
  <si>
    <t>Plumbing for Wellness spa rooms not shown on plumbing plans</t>
  </si>
  <si>
    <t>Laundry Equipment - plumbing - drawings incomplete</t>
  </si>
  <si>
    <t>23 00 00</t>
  </si>
  <si>
    <t>Cooling options for Snow Room - see sheet 16 of Spa Model plans - no options shown on HVAC plans for providing service</t>
  </si>
  <si>
    <t>26 00 00</t>
  </si>
  <si>
    <t>Site Lighting \ Landscape Lighting - electrical site lighting plans are incomplete. Fixture location plans that are part of Hardscape Lighting Plans are incomplete.</t>
  </si>
  <si>
    <t>32 14 00</t>
  </si>
  <si>
    <t>Hardscape - Concrete Retaining Walls - no structural details - assume 12" depth footing cover.</t>
  </si>
  <si>
    <t>Hardscape - French drain at retaining walls - no details</t>
  </si>
  <si>
    <t>Hardscape - Pier for gate detail - no structural details - 8" CMU?</t>
  </si>
  <si>
    <t>Hardscape - Pool Condenser Enclosure - no structural details - 8" CMU?</t>
  </si>
  <si>
    <t>Hardscape - Concrete apron at Amphitheater - 6" - no structural details</t>
  </si>
  <si>
    <t>Hardscape - Concrete apron (wall?) at Dining stairs - no details</t>
  </si>
  <si>
    <t>Hardscape - Stone Veneer - Irregular Florida Keystone - full thickness - 3" to 4" -  not able to accurately determine wall heights and stone exposure</t>
  </si>
  <si>
    <t>32 31 00</t>
  </si>
  <si>
    <t>Fence &amp; Gates - Wood Pool Enclosure Gate - no detail or dimensions</t>
  </si>
  <si>
    <t>32 80 00</t>
  </si>
  <si>
    <t>Landscape - Root barrier - need to confirm locations</t>
  </si>
  <si>
    <t>Total</t>
  </si>
  <si>
    <t>Hard Bid - Cost Summary</t>
  </si>
  <si>
    <t>CSI</t>
  </si>
  <si>
    <t>Club Core</t>
  </si>
  <si>
    <t>Dock &amp; Bar</t>
  </si>
  <si>
    <t>Spa Pods</t>
  </si>
  <si>
    <t>Hardscape,  Landscape &amp; Water Features</t>
  </si>
  <si>
    <t>Site Work</t>
  </si>
  <si>
    <t>$/SF</t>
  </si>
  <si>
    <t>02 21 00</t>
  </si>
  <si>
    <t>04 40 00</t>
  </si>
  <si>
    <t>05 52 00</t>
  </si>
  <si>
    <t>Handrails &amp; Railings</t>
  </si>
  <si>
    <t>06 10 00</t>
  </si>
  <si>
    <t>07 17 00</t>
  </si>
  <si>
    <t>07 21 00</t>
  </si>
  <si>
    <t>Insulation</t>
  </si>
  <si>
    <t>07 81 00</t>
  </si>
  <si>
    <t>08 10 70</t>
  </si>
  <si>
    <t>08 11 00</t>
  </si>
  <si>
    <t>08 33 00</t>
  </si>
  <si>
    <t>08 60 00</t>
  </si>
  <si>
    <t>09 24 00</t>
  </si>
  <si>
    <t>09 26 00</t>
  </si>
  <si>
    <t>09 29 00</t>
  </si>
  <si>
    <t>09 30 00</t>
  </si>
  <si>
    <t>09 41 00</t>
  </si>
  <si>
    <t>09 51 00</t>
  </si>
  <si>
    <t>09 60 00</t>
  </si>
  <si>
    <t>09 64 00</t>
  </si>
  <si>
    <t>09 90 00</t>
  </si>
  <si>
    <t>10 28 00</t>
  </si>
  <si>
    <t>10 30 00</t>
  </si>
  <si>
    <t>11 40 00</t>
  </si>
  <si>
    <t>14 91 00</t>
  </si>
  <si>
    <t>21 13 00</t>
  </si>
  <si>
    <t>27 10 00</t>
  </si>
  <si>
    <t>27 40 00</t>
  </si>
  <si>
    <t>27 50 00</t>
  </si>
  <si>
    <t>28 10 00</t>
  </si>
  <si>
    <t>31 30 10</t>
  </si>
  <si>
    <t>31 32 00</t>
  </si>
  <si>
    <t>35 00 00</t>
  </si>
  <si>
    <t>Marine (Pier &amp; Dock) Construction</t>
  </si>
  <si>
    <t>(by others)</t>
  </si>
  <si>
    <t xml:space="preserve"> SUB-TOTAL 1 (Cost of Work) Building</t>
  </si>
  <si>
    <t>GC Contingency</t>
  </si>
  <si>
    <t xml:space="preserve"> SUB-TOTAL 2 (Contingencies)</t>
  </si>
  <si>
    <t>General Conditions</t>
  </si>
  <si>
    <t>General Requirements</t>
  </si>
  <si>
    <t>Procore Expense</t>
  </si>
  <si>
    <t>Inspections, Testing</t>
  </si>
  <si>
    <t>By Owner</t>
  </si>
  <si>
    <t>Permits</t>
  </si>
  <si>
    <t>Builders Risk Insurance &amp; Deductibles</t>
  </si>
  <si>
    <t>Subcontractor Default Insurance</t>
  </si>
  <si>
    <t>General Liability Insurance</t>
  </si>
  <si>
    <t>SUB-TOTAL 3 (Bonds, Insurances, &amp; GC's)</t>
  </si>
  <si>
    <t>GC Fee (OH&amp;P)</t>
  </si>
  <si>
    <t xml:space="preserve">ESTIMATE TOTAL </t>
  </si>
  <si>
    <t>GSF</t>
  </si>
  <si>
    <t>Cost per sf</t>
  </si>
  <si>
    <t xml:space="preserve">Contract Reference </t>
  </si>
  <si>
    <t>General Condition Ref.</t>
  </si>
  <si>
    <t xml:space="preserve">Construction </t>
  </si>
  <si>
    <t xml:space="preserve">Activity </t>
  </si>
  <si>
    <t xml:space="preserve">Start </t>
  </si>
  <si>
    <t xml:space="preserve">Finish </t>
  </si>
  <si>
    <t>Days</t>
  </si>
  <si>
    <t xml:space="preserve">Weeks </t>
  </si>
  <si>
    <t xml:space="preserve">Months </t>
  </si>
  <si>
    <t>% Time</t>
  </si>
  <si>
    <t xml:space="preserve">Remarks </t>
  </si>
  <si>
    <t xml:space="preserve">Close Out </t>
  </si>
  <si>
    <t>General Req. - Field Office</t>
  </si>
  <si>
    <t>General Req.</t>
  </si>
  <si>
    <t xml:space="preserve">Total </t>
  </si>
  <si>
    <t xml:space="preserve">Description </t>
  </si>
  <si>
    <t>Qty.</t>
  </si>
  <si>
    <t>U</t>
  </si>
  <si>
    <t>Unit  Cost</t>
  </si>
  <si>
    <t>Const.</t>
  </si>
  <si>
    <t xml:space="preserve">Unit </t>
  </si>
  <si>
    <t xml:space="preserve">General </t>
  </si>
  <si>
    <t>LABOR RATE                  FY 2025               *Updated 09.26.24</t>
  </si>
  <si>
    <t xml:space="preserve">Cost </t>
  </si>
  <si>
    <t>Cond.</t>
  </si>
  <si>
    <t>Req.</t>
  </si>
  <si>
    <t xml:space="preserve">Field Labor - Construction </t>
  </si>
  <si>
    <t xml:space="preserve">Project Executive </t>
  </si>
  <si>
    <t>wks</t>
  </si>
  <si>
    <t>Senior Project Manager</t>
  </si>
  <si>
    <t>Project Manager - Level 2</t>
  </si>
  <si>
    <t>Project Manager - Level 1</t>
  </si>
  <si>
    <t>Project Administator</t>
  </si>
  <si>
    <t>Project Accountant</t>
  </si>
  <si>
    <t xml:space="preserve">Assistant Project Manager </t>
  </si>
  <si>
    <t>Superintendent - Level 3</t>
  </si>
  <si>
    <t>Superintendent - Level 2</t>
  </si>
  <si>
    <t>Superintendent - Level 1</t>
  </si>
  <si>
    <t>Assistant Superinterndent</t>
  </si>
  <si>
    <t>Quality Control Manager</t>
  </si>
  <si>
    <t>Foreman</t>
  </si>
  <si>
    <t xml:space="preserve"> </t>
  </si>
  <si>
    <t xml:space="preserve">Accounting </t>
  </si>
  <si>
    <t xml:space="preserve">VDC Manager </t>
  </si>
  <si>
    <t>Safety Supervisor/Inspector</t>
  </si>
  <si>
    <t xml:space="preserve">Field Labor - Close Out </t>
  </si>
  <si>
    <t>Project Manager - Level 3</t>
  </si>
  <si>
    <t xml:space="preserve">Field Office - Contractor </t>
  </si>
  <si>
    <t>Field Office Set Up / Removal - Double Wide</t>
  </si>
  <si>
    <t>ea</t>
  </si>
  <si>
    <t>`</t>
  </si>
  <si>
    <t>Field Office - Double Wide</t>
  </si>
  <si>
    <t>mos</t>
  </si>
  <si>
    <t>Field Office Set Up / Removal - Single Wide</t>
  </si>
  <si>
    <t>WILLSCOT 4/16/2024 (36x10 mobile office)</t>
  </si>
  <si>
    <t>Field Office - Single Wide</t>
  </si>
  <si>
    <t>Field Office Set Up / Removal - Connex</t>
  </si>
  <si>
    <t>WILLSCOT 20' COMBO W/10' OFFICE</t>
  </si>
  <si>
    <t>Field Office - Conex</t>
  </si>
  <si>
    <t>Connect Telephone Lines</t>
  </si>
  <si>
    <t xml:space="preserve">Telephone </t>
  </si>
  <si>
    <t>Cellular Telephones</t>
  </si>
  <si>
    <t>In labor rates</t>
  </si>
  <si>
    <t xml:space="preserve">Furniture </t>
  </si>
  <si>
    <t>ls</t>
  </si>
  <si>
    <t>Office Supplies</t>
  </si>
  <si>
    <t>Drinking Water</t>
  </si>
  <si>
    <t>Janitor Supplies/Cleaning</t>
  </si>
  <si>
    <t xml:space="preserve">Computers </t>
  </si>
  <si>
    <t xml:space="preserve">Printers </t>
  </si>
  <si>
    <t>Copy Machine</t>
  </si>
  <si>
    <t xml:space="preserve">Alarm System </t>
  </si>
  <si>
    <t>Offsite Storage</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</si>
  <si>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</si>
  <si>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</si>
  <si>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</si>
  <si>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</si>
  <si>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</si>
  <si>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</si>
  <si>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</si>
  <si>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</si>
  <si>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</si>
  <si>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</si>
  <si>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</si>
  <si>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 xml:space="preserve">Installation Office Equip. </t>
  </si>
  <si>
    <t>Temporary Utilities</t>
  </si>
  <si>
    <t xml:space="preserve">Temp. Electrical Service </t>
  </si>
  <si>
    <t>Temp. Electrical - Const. Phase</t>
  </si>
  <si>
    <t>Temp.  Electrical - Operate Phase</t>
  </si>
  <si>
    <t xml:space="preserve">by owner </t>
  </si>
  <si>
    <t>Temp. Wiring &amp; Lighting</t>
  </si>
  <si>
    <t>sf</t>
  </si>
  <si>
    <t xml:space="preserve">by elect sub </t>
  </si>
  <si>
    <t>Temporary Water - Service</t>
  </si>
  <si>
    <t xml:space="preserve">Temporary Water  </t>
  </si>
  <si>
    <t>Temporary Toilets</t>
  </si>
  <si>
    <t>Rate - $350 ea per month</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</si>
  <si>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</si>
  <si>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</si>
  <si>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</si>
  <si>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</si>
  <si>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</si>
  <si>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</si>
  <si>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</si>
  <si>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</si>
  <si>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</si>
  <si>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Shuttle</t>
  </si>
  <si>
    <t>Engineering Instruments</t>
  </si>
  <si>
    <t xml:space="preserve">Security </t>
  </si>
  <si>
    <t>Temporary Fence - 6' Post Driven w/ windscreen</t>
  </si>
  <si>
    <t>lf</t>
  </si>
  <si>
    <t>West Side only</t>
  </si>
  <si>
    <t>Temporary Fence - 8' Post Driven w/ windscreen</t>
  </si>
  <si>
    <t>Temporary Fence - 6' Panels w/ windscreen</t>
  </si>
  <si>
    <t>Temporary Fence - 8' Panels w/ windscreen</t>
  </si>
  <si>
    <t>Temporary Fence - Gates 8'x24'</t>
  </si>
  <si>
    <t xml:space="preserve">Temporary Fence Maintain </t>
  </si>
  <si>
    <t>Security</t>
  </si>
  <si>
    <t>Additional Safety Material/Modifications</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</si>
  <si>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</si>
  <si>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</si>
  <si>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</si>
  <si>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</si>
  <si>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</si>
  <si>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</si>
  <si>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</si>
  <si>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</si>
  <si>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</si>
  <si>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Trash Removal - 20yd dumpsters</t>
  </si>
  <si>
    <t>Trash Removal - 30yd dumpsters</t>
  </si>
  <si>
    <t>$650/Pull - every 2 weeks</t>
  </si>
  <si>
    <t xml:space="preserve">Trash Removal - Field Offices </t>
  </si>
  <si>
    <t xml:space="preserve">General Building Cleaning </t>
  </si>
  <si>
    <t xml:space="preserve">Final Building Clean </t>
  </si>
  <si>
    <t xml:space="preserve">Services </t>
  </si>
  <si>
    <t xml:space="preserve">CMP Schedule - Set Up </t>
  </si>
  <si>
    <t>Call Assaf Newmark (Spectrum Consulting) to confirm 404-819-4663</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</si>
  <si>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</si>
  <si>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</si>
  <si>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</si>
  <si>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</si>
  <si>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</si>
  <si>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By site team</t>
  </si>
  <si>
    <t>Progress Photos Bldg. - Aerial</t>
  </si>
  <si>
    <t>Final Photos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</si>
  <si>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</si>
  <si>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</si>
  <si>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</si>
  <si>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</si>
  <si>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</si>
  <si>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</si>
  <si>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</si>
  <si>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</si>
  <si>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</si>
  <si>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</si>
  <si>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</si>
  <si>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</si>
  <si>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</si>
  <si>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</si>
  <si>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</si>
  <si>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</si>
  <si>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</si>
  <si>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</si>
  <si>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</si>
  <si>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</si>
  <si>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Hotel</t>
  </si>
  <si>
    <t>Per Diem</t>
  </si>
  <si>
    <t xml:space="preserve">Other </t>
  </si>
  <si>
    <t xml:space="preserve">Project Sign </t>
  </si>
  <si>
    <t xml:space="preserve">Temporary Parking </t>
  </si>
  <si>
    <t>Legal Notices</t>
  </si>
  <si>
    <t>Total GCs</t>
  </si>
  <si>
    <t>Total GRs</t>
  </si>
  <si>
    <t>Total GCs &amp; GRs</t>
  </si>
  <si>
    <t>Hedrick Plug</t>
  </si>
  <si>
    <t>X</t>
  </si>
  <si>
    <t>Excluded</t>
  </si>
  <si>
    <t>I</t>
  </si>
  <si>
    <t>Included</t>
  </si>
  <si>
    <t>BACK TO SUMMARY SHEET</t>
  </si>
  <si>
    <t>Sub Add/Deduct</t>
  </si>
  <si>
    <t xml:space="preserve">Project: </t>
  </si>
  <si>
    <t>Company</t>
  </si>
  <si>
    <t>Velcon Engineering and Surveying</t>
  </si>
  <si>
    <t>Trade:</t>
  </si>
  <si>
    <t>Contact</t>
  </si>
  <si>
    <t>CSI Code:</t>
  </si>
  <si>
    <t>Phone</t>
  </si>
  <si>
    <t>Date:</t>
  </si>
  <si>
    <t xml:space="preserve">Email </t>
  </si>
  <si>
    <t>Adjusted Bid</t>
  </si>
  <si>
    <t>BID DOCUMENTS:</t>
  </si>
  <si>
    <t>Plan/ Spec. Package</t>
  </si>
  <si>
    <t>QTY</t>
  </si>
  <si>
    <t>U/M</t>
  </si>
  <si>
    <t>Unit Cost</t>
  </si>
  <si>
    <t>Subtotal</t>
  </si>
  <si>
    <t>Yes/No</t>
  </si>
  <si>
    <t>Price</t>
  </si>
  <si>
    <t>GENERAL INCLUSIONS</t>
  </si>
  <si>
    <t>INCLUDES ALL SALES TAX</t>
  </si>
  <si>
    <t>ALL HOISTING &amp; RIGGING REQUIRED TO COMPLETE THIS SCOPE</t>
  </si>
  <si>
    <t>PROVIDE P&amp;P BONDS</t>
  </si>
  <si>
    <t>FLORIDA STATE CONTRACTORS LIC.</t>
  </si>
  <si>
    <t>GENERAL LIABILITY AND WORKERS COMP. INSURANCE LIMITS</t>
  </si>
  <si>
    <t>STATE AND LOCAL TAXES</t>
  </si>
  <si>
    <t>SPECIFIC TRADE SCOPE OF WORK REQUIREMENTS</t>
  </si>
  <si>
    <t>BASE BID</t>
  </si>
  <si>
    <t>Set up digital files</t>
  </si>
  <si>
    <t>Calculations</t>
  </si>
  <si>
    <t>Verify horizontal and vertical control</t>
  </si>
  <si>
    <t xml:space="preserve">Building foundations layout </t>
  </si>
  <si>
    <t>FEMA Certificate</t>
  </si>
  <si>
    <t>Final as-built survey</t>
  </si>
  <si>
    <t>Pool &amp; Spas</t>
  </si>
  <si>
    <t>Dock Bar - NA</t>
  </si>
  <si>
    <t>Base structure will already be in place</t>
  </si>
  <si>
    <t>Hardsacape</t>
  </si>
  <si>
    <t>Retaining walls</t>
  </si>
  <si>
    <t>Paths &amp; Sidewalks</t>
  </si>
  <si>
    <t>Water Features</t>
  </si>
  <si>
    <t>SUBTOTAL</t>
  </si>
  <si>
    <t>BOND RATE</t>
  </si>
  <si>
    <t>BOND AMOUNT</t>
  </si>
  <si>
    <t xml:space="preserve">ADJUSTED TOTAL </t>
  </si>
  <si>
    <t>Cost per SF</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</si>
  <si>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</si>
  <si>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</si>
  <si>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</si>
  <si>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</si>
  <si>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</si>
  <si>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</si>
  <si>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</si>
  <si>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</si>
  <si>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</si>
  <si>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</si>
  <si>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</si>
  <si>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</si>
  <si>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</si>
  <si>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</si>
  <si>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Base Bid</t>
  </si>
  <si>
    <t>Need Prequalification</t>
  </si>
  <si>
    <t>Prequalified</t>
  </si>
  <si>
    <t>PREQUALIFIED? (If not, add Sub Bond)</t>
  </si>
  <si>
    <t>YES</t>
  </si>
  <si>
    <t>NO</t>
  </si>
  <si>
    <t>Victory Concrete</t>
  </si>
  <si>
    <t>Construction Trade Part</t>
  </si>
  <si>
    <t>Proshell</t>
  </si>
  <si>
    <t>Starlite Building Serv</t>
  </si>
  <si>
    <t>Cook Shell</t>
  </si>
  <si>
    <t>Ron Kendal</t>
  </si>
  <si>
    <t xml:space="preserve">Pate Construction </t>
  </si>
  <si>
    <t>Jeff Grebla</t>
  </si>
  <si>
    <t>David Webster</t>
  </si>
  <si>
    <t xml:space="preserve">Julien Beauregard </t>
  </si>
  <si>
    <t>Sean Williams</t>
  </si>
  <si>
    <t>Elias Morales</t>
  </si>
  <si>
    <t>Christopher Markley</t>
  </si>
  <si>
    <t>Jason Tartaglia</t>
  </si>
  <si>
    <t>(561) 227-9577</t>
  </si>
  <si>
    <t>(561) 441-9752</t>
  </si>
  <si>
    <t>(561) 889-0405</t>
  </si>
  <si>
    <t>(561) 719-7607</t>
  </si>
  <si>
    <t xml:space="preserve">(772) 247-7150 </t>
  </si>
  <si>
    <t>(754) 233-1319</t>
  </si>
  <si>
    <t>(561) 261-7473</t>
  </si>
  <si>
    <t>jsgrebla@vconcreteco.com</t>
  </si>
  <si>
    <t>davew@ctpflorida.com</t>
  </si>
  <si>
    <t>julien@proshellconstruction.com</t>
  </si>
  <si>
    <t>starlitebuildingservices.com</t>
  </si>
  <si>
    <t>EMorales@cookshellcontractors.com</t>
  </si>
  <si>
    <t>cmarkley@ronkm.com</t>
  </si>
  <si>
    <t>jason.tartaglia@pateformwork.com</t>
  </si>
  <si>
    <t>i</t>
  </si>
  <si>
    <t>Dining</t>
  </si>
  <si>
    <t>Beams</t>
  </si>
  <si>
    <t>cy</t>
  </si>
  <si>
    <t>DB-1</t>
  </si>
  <si>
    <t>2' 8"</t>
  </si>
  <si>
    <t>CY</t>
  </si>
  <si>
    <t>DTB-1</t>
  </si>
  <si>
    <t>2' 0"</t>
  </si>
  <si>
    <t>DTB-2</t>
  </si>
  <si>
    <t>Columns</t>
  </si>
  <si>
    <t>DC-1 to 14-11"</t>
  </si>
  <si>
    <t>14' 11"</t>
  </si>
  <si>
    <t>EA</t>
  </si>
  <si>
    <t>DC-1 to 14-2"</t>
  </si>
  <si>
    <t>14' 2"</t>
  </si>
  <si>
    <t>DC-1 to 17'-0"</t>
  </si>
  <si>
    <t>17' 0"</t>
  </si>
  <si>
    <t>DC-2  to 14'-2"</t>
  </si>
  <si>
    <t>DC-2  to 17'-0"</t>
  </si>
  <si>
    <t>DC-3 to14'-11"</t>
  </si>
  <si>
    <t>DCP-1 to 2'-0"</t>
  </si>
  <si>
    <t>DCP-2 to 17'-0"</t>
  </si>
  <si>
    <t>Walls</t>
  </si>
  <si>
    <t>DCW-1 to 17'-0"</t>
  </si>
  <si>
    <t>Footings</t>
  </si>
  <si>
    <t>DF140.24</t>
  </si>
  <si>
    <t>DF180150</t>
  </si>
  <si>
    <t>3' 0"</t>
  </si>
  <si>
    <t>DF200150</t>
  </si>
  <si>
    <t>DF40.12</t>
  </si>
  <si>
    <t>1' 0"</t>
  </si>
  <si>
    <t>DF45 - Dining Port C</t>
  </si>
  <si>
    <t>1' 4"</t>
  </si>
  <si>
    <t>DF50</t>
  </si>
  <si>
    <t>1' 2"</t>
  </si>
  <si>
    <t>DF60</t>
  </si>
  <si>
    <t>DF65</t>
  </si>
  <si>
    <t>DF70</t>
  </si>
  <si>
    <t>DF85</t>
  </si>
  <si>
    <t>1' 6"</t>
  </si>
  <si>
    <t>DF95</t>
  </si>
  <si>
    <t>1' 8"</t>
  </si>
  <si>
    <t>DFXXX.24</t>
  </si>
  <si>
    <t>Planters</t>
  </si>
  <si>
    <t>Dining Level 1</t>
  </si>
  <si>
    <t>see 4/A8.11, /A4.01, A2.20 outside</t>
  </si>
  <si>
    <t>see 4/A8.11, /A4.01, A2.20 inside</t>
  </si>
  <si>
    <t>Dining Level 2</t>
  </si>
  <si>
    <t>see 2/8.11, 2/A4.00,  A2.30 front</t>
  </si>
  <si>
    <t>see 2/8.11, 2/A4.00,  A2.30 rear</t>
  </si>
  <si>
    <t>see 2/A4.03,  A2.30</t>
  </si>
  <si>
    <t>Fitness</t>
  </si>
  <si>
    <t>FB-1</t>
  </si>
  <si>
    <t>FB-2</t>
  </si>
  <si>
    <t>FB-3</t>
  </si>
  <si>
    <t>FB-4</t>
  </si>
  <si>
    <t>2' 9"</t>
  </si>
  <si>
    <t>FB-5</t>
  </si>
  <si>
    <t>2' 6"</t>
  </si>
  <si>
    <t>FB-6</t>
  </si>
  <si>
    <t>FTB-1</t>
  </si>
  <si>
    <t>FTB-2</t>
  </si>
  <si>
    <t>3' 6"</t>
  </si>
  <si>
    <t>FTB-3</t>
  </si>
  <si>
    <t>FTB-5</t>
  </si>
  <si>
    <t>FC-1 to 16-7"</t>
  </si>
  <si>
    <t>16' 7"</t>
  </si>
  <si>
    <t>FC-2 to 16-7"</t>
  </si>
  <si>
    <t>FC-3 to 16-7"</t>
  </si>
  <si>
    <t>FC-4 to 16-7"</t>
  </si>
  <si>
    <t>FCP-1 to 2'-0"</t>
  </si>
  <si>
    <t>FCW-1 to 17'-0"</t>
  </si>
  <si>
    <t>FCW-2 to 17'-0"</t>
  </si>
  <si>
    <t>FF20.12</t>
  </si>
  <si>
    <t>FF25.12</t>
  </si>
  <si>
    <t>FF30.12</t>
  </si>
  <si>
    <t>FF45</t>
  </si>
  <si>
    <t>FF50</t>
  </si>
  <si>
    <t>FF55</t>
  </si>
  <si>
    <t>FF70120</t>
  </si>
  <si>
    <t>FF75</t>
  </si>
  <si>
    <t>FFXXX.24</t>
  </si>
  <si>
    <t>0"</t>
  </si>
  <si>
    <t>SF</t>
  </si>
  <si>
    <t>Wellness</t>
  </si>
  <si>
    <t>WB - 01</t>
  </si>
  <si>
    <t>WB - 04</t>
  </si>
  <si>
    <t>WB - 05</t>
  </si>
  <si>
    <t>WB - 06</t>
  </si>
  <si>
    <t>WB - 07</t>
  </si>
  <si>
    <t>WB - 08</t>
  </si>
  <si>
    <t>WB - 08" x 58"</t>
  </si>
  <si>
    <t>4' 10"</t>
  </si>
  <si>
    <t>WB - 11</t>
  </si>
  <si>
    <t>WB - 12</t>
  </si>
  <si>
    <t>2' 3"</t>
  </si>
  <si>
    <t>WB - 12" x 58"</t>
  </si>
  <si>
    <t>WB - 13</t>
  </si>
  <si>
    <t>WC-2 to 17'-0"</t>
  </si>
  <si>
    <t>WC-3 to 13'-3"</t>
  </si>
  <si>
    <t>13' 3"</t>
  </si>
  <si>
    <t>WC-3 to 15'-0"</t>
  </si>
  <si>
    <t>15' 0"</t>
  </si>
  <si>
    <t>WC-3 to 17'-0"</t>
  </si>
  <si>
    <t>WC-4 to 13'-3"</t>
  </si>
  <si>
    <t>WC-4 to 15'-0"</t>
  </si>
  <si>
    <t>WC-4 to 17'-0"</t>
  </si>
  <si>
    <t>WC-5 to 15'-0"</t>
  </si>
  <si>
    <t>WC-5 to 17'-0"</t>
  </si>
  <si>
    <t>WC-6 to 17'-0"</t>
  </si>
  <si>
    <t>WC-7 to 17'-0"</t>
  </si>
  <si>
    <t>WCP-2 to 17'-0"</t>
  </si>
  <si>
    <t>WCW-1 to 15'-0"</t>
  </si>
  <si>
    <t>WCW-1 to 17'-0"</t>
  </si>
  <si>
    <t>WF100</t>
  </si>
  <si>
    <t>WF120</t>
  </si>
  <si>
    <t>2' 4"</t>
  </si>
  <si>
    <t>WF120.24</t>
  </si>
  <si>
    <t>WF140.24</t>
  </si>
  <si>
    <t>WF20.12</t>
  </si>
  <si>
    <t>WF40.12</t>
  </si>
  <si>
    <t>WF40.14</t>
  </si>
  <si>
    <t>WF4070</t>
  </si>
  <si>
    <t>WF45</t>
  </si>
  <si>
    <t>WF50</t>
  </si>
  <si>
    <t>WF50.14</t>
  </si>
  <si>
    <t>WF50.18</t>
  </si>
  <si>
    <t>WF70</t>
  </si>
  <si>
    <t>WF75</t>
  </si>
  <si>
    <t>WF90</t>
  </si>
  <si>
    <t>WFXXX.18</t>
  </si>
  <si>
    <t>WFXXX.20</t>
  </si>
  <si>
    <t>WFXXX.24</t>
  </si>
  <si>
    <t>WFXXX.30</t>
  </si>
  <si>
    <t>Wellness Level 2</t>
  </si>
  <si>
    <t>see 2/A8.16,  A/4.10, A2.31</t>
  </si>
  <si>
    <t>All Buildings</t>
  </si>
  <si>
    <t>W elev slab - 14"</t>
  </si>
  <si>
    <t>W elev slab - 16"</t>
  </si>
  <si>
    <t>W elev slab - 20"</t>
  </si>
  <si>
    <t>W Drop Cap - 30"</t>
  </si>
  <si>
    <t>elev slab 8" - tunnel lid</t>
  </si>
  <si>
    <t>SOD 8" - tunnel lid</t>
  </si>
  <si>
    <t>elev slab 8" - Dining roof</t>
  </si>
  <si>
    <t>SOF 8"</t>
  </si>
  <si>
    <t>SOD 5" on metal deck</t>
  </si>
  <si>
    <t>SOD 5"</t>
  </si>
  <si>
    <t>SOG 4"</t>
  </si>
  <si>
    <t>SOG 5"</t>
  </si>
  <si>
    <t>All Buildings - Concrete stairs</t>
  </si>
  <si>
    <t>Stair Landing 8" - 01</t>
  </si>
  <si>
    <t>10' 1"</t>
  </si>
  <si>
    <t>Stair Landing 8" - 02</t>
  </si>
  <si>
    <t>Stair Landing 8" - 03</t>
  </si>
  <si>
    <t>Stair Landing 8" - 04</t>
  </si>
  <si>
    <t>Stairs 8" - 01</t>
  </si>
  <si>
    <t>4' 0"</t>
  </si>
  <si>
    <t>Stairs 8" - 02</t>
  </si>
  <si>
    <t>Stairs 8" - 03</t>
  </si>
  <si>
    <t>Stairs 8" - 04</t>
  </si>
  <si>
    <t>All Buildings - Depressed slab - perimiter of depression</t>
  </si>
  <si>
    <t>Slab Depression - 1"</t>
  </si>
  <si>
    <t>Slab Depression - 2"</t>
  </si>
  <si>
    <t>Slab Depression - 7"</t>
  </si>
  <si>
    <t>All Buildings - 8" CMU</t>
  </si>
  <si>
    <t>CMU - 08" to 3'-10" D-114 Out Door Dining</t>
  </si>
  <si>
    <t>CMU - 08" to 13'-3"</t>
  </si>
  <si>
    <t>(unassigned)</t>
  </si>
  <si>
    <t>CMU - 08" to 14'-11"</t>
  </si>
  <si>
    <t>CMU - 08" to 14'-2"</t>
  </si>
  <si>
    <t>CMU - 08" to 15'-0"</t>
  </si>
  <si>
    <t>CMU - 08" to 16'-7"</t>
  </si>
  <si>
    <t>CMU - 08" to 17'-0"</t>
  </si>
  <si>
    <t>CMU - 08" to 7'-0"</t>
  </si>
  <si>
    <t>7' 0"</t>
  </si>
  <si>
    <t>CMU - 08" to 8'-0"</t>
  </si>
  <si>
    <t>8' 0"</t>
  </si>
  <si>
    <t>All Buildings - 12" CMU</t>
  </si>
  <si>
    <t>CMU - 12" to 13'-3"</t>
  </si>
  <si>
    <t>CMU - 12" to 14'-11"</t>
  </si>
  <si>
    <t>CMU - 12" to 14'-2"</t>
  </si>
  <si>
    <t>CMU - 12" to 15'-0"</t>
  </si>
  <si>
    <t>CMU - 12" to 16'-11"</t>
  </si>
  <si>
    <t>16' 11"</t>
  </si>
  <si>
    <t>CMU - 12" to 16'-7"</t>
  </si>
  <si>
    <t>CMU - 12" to 17'-0"</t>
  </si>
  <si>
    <t>Geofoam</t>
  </si>
  <si>
    <t>Infill - 5"</t>
  </si>
  <si>
    <t>Tie beams in all ext CMU wall at each level</t>
  </si>
  <si>
    <t xml:space="preserve">S-123 - </t>
  </si>
  <si>
    <t>27/S-403.3 - conc tie beam</t>
  </si>
  <si>
    <t xml:space="preserve">S-133 - </t>
  </si>
  <si>
    <t>4/S-403.1 - 8" conc parapet</t>
  </si>
  <si>
    <t>Wet cure of Wellness level 00 slab</t>
  </si>
  <si>
    <t>Shoring</t>
  </si>
  <si>
    <t>Placement of embeds</t>
  </si>
  <si>
    <t>Termite treatment</t>
  </si>
  <si>
    <t>Back fill at complete foundations</t>
  </si>
  <si>
    <t xml:space="preserve">Excavate for footings </t>
  </si>
  <si>
    <t>Back fill around footings &amp; bring grade up to bottom of slab elevation - 26'-5"</t>
  </si>
  <si>
    <t>Move footing spoils form site</t>
  </si>
  <si>
    <t>cf</t>
  </si>
  <si>
    <t>Note - PROVIDE VANDEX AM-10 ADMIXTURE TO ALL EXTERIOR CONCRETE WALLS, EXPOSED CONCRETE SLABS, AND STRUCTURAL SLABS BELOW GRADE.</t>
  </si>
  <si>
    <t>Note - FOR BALCONIES, SLABS AND WALKWAYS EXPOSED TO WEATHER ALL REINFORCING STEEL SHALL BE GALVANIZED</t>
  </si>
  <si>
    <t>Note - Wellness Level 00 SOG - WET CURED FOR A MINIMUM OF ONE WEEK. CONTROL JOINTS TO BE CUT WITHIN 24 HRS OF SLAB PLACEMENT AND G.C. IS TO PROVIDE A CERTIFICATION LETTER AND PHOTOS OF THE WET CURING PROCESS CONFIRMING THAT THE SLAB WAS WET-CURED AND CONTROL JOINTS INSTALLED PER THIS NOTE.</t>
  </si>
  <si>
    <t>ton</t>
  </si>
  <si>
    <t>Dock Bar</t>
  </si>
  <si>
    <t>Concrete</t>
  </si>
  <si>
    <t>column - C-1</t>
  </si>
  <si>
    <t>column - C-2</t>
  </si>
  <si>
    <t>beam - B-1</t>
  </si>
  <si>
    <t>beam - TB-1</t>
  </si>
  <si>
    <t>beam - TB-1 racked</t>
  </si>
  <si>
    <t>CMU</t>
  </si>
  <si>
    <t>8" to 12'-10"</t>
  </si>
  <si>
    <t>Precast Lintel</t>
  </si>
  <si>
    <t>PL-1 - 8x8</t>
  </si>
  <si>
    <t>PL-2 - 8x16</t>
  </si>
  <si>
    <t>Do not include piers, beams, concreete deck</t>
  </si>
  <si>
    <t>topping Slab</t>
  </si>
  <si>
    <t>consideration of working on isolated platform</t>
  </si>
  <si>
    <t>BOH &amp; Comfort Station</t>
  </si>
  <si>
    <t>Massage Treatment Pavilion</t>
  </si>
  <si>
    <t>Meditation Pavilion</t>
  </si>
  <si>
    <t>Double Treatment Pavilion</t>
  </si>
  <si>
    <t>Single Treatment Pavilion</t>
  </si>
  <si>
    <t>Footing - F20.12</t>
  </si>
  <si>
    <t>Footing - F40</t>
  </si>
  <si>
    <t>Column - C-1 to 11'</t>
  </si>
  <si>
    <t>Column - C-2 to 11'</t>
  </si>
  <si>
    <t>Column - C-3 to 11'</t>
  </si>
  <si>
    <t>Beam - B-1</t>
  </si>
  <si>
    <t>Beam - B-2</t>
  </si>
  <si>
    <t>Beam - TB-1</t>
  </si>
  <si>
    <t>Knee Wall - 10" x 16"</t>
  </si>
  <si>
    <t>8" to 11'</t>
  </si>
  <si>
    <t>SUBTOTAL Base Bid</t>
  </si>
  <si>
    <t>Titan Stone</t>
  </si>
  <si>
    <t xml:space="preserve">Marbon Stone </t>
  </si>
  <si>
    <t>Palm Beach Stone</t>
  </si>
  <si>
    <t>Precision Stone</t>
  </si>
  <si>
    <t>Matthew Teston</t>
  </si>
  <si>
    <t>Paul Vassalotti</t>
  </si>
  <si>
    <t>William Thayer</t>
  </si>
  <si>
    <t xml:space="preserve">Pamela Van Dina </t>
  </si>
  <si>
    <t>(954) 662-2553</t>
  </si>
  <si>
    <t xml:space="preserve">(561) 727-8377 </t>
  </si>
  <si>
    <t xml:space="preserve">(561) 835-4085  </t>
  </si>
  <si>
    <t>(516) 997-6190 ext. 117</t>
  </si>
  <si>
    <t>mteston@titanstone.com</t>
  </si>
  <si>
    <t>paul@marbon.com</t>
  </si>
  <si>
    <t>william@palmbeachstone.com</t>
  </si>
  <si>
    <t>pamela@precisionstone.net</t>
  </si>
  <si>
    <t xml:space="preserve">ST-02 Stone Cladding </t>
  </si>
  <si>
    <t>Dominical Coral Stone</t>
  </si>
  <si>
    <t>Thickness - 1 3/4"</t>
  </si>
  <si>
    <t>Scratch Coat - 5/8" - BY STUCCO SUB</t>
  </si>
  <si>
    <t>Mud Set - 5/8"</t>
  </si>
  <si>
    <t>Thickness may require stone to be pinned.</t>
  </si>
  <si>
    <t>NOT REQUIRED</t>
  </si>
  <si>
    <t>ST-02 Stone Cladding - exterior</t>
  </si>
  <si>
    <t>Dining - East Elevation</t>
  </si>
  <si>
    <t xml:space="preserve">1/A3.00 </t>
  </si>
  <si>
    <t>Dining - East Mech Yard Elevation</t>
  </si>
  <si>
    <t xml:space="preserve">2/A3.00 </t>
  </si>
  <si>
    <t>Dining - North Elevation</t>
  </si>
  <si>
    <t xml:space="preserve">3/A3.00 </t>
  </si>
  <si>
    <t>Dining - West Elevation</t>
  </si>
  <si>
    <t xml:space="preserve">1/A3.01 </t>
  </si>
  <si>
    <t>Dining - South Elevation</t>
  </si>
  <si>
    <t xml:space="preserve">2/A3.01 </t>
  </si>
  <si>
    <t>Fitness - North Elevation</t>
  </si>
  <si>
    <t xml:space="preserve">1/A3.02 </t>
  </si>
  <si>
    <t>Fitness - East Elevation</t>
  </si>
  <si>
    <t xml:space="preserve">2/A3.02 </t>
  </si>
  <si>
    <t>Fitness - South Elevation</t>
  </si>
  <si>
    <t xml:space="preserve">1/A3.03 </t>
  </si>
  <si>
    <t>Fitness - West Elevation</t>
  </si>
  <si>
    <t xml:space="preserve">2/A3.03 </t>
  </si>
  <si>
    <t>Wellness - North Elevation</t>
  </si>
  <si>
    <t xml:space="preserve">1/A3.04 </t>
  </si>
  <si>
    <t>Wellness- East Elevation</t>
  </si>
  <si>
    <t xml:space="preserve">2/A3.04 </t>
  </si>
  <si>
    <t>Wellness - South Elevation</t>
  </si>
  <si>
    <t xml:space="preserve">1/A3.05 </t>
  </si>
  <si>
    <t>Wellness- West Elevation</t>
  </si>
  <si>
    <t xml:space="preserve">2/A3.05 </t>
  </si>
  <si>
    <t>Wellness Ext Vestibule at Mens W-137 &amp; Womens W-135</t>
  </si>
  <si>
    <t>Wellness exterior low wall - Garden at Thermal Area W-132</t>
  </si>
  <si>
    <t>Wellness exterior walls at Exterior Patios W-140/141</t>
  </si>
  <si>
    <t>ST-02 Stone Cladding - interior - Dining Fireplace</t>
  </si>
  <si>
    <t>A4.3</t>
  </si>
  <si>
    <t>Stone Hearth - box frames w/ ST-101.3 caldding</t>
  </si>
  <si>
    <t>stone -ST-101.3 -leathered linestone</t>
  </si>
  <si>
    <t>wood frame</t>
  </si>
  <si>
    <t>waste &amp; breakage - 10%</t>
  </si>
  <si>
    <t>Addendum #1</t>
  </si>
  <si>
    <t>exterior - D-114 Outdoor Dining</t>
  </si>
  <si>
    <t>1/A2.20.2</t>
  </si>
  <si>
    <t>exterior - D-001 Kids Space (patio)</t>
  </si>
  <si>
    <t>interior - Dining Service</t>
  </si>
  <si>
    <t>Interior Stone Door Jambs &amp; Portals</t>
  </si>
  <si>
    <t>Spa Pods - NA</t>
  </si>
  <si>
    <t>VM Iron Works</t>
  </si>
  <si>
    <t>Suncor</t>
  </si>
  <si>
    <t>Steel Fabricators</t>
  </si>
  <si>
    <t>Johnny Lorusso</t>
  </si>
  <si>
    <t>Scott Kuiper</t>
  </si>
  <si>
    <t>Joe Zavertnik</t>
  </si>
  <si>
    <t>(772) 781-0318</t>
  </si>
  <si>
    <t>(305) 359-1400</t>
  </si>
  <si>
    <t>(954) 288-7153</t>
  </si>
  <si>
    <t>johnny@vmironwork.com</t>
  </si>
  <si>
    <t>Scott.K@suncor.net</t>
  </si>
  <si>
    <t>jzavertnik@sfab.com</t>
  </si>
  <si>
    <t>Weight</t>
  </si>
  <si>
    <t>Steel</t>
  </si>
  <si>
    <t>Steel Joists</t>
  </si>
  <si>
    <t>10K1</t>
  </si>
  <si>
    <t>12K1</t>
  </si>
  <si>
    <t>12K3</t>
  </si>
  <si>
    <t>13' 4"</t>
  </si>
  <si>
    <t>16K3 - 13'-4"</t>
  </si>
  <si>
    <t>16K4</t>
  </si>
  <si>
    <t>18K4</t>
  </si>
  <si>
    <t>20K06</t>
  </si>
  <si>
    <t>22K10</t>
  </si>
  <si>
    <t>24K09</t>
  </si>
  <si>
    <t>30K07</t>
  </si>
  <si>
    <t>49' 9"</t>
  </si>
  <si>
    <t>30K11</t>
  </si>
  <si>
    <t>30K11 - 49'-9"</t>
  </si>
  <si>
    <t>total tons</t>
  </si>
  <si>
    <t>bridging</t>
  </si>
  <si>
    <t>Steel Members</t>
  </si>
  <si>
    <t>C08X13.7</t>
  </si>
  <si>
    <t>C09X13.4</t>
  </si>
  <si>
    <t>C09X15</t>
  </si>
  <si>
    <t>DSC-1 - 15.67 HSS6x6x5/16</t>
  </si>
  <si>
    <t>15' 8"</t>
  </si>
  <si>
    <t>DSC-2 - 14.17 W8X58</t>
  </si>
  <si>
    <t>DSC-2 - 15.67 W8X58</t>
  </si>
  <si>
    <t>DSC-3 - 14.17 W8X67</t>
  </si>
  <si>
    <t>DSC-3 - 15.56 W8X67</t>
  </si>
  <si>
    <t>15' 7"</t>
  </si>
  <si>
    <t>DSC-4 - 14.17 W8X67</t>
  </si>
  <si>
    <t>DSC-4 - 15.56 W8X67</t>
  </si>
  <si>
    <t>DSC-5 - 14.17 W12X65</t>
  </si>
  <si>
    <t>DSC-6 - 14.17 HSS12x12x5/8</t>
  </si>
  <si>
    <t>DSC-7 - 14.17 HSS8x8x5/8</t>
  </si>
  <si>
    <t>DSC-7 - 15.56 HSS8x8x5/8</t>
  </si>
  <si>
    <t>DSC-8 - 15.67 HSS6x6x5/8</t>
  </si>
  <si>
    <t>FSC-1 - 14.50 W8X35</t>
  </si>
  <si>
    <t>14' 6"</t>
  </si>
  <si>
    <t>FSC-2 - 14.67 W12X26</t>
  </si>
  <si>
    <t>14' 8"</t>
  </si>
  <si>
    <t>FSC-2 - 15.33 W12X26</t>
  </si>
  <si>
    <t>15' 4"</t>
  </si>
  <si>
    <t>FSC-3 - 09.67 W8X24</t>
  </si>
  <si>
    <t>9' 8"</t>
  </si>
  <si>
    <t>FSC-4 - 15.00 HSS10x10x1/2</t>
  </si>
  <si>
    <t>HSS02 1/2X2 1/2X3/16</t>
  </si>
  <si>
    <t>HSS03X3X1/4</t>
  </si>
  <si>
    <t>HSS05X2 1/2X1/4</t>
  </si>
  <si>
    <t>HSS06X8X1/4</t>
  </si>
  <si>
    <t>HSS08X8X5/8 - 10'-5"</t>
  </si>
  <si>
    <t>10' 5"</t>
  </si>
  <si>
    <t>HSS12X2X1/8- 14.67</t>
  </si>
  <si>
    <t>HSS12x8x3/8</t>
  </si>
  <si>
    <t>HSS14X6X1/4</t>
  </si>
  <si>
    <t>HSS14X6X5/16</t>
  </si>
  <si>
    <t>HSS18X6X1/4</t>
  </si>
  <si>
    <t>HSS18X6X3/8</t>
  </si>
  <si>
    <t>L2X2X1/2</t>
  </si>
  <si>
    <t>L3X3X1/4</t>
  </si>
  <si>
    <t>W04X13 - 4 EA</t>
  </si>
  <si>
    <t>W06X12</t>
  </si>
  <si>
    <t>W06X12  - 4'-6"</t>
  </si>
  <si>
    <t>4' 6"</t>
  </si>
  <si>
    <t>W06X12  - 6'-10"</t>
  </si>
  <si>
    <t>6' 10"</t>
  </si>
  <si>
    <t>W06X12  - 6'-6"</t>
  </si>
  <si>
    <t>6' 6"</t>
  </si>
  <si>
    <t>W06X12  - 6'-8"</t>
  </si>
  <si>
    <t>6' 8"</t>
  </si>
  <si>
    <t>W06X12  - 7'-0"</t>
  </si>
  <si>
    <t>W06X12  - 7'-6"</t>
  </si>
  <si>
    <t>7' 6"</t>
  </si>
  <si>
    <t>W06X12  - 9'-8"</t>
  </si>
  <si>
    <t>W06X15  - 6'-6"</t>
  </si>
  <si>
    <t>W06X15  - 8'-4"</t>
  </si>
  <si>
    <t>8' 4"</t>
  </si>
  <si>
    <t>W06X20</t>
  </si>
  <si>
    <t>W06X25</t>
  </si>
  <si>
    <t>W06X31</t>
  </si>
  <si>
    <t>W08X10</t>
  </si>
  <si>
    <t>W08X13</t>
  </si>
  <si>
    <t>W08X15</t>
  </si>
  <si>
    <t>W08X18</t>
  </si>
  <si>
    <t>W08X24</t>
  </si>
  <si>
    <t>W08X24  - 9'-8"</t>
  </si>
  <si>
    <t>W08X31</t>
  </si>
  <si>
    <t>W08X40</t>
  </si>
  <si>
    <t>W08X48</t>
  </si>
  <si>
    <t>W08X67</t>
  </si>
  <si>
    <t>W10X15</t>
  </si>
  <si>
    <t>W10X54</t>
  </si>
  <si>
    <t>W12X16</t>
  </si>
  <si>
    <t>W12X22</t>
  </si>
  <si>
    <t>W12X26</t>
  </si>
  <si>
    <t>W12X30</t>
  </si>
  <si>
    <t>W12X35</t>
  </si>
  <si>
    <t>W12X45</t>
  </si>
  <si>
    <t>W12X50</t>
  </si>
  <si>
    <t>W12X65</t>
  </si>
  <si>
    <t>W14X22</t>
  </si>
  <si>
    <t>W14X26</t>
  </si>
  <si>
    <t>W16X26</t>
  </si>
  <si>
    <t>W16X31</t>
  </si>
  <si>
    <t>W16X36</t>
  </si>
  <si>
    <t>W16X40</t>
  </si>
  <si>
    <t>W16X45</t>
  </si>
  <si>
    <t>W18X35</t>
  </si>
  <si>
    <t>W18X40</t>
  </si>
  <si>
    <t>W18X46</t>
  </si>
  <si>
    <t>W18X60</t>
  </si>
  <si>
    <t>W18X65</t>
  </si>
  <si>
    <t>W18X86</t>
  </si>
  <si>
    <t>W21X101</t>
  </si>
  <si>
    <t>W21X44</t>
  </si>
  <si>
    <t>W21X48</t>
  </si>
  <si>
    <t>W21X50</t>
  </si>
  <si>
    <t>W21X55</t>
  </si>
  <si>
    <t>W21X62</t>
  </si>
  <si>
    <t>W21X73</t>
  </si>
  <si>
    <t>W21X83</t>
  </si>
  <si>
    <t>W24X104</t>
  </si>
  <si>
    <t>W24X48</t>
  </si>
  <si>
    <t>W24X55</t>
  </si>
  <si>
    <t>W24X62</t>
  </si>
  <si>
    <t>W24X76</t>
  </si>
  <si>
    <t>W27X94</t>
  </si>
  <si>
    <t>W30X90</t>
  </si>
  <si>
    <t>W36X135</t>
  </si>
  <si>
    <t>W36X160</t>
  </si>
  <si>
    <t>WSC-1 - 14.83 HSS8x8x1/2</t>
  </si>
  <si>
    <t>14' 10"</t>
  </si>
  <si>
    <t>WSC-1 - 15.00 HSS8x8x1/2</t>
  </si>
  <si>
    <t>WSC-1 - 17.00 HSS8x8x1/2</t>
  </si>
  <si>
    <t>WSC-2 - 15.00 HSS10x6x5/8</t>
  </si>
  <si>
    <t>WSC-2 - 17.00 HSS10x6x5/8</t>
  </si>
  <si>
    <t>WSC-3 - 17.00 HSS6x6x5/16</t>
  </si>
  <si>
    <t>WSC-3 - 13.00 HSS6x6x5/16</t>
  </si>
  <si>
    <t>WSC-4 - 15.00 HSS8x6x1/2</t>
  </si>
  <si>
    <t>WSC-4 - 17.00 HSS8x6x1/2</t>
  </si>
  <si>
    <t>WSC-5 - 15.00 HSS12x8x5/8</t>
  </si>
  <si>
    <t>WSC-5 - 17.00 HSS12x8x5/8</t>
  </si>
  <si>
    <t>WSC-6 - 15.00 HSS12x6x5/8</t>
  </si>
  <si>
    <t>WSC-6 - 17.00 HSS12x6x5/8</t>
  </si>
  <si>
    <t>WSC-7 - 15.00 W10X54</t>
  </si>
  <si>
    <t>WSC-8 - 09.67 W8X24</t>
  </si>
  <si>
    <t>WSC-9 - 14.83 W12X26</t>
  </si>
  <si>
    <t>Specific Details</t>
  </si>
  <si>
    <t>S-113 &amp; 12/S-403.2 - channel at face of conc beam - C12X20.7</t>
  </si>
  <si>
    <t>S-131 &amp; 3/S-401.1 - storefront support  L6X4X5/16 - 19 locations</t>
  </si>
  <si>
    <t>L6X4X5/16</t>
  </si>
  <si>
    <t>S-121 &amp; 17&amp;18/S401.3 - deck support at HSS -  full perimeter - HSS5x2 1/2x1/4</t>
  </si>
  <si>
    <t>S-121 &amp; 17/S401.3 - HSS header at storefront - HSS6X6X1/4</t>
  </si>
  <si>
    <t>S-121 &amp; 5/S-401.1, 17/S401.3 - plate at ea W6 - 1"X12"X18"</t>
  </si>
  <si>
    <t>S-132 &amp; 14/S-402.2 - channel between beams - C9x15</t>
  </si>
  <si>
    <t>S-132 &amp; 14/S-402.2 - channel at canopy outer edge - C9x15</t>
  </si>
  <si>
    <t>S-132 &amp; 1/S-402.1 - HSS between beams - WNE canopy - HSS6X4X1/4</t>
  </si>
  <si>
    <t>S-132 &amp; 11/S-402.2 - deck support HSS - HSS2 1/2X2 1/2X3/16</t>
  </si>
  <si>
    <t>S-123 &amp; 28/S-403.3, 17/S-403.2 - chan at canopy outer edge - C12x20.7</t>
  </si>
  <si>
    <t>S-123 &amp; 28/S-403.3 - channel at canopy connect to beam  - C12x20.7</t>
  </si>
  <si>
    <t>S-123 &amp; 10/S-403.1 - deck support angle w/ gusset below at planter - L3X3X1/4</t>
  </si>
  <si>
    <t>S-123 &amp; 10/S-403.1 - HSS header at storefront - HSS4 1/2X4 1/2X1/4</t>
  </si>
  <si>
    <t>S-133 &amp; 4/S-403.1 - channel at canopy outer edge - perimiter - C12x20.7</t>
  </si>
  <si>
    <t>S-133 &amp; 4/S-403.1 - HSS between beams - HSS6X8X1/4</t>
  </si>
  <si>
    <t>Note 3 - S-111 - glazing system corners &amp; doors - HSS8x4x1/4 - 15 ea</t>
  </si>
  <si>
    <t>Note X - S-121 - glazing system corners &amp; doors - HSS8x4x1/4 - 2 ea</t>
  </si>
  <si>
    <t>Note 12 - S-113 - glazing system corners &amp; doors - HSS8x4x1/4 - 8 ea</t>
  </si>
  <si>
    <t>Note 9 - S-123 - glazing system corners &amp; doors - HSS8x4x1/4 - 1 ea</t>
  </si>
  <si>
    <t>Note 8 - S-121 - provide beam under masonry wall - W8x21</t>
  </si>
  <si>
    <t>Note 7 - S-112 - provide angle at slab openings - L6x4x3/8</t>
  </si>
  <si>
    <t>Deck closure angle - L4X4X1/4</t>
  </si>
  <si>
    <t>subtotal tons</t>
  </si>
  <si>
    <t>misc connections, embeds, plates, etc.</t>
  </si>
  <si>
    <t>703 ton</t>
  </si>
  <si>
    <t>2&amp;3/S-301.2 - tube steel header at storefront - assume HSS6X6X1/4</t>
  </si>
  <si>
    <t>S-131 "Steel Beam"</t>
  </si>
  <si>
    <t>S-121 &amp; 17&amp;18/S401.3 - canopy (full moment) connection to HSS -  full perimeter - assume C08X13.7</t>
  </si>
  <si>
    <t>S-121 &amp; 17&amp;18/S401.3 - channel at canopy edge -  full perimeter - assume C09X13.4</t>
  </si>
  <si>
    <t>S-121 - walkway canopy outer beams - WXxX</t>
  </si>
  <si>
    <t>S-132 - walkway canopy outer beams - WXxX</t>
  </si>
  <si>
    <t>S-123 - walkway canopy outer beams - WXxX</t>
  </si>
  <si>
    <t>S-123 &amp; 10/S-403.1 - deck support angle w/ gusset below at beam - L3X3X1/4</t>
  </si>
  <si>
    <t>S-133 &amp; 1/A4.10, 4/A2.51 - channel canopy to canopy - assume C9X15</t>
  </si>
  <si>
    <t>S-121 &amp; 12/S-401.2 - W12 tie - beam</t>
  </si>
  <si>
    <t>???</t>
  </si>
  <si>
    <t>S-121 &amp; 15/S-401.3, 2/A4.01 - roof top mech yard screen</t>
  </si>
  <si>
    <t>S-121 - 1/A0.55.2 - HSS header at slider - HSS12x4x3/8</t>
  </si>
  <si>
    <t>S-132 - detail 1/A4.07 left - C12x30 - over glass doors</t>
  </si>
  <si>
    <t xml:space="preserve">4/A8.00 - typ column at bug screens - 2 x HSS2x2x1/8" </t>
  </si>
  <si>
    <t xml:space="preserve">1/A8.00 - corner column at bug screens - 2 x HSS2x2x1/8" </t>
  </si>
  <si>
    <t xml:space="preserve">3/A8.00 - door jamb at bug screens - HSS8x2x?" </t>
  </si>
  <si>
    <t>6/A8.0 - window jamb st reveal - 2 - HSS1 1/2x1 1/2x 1/8"</t>
  </si>
  <si>
    <t>6/A8.0 - window jamb st reveal - HSS6x4x1/8</t>
  </si>
  <si>
    <t>10/A8.01 - planter at storefront - HSS4x4x?</t>
  </si>
  <si>
    <t>Misc tube steel at roof edge</t>
  </si>
  <si>
    <t>Specific Details - not able to price - need clarification</t>
  </si>
  <si>
    <t>Note 4 - S-132 - full moment connection for W8x24 beam</t>
  </si>
  <si>
    <t>Metal Deck</t>
  </si>
  <si>
    <t>Deck 1.5B 20 GA</t>
  </si>
  <si>
    <t>Deck 2C22 - 5" conc</t>
  </si>
  <si>
    <t>Misc Steel</t>
  </si>
  <si>
    <t>Wellness - wrap around steel stairs - A2.22, 1/7.14</t>
  </si>
  <si>
    <t>riser</t>
  </si>
  <si>
    <t>Interior Railings - assume aluminum picket - wall rail and center rail</t>
  </si>
  <si>
    <t>Stair #1</t>
  </si>
  <si>
    <t>Stair #2</t>
  </si>
  <si>
    <t>Stair #3</t>
  </si>
  <si>
    <t>Stair #4</t>
  </si>
  <si>
    <t>Elevator hoist beams</t>
  </si>
  <si>
    <t>Elevator sill angles</t>
  </si>
  <si>
    <t>General Note - ALL EXTERIOR STEEL SHALL BE HOT DIPPED GALVANIZED</t>
  </si>
  <si>
    <t>structural steel</t>
  </si>
  <si>
    <t>miscelaneous steel</t>
  </si>
  <si>
    <t>C12x20</t>
  </si>
  <si>
    <t>W08x10</t>
  </si>
  <si>
    <t>W08x13</t>
  </si>
  <si>
    <t>W08x31</t>
  </si>
  <si>
    <t>W10X49</t>
  </si>
  <si>
    <t>W16x26</t>
  </si>
  <si>
    <t>W24x55 racked</t>
  </si>
  <si>
    <t>W24x68 racked</t>
  </si>
  <si>
    <t>1-1/2" metal deck</t>
  </si>
  <si>
    <t xml:space="preserve">1/A8.00 - at bug screens - HSS2x2x1/8" </t>
  </si>
  <si>
    <t>2/A8.00 - at bug screens - HSS2x2x1/8" x 2</t>
  </si>
  <si>
    <t>3/A8.00 - at bug screens - HSS2x2x1/8" x 2</t>
  </si>
  <si>
    <t>4/A8.00 - at bug screens - HSS2x2x1/8"</t>
  </si>
  <si>
    <t>4/A8.00 - at bug screens - HSS2x8x1/8"</t>
  </si>
  <si>
    <t>col - HSS6x6x1/4</t>
  </si>
  <si>
    <t>beam - HSS6x4x1/4</t>
  </si>
  <si>
    <t>beam - HSS6x5x1/2</t>
  </si>
  <si>
    <t>beam - HSS7x7x1/4</t>
  </si>
  <si>
    <t>4/A8.00 - HSS ?x?x?</t>
  </si>
  <si>
    <t>4/A8.00 - HSS 2x2x?</t>
  </si>
  <si>
    <t>3/A8.00 - HSS 2x2x? - x2</t>
  </si>
  <si>
    <t>2/A8.00 - HSS 2x2x? - x2</t>
  </si>
  <si>
    <t xml:space="preserve">1/A8.00 - HSS 2x2x? </t>
  </si>
  <si>
    <t>5/A2.5 - steel angle embed at parapet coping.</t>
  </si>
  <si>
    <t>RFI Responses issued 02.03.25</t>
  </si>
  <si>
    <t>RFI Responses issued 02.20.25</t>
  </si>
  <si>
    <t>Addendum #1 - issued 03.10.25</t>
  </si>
  <si>
    <t>proposal</t>
  </si>
  <si>
    <t>allowance</t>
  </si>
  <si>
    <t>plugs</t>
  </si>
  <si>
    <t>remove</t>
  </si>
  <si>
    <t>add</t>
  </si>
  <si>
    <t>total</t>
  </si>
  <si>
    <t>total above</t>
  </si>
  <si>
    <t>delta</t>
  </si>
  <si>
    <t>JC Iron Ornamental</t>
  </si>
  <si>
    <t>Metal guardrail w/ SS cabling</t>
  </si>
  <si>
    <t>Wellness Level 2 - Exterior Terrace - 3'-6" - included as glass - see 08 50</t>
  </si>
  <si>
    <t>06/A8.16</t>
  </si>
  <si>
    <t>Hand Rail - See 32 31 Fence &amp; Gates</t>
  </si>
  <si>
    <t>Ribbon Canopy</t>
  </si>
  <si>
    <t>Dining - North Elevation - MT-01 Plate - parapet &amp; facia</t>
  </si>
  <si>
    <t>Dining - East Mech Yard Elevation - MT-01 Plate - parapet &amp; facia</t>
  </si>
  <si>
    <t>Dining - East Elevation - MT-01 Plate - parapet &amp; facia</t>
  </si>
  <si>
    <t>Dining - West Elevation - MT-01 Plate - parapet &amp; facia</t>
  </si>
  <si>
    <t>Dining - South Elevation - MT-01 Plate - parapet &amp; facia</t>
  </si>
  <si>
    <t>2/A3.01</t>
  </si>
  <si>
    <t>Fitness-North Elevation - MT-01 Flashing - above windows</t>
  </si>
  <si>
    <t>Fitness-North Elevation - MT-01 Plate - parapet</t>
  </si>
  <si>
    <t>Fitness-East Elevation - MT-01 Plate - parapet</t>
  </si>
  <si>
    <t>Fitness-South Elevation - MT-01 Plate - parapet</t>
  </si>
  <si>
    <t>1/A3.03</t>
  </si>
  <si>
    <t xml:space="preserve"> Fitness-West Elevation - MT-01 Flashing - above windows</t>
  </si>
  <si>
    <t>2/A3.03</t>
  </si>
  <si>
    <t xml:space="preserve"> Fitness-West Elevation - MT-01 Plate - parapet</t>
  </si>
  <si>
    <t>Wellness-North Elevation - MT-01 Plate - parapet</t>
  </si>
  <si>
    <t>Wellness-West Elevation - MT-01 Plate - parapet</t>
  </si>
  <si>
    <t>Wellness-South Elevation - MT-01 Plate - parapet</t>
  </si>
  <si>
    <t>MT-04 Plate - planter</t>
  </si>
  <si>
    <t>4/A8.11, /A4.01, A2.20 outside</t>
  </si>
  <si>
    <t>4/A8.11, /A4.01, A2.20 inside</t>
  </si>
  <si>
    <t>MT-04 Plate - base - 4"</t>
  </si>
  <si>
    <t>4/A8.11, /A4.01, A2.20</t>
  </si>
  <si>
    <t>MT-01 Plate - planter</t>
  </si>
  <si>
    <t>2/8.11, 2/A4.00,  A2.30</t>
  </si>
  <si>
    <t>MT-01 Plate w/ screen sill - planter</t>
  </si>
  <si>
    <t>MT-01 Plate - planter (wrapped)</t>
  </si>
  <si>
    <t>2/A4.03, A2.30</t>
  </si>
  <si>
    <t>2/A8.16, A/4.10, A2.31</t>
  </si>
  <si>
    <t>MT-01 Chanel Vertical C12X3</t>
  </si>
  <si>
    <t>7/A8.03, A2.21.5, A2.21</t>
  </si>
  <si>
    <t>door jamb at bug screens</t>
  </si>
  <si>
    <t>3/A8.00</t>
  </si>
  <si>
    <t>window jamb st reveal</t>
  </si>
  <si>
    <t>6/A8.0</t>
  </si>
  <si>
    <t>VMI</t>
  </si>
  <si>
    <t>Dining Circular Stair</t>
  </si>
  <si>
    <t>A.7.00, A-7.01, A-7.02</t>
  </si>
  <si>
    <t>MT-?? steel plate at roof edge - 24"</t>
  </si>
  <si>
    <t>1/A4.00</t>
  </si>
  <si>
    <t>MT-05 steel plate - at bug screens - 12" &amp; 12" - x 2</t>
  </si>
  <si>
    <t>MT-05 steel plate - at bug screens - 12" - x 2</t>
  </si>
  <si>
    <t>4/A8.00</t>
  </si>
  <si>
    <t>MT-05 steel plate - at bug screens - 12" &amp; 10" &amp; 3" &amp; 3" - x2</t>
  </si>
  <si>
    <t>MT-?? Steel angle at roof edge - 8" x 8" x ?"</t>
  </si>
  <si>
    <t>3/A8.01</t>
  </si>
  <si>
    <t>MT-?? Steel WT - top &amp; botoom screen wall 5" x 4" x ?"</t>
  </si>
  <si>
    <t>coping cap blocking</t>
  </si>
  <si>
    <t>Dining lower roof parapet - 2x12</t>
  </si>
  <si>
    <t xml:space="preserve">2/A4.01 &amp; 7/A2.50 </t>
  </si>
  <si>
    <t>Dining upper roof parapet - 2x12</t>
  </si>
  <si>
    <t>2/A3.10</t>
  </si>
  <si>
    <t>Fitness lower roof parapet - 2x12</t>
  </si>
  <si>
    <t>2/A3.11 &amp; 3/A4.06</t>
  </si>
  <si>
    <t>Fitness upper roof parapet - 2x12</t>
  </si>
  <si>
    <t>Wellness upper roof parapet - 2x12</t>
  </si>
  <si>
    <t>A2.44 &amp; 1/A3.13</t>
  </si>
  <si>
    <t>roof edge blocking</t>
  </si>
  <si>
    <t>Dining high &amp; low overhang edge - 2- 2x6</t>
  </si>
  <si>
    <t>1 &amp; 2/A2.50</t>
  </si>
  <si>
    <t>Dining high &amp; low overhang edge - 1/2" ext sheathing - 4" strip</t>
  </si>
  <si>
    <t>Dining upper roof edge - 2 - 2x6</t>
  </si>
  <si>
    <t>1/A4.01 &amp; 3/A2.50</t>
  </si>
  <si>
    <t>Fitness overhang edge - 2- 2x6</t>
  </si>
  <si>
    <t>1&amp;3/A4.06</t>
  </si>
  <si>
    <t>Wellness low overhang edge</t>
  </si>
  <si>
    <t>A2.43 &amp; A3.13</t>
  </si>
  <si>
    <t>Wellness low roof edge - 2 - 2x6</t>
  </si>
  <si>
    <t>Fitness upper overhang edge - 2- 2x6</t>
  </si>
  <si>
    <t>misc 2x blocking at roof edge</t>
  </si>
  <si>
    <t>Raised platform at Restaurant D-112</t>
  </si>
  <si>
    <t>1/A4.03</t>
  </si>
  <si>
    <t>Step at Dining Room - D-102</t>
  </si>
  <si>
    <t>2/A4.03</t>
  </si>
  <si>
    <t>Step/platform at Dining Room - D-102</t>
  </si>
  <si>
    <t>A/2.20</t>
  </si>
  <si>
    <t>Blocking in typ columns at insect screens - 4 - 2x8</t>
  </si>
  <si>
    <t>Blocking in corner columns at insect screens - 4- 2x8</t>
  </si>
  <si>
    <t>1/A8.00</t>
  </si>
  <si>
    <t>misc 2x blocking at exterior details</t>
  </si>
  <si>
    <t>Safety Railings</t>
  </si>
  <si>
    <t>Column base at door - 2x4</t>
  </si>
  <si>
    <t xml:space="preserve">4/A8.00 </t>
  </si>
  <si>
    <t>Column base at door - 2 - 2x8</t>
  </si>
  <si>
    <t>Column base corner - 5 - 2x8</t>
  </si>
  <si>
    <t>Column base straight - 2 - 2x8</t>
  </si>
  <si>
    <t>2/A8.00</t>
  </si>
  <si>
    <t>Base bug screen - 2x6</t>
  </si>
  <si>
    <t>1/2" plywood roof deck sheathing</t>
  </si>
  <si>
    <t>2/A2.05</t>
  </si>
  <si>
    <t>1/2" plywood ceiling sheathing - see drywall</t>
  </si>
  <si>
    <t>wood trusses supply</t>
  </si>
  <si>
    <t>A-1 Industries</t>
  </si>
  <si>
    <t>Universal</t>
  </si>
  <si>
    <t>Double Treatment Pavilion ADA</t>
  </si>
  <si>
    <t>rough carpentry</t>
  </si>
  <si>
    <t xml:space="preserve">WD Column - 6" x 6" x 9'-0" </t>
  </si>
  <si>
    <t>WD beam - LVL - 5.25x16</t>
  </si>
  <si>
    <t>WD beam - 4x8</t>
  </si>
  <si>
    <t>set wood trusses</t>
  </si>
  <si>
    <t>5/8" plywood sheathing</t>
  </si>
  <si>
    <t>Lotspeich Co.</t>
  </si>
  <si>
    <t>Ryan Schultz</t>
  </si>
  <si>
    <t xml:space="preserve">(954) 978-2388 </t>
  </si>
  <si>
    <t>ryan.schultz@lcfinc.com</t>
  </si>
  <si>
    <t>Wood infill at Port Cochere steel columns - 1/A4.23</t>
  </si>
  <si>
    <t>WD-08: Accoya - Cypress T&amp;G 5-1/2", select grade w/ clear coat</t>
  </si>
  <si>
    <t>soffits</t>
  </si>
  <si>
    <t>A6.10 / A6.20 / A6.30</t>
  </si>
  <si>
    <t>details</t>
  </si>
  <si>
    <t>A4.00 - A4.03</t>
  </si>
  <si>
    <t>WD-10: Lunawood T&amp;G - Luna Triple 32x140, Luna Thermo-D, Planed</t>
  </si>
  <si>
    <t>exterior wall cladding - elevations</t>
  </si>
  <si>
    <t>A3.00 / A3.01</t>
  </si>
  <si>
    <t>A0.32 - W1</t>
  </si>
  <si>
    <t>infill at steel columns at bug screens - assume 9" wide x 12'-0" tall</t>
  </si>
  <si>
    <t>1 &amp; 4/A8.00</t>
  </si>
  <si>
    <t>infill at steel columns at Port Cochere - assume 12" wide x 15'-0" tall</t>
  </si>
  <si>
    <t>WD-11: 2x4 Battens - finish to match WD-10 w / Thermowood backing</t>
  </si>
  <si>
    <r>
      <t>Club Core Dining - Mechanical Yard Screen. Need</t>
    </r>
    <r>
      <rPr>
        <sz val="11"/>
        <color rgb="FFFF0000"/>
        <rFont val="Calibri"/>
        <family val="2"/>
      </rPr>
      <t xml:space="preserve"> WD-11 spec</t>
    </r>
  </si>
  <si>
    <t>A2.40 / 2/A4.01</t>
  </si>
  <si>
    <t>WD-XX: ? - WD-08: Accoya - Cypress T&amp;G 5-1/2", select grade w/ clear coat</t>
  </si>
  <si>
    <r>
      <t xml:space="preserve">Club Core Dining - soffit - Port Cochere - </t>
    </r>
    <r>
      <rPr>
        <sz val="11"/>
        <color rgb="FFFF0000"/>
        <rFont val="Calibri"/>
        <family val="2"/>
      </rPr>
      <t>Details incomplete</t>
    </r>
  </si>
  <si>
    <t>3/A4.23</t>
  </si>
  <si>
    <t>WD-06: Trellis - Lunawood Batten, Luna SHP 42 x 140 (2 x 6)</t>
  </si>
  <si>
    <r>
      <t xml:space="preserve">Club Core Fitness  - WD-06: Trellis - overhang - </t>
    </r>
    <r>
      <rPr>
        <sz val="11"/>
        <color rgb="FFFF0000"/>
        <rFont val="Calibri"/>
        <family val="2"/>
      </rPr>
      <t>Details incomplete</t>
    </r>
  </si>
  <si>
    <t>1/A4.07</t>
  </si>
  <si>
    <t>soffit perimiter</t>
  </si>
  <si>
    <t>WD-XX: Wood Shingle System</t>
  </si>
  <si>
    <r>
      <t xml:space="preserve">Club Core Fitness - soffit - Port Cochere - </t>
    </r>
    <r>
      <rPr>
        <sz val="11"/>
        <color rgb="FFFF0000"/>
        <rFont val="Calibri"/>
        <family val="2"/>
      </rPr>
      <t>No details</t>
    </r>
  </si>
  <si>
    <t>WD-06: Trellis - Lunawood Batten, Luna SHP 42 x 140 - 2x4 batten</t>
  </si>
  <si>
    <r>
      <t xml:space="preserve">Wellness WD-06: Trellis - lower roof overhang - </t>
    </r>
    <r>
      <rPr>
        <sz val="11"/>
        <color rgb="FFFF0000"/>
        <rFont val="Calibri"/>
        <family val="2"/>
      </rPr>
      <t>Details incomplete</t>
    </r>
  </si>
  <si>
    <t>A6.22 / A6.31</t>
  </si>
  <si>
    <t>mat</t>
  </si>
  <si>
    <r>
      <t xml:space="preserve">Wellness WD-06: Trellis - upper roof overhang - </t>
    </r>
    <r>
      <rPr>
        <sz val="11"/>
        <color rgb="FFFF0000"/>
        <rFont val="Calibri"/>
        <family val="2"/>
      </rPr>
      <t>Details incomplete</t>
    </r>
  </si>
  <si>
    <t>labor</t>
  </si>
  <si>
    <t>pcs</t>
  </si>
  <si>
    <t>A4.08 - A4.13</t>
  </si>
  <si>
    <t>A4.08-A4.13</t>
  </si>
  <si>
    <t>A3.04 / A3.05</t>
  </si>
  <si>
    <t>ship</t>
  </si>
  <si>
    <t>boom lift</t>
  </si>
  <si>
    <t>hr</t>
  </si>
  <si>
    <t>2 men</t>
  </si>
  <si>
    <t>WD-08: Wd Soffit - Accoya - Cypress T&amp;G 5-1/2", select grade w/ clear coat</t>
  </si>
  <si>
    <t>soffit</t>
  </si>
  <si>
    <t>2 &amp; 3/A4.20</t>
  </si>
  <si>
    <t>15 pcs /8 hours</t>
  </si>
  <si>
    <t>pcs / hr</t>
  </si>
  <si>
    <t>Clear Coat on T&amp;G Cypress</t>
  </si>
  <si>
    <t>/pc</t>
  </si>
  <si>
    <t>IPE slats - (12+12+12) x 13.25 x 10</t>
  </si>
  <si>
    <t>steel</t>
  </si>
  <si>
    <t>Ceiling - allow for slope</t>
  </si>
  <si>
    <t>A0.60 (Club C)</t>
  </si>
  <si>
    <t>infill at steel columns - assume 10" wide x 10'-3" tall</t>
  </si>
  <si>
    <t>2 &amp; 4/A8.00</t>
  </si>
  <si>
    <t>Deckmasters</t>
  </si>
  <si>
    <t>WD-14 IPE decking on 2x sleepers</t>
  </si>
  <si>
    <t>WD-14 - IPE decking - Dock Bar &amp; Patio</t>
  </si>
  <si>
    <t>WD-14 - IPE decking - pier</t>
  </si>
  <si>
    <t>WD-14 - IPE facia at deck - 14"</t>
  </si>
  <si>
    <t>4/A8.01</t>
  </si>
  <si>
    <t>WD-14 - IPE railing cap - 5"</t>
  </si>
  <si>
    <t>WD-14 - IPE railing vertical infill - 3' 6 1/2" x 2"</t>
  </si>
  <si>
    <t>5/A8.01</t>
  </si>
  <si>
    <t>Temp plywood decking at pier to facilitate decking installation.</t>
  </si>
  <si>
    <t>A6.02 / A6.03</t>
  </si>
  <si>
    <t>Details</t>
  </si>
  <si>
    <t>A8.01 / A8.02</t>
  </si>
  <si>
    <t>WD-11: ? - Lunawood Batten, Luna SHP 42 x 140 - 2x4 batten</t>
  </si>
  <si>
    <t>slat wall - 9'6" tall</t>
  </si>
  <si>
    <t>total Cypress</t>
  </si>
  <si>
    <t>total Lunawood</t>
  </si>
  <si>
    <t>total canopy wood battens</t>
  </si>
  <si>
    <t>Deck Masters</t>
  </si>
  <si>
    <t>PAGE 56 COMPLETE</t>
  </si>
  <si>
    <t>Beaubois</t>
  </si>
  <si>
    <t>J2 Cabs</t>
  </si>
  <si>
    <t>Mortensen</t>
  </si>
  <si>
    <t>Premier Arch.</t>
  </si>
  <si>
    <t>Baron Manufacturing</t>
  </si>
  <si>
    <t>District 95</t>
  </si>
  <si>
    <t>JRA Marble</t>
  </si>
  <si>
    <t>Martinez Otero</t>
  </si>
  <si>
    <t>Iain Paterson</t>
  </si>
  <si>
    <t>Keven Nelson</t>
  </si>
  <si>
    <t>Michael Bliss</t>
  </si>
  <si>
    <t>Paul Hays</t>
  </si>
  <si>
    <t>Neil Gavan</t>
  </si>
  <si>
    <t>Franklin Herrera</t>
  </si>
  <si>
    <t>Juan</t>
  </si>
  <si>
    <t>Steven Pipes</t>
  </si>
  <si>
    <t>561-436-1356</t>
  </si>
  <si>
    <t>352-629-1700</t>
  </si>
  <si>
    <t>954-822-0447</t>
  </si>
  <si>
    <t>331-234-0977</t>
  </si>
  <si>
    <t>954-590-3800</t>
  </si>
  <si>
    <t>754-204-4703</t>
  </si>
  <si>
    <t>646-841-7227</t>
  </si>
  <si>
    <t>646-853-1206</t>
  </si>
  <si>
    <t>iain.paterson@beaubois.com</t>
  </si>
  <si>
    <t>keven@j2cabinetryandtrim.com</t>
  </si>
  <si>
    <t>mbliss@mortensenwoodwork.com</t>
  </si>
  <si>
    <t>phays@premier-ap.com</t>
  </si>
  <si>
    <t>neil@baronmfg.com</t>
  </si>
  <si>
    <t>franklin@district95woodwork.com</t>
  </si>
  <si>
    <t>jramarble@gmail.com</t>
  </si>
  <si>
    <t>scp@martinezotero.com</t>
  </si>
  <si>
    <t>?</t>
  </si>
  <si>
    <t>x</t>
  </si>
  <si>
    <t>{0.8%)</t>
  </si>
  <si>
    <t>PRE-QUALIFIED IN COMPASS</t>
  </si>
  <si>
    <t>{2.1}</t>
  </si>
  <si>
    <t>{5.3}</t>
  </si>
  <si>
    <t>{3.7}</t>
  </si>
  <si>
    <t>{3.1}</t>
  </si>
  <si>
    <t>NOT REVISING</t>
  </si>
  <si>
    <r>
      <rPr>
        <b/>
        <i/>
        <sz val="11"/>
        <color rgb="FF000000"/>
        <rFont val="Calibri"/>
        <family val="2"/>
        <scheme val="minor"/>
      </rPr>
      <t xml:space="preserve">Disclaimer
</t>
    </r>
    <r>
      <rPr>
        <i/>
        <sz val="11"/>
        <color rgb="FF000000"/>
        <rFont val="Calibri"/>
        <family val="2"/>
        <scheme val="minor"/>
      </rPr>
      <t xml:space="preserve">
The list of millwork and millwork-related items provided (over 350 items) is offered solely as a general reference to help subcontractors identify elements typically included in their scope of work. This list is not exhaustive and must not be relied upon as the sole basis for bidding. Each bidder is responsible for conducting a thorough review of the plans, specifications, and all relevant contract documents to ensure complete and accurate pricing.
</t>
    </r>
    <r>
      <rPr>
        <b/>
        <i/>
        <sz val="11"/>
        <color rgb="FF000000"/>
        <rFont val="Calibri"/>
        <family val="2"/>
        <scheme val="minor"/>
      </rPr>
      <t xml:space="preserve">Subcontractors are further advised that:
</t>
    </r>
    <r>
      <rPr>
        <u/>
        <sz val="11"/>
        <color rgb="FF000000"/>
        <rFont val="Calibri"/>
        <family val="2"/>
        <scheme val="minor"/>
      </rPr>
      <t>Hardware and Accessories:</t>
    </r>
    <r>
      <rPr>
        <i/>
        <sz val="11"/>
        <color rgb="FF000000"/>
        <rFont val="Calibri"/>
        <family val="2"/>
        <scheme val="minor"/>
      </rPr>
      <t xml:space="preserve"> All hardware or accessories integrated into the millwork items listed must be included in the subcontractor’s proposal, except for appliances, audio-visual equipment, or any other items customarily provided by others.
</t>
    </r>
    <r>
      <rPr>
        <i/>
        <u/>
        <sz val="11"/>
        <color rgb="FF000000"/>
        <rFont val="Calibri"/>
        <family val="2"/>
        <scheme val="minor"/>
      </rPr>
      <t>Due Diligence:</t>
    </r>
    <r>
      <rPr>
        <i/>
        <sz val="11"/>
        <color rgb="FF000000"/>
        <rFont val="Calibri"/>
        <family val="2"/>
        <scheme val="minor"/>
      </rPr>
      <t xml:space="preserve"> It is the responsibility of each subcontractor to verify all dimensions, materials, finishes, and installation details within the construction documents. Any discrepancies or omissions noted must be clarified before submitting a final bid.
</t>
    </r>
    <r>
      <rPr>
        <i/>
        <u/>
        <sz val="11"/>
        <color rgb="FF000000"/>
        <rFont val="Calibri"/>
        <family val="2"/>
        <scheme val="minor"/>
      </rPr>
      <t>Scope Confirmation:</t>
    </r>
    <r>
      <rPr>
        <i/>
        <sz val="11"/>
        <color rgb="FF000000"/>
        <rFont val="Calibri"/>
        <family val="2"/>
        <scheme val="minor"/>
      </rPr>
      <t xml:space="preserve"> Bidders should confirm the full extent of work with the General Contractor or Owner’s Representative to avoid overlap, duplication, or exclusion of necessary items.
By using or referring to this list, the subcontractor acknowledges that it is their duty to confirm the completeness and accuracy of all scope elements in their proposal. The General Contractor and Owner assume no liability for errors or omissions arising from reliance solely on this list.</t>
    </r>
  </si>
  <si>
    <t>Acoustical Ceilings WD-101, WD-302, WD-113</t>
  </si>
  <si>
    <t>Not responsive</t>
  </si>
  <si>
    <t xml:space="preserve">Allowance </t>
  </si>
  <si>
    <t>Banquette at D-008 and D-102</t>
  </si>
  <si>
    <t>RFI responses Acknowledgement</t>
  </si>
  <si>
    <t>Addendums acknowledgement</t>
  </si>
  <si>
    <t>All hardware for all millwork</t>
  </si>
  <si>
    <t>Materials per specs, manual and drawings</t>
  </si>
  <si>
    <t>Core</t>
  </si>
  <si>
    <t>Doors, Frames and Hardware are per schedule</t>
  </si>
  <si>
    <t>A0.50, A0.51</t>
  </si>
  <si>
    <t>X, UNO</t>
  </si>
  <si>
    <t>See D,F&amp;H</t>
  </si>
  <si>
    <t>Wood Door Casings and portals per schedule and details</t>
  </si>
  <si>
    <t>A0.50-A0.51
A0.53 - A0.54B</t>
  </si>
  <si>
    <t>Level 00</t>
  </si>
  <si>
    <t>W-001 Cart Barn</t>
  </si>
  <si>
    <t>RFI</t>
  </si>
  <si>
    <t>Cart wash Stainless steel cabs, shelves, base, countertop and 4" backsplash</t>
  </si>
  <si>
    <t>ID-5.30, 1/ID-5.32
1,2/ID-6.58</t>
  </si>
  <si>
    <t>ALLOWANCE
{43,000}</t>
  </si>
  <si>
    <t>Cart prep stainless steel cabs, shelves, base, countertop and 4" backsplash</t>
  </si>
  <si>
    <t>ID-5.30, 2/ID-5.32
1,2/ID-6.59</t>
  </si>
  <si>
    <t>W-002 Golf Bag Storage</t>
  </si>
  <si>
    <t>Golf Bag racks</t>
  </si>
  <si>
    <t>A2.12, ID-3.16</t>
  </si>
  <si>
    <t>EXCLUDE</t>
  </si>
  <si>
    <t>W-006 Laundry</t>
  </si>
  <si>
    <t>ID-3.16, ID-3.16B</t>
  </si>
  <si>
    <t>W-007 Pool Equipment</t>
  </si>
  <si>
    <t>W-009 Shoe Drop</t>
  </si>
  <si>
    <t>Millwork Cabs (PLAM-3), open shelves, Countertop and 4" backsplash (ST-1)</t>
  </si>
  <si>
    <t>ID-5.27, ID-6.56</t>
  </si>
  <si>
    <t>PLAM-1</t>
  </si>
  <si>
    <t>W-010 Electrical</t>
  </si>
  <si>
    <t>W-015 Pool Equipment</t>
  </si>
  <si>
    <t>W-018 Plunge Pool Equipment</t>
  </si>
  <si>
    <t>W-019 Office</t>
  </si>
  <si>
    <t>Wall panel PLAM-X</t>
  </si>
  <si>
    <t>2/ID-5.25</t>
  </si>
  <si>
    <t>PL-101</t>
  </si>
  <si>
    <t>Plug</t>
  </si>
  <si>
    <t>PLAM-3</t>
  </si>
  <si>
    <t>Installation of owner supplied stuff</t>
  </si>
  <si>
    <t>W-020 Men's restroom</t>
  </si>
  <si>
    <t>Millwork Vanities (PLAM_2) &amp; Countertop &amp; 4" Backsplash (ST2)</t>
  </si>
  <si>
    <t>ID-3.16, ID-5.28
1-2/ID-6.57</t>
  </si>
  <si>
    <t>W-021 Women's restroom</t>
  </si>
  <si>
    <t>W-022 Employee Lounge</t>
  </si>
  <si>
    <t>reference sheet I5.14 note on ID-5.26 for lockers</t>
  </si>
  <si>
    <t>Kitchen cabs, open shelves, trim cap, millwork fixed panels (PLAM-3) and counters &amp; 4" backsplash (ST-3)</t>
  </si>
  <si>
    <t>1,4/ID-5.26
2,3,4/ID-6.54
1,2/ID-6.55</t>
  </si>
  <si>
    <t>TV Wall Unit PLAM-3 &amp; counter ST-3</t>
  </si>
  <si>
    <t>1,3/ID-5.26
1/ID-6.54</t>
  </si>
  <si>
    <t>Level 01</t>
  </si>
  <si>
    <t>ID-1.17, ID-2.15
ID3.17, A2.22
A6.22</t>
  </si>
  <si>
    <t>W-100 Retail</t>
  </si>
  <si>
    <t>ID-3.17B, ID5.57</t>
  </si>
  <si>
    <t>Hanging Millwork (metal angle brackets, wood double supports WD-109, wood shelves WD-109, hanging rods MT-101)</t>
  </si>
  <si>
    <t>2/ID-5.57
1,2,3,4,5/ID-6.60.3</t>
  </si>
  <si>
    <t>Cash Desk &amp; Backwrap (Millwork &amp; Ribs WD-109, Paneling WD-109, countertop &amp; Shroud ST-114.1, Shelves, grommets, wood cap, trim, wood tile)</t>
  </si>
  <si>
    <t>2,3/ID-5.57
ID-6.60.2
12/ID-6.60.3</t>
  </si>
  <si>
    <t>Casing WD-109</t>
  </si>
  <si>
    <t>3,4,6,7/ID-5.57
4/ID-7.04</t>
  </si>
  <si>
    <t>Shelf display (Millwork &amp; Ribs WD-109, Paneling WD-109, Shelves, wood rail, header, filler)</t>
  </si>
  <si>
    <t>3,4,5/ID5.57
ID-6.60.1</t>
  </si>
  <si>
    <t>Free-standing display/Stor w/provisions for sink WD-109 &amp; ST-114.1</t>
  </si>
  <si>
    <t>4/ID-5.57
6,7,8,9,10,11,12/ID-6.60.3</t>
  </si>
  <si>
    <t>Free-standing display/Stor without sink WD-109 &amp; ST-114.1</t>
  </si>
  <si>
    <t>2/ID-5.57
6,7,8,9,10,11,12/ID-6.60.3</t>
  </si>
  <si>
    <t>Interior exposed columns solid wood paneling</t>
  </si>
  <si>
    <t>A2.22, A8.01
ID-1.17, 2/ID-5.57</t>
  </si>
  <si>
    <t>W-102 Vanity</t>
  </si>
  <si>
    <t>(2) Men's Changing Towel Drop Millwork w/ shelves WD-105 and countertop &amp; apron ST-112.1</t>
  </si>
  <si>
    <t>2/ID-5.61
4/ID-6.62.0
2,3,4/ID-6.69.4</t>
  </si>
  <si>
    <t>Men's Changing Swim Spin Millwork w/ shelves WD-105 and countertop &amp; apron ST-122.1 w/swimsuit spinner</t>
  </si>
  <si>
    <t>4/ID-5.61
3/ID-6.62.0
1,3/ID-6.69.4</t>
  </si>
  <si>
    <t>(2) Men's Changing Dry Vanity Millwork WD-105 with counter &amp; apron ST-122.1</t>
  </si>
  <si>
    <t>5/ID-5.61
2/ID-6.62.0
1,2/ID-6.69.3</t>
  </si>
  <si>
    <t>Casing WD-105</t>
  </si>
  <si>
    <t>5,6,7/ID-5.61
2/ID-7.04, 6/ID-7.04</t>
  </si>
  <si>
    <t>Portal WD-105</t>
  </si>
  <si>
    <t>5,6/ID-5.61
2/ID-7.04</t>
  </si>
  <si>
    <t>Vanity WD-105, countertop &amp; apron ST-122.1</t>
  </si>
  <si>
    <t>7/ID-5.61
1/ID-6.62.0
1,2/ID-6.69.2</t>
  </si>
  <si>
    <t>Pilasters ST-122.1</t>
  </si>
  <si>
    <t>See Tile</t>
  </si>
  <si>
    <t>Vanity return walls WD-105???</t>
  </si>
  <si>
    <t>3/ID-5.61
4/ID-6.69.2</t>
  </si>
  <si>
    <t>WD-105</t>
  </si>
  <si>
    <t>Vanity backsplash ST-122.1 and vanity niche and shelves ST-122.2</t>
  </si>
  <si>
    <t>7/ID-5.61
1/ID-6.62.0
2,4/ID-6.69.2</t>
  </si>
  <si>
    <t>W-108 Thermal Area</t>
  </si>
  <si>
    <t>Millwork WD-105 and countertop &amp; backsplash ST-116.1 w/ wood shelves, surround and backsplash</t>
  </si>
  <si>
    <t>1/ID-5.60, 2/ID-5.65
7/ID-6.62.0
1,2,3/ID-6.69.6</t>
  </si>
  <si>
    <t>3/ID-5.65</t>
  </si>
  <si>
    <t>W-109 Hallway</t>
  </si>
  <si>
    <t>2,3,4,5,6/ID-5.60
4/ID-7.03, 2/ID-7.04</t>
  </si>
  <si>
    <t>2,3,4,5/ID-5.60
2/ID-7.04</t>
  </si>
  <si>
    <t>(2) Millwork ((1) double and (1) triple) WD-105 and countertop and apron ST-122.1 and shelves</t>
  </si>
  <si>
    <t>3/ID-5.60
5,6/ID-6.62.0
1,2,3/ID-6.69.5</t>
  </si>
  <si>
    <t>Window wood frame Casing WD-105</t>
  </si>
  <si>
    <t>5/ID-5.60</t>
  </si>
  <si>
    <t>Ceiling Beams WD-109</t>
  </si>
  <si>
    <t>2,3,4,5/ID-5.60
3/ID-6.20</t>
  </si>
  <si>
    <t>W-110 Lockers</t>
  </si>
  <si>
    <t>WD-105 Portal/cladding, wood edge and cove</t>
  </si>
  <si>
    <t>1,2,3,4/ID-5.64
ID-6.65, 5/ID-6.08</t>
  </si>
  <si>
    <t>W-111 Lockers</t>
  </si>
  <si>
    <t>W-112 Lockers</t>
  </si>
  <si>
    <t>W-114 Men's Restroom</t>
  </si>
  <si>
    <t>ID-5.60, ID-5.63</t>
  </si>
  <si>
    <t>2,3,5,9,11/ID-5.63</t>
  </si>
  <si>
    <t>2/ID-5.63</t>
  </si>
  <si>
    <t>Urinal Screen MT-105 &amp; G-106</t>
  </si>
  <si>
    <t>1,3/ID-5.63
4,5,6/ID-6.69.1</t>
  </si>
  <si>
    <t>(2) Headrest UPH-102</t>
  </si>
  <si>
    <t>3/ID-5.63</t>
  </si>
  <si>
    <t>W-114A Men's W/C</t>
  </si>
  <si>
    <t>Vanity and apron WD-105, countertop ST-112.1</t>
  </si>
  <si>
    <t>10,13/ID-5.63
1/ID-6.69.1
3/ID-6.69.2</t>
  </si>
  <si>
    <t>W-115 Barber</t>
  </si>
  <si>
    <t>(2) Barber stations Millwork PT-106, countertop &amp; backsplash ST-112.3, frame and adjustable shelving, wood surround</t>
  </si>
  <si>
    <t>5/ID-5.64
1,2,3,4/ID-6.70</t>
  </si>
  <si>
    <t>Void spaces in barber stations to be laminated with metal</t>
  </si>
  <si>
    <t>2/ID-6.70</t>
  </si>
  <si>
    <t>Window wood frame at Barber Shop WD-105 w/ glass G-103</t>
  </si>
  <si>
    <t>6/ID-5.64</t>
  </si>
  <si>
    <t>See Windows</t>
  </si>
  <si>
    <t>Barber credenza with countertop</t>
  </si>
  <si>
    <t>7/ID-5.64
5,6/ID-6.70</t>
  </si>
  <si>
    <t>Casing PT-106</t>
  </si>
  <si>
    <t>7/ID-5.64</t>
  </si>
  <si>
    <t>Base PT-106</t>
  </si>
  <si>
    <t>5,6,7,8/ID5.64</t>
  </si>
  <si>
    <t>W-116 Men's Bar Lounge</t>
  </si>
  <si>
    <t>Interior exposed columns and pilasters solid wood paneling WD-103</t>
  </si>
  <si>
    <t>ID-1.17, A2.22
5,7/ID-5.59
2/ID-6.20
A8.00, A8.01</t>
  </si>
  <si>
    <t>1,5/ID-5.59</t>
  </si>
  <si>
    <t>Millwork WD-105 TV Unit with solid wood shelves</t>
  </si>
  <si>
    <t>6/ID-5.59, ID/6.61.4</t>
  </si>
  <si>
    <t>Base PT-108</t>
  </si>
  <si>
    <t>ID-5.59, 2/ID-6.61.4</t>
  </si>
  <si>
    <t>Men's Comfort Station millwork &amp; Shelves WD-105, Metal supports MT-105, with countertop &amp; Backsplash ST-112.3</t>
  </si>
  <si>
    <t>8/ID-5.59, ID-6.68.1
ID-6.68.2</t>
  </si>
  <si>
    <t>Men's Lounge Bar and backbar (all components) Lava stone countertop, AD countertop, flip top counter and door, all with metal support angle concealed under counter, bar die, foot rail and base with concealed metal angle supports, scupper drink rail MT-101 with cap, Glass holder G-105 and hanging shelf , metal tube supports MT-105 and metal plate at ceiling, fiddle and guard rail for bottles purse hooks</t>
  </si>
  <si>
    <t>8/ID-5.59
ID-6.61.1
ID-6.61.2
ID-6.61.3</t>
  </si>
  <si>
    <t>FRP at backside of bar</t>
  </si>
  <si>
    <t>See Drywall</t>
  </si>
  <si>
    <t>Men's Bar Lounge member stair/Entry wood slat WD-109 and components, Black powder coated steel plate</t>
  </si>
  <si>
    <t>A7.14-A7.18
1,2/ID-5.59</t>
  </si>
  <si>
    <t>Men's Bar Lounge member stair/Entry wood handrail WD-109, brackets, and components</t>
  </si>
  <si>
    <t>A7.14- A7.18</t>
  </si>
  <si>
    <t>Men's Bar Lounge member stair/Entry stone stair and risers with reveal</t>
  </si>
  <si>
    <t>A7.14-A7.18</t>
  </si>
  <si>
    <t>Vertical Wood siding system WD on elevator walls?</t>
  </si>
  <si>
    <t>7/A8.04, 4/ID-5.59
7/ID-5.57</t>
  </si>
  <si>
    <t>WD-109</t>
  </si>
  <si>
    <t>Cladding (Beams) WD-103, roller shade, transition details</t>
  </si>
  <si>
    <t>ID-2.15
2,3,4/ID-6.08</t>
  </si>
  <si>
    <t>Ceiling WD-101 acoustical planks</t>
  </si>
  <si>
    <t>W-118 Women's Bar Lounge</t>
  </si>
  <si>
    <t>ID-1.17, A2.22
5,7/ID-5.67
2/ID-6.20
A8.00, A8.01</t>
  </si>
  <si>
    <t>1,8/ID-5.67</t>
  </si>
  <si>
    <t>8/ID-5.67, ID-6.63.4</t>
  </si>
  <si>
    <t>ID-5.67, 2/ID-6.63.4</t>
  </si>
  <si>
    <t>Women's Comfort Station millwork &amp; Shelves WD-105, Metal supports MT-105, with countertop &amp; Backsplash ST-112.3</t>
  </si>
  <si>
    <t>6/ID-5.67, ID-6.68.1
ID-6.68.2</t>
  </si>
  <si>
    <t>Women's Lounge Bar and backbar (all components) Lava stone countertop, AD countertop, flip top counter and door, all with metal support angle concealed under counter, bar die, foot rail and base with concealed metal angle supports, scupper drink rail MT-101 with cap, Glass holder G-105 and hanging shelf , metal tube supports MT-105 and metal plate at ceiling, fiddle and guard rail for bottles purse hooks</t>
  </si>
  <si>
    <t>6/ID-5.67
ID-6.63.1
ID-6.63.2
ID-6.63.3</t>
  </si>
  <si>
    <t>Women's Bar Lounge member stair/Entry wood slat WD-109 and components, Black powder coated steel plate</t>
  </si>
  <si>
    <t>A7.14-A7-18
1,4/ID-5.67</t>
  </si>
  <si>
    <t>Women's Bar Lounge member stair/Entry wood handrail WD-109, brackets, and components</t>
  </si>
  <si>
    <t>A7.14-A7-18</t>
  </si>
  <si>
    <t>Women's Bar Lounge member stair/Entry stone stair and risers with reveal</t>
  </si>
  <si>
    <t>7/A8.04, 2/ID-5.67
7/ID-5.57</t>
  </si>
  <si>
    <t>W-119 Salon BOH</t>
  </si>
  <si>
    <t>Millwork PL-103, countertops &amp; backsplash SS-101 and shelving</t>
  </si>
  <si>
    <t>8,9,10,11/ID-5.66
5,6,7/ID-6.71.2
ID-6.71.3</t>
  </si>
  <si>
    <t>11/ID-5.66</t>
  </si>
  <si>
    <t>W-120 Salon</t>
  </si>
  <si>
    <t>Wash Station Millwork WD-109, countertops &amp; backsplash ST-113.2 and shelving</t>
  </si>
  <si>
    <t>3/ID-5.66
1,2,3,4,9/ID-6.71.1</t>
  </si>
  <si>
    <t>(2) Wash stations, (2) chairs, (2) hairdresser chairs</t>
  </si>
  <si>
    <t>Exclude</t>
  </si>
  <si>
    <t>Styling Station Millwork WD-109, countertops ST-113.2 and shelving</t>
  </si>
  <si>
    <t>3/ID-5.66
5,6,7,8,9/ID-6.71.1</t>
  </si>
  <si>
    <t>Lintel MT-101 above opening</t>
  </si>
  <si>
    <t>3/ID5.66</t>
  </si>
  <si>
    <t>Display Station Millwork WD-109, countertops &amp; backsplash ST-113.2 and shelving</t>
  </si>
  <si>
    <t>7/ID-5.66
1,2,3,4/ID-6.71.2
9/ID-6.71.1</t>
  </si>
  <si>
    <t>Millwork/table???</t>
  </si>
  <si>
    <t>1,7/ID5.66</t>
  </si>
  <si>
    <t>Trim WD-109</t>
  </si>
  <si>
    <t>2,3,5,6,7/ID5.66</t>
  </si>
  <si>
    <t>Ceiling, faux rafter WD-109</t>
  </si>
  <si>
    <t>W-123 ADA Changing Room</t>
  </si>
  <si>
    <t>Casing</t>
  </si>
  <si>
    <t>ID-5.68, 13/ID-5.71
6/ID-7.03</t>
  </si>
  <si>
    <t>W-124 Vanity</t>
  </si>
  <si>
    <t>T-Drop Millwork WD-105, countertop &amp; apron ST-122.1, shelving and surround</t>
  </si>
  <si>
    <t>5/ID-5.69, 2/ID-6.64
1,2/ID-6.69.5</t>
  </si>
  <si>
    <t>7/ID-5.69</t>
  </si>
  <si>
    <t>Pilasters solid wood paneling WD-105</t>
  </si>
  <si>
    <t>5,7/ID-5.69</t>
  </si>
  <si>
    <t>Vanity WD-105, countertop ST-122.1</t>
  </si>
  <si>
    <t>5/ID-5.69, 1/ID-6.64
1,2/ID-6.69.2</t>
  </si>
  <si>
    <t>Stone pilasters ST-122.1</t>
  </si>
  <si>
    <t>5/ID-5.69, 1/ID-6.64
2/ID-6.69.2</t>
  </si>
  <si>
    <t>Vanity Backsplash ST-122.2</t>
  </si>
  <si>
    <t>Swim-Spin &amp; T-Drop Millwork WD-105, countertop &amp; apron ST-122.1, shelving and surround</t>
  </si>
  <si>
    <t>5/ID-5.69, 1/ID-6.64
ID-6.69.7</t>
  </si>
  <si>
    <t>Changing Dry Vanity Millwork WD-105, countertop, apron, backsplash &amp; knee space ST-122.1, shelving, surround, niche, and wall finish below ST-122.1</t>
  </si>
  <si>
    <t>7/ID-5.69, 4/ID-6.64
ID-6.69.3</t>
  </si>
  <si>
    <t>W-125 Lockers</t>
  </si>
  <si>
    <t>Portal, wood edge and cove WD-105</t>
  </si>
  <si>
    <t>ID-5.72, ID-6.65
5/ID-6.08</t>
  </si>
  <si>
    <t>Stone base ST-105.2</t>
  </si>
  <si>
    <t>W-126 Lockers</t>
  </si>
  <si>
    <t>W-127 Hallway</t>
  </si>
  <si>
    <t>1,2,3,4/ID-5.69</t>
  </si>
  <si>
    <t>T-Drop Millwork WD-105, countertop &amp; apron ST-122.1 and shelves and surround</t>
  </si>
  <si>
    <t>3/ID-5.69, 2/ID-6.64
1,2/ID-6.69.5</t>
  </si>
  <si>
    <t>Beams WD-109</t>
  </si>
  <si>
    <t>W-128 Changing Room</t>
  </si>
  <si>
    <t>ID-5.68, 5/ID-5.71
5/ID-7.03</t>
  </si>
  <si>
    <t>W-129A W/C</t>
  </si>
  <si>
    <t>13/ID-5.70</t>
  </si>
  <si>
    <t>ADA W/C Vanity &amp; apron WD-105, countertop ST-112.1</t>
  </si>
  <si>
    <t>15/ID-5.70
1,3/ID-6.69.1</t>
  </si>
  <si>
    <t>W-129B W/C</t>
  </si>
  <si>
    <t>9/ID-5.70</t>
  </si>
  <si>
    <t>W-129C W/C</t>
  </si>
  <si>
    <t>W-129D W/C</t>
  </si>
  <si>
    <t>W-131 Hallway</t>
  </si>
  <si>
    <t>6/ID-5.70, 4/ID-7.03</t>
  </si>
  <si>
    <t>5,6,7/ID-5.70</t>
  </si>
  <si>
    <t>W-132 Thermal Area</t>
  </si>
  <si>
    <t>1/ID-5.73, 4/ID-7.03</t>
  </si>
  <si>
    <t>T-Drop Millwork WD-105, Countertop, apron &amp; Backsplash ST-116.1, shelves &amp; surround</t>
  </si>
  <si>
    <t>2/ID-5.73, 5/ID-6.64
2,3/ID-6.69.6</t>
  </si>
  <si>
    <t>W-135 Men's Pool WC</t>
  </si>
  <si>
    <t>Headrest UPH-102</t>
  </si>
  <si>
    <t>4/ID-5.74, 1/ID-6.80</t>
  </si>
  <si>
    <t>4/ID-5.74</t>
  </si>
  <si>
    <t>Swin-Spin &amp; T-Drop Millwork WD-109, Countertop &amp; apron ST-105.1, shelves and surround</t>
  </si>
  <si>
    <t>6,8,9/ID-5.74
1/ID-6.72.1
ID-6.72.2</t>
  </si>
  <si>
    <t>Vanity Millwork WD-109, Countertop &amp; apron ST-105.1</t>
  </si>
  <si>
    <t>5,6,7/ID-5.74
1/ID-6.72.1
ID-6.72.3</t>
  </si>
  <si>
    <t>Vanity Backsplash ST-105.1</t>
  </si>
  <si>
    <t>(2) Stone Niches ST-105.2</t>
  </si>
  <si>
    <t>5,7/ID-5.74
2/ID-6.72.3
4/ID-6.69.2</t>
  </si>
  <si>
    <t>(2) Niche Shelves WD-109 or Stone???</t>
  </si>
  <si>
    <t>Wood</t>
  </si>
  <si>
    <t>T-Drop Millwork WD-109, Countertop ST-105.1, shelves and surround</t>
  </si>
  <si>
    <t>2,3,6/ID-5.74
1/ID-6.72.1
4/ID-6.72.2</t>
  </si>
  <si>
    <t>W-135B ADA WC</t>
  </si>
  <si>
    <t>ADA Vanity WD-109, w/ countertop ST-105.1</t>
  </si>
  <si>
    <t>5,8/ID-5.75
1,3/ID-6.69.1</t>
  </si>
  <si>
    <t>7/ID-5.75</t>
  </si>
  <si>
    <t>W-136 JC</t>
  </si>
  <si>
    <t>14/ID-5.75</t>
  </si>
  <si>
    <t>W-137 Women's Pool WC</t>
  </si>
  <si>
    <t>6/ID-5.76</t>
  </si>
  <si>
    <t>Swin-Spin &amp; T-Drop Millwork WD-109, Countertop ST-105.1, shelves and surround</t>
  </si>
  <si>
    <t>4,8,9/ID-5.76
1/ID-6.72.1
ID-6.72.2</t>
  </si>
  <si>
    <t>Vanity Millwork WD-109, Countertop ST-105.1</t>
  </si>
  <si>
    <t>4,5,7/ID-5.76
1/ID-6.72.1
ID-6.72.3</t>
  </si>
  <si>
    <t>4,5,7/ID-5.76
1/ID-6.72.1
ID-6.72.3
4/ID-6.69.2</t>
  </si>
  <si>
    <t>2,3,4/ID-5.76
1/ID-6.72.1
4/ID-6.72.2</t>
  </si>
  <si>
    <t>W-137B ADA WC</t>
  </si>
  <si>
    <t>3,4/ID-5.77
1,3/ID-6.69.1</t>
  </si>
  <si>
    <t>1/ID-5.77</t>
  </si>
  <si>
    <t>W-137C WC</t>
  </si>
  <si>
    <t>5/ID-5.77</t>
  </si>
  <si>
    <t>W-137D WC</t>
  </si>
  <si>
    <t>Level 02</t>
  </si>
  <si>
    <t>W-200 Reception</t>
  </si>
  <si>
    <t>2,4/ID-5.79</t>
  </si>
  <si>
    <t>Ceiling WD-113 including stairs to wet/locker areas men's and women's</t>
  </si>
  <si>
    <t>Spa reception drapery detail acoustic wood cladding planks</t>
  </si>
  <si>
    <t>9/ID-6.08</t>
  </si>
  <si>
    <t>Ceiling WD-113 Acoustical</t>
  </si>
  <si>
    <t>W-201 Hallway</t>
  </si>
  <si>
    <t>Possible millwork presence in vestibule areas of all rooms of hallway 201
Millwork that have no elevations and no sections are excluded UNO.</t>
  </si>
  <si>
    <t>Wall panel WD-109 (next to glass door on reception side)</t>
  </si>
  <si>
    <t>ID-5.78
5,6/ID-5.79</t>
  </si>
  <si>
    <t>5,6/ID-5.79</t>
  </si>
  <si>
    <t>Wall slats WD-109 with wrap around corners</t>
  </si>
  <si>
    <t>1,2,3,4/ID-5.80
ID-6.21</t>
  </si>
  <si>
    <t>3,5,6/ID-5.80
8,10/ID-7.03</t>
  </si>
  <si>
    <t>5,6/ID-5.79
ID-5.80, ID-6.21</t>
  </si>
  <si>
    <t>Ceiling wood WD-? (at exterior entrances of neuro, treatment, hammam, and IR sauna rooms)</t>
  </si>
  <si>
    <t>W-202 W/C</t>
  </si>
  <si>
    <t>ADA Vanity WD-109 and countertop ST-105.1</t>
  </si>
  <si>
    <t>2,5/ID-5.83
1,3/ID-6.69.1</t>
  </si>
  <si>
    <t>3/ID--5.83</t>
  </si>
  <si>
    <t>W-204 Neuro Acoustic</t>
  </si>
  <si>
    <t>Millwork Unit and shelves PL-101 w/ countertop and backsplash SS-102</t>
  </si>
  <si>
    <t>1,2,4/ID-5.81
1/ID-6.73.2
ID-6.73.3</t>
  </si>
  <si>
    <t>1/ID-5.81, 8/ID-7.03</t>
  </si>
  <si>
    <t>Base WD-109</t>
  </si>
  <si>
    <t>1,2,3,4/ID-5.81</t>
  </si>
  <si>
    <t>W-205 Facial Treatment Room</t>
  </si>
  <si>
    <t>5,6,7,8/ID-5.81</t>
  </si>
  <si>
    <t>Millwork Unit and shelves WD-105 w/ countertop &amp; backsplash SS-102nd wall S-120.2</t>
  </si>
  <si>
    <t>6,7,8/ID-5.81
2/ID-6.73.2
ID-6.73.3</t>
  </si>
  <si>
    <t>7/ID-5.81, 8/ID-7.03</t>
  </si>
  <si>
    <t>Ceiling beams WD-109</t>
  </si>
  <si>
    <t>5,6,7,8/ID-5.81
8/ID-6.08</t>
  </si>
  <si>
    <t>W-206 Treatment</t>
  </si>
  <si>
    <t>W-207 Treatment</t>
  </si>
  <si>
    <t>W-209 Hammam Vestibule</t>
  </si>
  <si>
    <t>9,10,11,12/ID-5.81</t>
  </si>
  <si>
    <t>9/ID-5.81
8/ID-7.03</t>
  </si>
  <si>
    <t>Casing &amp; Portal Stone ST-119.2</t>
  </si>
  <si>
    <t>10/ID-5.81</t>
  </si>
  <si>
    <t>Millwork Unit, shelves and surround WD-109 w/ countertop, apron and Backsplash ST-119.2</t>
  </si>
  <si>
    <t>10,11,12/ID-5.81
3/ID-6.73.2
ID-6.73.4</t>
  </si>
  <si>
    <t>W-210 IR Sauna Vestibule</t>
  </si>
  <si>
    <t>Base PT-107</t>
  </si>
  <si>
    <t>5,6,7,8/ID-5.82</t>
  </si>
  <si>
    <t>Casing PT-107</t>
  </si>
  <si>
    <t>7/ID-5.82, 8/ID-7.03</t>
  </si>
  <si>
    <t>12/ID-5.82</t>
  </si>
  <si>
    <t>Millwork Unit, shelves and surround WD-109 w/ countertop, apron and Backsplash ST-108.2</t>
  </si>
  <si>
    <t>5,6,7/ID-5.82
4/ID-6.73.2
1,2,3/ID-6.73.4</t>
  </si>
  <si>
    <t>W-211 IR Sauna</t>
  </si>
  <si>
    <t>9,10,11,12/ID-5.82</t>
  </si>
  <si>
    <t>Platform WD-109</t>
  </si>
  <si>
    <t>W-212 Snow</t>
  </si>
  <si>
    <t>Base PT-101</t>
  </si>
  <si>
    <t>13,17/ID-5.82</t>
  </si>
  <si>
    <t>W-214 Hallway</t>
  </si>
  <si>
    <t>ID-5.85, ID-5.86</t>
  </si>
  <si>
    <t>3,4,5,6/ID-5.85
1,2,6/ID-5.86
8,10/ID-7.03</t>
  </si>
  <si>
    <t>W-215 Chiropractor &amp; Acupuncture Room</t>
  </si>
  <si>
    <t>7,8,9,10/ID-5.86</t>
  </si>
  <si>
    <t>Millwork Unit, shelves and surround PL-103 w/ countertop, apron, &amp; backsplash SS-102</t>
  </si>
  <si>
    <t>8,9/ID-5.86</t>
  </si>
  <si>
    <t>10/ID-5.86</t>
  </si>
  <si>
    <t>W-216 IV Consult</t>
  </si>
  <si>
    <t>5,6,7,8/ID-5.87</t>
  </si>
  <si>
    <t>8/ID-5.87</t>
  </si>
  <si>
    <t>Millwork Unit and shelves PL-101 w/ countertop SS-102</t>
  </si>
  <si>
    <t>5,6,7/ID-5.87
1/ID-6.74
1,2/ID-6.75.2</t>
  </si>
  <si>
    <t>W-217 IV Prep</t>
  </si>
  <si>
    <t>9,10,11,12/ID-5.87</t>
  </si>
  <si>
    <t>12/ID-5.87</t>
  </si>
  <si>
    <t>Millwork Unit and shelves PL-103 w/ countertop SS-102</t>
  </si>
  <si>
    <t>9,10,11,12/ID-5.87
2,3/ID-6.74
3,4,5/ID-6.75.2</t>
  </si>
  <si>
    <t>W-218 IV Lounge</t>
  </si>
  <si>
    <t>ID-1.18, ID-5.84
3,4/ID-5.87
A8.00, A8.01</t>
  </si>
  <si>
    <t>Planter WD-109</t>
  </si>
  <si>
    <t>1,2,4/ID-5.87
4,5,6/ID-6.74</t>
  </si>
  <si>
    <t>Screens WD-109</t>
  </si>
  <si>
    <t>1,2,4/ID-5.87
7,8,9,10/ID-6.74</t>
  </si>
  <si>
    <t>2/ID-5.87</t>
  </si>
  <si>
    <t>1,2,3,4/ID-5.87
6/ID-6.08</t>
  </si>
  <si>
    <t>W-219 Medical Aesthetic Treatment</t>
  </si>
  <si>
    <t>13,14,16/ID-5.88</t>
  </si>
  <si>
    <t>14/ID-5.88</t>
  </si>
  <si>
    <t>Millwork Unit and shelves PL-102 w/ countertop &amp; Backsplash SS-102</t>
  </si>
  <si>
    <t>14,15,16/ID-5.88
2/ID-6.75.1
1,2,4/ID6.75.3</t>
  </si>
  <si>
    <t>W-220 Hyperbaric Oxygen Room</t>
  </si>
  <si>
    <t>5,6,7,8/ID-5.88</t>
  </si>
  <si>
    <t>5,6,8/ID-5.88</t>
  </si>
  <si>
    <t>W-221 Clinician/Attendant</t>
  </si>
  <si>
    <t>9,10,11,12/ID-5.88</t>
  </si>
  <si>
    <t>11/ID-5.88</t>
  </si>
  <si>
    <t>W-223 Cryotherapy Room</t>
  </si>
  <si>
    <t>1,2,3,4/ID-5.88</t>
  </si>
  <si>
    <t>1,3/ID-5.88</t>
  </si>
  <si>
    <t>Millwork Unit PL-101 w/ countertop &amp; Backsplash SS-102</t>
  </si>
  <si>
    <t>1,2,3/ID-5.88
1/ID-6.75.1
1,2,3/ID-6.75.3</t>
  </si>
  <si>
    <t>W-224 Red Light Therapy</t>
  </si>
  <si>
    <t>1,2,3,4/ID-5.89</t>
  </si>
  <si>
    <t>1/ID-5.89</t>
  </si>
  <si>
    <t>2,3,4/ID-5.89
3/ID-6.75.1
1,2,4/ID-6.75.3</t>
  </si>
  <si>
    <t>Vanity (PLAM-4) and counters (ST-4)</t>
  </si>
  <si>
    <t>ID-5.68
ID-5.44</t>
  </si>
  <si>
    <t>W-229 Exam</t>
  </si>
  <si>
    <t>5,6,7,8/ID-5.89</t>
  </si>
  <si>
    <t>5,6/ID-5.89</t>
  </si>
  <si>
    <t>5,7,8/ID-5.89
4/ID-6.75.1
1,2,4/ID-6.75.3</t>
  </si>
  <si>
    <t>W-230 Consultation</t>
  </si>
  <si>
    <t>9,10,11,12/ID-5.89</t>
  </si>
  <si>
    <t>10,11/ID-5.89</t>
  </si>
  <si>
    <t>W-231 Lab</t>
  </si>
  <si>
    <t>1,2,3,4/ID-5.90</t>
  </si>
  <si>
    <t>3/ID-5.90</t>
  </si>
  <si>
    <t>Millwork Unit PL-102 w/ countertop &amp; Backsplash SS-102</t>
  </si>
  <si>
    <t>1,2,3/ID-5.90
ID-6.76.1
ID-6.76.2</t>
  </si>
  <si>
    <t>W-232 W/C</t>
  </si>
  <si>
    <t>ADA Vanity WD-109 and counters ST-105.1</t>
  </si>
  <si>
    <t>5,6/ID-5.90
2,3/ID-6.69.1</t>
  </si>
  <si>
    <t>5/ID--5.90</t>
  </si>
  <si>
    <t>D-001 Kid's space</t>
  </si>
  <si>
    <t xml:space="preserve">Millwork Media console (MT-103), and kids shelving WD-107 with all components </t>
  </si>
  <si>
    <t>1/ID-5.01
4,5,6,7/ID-6.30</t>
  </si>
  <si>
    <t xml:space="preserve">WD-107 Millwork Comfort Station including fridge and freezer finish (MT-103), and shelving WD-107 with all components </t>
  </si>
  <si>
    <t>3/ID-5.01
4,5,6,7,8,9/ID-6.30</t>
  </si>
  <si>
    <t>CR-101 Cork Wall finish</t>
  </si>
  <si>
    <t>1,2,3,4,5,6/ID-5.01</t>
  </si>
  <si>
    <t>See WC</t>
  </si>
  <si>
    <t>WD-106 Arch Fin w/metal angles and plywood rails, base, trim, casing</t>
  </si>
  <si>
    <t>1,2,3,4,5,6/ID-5.01
ID-6.16</t>
  </si>
  <si>
    <t>Fins?</t>
  </si>
  <si>
    <t>Ceiling WD-106 Laser cut birch plywood</t>
  </si>
  <si>
    <t>Ceiling CR-101 Cork finish</t>
  </si>
  <si>
    <t>Casing WD-106</t>
  </si>
  <si>
    <t>4,5,6/ID-5.01</t>
  </si>
  <si>
    <t>D-001A Screening Room</t>
  </si>
  <si>
    <t>MT-101 U-channel TV cork wall trim</t>
  </si>
  <si>
    <t>10/ID-5.01
5,7/ID-6.17</t>
  </si>
  <si>
    <t>WD-106 base, trim, casing</t>
  </si>
  <si>
    <t>7,8,9,10/ID-5.01
ID-6.16</t>
  </si>
  <si>
    <t>WD-107 Millwork and platform w/steps</t>
  </si>
  <si>
    <t>7,8,9/ID-5.01
1/ID-6.04, 2/ID-6.16</t>
  </si>
  <si>
    <t>WD-107 millwork cabinet w/powder coat metal finish MT-103</t>
  </si>
  <si>
    <t>10/ID-5.01
5/ID-6.17
1,2,3/ID-6.31</t>
  </si>
  <si>
    <t>UPH-106 Acoustical wall panel</t>
  </si>
  <si>
    <t>10/ID-5.01</t>
  </si>
  <si>
    <t>See AWC</t>
  </si>
  <si>
    <t>Wall CR-101 Cork finish</t>
  </si>
  <si>
    <t>D-002 Storage Shelving</t>
  </si>
  <si>
    <t>D-004 Men's W/C</t>
  </si>
  <si>
    <t>ID-1.11, ID-5.03</t>
  </si>
  <si>
    <t>2,3,9/ID-5.03
6,7/ID-7.02</t>
  </si>
  <si>
    <t>WD-107 Wall/Ceiling Trim</t>
  </si>
  <si>
    <t>CR-102 Cork Wall Finish</t>
  </si>
  <si>
    <t>6,11/ID-5.03</t>
  </si>
  <si>
    <t>UPH-102 Head rest</t>
  </si>
  <si>
    <t>7/ID-5.03
1/ID-6.80</t>
  </si>
  <si>
    <t>Vanity WD-107 &amp; Countertop, apron, &amp; Backsplash ST-107.1</t>
  </si>
  <si>
    <t>6,7,8/ID-5.03
5,6,7/ID-6.31</t>
  </si>
  <si>
    <t>D-004A Men's W/C</t>
  </si>
  <si>
    <t>13/ID-5.03
6/ID-7.02</t>
  </si>
  <si>
    <t>WC Vanity WD-107 &amp; Countertop ST-108.2</t>
  </si>
  <si>
    <t>12,15/ID-5.03
5/ID-6.31</t>
  </si>
  <si>
    <t>D-005 Women's W/C</t>
  </si>
  <si>
    <t>2,5/ID-5.03
4/ID-5.04</t>
  </si>
  <si>
    <t>WD-107 Wall Trim</t>
  </si>
  <si>
    <t>1,5/ID-5.04</t>
  </si>
  <si>
    <t>1,2,6/ID-5.04
5,6,7/ID-6.31</t>
  </si>
  <si>
    <t>Dry Vanity WD-107 &amp; Counter &amp; Backsplash ST-107.1</t>
  </si>
  <si>
    <t>5,6/ID-5.04
8,9,10/ID-6.31</t>
  </si>
  <si>
    <t>D-005A Women's W/C</t>
  </si>
  <si>
    <t>WC Vanity WD-107 &amp; Counter &amp; Backsplash ST-107.1</t>
  </si>
  <si>
    <t>13/ID-5.04
6/ID7.02</t>
  </si>
  <si>
    <t>D-005B Women's W/C</t>
  </si>
  <si>
    <t>10/ID-5.04
6/ID-7.02</t>
  </si>
  <si>
    <t>D-006 Kid's Space Corridor</t>
  </si>
  <si>
    <t>Elevator metal cladding corridor side</t>
  </si>
  <si>
    <t>ID-1.11, 1/ID-5.02</t>
  </si>
  <si>
    <t>See Elevator</t>
  </si>
  <si>
    <t>See hank</t>
  </si>
  <si>
    <t>WD-109 Casing</t>
  </si>
  <si>
    <t>5/ID-5.01
1,3,4/ID-5.02</t>
  </si>
  <si>
    <t>5/ID-5.01</t>
  </si>
  <si>
    <t>See Claudia</t>
  </si>
  <si>
    <t>D-007 Liquor Storage/ Vestibule</t>
  </si>
  <si>
    <t>WD-109 millwork shelving</t>
  </si>
  <si>
    <t>5,7,8/ID-5.02
4,5/ID-6.34
9/ID-7.01
11/ID-7.04</t>
  </si>
  <si>
    <t>ID-1.11, 6,8/ID-5.02
9/ID-7.01,
11/ID-7.04</t>
  </si>
  <si>
    <t>PT-107 Base</t>
  </si>
  <si>
    <t>5,6,7,8/ID-5.02</t>
  </si>
  <si>
    <t>D-008 Speakeasy</t>
  </si>
  <si>
    <t>Vitrines UPH-104, MT-104, WD-104, G-101</t>
  </si>
  <si>
    <t>9/ID-5.02
1,2,3/ID-6.34</t>
  </si>
  <si>
    <t>Banquette framing</t>
  </si>
  <si>
    <t>9,11,12/ID-5.02</t>
  </si>
  <si>
    <t>Banquette Wall surround UPH-101</t>
  </si>
  <si>
    <t>9,11,12/ID-5.02
2/ID-6.17</t>
  </si>
  <si>
    <t>Banquettes</t>
  </si>
  <si>
    <t>bar, back bar and components (Bar die WD-104 and stone countertops ST-106.3, glass shelves GL-101(with posts and frameMT-104), back panels G-105, bott panels UPH-104, door insert G-101, trim WD-104, foot rail DH-107and brackets DH-108, purse hooks DH-109, brass scupper drink rail with cap, grommets, countertop nosing, wood paneling WD-104, metal quarter round trim, FRP on bartender side, non-porous cove base, bottle riser with fiddle rail)</t>
  </si>
  <si>
    <t>9,10,11/ID-5.02
ID-6.32
4/ID-6.36</t>
  </si>
  <si>
    <t>no cove base</t>
  </si>
  <si>
    <t>UPH-101?</t>
  </si>
  <si>
    <t>WD-104 Solid wood jamb, casing, trim</t>
  </si>
  <si>
    <t>9,10,11/ID-5.02
2,8/ID-7.01
5/ID-7.02, 4/ID-7.04</t>
  </si>
  <si>
    <t>Wine locker and components G-105 &amp; UPH-104 (wood rails WD-104, glass door insert G-101, card frame DH-110, locks &amp; escutcheons DH-111, wood and metal trim)</t>
  </si>
  <si>
    <t>WD-104 trim, casing, base, Wall paneling, cove (including ribs), drapery pocket, crown, &amp; ceiling paneling and details</t>
  </si>
  <si>
    <t>ID-2.11
9,10,11,12/ID-5.02
1,2,3/ID-6.05</t>
  </si>
  <si>
    <t>Ceiling panel UPH-101</t>
  </si>
  <si>
    <t>ID-2.11
1,2/ID-6.05
1/ID-6.17</t>
  </si>
  <si>
    <t>D-011 Conditioned Garbage Shelving or tables???</t>
  </si>
  <si>
    <t>D-016 Mechanical Shelving???</t>
  </si>
  <si>
    <t>D-100 Entry Bar</t>
  </si>
  <si>
    <t>1,2,3,4/ID-5.05
ID-6.35</t>
  </si>
  <si>
    <t>A2.20
A8.00, A8.01
1,2,3/ID-5.05</t>
  </si>
  <si>
    <t>Entry bar and backbar with all component (Bottle risers MT-101 &amp; G-106, bar dye WD-103 and trim MT-101, countertops ST-105.1, purse hooks DH-106, glass guard rail, FRP at bartender side of bar and non-porous cove base, scupper drink rail and cap, wood paneling, metal recessed base, metal trim, stone countertop exterior drink rail, stone flip-top and double access door solid wood, metal cladding return at bar dye, SS outrigger metal support for bartender counter)</t>
  </si>
  <si>
    <t>2,4/ID-5.05
ID-6.35
ID-6.36</t>
  </si>
  <si>
    <t>Floating Hearth at fireplace framing and stone ST-101.3</t>
  </si>
  <si>
    <t>A4.30
3/ID-5.05</t>
  </si>
  <si>
    <t>See Stone Clad</t>
  </si>
  <si>
    <t>D-101 Wine room</t>
  </si>
  <si>
    <t>ID-5.08, ID-6.42</t>
  </si>
  <si>
    <t>Shelving outriggers MT-101, Display shelves WD-103, millwork WD-103, waterfall counter &amp; backsplash ST102.1</t>
  </si>
  <si>
    <t>1,2,3,4/ID-5.09
ID-6.42</t>
  </si>
  <si>
    <t>Wall ST-102.2</t>
  </si>
  <si>
    <t>1,4/ID-5.09, ID-6.42</t>
  </si>
  <si>
    <t>Fascia WD-113</t>
  </si>
  <si>
    <t>2,3/ID-5.09, ID-6.42</t>
  </si>
  <si>
    <t>D-102 Dining Room</t>
  </si>
  <si>
    <t>Ramp wall and sunken floor wall millwork WD-103 w/wood rail cap</t>
  </si>
  <si>
    <t>2,4/ID-5.05
1,4,5,6/ID-5.06
1/ID-6.37</t>
  </si>
  <si>
    <t>Ramp Handrail MT-101</t>
  </si>
  <si>
    <t>1,2/ID-5.06</t>
  </si>
  <si>
    <t>{10200}</t>
  </si>
  <si>
    <t>A2.20
A8.00, A8.01
2,4,6/ID-5.06</t>
  </si>
  <si>
    <t>Banquettes surround (Screen, wood paneling, framing and blocking, platform, steps)</t>
  </si>
  <si>
    <t>3/ID-5.06
ID-6.38
2/ID-6.04</t>
  </si>
  <si>
    <t>framing platform and dividers</t>
  </si>
  <si>
    <t>Dining room screen wall at sunken floor wall with shelves with wood rail cap</t>
  </si>
  <si>
    <t>Bulkhead, beam reveal, &amp; wall millwork WD-113</t>
  </si>
  <si>
    <t>1,3/ID-5.06
1,2,3/ID-6.06</t>
  </si>
  <si>
    <t>Wood base WD-102</t>
  </si>
  <si>
    <t>1,3/ID-5.06</t>
  </si>
  <si>
    <t>Pilaster solid wood radiused edge</t>
  </si>
  <si>
    <t>ID-1.12
1/ID-6.18</t>
  </si>
  <si>
    <t>Dining room fascia and stairs</t>
  </si>
  <si>
    <t>1,3/ID5.06
3/ID-5.07
4/ID-6.04</t>
  </si>
  <si>
    <t>?stairs</t>
  </si>
  <si>
    <t>Beam reveals, bulkhead &amp; cove details</t>
  </si>
  <si>
    <t>ID-2.12
1,2/ID-6.06</t>
  </si>
  <si>
    <t>Ceiling WD-101 ceiling Acoustical</t>
  </si>
  <si>
    <t>D-103 Omakase</t>
  </si>
  <si>
    <t>Omakase Bar and backbar and components (Stone countertop and dinning counter ST-102.1, double acting door, bar dye ST-105.1, purse hooks, glass shelves G-107 and metal outrigger supports MT-101, FRP clad and non-porous cove base on bartender side)</t>
  </si>
  <si>
    <t>1/ID-5.06
ID-6.39
ID-6.40</t>
  </si>
  <si>
    <t>(2) Split face sliding door &amp; jamb</t>
  </si>
  <si>
    <t>ID-1.12, 8/ID-7.02</t>
  </si>
  <si>
    <t>no jamb</t>
  </si>
  <si>
    <t>ID-2.12, 1,2/ID-6.06</t>
  </si>
  <si>
    <t>D-104 Private dinning</t>
  </si>
  <si>
    <t>Wall trim WD-103</t>
  </si>
  <si>
    <t>3/ID-6.18
5,6,7/ID-5.07</t>
  </si>
  <si>
    <t>Base WD-102</t>
  </si>
  <si>
    <t xml:space="preserve">
5,6,7,8/ID-5.07</t>
  </si>
  <si>
    <t>PDR Cove</t>
  </si>
  <si>
    <t>5,6,7,8/ID-5.07
3/ID-6.06</t>
  </si>
  <si>
    <t>PDR millwork WD-103 with countertop ST-102.1</t>
  </si>
  <si>
    <t>5,6,8/ID-5.07
1,2,3/ID-6.41</t>
  </si>
  <si>
    <t>ID-2.12
1,2,3/ID-6.06</t>
  </si>
  <si>
    <t>D-106 Kitchen Vestibule</t>
  </si>
  <si>
    <t>(2) Kitchen vestibule service station WD-103 and counters/2" backsplash SS-101, shelving WD-103 &amp; MT-101, and wall cladding, wood casing and trim</t>
  </si>
  <si>
    <t>4,5,6/ID-6.41
1,2,9,10/ID-5.07
5/ID-7.04</t>
  </si>
  <si>
    <t xml:space="preserve">D-108 FOH Hallway </t>
  </si>
  <si>
    <t>ID-1.12, ID-5.08</t>
  </si>
  <si>
    <t>2,4/ID-5.08</t>
  </si>
  <si>
    <t>D-109 Women's Restroom</t>
  </si>
  <si>
    <t>Vanity PT-110 and countertop &amp; backsplash ST104.1</t>
  </si>
  <si>
    <t>1,2,4/ID-5.10
1/ID-6.43</t>
  </si>
  <si>
    <t>Casing PT-110</t>
  </si>
  <si>
    <t>3,4/ID-5.10
1,2/ID-7.03</t>
  </si>
  <si>
    <t>D-109A Women's ADA WC</t>
  </si>
  <si>
    <t>WC Women's Vanity PT-110 and Countertop &amp; Backsplash ST-104.1</t>
  </si>
  <si>
    <t>10,11,12/ID-5.10
1/ID-6.43</t>
  </si>
  <si>
    <t>D-110 Men's Restroom</t>
  </si>
  <si>
    <t>6,7,8/ID-5.10
1/ID-6.43</t>
  </si>
  <si>
    <t>Head rest UPH-102</t>
  </si>
  <si>
    <t>5/ID-5.10
1/ID-6.80</t>
  </si>
  <si>
    <t>5,8/ID-5.10
1,2/ID-7.03</t>
  </si>
  <si>
    <t>D-110 Men's ADA WC</t>
  </si>
  <si>
    <t>WC Men's Vanity PT-110 and Countertop &amp; Backsplash ST-104.1</t>
  </si>
  <si>
    <t>ID-1.13, ID-3.13</t>
  </si>
  <si>
    <t>D-200 Sky Bar</t>
  </si>
  <si>
    <t>3/ID-5.11, A2.20
A8.00, A8.01</t>
  </si>
  <si>
    <t>Base PT-110</t>
  </si>
  <si>
    <t>1,2,3/ID-5.11</t>
  </si>
  <si>
    <t>Sky Bar and components (Bottle risers w/metal frame MT-101 and glass inserts G-106, ADA stone countertop, stone countertop ST-109.1, scupper drink rail w/ cap MT-101, purse hooks DH-106, stone flip-top double access door, metal back panel MT-101, glass shelves G-101, stone bar dye and plinth/foot rest ST-109.1, stone waterfall return, FRP at bartender side w/non-porous cove base, bartender Backbar &amp; countertop w/metal outriggers)</t>
  </si>
  <si>
    <t>1,4/ID-5.11
ID-6.44
ID-6.45
4/ID-6.36</t>
  </si>
  <si>
    <t>no base cove</t>
  </si>
  <si>
    <t>3,5/ID-5.12</t>
  </si>
  <si>
    <t>D-201 Hallway</t>
  </si>
  <si>
    <t>2,3,4/ID5.13</t>
  </si>
  <si>
    <t>1,2,3,4/ID5.13</t>
  </si>
  <si>
    <t>D-202 W/C</t>
  </si>
  <si>
    <t>5,6/ID-5.13</t>
  </si>
  <si>
    <t>Vanity ST-110.1 and counter ST-110.1</t>
  </si>
  <si>
    <t>7,8/ID-5.13
1/ID-6.46</t>
  </si>
  <si>
    <t>Wainscott &amp; Trim ST-110.1</t>
  </si>
  <si>
    <t>5,6,7,8/ID-5.13</t>
  </si>
  <si>
    <t>Walls &amp; Ceiling WC-102</t>
  </si>
  <si>
    <t>5,6,7,8/ID-5.13
ID-2.13</t>
  </si>
  <si>
    <t>D-203 W/C</t>
  </si>
  <si>
    <t>10/ID-5.13</t>
  </si>
  <si>
    <t>9,12/ID-5.13
1/ID-6.46</t>
  </si>
  <si>
    <t>9,10,11,12/ID-5.13</t>
  </si>
  <si>
    <t>9,10,11,12/ID-5.13
ID-2.13</t>
  </si>
  <si>
    <t>ID-1.14, ID-3.14</t>
  </si>
  <si>
    <t>F-009 Laundry Millwork Cab???</t>
  </si>
  <si>
    <t>ID-1.14, ID-3.15</t>
  </si>
  <si>
    <t>F-100 Entry</t>
  </si>
  <si>
    <t>1,2,3,4/ID-5.20
3/ID-7.03</t>
  </si>
  <si>
    <t>Ceiling WD-101 Acoustical</t>
  </si>
  <si>
    <t>F-101 Prep/Storage</t>
  </si>
  <si>
    <t>F-102 Juice Bar</t>
  </si>
  <si>
    <t>2,3/ID-5.20
ID-6.50, ID/6.51</t>
  </si>
  <si>
    <t>2/ID-5.20, 3/ID-7.03</t>
  </si>
  <si>
    <t>Shelving WD-109</t>
  </si>
  <si>
    <t>2/ID-5.20, ID-6.50
ID-6.51</t>
  </si>
  <si>
    <t>Service station Millwork WD-109, Countertop &amp; backsplash ST-105.1 and drink rail</t>
  </si>
  <si>
    <t>2/ID-5.20
1,2,3,4,5/ID-6.52</t>
  </si>
  <si>
    <t>Juice bar and backbar with dye and countertop, shroud, &amp; base ST-105.1</t>
  </si>
  <si>
    <t>2,3/ID-5.20
ID-6.50
ID-6.51</t>
  </si>
  <si>
    <t>Juice bar banquette millwork, base and trim WD-109</t>
  </si>
  <si>
    <t>4/ID-5.20
6,7,8/ID-6.52</t>
  </si>
  <si>
    <t>Banquettes UPH-105 &amp; UPH-105.2</t>
  </si>
  <si>
    <t>Planter at banquette w/ framing</t>
  </si>
  <si>
    <t>Base &amp; Portal WD-109</t>
  </si>
  <si>
    <t>ID-5.21
3,4/ID-5.24</t>
  </si>
  <si>
    <t>Wood Paneling WD-109</t>
  </si>
  <si>
    <t>ID-5.21
1,3/ID-6.19</t>
  </si>
  <si>
    <t>Shiplap WD-109</t>
  </si>
  <si>
    <t>Casing, Portal w/blocking WD-109</t>
  </si>
  <si>
    <t>1,2,3,4/ID-5.21
6,7,8,9,10/ID-7.04</t>
  </si>
  <si>
    <t>AV Control Panel Wood panel at the end</t>
  </si>
  <si>
    <t>1/ID-5.21</t>
  </si>
  <si>
    <t>Ceiling trim Typ. WD-109</t>
  </si>
  <si>
    <t>1,3/ID-5.21</t>
  </si>
  <si>
    <t>Comfort Station Millwork WD-109, Counters ST-105.2, cold plate EQ-101, banquette &amp; UPH-103, paneling WD-109, wood soffit WD-109</t>
  </si>
  <si>
    <t>4/ID-5.21
ID-6.53</t>
  </si>
  <si>
    <t>Solid Wood Portal</t>
  </si>
  <si>
    <t>10/ID-7.04</t>
  </si>
  <si>
    <t>3/ID-5.21
A8.00, A8.01</t>
  </si>
  <si>
    <t>ID-2.14, ID-5.21
1,2/ID-6.07</t>
  </si>
  <si>
    <t>F-104 Movement</t>
  </si>
  <si>
    <t>1/ID-5.22
10/ID-7.04</t>
  </si>
  <si>
    <t>Wood Paneling &amp; Shiplap WD-109</t>
  </si>
  <si>
    <t>ID-5.22
1,2/ID6.19</t>
  </si>
  <si>
    <t>Bracket MT-101 &amp; Handrail WD-109</t>
  </si>
  <si>
    <t>2/ID-5.22
2/ID-6.19</t>
  </si>
  <si>
    <t>F-105 Movement Storage</t>
  </si>
  <si>
    <t>F-106 &amp; F-107 Fitness Diagnostics</t>
  </si>
  <si>
    <t>1,2,3,4/ID-5.23</t>
  </si>
  <si>
    <t>2,3/ID-5.23
7/ID-7.04</t>
  </si>
  <si>
    <t>Ceiling</t>
  </si>
  <si>
    <t>F-108 Consultation</t>
  </si>
  <si>
    <t>5,6,7,8/ID-5.23</t>
  </si>
  <si>
    <t>8/ID-5.23</t>
  </si>
  <si>
    <t>F-109 W/C</t>
  </si>
  <si>
    <t>ID-5.24</t>
  </si>
  <si>
    <t>6/ID-5.24
8/ID-7.04</t>
  </si>
  <si>
    <t>Vanity WD-109 &amp; Countertop ST-105.2</t>
  </si>
  <si>
    <t>7,8/ID-5.24</t>
  </si>
  <si>
    <t>F-110 JC</t>
  </si>
  <si>
    <t>ID-3.15
9/ID-7.04</t>
  </si>
  <si>
    <t>F-111 W/C</t>
  </si>
  <si>
    <t>F-112 Laundry Drop</t>
  </si>
  <si>
    <t>Spa Villas</t>
  </si>
  <si>
    <t>A0.35,A0.54</t>
  </si>
  <si>
    <t>2/ID-1.11</t>
  </si>
  <si>
    <t>SP-107 Treatment Pavilion - Double</t>
  </si>
  <si>
    <t>Double Treatment Room Millwork, panels &amp; shelves WD-303, back &amp; surround ST-302.2, and countertop ST-301.1</t>
  </si>
  <si>
    <t>1,4/ID-6.01
1,2,3/ID-6.02
2,3,4/ID-5.01</t>
  </si>
  <si>
    <t>Wood Wall WD-301</t>
  </si>
  <si>
    <t>2,4/ID-5.01</t>
  </si>
  <si>
    <t>Wood Base WD-301</t>
  </si>
  <si>
    <t>2,3,4/ID-5.01</t>
  </si>
  <si>
    <t>Concealed Door WD-301</t>
  </si>
  <si>
    <t>2/ID-5.01
4,5,6/ID-6.04</t>
  </si>
  <si>
    <t>Casing WD-301</t>
  </si>
  <si>
    <t xml:space="preserve">Cove </t>
  </si>
  <si>
    <t>1,2,3,4/ID5.01
1,2/ID-6.06</t>
  </si>
  <si>
    <t>Ceiling WD-302 (Acoustical)</t>
  </si>
  <si>
    <t>1/ID-2.11</t>
  </si>
  <si>
    <t>SP-108 Bathroom</t>
  </si>
  <si>
    <t>Vanity millwork coordinate w/T-302 &amp; T-302.2</t>
  </si>
  <si>
    <t>10,11,12/ID-5.01
2,4,6/ID-6.03</t>
  </si>
  <si>
    <t>Shelves MT-301 &amp; ST-303.2</t>
  </si>
  <si>
    <t>10,12/ID-5.01
7,8,9/ID-6.03</t>
  </si>
  <si>
    <t>9,11/ID-5.01
1/ID-5.02
4,5,6,7,8/ID-6.04</t>
  </si>
  <si>
    <t>SP-108A WC</t>
  </si>
  <si>
    <t>1/ID-5.02
7,8/ID-6.04</t>
  </si>
  <si>
    <t>Double Treatment ADA Pavilion</t>
  </si>
  <si>
    <t>1/ID-1.11</t>
  </si>
  <si>
    <t>SP-101 Treatment Pavilion - Double ADA</t>
  </si>
  <si>
    <t>1,4/ID-6.01
1,2,3,5/ID-6.02
2,3,4/ID-5.01</t>
  </si>
  <si>
    <t>SP-102 ADA Bathroom</t>
  </si>
  <si>
    <t>ADA Vanity millwork coordinate w/T-302 &amp; T-302.2</t>
  </si>
  <si>
    <t>5,6,7/ID-5.01
1,3,5/ID-6.03</t>
  </si>
  <si>
    <t>8/ID-5.01
4,5,6/ID-6.04</t>
  </si>
  <si>
    <t>SP-103 Treatment Pavilion - Massage</t>
  </si>
  <si>
    <t>ID-1.12
5,6,7,8/ID-5.02</t>
  </si>
  <si>
    <t>Massage Room Millwork, panels, &amp; shelves WD-303, back &amp; surround ST-302.2, and countertop ST-301.1</t>
  </si>
  <si>
    <t>2,5/ID-6.01
3,4,5/ID-6.02
5,7,8/ID-5.02</t>
  </si>
  <si>
    <t>5,8/ID-5.02</t>
  </si>
  <si>
    <t>5,7,8/ID-5.02</t>
  </si>
  <si>
    <t>8/ID-5.02
4,5,6/ID-6.04</t>
  </si>
  <si>
    <t>5,6,7,8/ID5.02
1,2/ID-6.06</t>
  </si>
  <si>
    <t>1/ID-2.12</t>
  </si>
  <si>
    <t>SP-104 Bathroom</t>
  </si>
  <si>
    <t>ID-1.12
9,10,11,12/ID-5.02</t>
  </si>
  <si>
    <t>10,11,12/ID-5.02
2,4,6/ID-6.03</t>
  </si>
  <si>
    <t>10,12/ID-5.02
7,8,9/ID-6.03</t>
  </si>
  <si>
    <t>9,11/ID-5.03
4,5,6,7,8/ID-6.04</t>
  </si>
  <si>
    <t>SP-104A WC</t>
  </si>
  <si>
    <t>ID-1.12
1,2,3,4/ID-5.02</t>
  </si>
  <si>
    <t>SP-105 Treatment Pavilion Thai - Massage</t>
  </si>
  <si>
    <t>SP-106 Bathroom</t>
  </si>
  <si>
    <t>SP-106A WC</t>
  </si>
  <si>
    <t>Single Body Treatment Pavilion</t>
  </si>
  <si>
    <t>SP-109 Treatment Pavilion - Single</t>
  </si>
  <si>
    <t>ID-1.12
1,2,3,4/ID-5.03</t>
  </si>
  <si>
    <t>Single TRT/Massage Room Millwork, panels, &amp; shelves WD-303, back &amp; surround ST-302.2, and countertop &amp; backsplash ST-301.1</t>
  </si>
  <si>
    <t>2,5/ID-6.01
3,4,5/ID-6.02
2,3,4/ID-5.03</t>
  </si>
  <si>
    <t>2,4/ID-5.03</t>
  </si>
  <si>
    <t>2,3,4/ID-5.03</t>
  </si>
  <si>
    <t>4/ID-5.03
4,5,6/ID-6.04</t>
  </si>
  <si>
    <t>1,2,3,4/ID-5.03
1,2/ID-6.06</t>
  </si>
  <si>
    <t>2/ID-2.12</t>
  </si>
  <si>
    <t>SP-110 Bathroom</t>
  </si>
  <si>
    <t>ID-1.12
5,6,7,8/ID-5.03</t>
  </si>
  <si>
    <t>5,7,8/ID-5.03
2,4,6/ID-6.03</t>
  </si>
  <si>
    <t>5,8/ID-5.03
7,8,9/ID-6.03</t>
  </si>
  <si>
    <t>6,7/ID-5.03
4,5,6,7,8/ID-6.04</t>
  </si>
  <si>
    <t>SP-110A WC</t>
  </si>
  <si>
    <t>3/A2.03</t>
  </si>
  <si>
    <t>In exterior millwork package</t>
  </si>
  <si>
    <t>See EFC</t>
  </si>
  <si>
    <t>Comfort Station Pavilion</t>
  </si>
  <si>
    <t>5/A2.01, 5/A2.04
I 5.00</t>
  </si>
  <si>
    <t>Outdoor</t>
  </si>
  <si>
    <t>Comfort Station Metal cabs MT-302 and stone countertop and backsplash SS-301, wood plank Backsplash WD-304, metal clad shelves MT-302</t>
  </si>
  <si>
    <t>3,6/ID-6.01
6,7,8/ID-6.02
9/ID-5.03</t>
  </si>
  <si>
    <t>Panels EQ-301,302,303, and DH-303 (equipment not included)</t>
  </si>
  <si>
    <t>9/ID-5.03</t>
  </si>
  <si>
    <t>SP-111 BOH</t>
  </si>
  <si>
    <t>Comfort Station Millwork PLAM-6 and PLAM-2 (Wilsonart Laminate) storage and open shelves &amp; surround, Countertop &amp; backsplash ST-5</t>
  </si>
  <si>
    <t>1/I 5.02
5,6/I 9.00</t>
  </si>
  <si>
    <t>Comfort Station Millwork PLAM-5 and PLAM-2 (Wilsonart Laminate) storage &amp; surround, countertop &amp; backsplash ST-5</t>
  </si>
  <si>
    <t>4/I 5.02
5/I 9.00</t>
  </si>
  <si>
    <t>Comfort Station Millwork PLAM-6 and PLAM-2 (Wilsonart Laminate) &amp; surround, countertop &amp; backsplash ST-5</t>
  </si>
  <si>
    <t>3/I 5.02
4/I 9.00
3/I 9.01</t>
  </si>
  <si>
    <t>I 5.01
1,2,4/I 5.02, A0.35</t>
  </si>
  <si>
    <t>SP-112 Staff W/C</t>
  </si>
  <si>
    <t>Vanity millwork PLAM-6 and countertop ST-5</t>
  </si>
  <si>
    <t>6,7,8/I 5.02
1,2/I 9.01</t>
  </si>
  <si>
    <t>8/I 5.02
A0.35</t>
  </si>
  <si>
    <t>SP-113 AV</t>
  </si>
  <si>
    <t>1/I 5.02
A0.35</t>
  </si>
  <si>
    <t>Dock Bar and all components (millwork &amp; bar die (stepped and flat) WD-201, ShelvingMT-201, glass inserts, &amp; posts MT-201, countertop SS-201, Stainless Steel drink rail, Foot Rail IDH-202, Foot Rail Bracket IDH-203, Purse Hook IDH-204, ADA Bar Stone top, Wood Flip Top &amp; Swing Door, FRP at bartender side)</t>
  </si>
  <si>
    <t>1/ID-5.02
1/ID-6.01
ID-6.02</t>
  </si>
  <si>
    <t>FRP at Backside of bar</t>
  </si>
  <si>
    <t>Casing WD-10 (match finish by AOR wall)</t>
  </si>
  <si>
    <t>1,4/ID-5.02
7/ID-5.03
2,3/ID-6.04</t>
  </si>
  <si>
    <t>Millwork below Wall hung TVs</t>
  </si>
  <si>
    <t>ID-1.01
ID-3.01</t>
  </si>
  <si>
    <t>Trim and Cap???</t>
  </si>
  <si>
    <t>4/ID-5.02</t>
  </si>
  <si>
    <t>{23000}</t>
  </si>
  <si>
    <t>Trim, Cap, &amp; Shiplap???</t>
  </si>
  <si>
    <t>7/ID-5.03</t>
  </si>
  <si>
    <t>Exterior columns paneling</t>
  </si>
  <si>
    <t>DB.102 Men's Restroom</t>
  </si>
  <si>
    <t>ID-5.01
5,6,7,8,9,10/ID-5.02</t>
  </si>
  <si>
    <t>Shiplap PT-203</t>
  </si>
  <si>
    <t>5,6,7,8,9,10/ID-5.02
1,4/ID-6.04</t>
  </si>
  <si>
    <t>Trim and Cap PT-202</t>
  </si>
  <si>
    <t>7,8,9,10/ID-5.02</t>
  </si>
  <si>
    <t>Base PT-202</t>
  </si>
  <si>
    <t>Vanity Millwork PT-202 with Countertop, apron and Backsplash ST-201.2</t>
  </si>
  <si>
    <t>7,8,9/ID-5.02
1,2,3,4/ID6.03</t>
  </si>
  <si>
    <t>Headrest UPH-201</t>
  </si>
  <si>
    <t>10/ID-5.02
5,6/ID-6.03</t>
  </si>
  <si>
    <t>Casing PT-202</t>
  </si>
  <si>
    <t>10/ID-5.02
2,3/ID-6.04</t>
  </si>
  <si>
    <t>DB.103 Women's Restroom</t>
  </si>
  <si>
    <t>ID-5.01
1,2/ID-5.04
8,9,10,11/ID-5.03</t>
  </si>
  <si>
    <t>ID-5.01
1,2/ID-5.04
8,9,10,11/ID-5.03
1,4/ID-6.04</t>
  </si>
  <si>
    <t>8,9,10,11/ID-5.03</t>
  </si>
  <si>
    <t>Vanity Millwork PT-202 with Countertop and Backsplash ST-201.2</t>
  </si>
  <si>
    <t>8,10,11/ID-5.03
1,2,3,4/ID-6.03</t>
  </si>
  <si>
    <t>DB.104 Men's ADA Bathroom</t>
  </si>
  <si>
    <t>ID-5.01
1,2,3,4/ID-5.03</t>
  </si>
  <si>
    <t>1,2,3,4/ID-5.03
1,4/ID-6.04</t>
  </si>
  <si>
    <t>Shiplap PT-202</t>
  </si>
  <si>
    <t>1,2,3,4/ID-5.03</t>
  </si>
  <si>
    <t>1,3,4/ID5.03</t>
  </si>
  <si>
    <t>2/ID-5.03
2,3/ID-6.04</t>
  </si>
  <si>
    <t>DB.105 Women's ADA Bathroom</t>
  </si>
  <si>
    <t>ID-5.01
1,2,3,4/ID-5.03
1,2/ID-5.04</t>
  </si>
  <si>
    <t>1,2,3,4/ID-5.03
1,2/ID-5.04
1,4/ID-6.04</t>
  </si>
  <si>
    <t>Trim and Cap/Shiplap PT-202</t>
  </si>
  <si>
    <t>1,2,3,4/ID-5.03
1,2/ID-5.04</t>
  </si>
  <si>
    <t>1,3,4/ID-5.03</t>
  </si>
  <si>
    <t>DB.106 Women's WC</t>
  </si>
  <si>
    <t>ID-5.01
3,4,5,6/ID-5.04</t>
  </si>
  <si>
    <t>3,4,5,6/ID-5.04
1,4/ID-6.04</t>
  </si>
  <si>
    <t>3,4,5,6/ID-5.04</t>
  </si>
  <si>
    <t>6/ID-5.04
2,3/ID-6.04</t>
  </si>
  <si>
    <t>Triton</t>
  </si>
  <si>
    <t>Alpha</t>
  </si>
  <si>
    <t>JR. Hopf</t>
  </si>
  <si>
    <t>Rafael Delgado</t>
  </si>
  <si>
    <t xml:space="preserve">(561) 516-0448 </t>
  </si>
  <si>
    <t>(786) 585-3947</t>
  </si>
  <si>
    <t>jr.hopf@outlook.com</t>
  </si>
  <si>
    <t>RDelgado@alphaiwp.com</t>
  </si>
  <si>
    <t>Waterproofing</t>
  </si>
  <si>
    <t>top &amp; bottom of footings</t>
  </si>
  <si>
    <t>bottom SOG</t>
  </si>
  <si>
    <t>SOPREMA COLPHENE BSW H: SBS-modified bitumen</t>
  </si>
  <si>
    <t>SOPREMA SOPRABOARD</t>
  </si>
  <si>
    <t>sides of footings</t>
  </si>
  <si>
    <t xml:space="preserve">SOPREMA COLPHENE BSW V: SBS-modified bitumen </t>
  </si>
  <si>
    <t>below grade walls - 1/A8.12</t>
  </si>
  <si>
    <t>SOPREMA COLPHENE LM BAR</t>
  </si>
  <si>
    <t>SOPREMA SOPRADRAIN 100</t>
  </si>
  <si>
    <t>planters</t>
  </si>
  <si>
    <t xml:space="preserve">exterior - SOPRA SEAL LM 204 </t>
  </si>
  <si>
    <t>interior - ALSAN TRAFIK  RS 730 PMMA</t>
  </si>
  <si>
    <t>stone cladding / veneer</t>
  </si>
  <si>
    <t>SOPREMA SOPRA SEAL LM 204 VP</t>
  </si>
  <si>
    <t>wood siding</t>
  </si>
  <si>
    <t>openings - windows &amp; doors</t>
  </si>
  <si>
    <t>SOPREMA SOPRASEAL STICK 1100T</t>
  </si>
  <si>
    <t>Foundation Footings, Walls, SOG</t>
  </si>
  <si>
    <t>wrap footings</t>
  </si>
  <si>
    <t>back out foundation wall footprint on footings - conc</t>
  </si>
  <si>
    <t>back out foundation wall footprint on footings - CMU</t>
  </si>
  <si>
    <t>pool equip vault</t>
  </si>
  <si>
    <t>wrap SOG bottom, walls, tunnel lid, elevator pits</t>
  </si>
  <si>
    <t xml:space="preserve">Dining  </t>
  </si>
  <si>
    <t>SOG bottom - level 00</t>
  </si>
  <si>
    <t>SOG bottom - level 01</t>
  </si>
  <si>
    <t>DCW1 walls</t>
  </si>
  <si>
    <t>tunnel lid</t>
  </si>
  <si>
    <t>FCW1 walls</t>
  </si>
  <si>
    <t>WCW1 walls</t>
  </si>
  <si>
    <t>Elevator Pits</t>
  </si>
  <si>
    <t>elevator pits - interior</t>
  </si>
  <si>
    <t>elevator pits - exterior</t>
  </si>
  <si>
    <t>see 4/A8.11, /A4.01, A2.20</t>
  </si>
  <si>
    <t>exterior - Sopra Seal LM 204</t>
  </si>
  <si>
    <t>see 2/8.11, 2/A4.00,  A2.30</t>
  </si>
  <si>
    <t>Dining - exterior elevated decks</t>
  </si>
  <si>
    <t>terrace - pedestal pavers - in Roofing</t>
  </si>
  <si>
    <t>Wellness - exterior elevated decks</t>
  </si>
  <si>
    <t>terrace - Wellness - pedestal pavers</t>
  </si>
  <si>
    <t>terrace - Wellness</t>
  </si>
  <si>
    <t>openings - Dining</t>
  </si>
  <si>
    <t>windows</t>
  </si>
  <si>
    <t>doors</t>
  </si>
  <si>
    <t>openings - Fitness</t>
  </si>
  <si>
    <t>openings - Wellness</t>
  </si>
  <si>
    <t>exterior walls - stone cladding</t>
  </si>
  <si>
    <t>exterior walls - wood siding</t>
  </si>
  <si>
    <t>caulking</t>
  </si>
  <si>
    <t>exterior openings secondary caulk</t>
  </si>
  <si>
    <t>misc penetrations, fire caulk, control joints</t>
  </si>
  <si>
    <t>Consultant</t>
  </si>
  <si>
    <t>openings</t>
  </si>
  <si>
    <t>Gale Insulation</t>
  </si>
  <si>
    <t>Southern Foam</t>
  </si>
  <si>
    <t>Endy Samaniego</t>
  </si>
  <si>
    <t>Kara Kern</t>
  </si>
  <si>
    <t xml:space="preserve">(561) 989-4113 </t>
  </si>
  <si>
    <t>(407) 654-1251</t>
  </si>
  <si>
    <t>endy.samaniego@truteam.com</t>
  </si>
  <si>
    <t>Estimating@southernfoaminsulation.com</t>
  </si>
  <si>
    <t>Insulate underside of floor - all unconditioned spaces</t>
  </si>
  <si>
    <t>ridged insulation bottom of deck over Cart Barn - 2/A4.13</t>
  </si>
  <si>
    <t>ridged insulation bottom of deck over D-008 Service - A2.10</t>
  </si>
  <si>
    <t>Spray Faom - R-30</t>
  </si>
  <si>
    <t>Roof</t>
  </si>
  <si>
    <t>Attic Knee Wall</t>
  </si>
  <si>
    <t>Bottom of concrete deck - conditioned space</t>
  </si>
  <si>
    <t>Ignition Barrier - A/C only</t>
  </si>
  <si>
    <t>Roofs at Spa Pods</t>
  </si>
  <si>
    <t>Vero Beach Roofing</t>
  </si>
  <si>
    <t>Crowther</t>
  </si>
  <si>
    <t>P&amp;A Roofing &amp; Sheet</t>
  </si>
  <si>
    <t>Atlas-Apex</t>
  </si>
  <si>
    <t>Campany</t>
  </si>
  <si>
    <t>Tecta America</t>
  </si>
  <si>
    <t>Dale Bischoff</t>
  </si>
  <si>
    <t>Miguel Bates</t>
  </si>
  <si>
    <t>Ryan M. Upchurch</t>
  </si>
  <si>
    <t>Scott Swink</t>
  </si>
  <si>
    <t>Andrew Yusko</t>
  </si>
  <si>
    <t>William Riggs</t>
  </si>
  <si>
    <t>(772) 473-0003</t>
  </si>
  <si>
    <t>(239) 689-3274</t>
  </si>
  <si>
    <t>(407) 650-9541</t>
  </si>
  <si>
    <t xml:space="preserve">(954) 565-1567 </t>
  </si>
  <si>
    <t>(561) 365-0450</t>
  </si>
  <si>
    <t>(954) 419-9339</t>
  </si>
  <si>
    <t>dbischoff@verobeachroofing.com</t>
  </si>
  <si>
    <t>miguelb@crowther.net</t>
  </si>
  <si>
    <t>rupchurch@pa-roofing.com</t>
  </si>
  <si>
    <t>SSwink@atlasapexusa.com</t>
  </si>
  <si>
    <t>andrew.yusko@campanyroofing.com</t>
  </si>
  <si>
    <t>wriggs@tectaamerica.com</t>
  </si>
  <si>
    <t>Concrete Decks</t>
  </si>
  <si>
    <t>VAPOR RETARDER- SOPRALENE 180 Sp 3.0</t>
  </si>
  <si>
    <t>3 5' ISO in Duota</t>
  </si>
  <si>
    <t>1/4’ Tapered ISO in Duotack</t>
  </si>
  <si>
    <t>1/8’ Sopraboard in Duotack</t>
  </si>
  <si>
    <t>SOPRALENE FLAM 180 torch applied</t>
  </si>
  <si>
    <t>SOPRALENE FLAM 180 FR torch applied</t>
  </si>
  <si>
    <t>Metal Decks</t>
  </si>
  <si>
    <t>3.5’ ISO Spot Fastened</t>
  </si>
  <si>
    <t>1/4" Tapered ISO Spot fastened</t>
  </si>
  <si>
    <t>1/8’ Sopraboard Spot Fastened</t>
  </si>
  <si>
    <t>SOPRAFIX 612 Mechanically Fastened</t>
  </si>
  <si>
    <t>SOPRALENE 180 FR GR torch applied</t>
  </si>
  <si>
    <t xml:space="preserve">  </t>
  </si>
  <si>
    <t>SBS Modified Bituminous Membarne</t>
  </si>
  <si>
    <t>Dining lower canopy roof - epoxy ballasted - Key Note #7 A2.40</t>
  </si>
  <si>
    <t>Dining lower roof - epoxy balasted</t>
  </si>
  <si>
    <t>Dining lower roof - epoxy ballasted</t>
  </si>
  <si>
    <t>Dining mech yard roof - epoxy balasted</t>
  </si>
  <si>
    <t>Dining Pedistal Pavers underlayment</t>
  </si>
  <si>
    <t>Dining upper canopy roof</t>
  </si>
  <si>
    <t>Dining upper roof</t>
  </si>
  <si>
    <t>Fitness roof</t>
  </si>
  <si>
    <t>Wellness lower canopy roof - epoxy balasted</t>
  </si>
  <si>
    <t>Wellness lower roof</t>
  </si>
  <si>
    <t>Wellness upper roof</t>
  </si>
  <si>
    <t>3-1/2" Isoboard insulation</t>
  </si>
  <si>
    <t>tapered insulation</t>
  </si>
  <si>
    <t>gravel surface adhered with Soprema COLPY</t>
  </si>
  <si>
    <t>VTR penetrations</t>
  </si>
  <si>
    <t>roof drain details</t>
  </si>
  <si>
    <t>flashing mechanical supports - Dining mech yard</t>
  </si>
  <si>
    <t>flashing mechanical pipe curbs - Dining mech yard</t>
  </si>
  <si>
    <t>flashing screen supports - Dining mech yard</t>
  </si>
  <si>
    <t>misc flashings</t>
  </si>
  <si>
    <t>coping cap</t>
  </si>
  <si>
    <t>drip edge / gravel stop</t>
  </si>
  <si>
    <t>extended flashing - 8"</t>
  </si>
  <si>
    <t>3/A2.50</t>
  </si>
  <si>
    <t xml:space="preserve">flashing at top of steel panel - </t>
  </si>
  <si>
    <t>4/A2.50</t>
  </si>
  <si>
    <t xml:space="preserve">flashing at top of wood panel - </t>
  </si>
  <si>
    <t xml:space="preserve">botom of parapet counterflashing - </t>
  </si>
  <si>
    <t>5/A2.51</t>
  </si>
  <si>
    <t>Ribbon Canopy roof</t>
  </si>
  <si>
    <t>wrap linear pop-up at Fitness Port-Cochere</t>
  </si>
  <si>
    <t>RFI Response:</t>
  </si>
  <si>
    <t xml:space="preserve"> - Horizontal steel rain screen is no longer part of this scope of work. </t>
  </si>
  <si>
    <t xml:space="preserve"> - Detail 3/A4.20 does not show a gutter. STEEL GUTTERS TO BE DESIGNED AT EDGE OF ROOF. COORDINATION TO ALLOW FOR WATER SHED OFF ROOF  AREA 
AT SPECIFIC LOCATION WILL BE SPECIFIED ON UPDATED ROOFING PLANS. </t>
  </si>
  <si>
    <t xml:space="preserve"> - See Specification 075216-3, 2.02 A. This specification states that SOPREMA is the basis of design. Are other equal roofing systems acceptable? SPECIFICATIONS FOR REVISIONS 7 HAVE BEEN REVISEDTO ALLOW FOR ALTERNATIVE MANUFACTURERS. </t>
  </si>
  <si>
    <t xml:space="preserve">- Ballast roof aggregate to be installed with Coply EF Adhesive spec called for on sheet A2.50 Detail 02.  Aggregate size and color to be confirmed with Design Architect and updated in next drawings submittal. </t>
  </si>
  <si>
    <t>Pedistal Pavers - drawing A8.15 - Wausau (Spec - Tile Tech)</t>
  </si>
  <si>
    <t>Dining Pedistal Pavers - A2.40</t>
  </si>
  <si>
    <t>Planter waterproofing</t>
  </si>
  <si>
    <t>Sky lights - A2.44 - 6 x 6 - SEE 08 60 Skylights</t>
  </si>
  <si>
    <t>Multiple Mobizations - assume 3 will be required</t>
  </si>
  <si>
    <t>Concrete Roof Tile - EAGLE ROOFING, 4503 SIERRA MADRE / Sopra-G Base Ply</t>
  </si>
  <si>
    <t>Additional Mobization</t>
  </si>
  <si>
    <t>Multiple Mobizations - assume 5 will be required</t>
  </si>
  <si>
    <t>Fire Stop Systems</t>
  </si>
  <si>
    <t>Ryan Begani</t>
  </si>
  <si>
    <t xml:space="preserve">(407) 446-5295 </t>
  </si>
  <si>
    <t>rbegani@fireproofers.com</t>
  </si>
  <si>
    <t>Intumescant Fire Coating - 2HR</t>
  </si>
  <si>
    <t>1/A4.13 - deck &amp; steel - Cart Barn - bottom of deck &amp; beam botoom</t>
  </si>
  <si>
    <t>1/A4.13 - deck &amp; steel - Cart Barn - steel beam sides - assume all 20" beams</t>
  </si>
  <si>
    <t>steel columns???</t>
  </si>
  <si>
    <t>HSS04 1/2X4 1/2X1/4</t>
  </si>
  <si>
    <t>HSS05X21/2X1/4</t>
  </si>
  <si>
    <t>HSS06X4X1/4</t>
  </si>
  <si>
    <t>HSS06X6X1/4</t>
  </si>
  <si>
    <t>L4X4X1/4</t>
  </si>
  <si>
    <t>L8X4X1/4</t>
  </si>
  <si>
    <t>Slab Depression - 02"</t>
  </si>
  <si>
    <t>Slab Depression - 07"</t>
  </si>
  <si>
    <t>Slab Depression - 12"</t>
  </si>
  <si>
    <t>W10X54 - 13'-3"</t>
  </si>
  <si>
    <t>Atlantic Doors &amp; Hard</t>
  </si>
  <si>
    <t>Doors, Frames &amp; Hardware</t>
  </si>
  <si>
    <t>HM Doos &amp; Frames</t>
  </si>
  <si>
    <t>HM Frames - Interior</t>
  </si>
  <si>
    <t>IN-10 Flush HM - 3-0x8-0</t>
  </si>
  <si>
    <t>IN-10 Flush HM - 3-0x8-0 2HR</t>
  </si>
  <si>
    <t>IN-11 Flush HM - 6-0x8-0</t>
  </si>
  <si>
    <t>HM Frames - Exterior</t>
  </si>
  <si>
    <t>EX-01 HM Door - 3-0x9-0</t>
  </si>
  <si>
    <t>EX-01 HM Door - 3-0x9-0 2HR</t>
  </si>
  <si>
    <t>EX-02 HM Door - 6-0x9-0 2HR</t>
  </si>
  <si>
    <t>HM Doors - Interior</t>
  </si>
  <si>
    <t>IN-11 Flush HM - 6-0x8-0 x 2 for pair 3-0 x 8-0</t>
  </si>
  <si>
    <t>HM Doors - Exterior</t>
  </si>
  <si>
    <t>WD Doors / Knock-Down Frames - all paint grade</t>
  </si>
  <si>
    <t>Frame details - A0.54, A0.54A</t>
  </si>
  <si>
    <t>wood doors</t>
  </si>
  <si>
    <t>wood frames</t>
  </si>
  <si>
    <t>IN-01 Flush Wood - 2-4x8-0</t>
  </si>
  <si>
    <t>IN-01 Flush Wood - 2-8x8-0</t>
  </si>
  <si>
    <t>IN-01 Flush Wood - 3-0x8-0</t>
  </si>
  <si>
    <t>IN-01 Flush Wood - 3-0x8-0 2HR</t>
  </si>
  <si>
    <t>IN-02 Flush Wood - 3-0x8-0 - 3 Vis Panel W/ WD Rails</t>
  </si>
  <si>
    <t>IN-07 Plank Wood - 2-6x8-0 WD Frame</t>
  </si>
  <si>
    <t>IN-07 Plank Wood - 2-8x8-0 WD Frame</t>
  </si>
  <si>
    <t>IN-07 Plank Wood - 3-0x8-0 WD Frame</t>
  </si>
  <si>
    <t>IN-07 Plank Wood - 3-0x8-0 WD Frame 1HR</t>
  </si>
  <si>
    <t>IN-08 Solid Wood FRM- 3-0x8-0 Flutted Glass WD Frame</t>
  </si>
  <si>
    <t>IN-08 Solid Wood FRM- 3-6x8-0 Flutted Glass WD Frame</t>
  </si>
  <si>
    <t>Stainless Frames</t>
  </si>
  <si>
    <t>IN-05 SS Metal - 3-0x8-0</t>
  </si>
  <si>
    <t>Stainless Doors - Eliason Traffic Doors</t>
  </si>
  <si>
    <t>IN-06 SS Metal - 3-0x8-0 Sliding</t>
  </si>
  <si>
    <t>Hardware Groups</t>
  </si>
  <si>
    <t>11A</t>
  </si>
  <si>
    <t>14A</t>
  </si>
  <si>
    <t>14B</t>
  </si>
  <si>
    <t>19A</t>
  </si>
  <si>
    <t>37A</t>
  </si>
  <si>
    <t>39A</t>
  </si>
  <si>
    <t>39B</t>
  </si>
  <si>
    <t>48A</t>
  </si>
  <si>
    <t>56A</t>
  </si>
  <si>
    <t>57A</t>
  </si>
  <si>
    <t>58A</t>
  </si>
  <si>
    <t>65A</t>
  </si>
  <si>
    <t>69A</t>
  </si>
  <si>
    <t>69B</t>
  </si>
  <si>
    <t>69C</t>
  </si>
  <si>
    <t>Installation DFH</t>
  </si>
  <si>
    <t>HM Doors</t>
  </si>
  <si>
    <t>Wood Doors / KD Frames</t>
  </si>
  <si>
    <t>Stainless Doors &amp; Frames</t>
  </si>
  <si>
    <t>Grout ext HM door frames</t>
  </si>
  <si>
    <t>Fitness - Juice Bar - White Powder Coated Metal Door</t>
  </si>
  <si>
    <t xml:space="preserve">RFI Response: - A0.35 and A2.01 / Door schedule mentions 5 interior doors and 1 exterior door. There looks to be two doors across from each other adjacent to the walk path leading into the dock bar patio on A2.01. Could you identify these doors?  THESE ARE TO BE CUSTOM SWINGING ENTRANCE WHEN BUGSCREEN ARE DOWN IN THE CLOSED POSIITON TO  ALLOW FOR CIRCULATION. NO SPECIFIC DOOR TYPE HAS BEEN ALLOCATED OR SPECIFIED BECAUSE ITEM WILL  BE A CUSTOM ADDITION. PLEASE HOLD AN ALLOWANCE OF $10,000 PER DOOR. </t>
  </si>
  <si>
    <t xml:space="preserve">Conflicts between Arch &amp; ID drawings </t>
  </si>
  <si>
    <t>Wood Doors</t>
  </si>
  <si>
    <t>EX-01 Plank WD - 3-0x9-0</t>
  </si>
  <si>
    <t>EX-01 Plank WD - 3-0x8-0</t>
  </si>
  <si>
    <t>EX-01 Plank WD - 2-8x8-0</t>
  </si>
  <si>
    <t>Hardware</t>
  </si>
  <si>
    <t>Set 66</t>
  </si>
  <si>
    <t>Set 66A</t>
  </si>
  <si>
    <t>Set 69</t>
  </si>
  <si>
    <t>Set 72</t>
  </si>
  <si>
    <t>EX-01 Flush WD - 3-0x9-0</t>
  </si>
  <si>
    <t>IN-01 Plank Wood - 3-0x8-0 Concealed</t>
  </si>
  <si>
    <t>IN-02 Flush Wood - 3-0x8-0 Pocket</t>
  </si>
  <si>
    <t>IN-03 Flush Wood - 3-0x8-0</t>
  </si>
  <si>
    <t>EX-3 Alum Shutter Stacked Panel - 08-07x9-0</t>
  </si>
  <si>
    <t>EX-3 Alum Shutter Stacked Panel - 09-00x9-0</t>
  </si>
  <si>
    <t>EX-3 Alum Shutter Stacked Panel - 13-11x9-0</t>
  </si>
  <si>
    <t>Set 73</t>
  </si>
  <si>
    <t>Set 75</t>
  </si>
  <si>
    <t>Set 76</t>
  </si>
  <si>
    <t>Set 79</t>
  </si>
  <si>
    <t>Bidder 1</t>
  </si>
  <si>
    <t>Bidder 2</t>
  </si>
  <si>
    <t>Bidder 3</t>
  </si>
  <si>
    <t>Bidder 4</t>
  </si>
  <si>
    <t>Bidder5</t>
  </si>
  <si>
    <t>Bidder6</t>
  </si>
  <si>
    <t xml:space="preserve">Trade:   </t>
  </si>
  <si>
    <t>Retractable Screens</t>
  </si>
  <si>
    <t xml:space="preserve">CSI Code:   </t>
  </si>
  <si>
    <t>08 30</t>
  </si>
  <si>
    <t xml:space="preserve">Date: </t>
  </si>
  <si>
    <t>Plans By Division</t>
  </si>
  <si>
    <t>P</t>
  </si>
  <si>
    <t>Cost per Unit</t>
  </si>
  <si>
    <t>Shades by Design</t>
  </si>
  <si>
    <t>American Screen Sol</t>
  </si>
  <si>
    <t>Gil Breef</t>
  </si>
  <si>
    <t>Jorge Paulino</t>
  </si>
  <si>
    <t>(646) 533-0442</t>
  </si>
  <si>
    <t xml:space="preserve">(561) 721-1800 </t>
  </si>
  <si>
    <t>gil@shadesbydesign.com</t>
  </si>
  <si>
    <t>sales@americanscreensolutions.com</t>
  </si>
  <si>
    <t>ALL EXTERIOR INSECT SCREEN TO BE PROGRESSIVE MAGNA TRACK SYSTEMS WITH PROGRESSIVE SCREENS</t>
  </si>
  <si>
    <t>Magna</t>
  </si>
  <si>
    <t>Phantom</t>
  </si>
  <si>
    <t>Retractable Insect Screen System</t>
  </si>
  <si>
    <t>Level 1 - Outdoor Dining</t>
  </si>
  <si>
    <t>1/A4.00 to 18'-6"</t>
  </si>
  <si>
    <t>Sections</t>
  </si>
  <si>
    <t>Level 1 - Private Dining</t>
  </si>
  <si>
    <t>Level 2 - Exterior Lounge  Terrace</t>
  </si>
  <si>
    <t>1/A4.00 to 12'-5"</t>
  </si>
  <si>
    <t>1/A4.00 to 10'-3" planter stop</t>
  </si>
  <si>
    <t>Level 1 - Terrace</t>
  </si>
  <si>
    <t>1/A4.07 to 15'-4"</t>
  </si>
  <si>
    <t>Level 1 - Exterior Patio</t>
  </si>
  <si>
    <t>1/A4.09 to 12'-0"</t>
  </si>
  <si>
    <t>tax</t>
  </si>
  <si>
    <t>misc framing/blocking for screen head support</t>
  </si>
  <si>
    <t>2/A4.00 - to 11'-4"</t>
  </si>
  <si>
    <t>Treatement Pavilion - to 9'-6" - 2 sections</t>
  </si>
  <si>
    <t>Treatement Pavilion ADA - to 9'-6" - 1 section</t>
  </si>
  <si>
    <t>Treatement Pavilion Double - to 9'-6" - 1 section</t>
  </si>
  <si>
    <t>Treatement Pavilion Single Treatment - to 9'-6" - 1 section</t>
  </si>
  <si>
    <t>Meditation Pavilion - to 9'-6" - 3 sections</t>
  </si>
  <si>
    <t>D&amp;D Garage Door</t>
  </si>
  <si>
    <t xml:space="preserve">Allied Door </t>
  </si>
  <si>
    <t>Door Stsyems of SF</t>
  </si>
  <si>
    <t>Overhead Door of TC</t>
  </si>
  <si>
    <t>Crawford Garage Door</t>
  </si>
  <si>
    <t>Best Rolling Doors</t>
  </si>
  <si>
    <t>Abraham Bogady</t>
  </si>
  <si>
    <t>John Buckley</t>
  </si>
  <si>
    <t>Erin Novy</t>
  </si>
  <si>
    <t>Dan Regan</t>
  </si>
  <si>
    <t>Sean Serafin</t>
  </si>
  <si>
    <t>Doug Clavelo</t>
  </si>
  <si>
    <t>(</t>
  </si>
  <si>
    <t>(813) 245-3102</t>
  </si>
  <si>
    <t>321-508-2243</t>
  </si>
  <si>
    <t xml:space="preserve">(954) 935-7000 </t>
  </si>
  <si>
    <t>(561) 284-5643</t>
  </si>
  <si>
    <t>561-844-6436</t>
  </si>
  <si>
    <t>305-821-6607</t>
  </si>
  <si>
    <t>ABogady@danddgaragedoors.com</t>
  </si>
  <si>
    <t>jbuckley@allieddoors.com</t>
  </si>
  <si>
    <t>enovy@overheaddoorgc.com</t>
  </si>
  <si>
    <t>dregan@overheaddoortc.com</t>
  </si>
  <si>
    <t>info@crawfordgaragedoors.net</t>
  </si>
  <si>
    <t>doug@bestrollingdoors.com</t>
  </si>
  <si>
    <t>NOT SPEC</t>
  </si>
  <si>
    <t>W-001.2 - EXTERIOR - 16-0 X 9-0 - basis of design - STORMTITE AP 627</t>
  </si>
  <si>
    <t>steel, insulated, mororized</t>
  </si>
  <si>
    <t>factory finish</t>
  </si>
  <si>
    <t>D-011.1 - INTERIOR - 9-0 X 8-0</t>
  </si>
  <si>
    <t>steel, manual - no spec</t>
  </si>
  <si>
    <t>INCOMPLETE NUMBER</t>
  </si>
  <si>
    <t>NOT PER SPEC</t>
  </si>
  <si>
    <t>Ready Window</t>
  </si>
  <si>
    <t>A Christian Glass</t>
  </si>
  <si>
    <t>Performance Glass</t>
  </si>
  <si>
    <t>MTM Glass Concepts</t>
  </si>
  <si>
    <t>Crawford Tracey</t>
  </si>
  <si>
    <t xml:space="preserve">Alejandra Ramirez </t>
  </si>
  <si>
    <t xml:space="preserve">Jake Dable </t>
  </si>
  <si>
    <t>Barry Liebman</t>
  </si>
  <si>
    <t>Edgar Alfred</t>
  </si>
  <si>
    <t xml:space="preserve">Diana Cortes </t>
  </si>
  <si>
    <t>(305) 269-3999</t>
  </si>
  <si>
    <t>(561) 866-2122</t>
  </si>
  <si>
    <t xml:space="preserve">(917) 455-1197 </t>
  </si>
  <si>
    <t>(786) 899-2839</t>
  </si>
  <si>
    <t>(954) 246.1888</t>
  </si>
  <si>
    <t>aramirez@readywindow.com</t>
  </si>
  <si>
    <t>jake@a-christianglass.com</t>
  </si>
  <si>
    <t>BLiebman@pgaglass.com</t>
  </si>
  <si>
    <t>Edgar@mtmglassconcepts.com</t>
  </si>
  <si>
    <t>dianac@crawfordtracey.com</t>
  </si>
  <si>
    <t>Quant</t>
  </si>
  <si>
    <t>W</t>
  </si>
  <si>
    <t>H</t>
  </si>
  <si>
    <t>LF Sills</t>
  </si>
  <si>
    <t>LF Bucks</t>
  </si>
  <si>
    <t>LF total</t>
  </si>
  <si>
    <t>SF total</t>
  </si>
  <si>
    <t>Euro-Wall</t>
  </si>
  <si>
    <t>storefront</t>
  </si>
  <si>
    <t>slider</t>
  </si>
  <si>
    <t>door</t>
  </si>
  <si>
    <t>Euro-Wall - storefront, sliding doors, pivot doors</t>
  </si>
  <si>
    <t>CTC Storefront</t>
  </si>
  <si>
    <t>Euro-Wall - exterior doors</t>
  </si>
  <si>
    <t>Dining (D-)</t>
  </si>
  <si>
    <t>Storefront</t>
  </si>
  <si>
    <t>CTC System</t>
  </si>
  <si>
    <t>08-00 x 13-02 D -- 1-12</t>
  </si>
  <si>
    <t>24-11 x 13-02 D -- 1-11</t>
  </si>
  <si>
    <t>61-06 x 13-02 D -- 1-10</t>
  </si>
  <si>
    <t>61-09 x 13-02 D -- 1-10</t>
  </si>
  <si>
    <t>04-00 x 14-02 D -- 1-10</t>
  </si>
  <si>
    <t>06-00 x 12-02 D -- 1-10</t>
  </si>
  <si>
    <t>21-06 x 12-02 D -- 1-10</t>
  </si>
  <si>
    <t>11-00 x 12-02 D -- 1-09</t>
  </si>
  <si>
    <t>10-10 x 12-02 D -- 1-08</t>
  </si>
  <si>
    <t>43-05 x 12-03 D -- 1-07</t>
  </si>
  <si>
    <t>04-00 x 12-02 D -- 1-06</t>
  </si>
  <si>
    <t>04-00 x 12-02 -- callout -- 1-07</t>
  </si>
  <si>
    <t>02-08 x 12-05 D -- 1-05</t>
  </si>
  <si>
    <t>02-08 x 12-05 D -- 1-04</t>
  </si>
  <si>
    <t>02-08 x 12-05 D -- 1-03</t>
  </si>
  <si>
    <t>02-08 x 12-05 D -- 1-02</t>
  </si>
  <si>
    <t>02-08 x 12-05 D -- 1-01</t>
  </si>
  <si>
    <t>29-03 x 11-09 D -- 0-01</t>
  </si>
  <si>
    <t>03-05 x 12-04 D -- 2-02</t>
  </si>
  <si>
    <t>06-11 x 03-03 D -- 2-02</t>
  </si>
  <si>
    <t>55-00 x 12-05 D -- 2-01</t>
  </si>
  <si>
    <t>sliders</t>
  </si>
  <si>
    <t>D - EX-09 -- 32-00x12-00 - 8 panel</t>
  </si>
  <si>
    <t>D - EX-09 -- 32-00x12-00</t>
  </si>
  <si>
    <t>D - EX-11 -- 15-00x09-01 - 5 panel</t>
  </si>
  <si>
    <t>D - EX-11 -- 15-00x09-01</t>
  </si>
  <si>
    <t>D - EX-12 -- 12-00x08-00 - 4 panel</t>
  </si>
  <si>
    <t>D - EX-12 -- 12-00x08-00</t>
  </si>
  <si>
    <t>D - IN-03 -- 03-00x08-09 - swing</t>
  </si>
  <si>
    <t>D - IN-03 -- 03-00x08-09</t>
  </si>
  <si>
    <t>D - IN-04 -- 03-00x08-09 - pivot</t>
  </si>
  <si>
    <t>D - IN-04 -- 03-00x08-09</t>
  </si>
  <si>
    <t>D - IN-04 -- 03-02x09-00 - pivot</t>
  </si>
  <si>
    <t>D - IN-04 -- 03-02x09-00</t>
  </si>
  <si>
    <t>D - EX-04 -- 03-04x08-11 - swing</t>
  </si>
  <si>
    <t>D - EX-04 -- 03-04x08-11</t>
  </si>
  <si>
    <t>D - EX-04 -- 04-00x08-00 - swing</t>
  </si>
  <si>
    <t>D - EX-04 -- 04-00x08-00</t>
  </si>
  <si>
    <t xml:space="preserve">D - EX-04 -- 03-03x09-00 - swing </t>
  </si>
  <si>
    <t>D - EX-04 -- 03-03x09-00</t>
  </si>
  <si>
    <t>D - EX-09 -- 06-00X09-00 - swing pair - wood finish insert</t>
  </si>
  <si>
    <t>D - EX-09 -- 06-00X09-00</t>
  </si>
  <si>
    <t>vertical bucks</t>
  </si>
  <si>
    <t>bluemax - 1 side</t>
  </si>
  <si>
    <t>primary exterior caulk</t>
  </si>
  <si>
    <t>interior windows</t>
  </si>
  <si>
    <t>Kids Area - 3 ea - 6-0 x 2-0</t>
  </si>
  <si>
    <t>WD infill panel D-107 7-0x2-9</t>
  </si>
  <si>
    <t>04-00 X 14-03 F -- 1-12, 1-11, 1-10</t>
  </si>
  <si>
    <t>08-08 x 14-00 F -- 1-08, 1-08</t>
  </si>
  <si>
    <t>02-06 x 14-03 F -- 1-02, 1-03, 1-04, 1-05, 1-06, 1-07</t>
  </si>
  <si>
    <t>25-08 X 14-02 -- Gym</t>
  </si>
  <si>
    <t>07-00 x 14-03 -- North Secondary Entry</t>
  </si>
  <si>
    <t>F - EX-10 -- 23-00x14-00 - 6 panel</t>
  </si>
  <si>
    <t>F - EX-10 -- 23-00x14-00</t>
  </si>
  <si>
    <t>F - EX-11 -- 19-01x14-01 - 5 panel</t>
  </si>
  <si>
    <t>F - EX-11 -- 19-01x14-01</t>
  </si>
  <si>
    <t>F - IN-03 -- 03-00x08-10 - swing</t>
  </si>
  <si>
    <t>F - IN-03 -- 03-00x08-10</t>
  </si>
  <si>
    <t>F - EX-04 -- 03-00x09-00 - swing</t>
  </si>
  <si>
    <t>F - EX-04 -- 03-00x09-00</t>
  </si>
  <si>
    <t>F - EX-09 -- 05-10x08-00 - swing pair - wood finish insert</t>
  </si>
  <si>
    <t>F - EX-09 -- 05-10x08-00</t>
  </si>
  <si>
    <t>WD infill panel F-108 6-2x4-8</t>
  </si>
  <si>
    <t>WD infill panel North Secondary Entry 3-3x4-8</t>
  </si>
  <si>
    <t>Wellness (W-)</t>
  </si>
  <si>
    <t>34-11 x 12-05 W -- 1-17(?)</t>
  </si>
  <si>
    <t>05-00 x 12-05 W -- 1-16</t>
  </si>
  <si>
    <t>05-00 x 12-05 W -- 1-15</t>
  </si>
  <si>
    <t>43-08 x 12-05 W -- 1-14</t>
  </si>
  <si>
    <t>03-02 x 02-09 W -- 1-14</t>
  </si>
  <si>
    <t>19-04 x 12-05 W -- 1-13</t>
  </si>
  <si>
    <t>48-04 x 12-05 W -- 1-12</t>
  </si>
  <si>
    <t>03-02 x 02-09 W -- 1-12</t>
  </si>
  <si>
    <t>05-00 x 12-05 W -- 1-11</t>
  </si>
  <si>
    <t>05-00 x 12-05 W -- 1-10</t>
  </si>
  <si>
    <t>05-00 x 12-05 W -- 1-09</t>
  </si>
  <si>
    <t>28-03 x 12-05 W -- 1-08</t>
  </si>
  <si>
    <t>03-10 x 12-10 W -- 1-07</t>
  </si>
  <si>
    <t>22-01 x 12-10 W -- 1-06</t>
  </si>
  <si>
    <t>12-00 x 12-10 W -- 1-05</t>
  </si>
  <si>
    <t>05-06 x 14-05 W -- 1-04</t>
  </si>
  <si>
    <t>05-06 x 14-05 W -- 1-03</t>
  </si>
  <si>
    <t>02-01 x 14-05 W -- 1-02</t>
  </si>
  <si>
    <t>03-05 x 05-00 W -- 1-02</t>
  </si>
  <si>
    <t>05-06 x 14-05 W -- 1-01</t>
  </si>
  <si>
    <t>03-08 x 12-05 W -- 2-34</t>
  </si>
  <si>
    <t>03-08 x 12-05 W -- 2-33</t>
  </si>
  <si>
    <t>06-00 x 12-05 W -- 2-32</t>
  </si>
  <si>
    <t>03-08 x 02-11 W -- 2-31</t>
  </si>
  <si>
    <t>09-05 x 12-05 W -- 2-31</t>
  </si>
  <si>
    <t>03-02 x 02-10 W -- 2-30</t>
  </si>
  <si>
    <t>12-05 x 12-05 W -- 2-30</t>
  </si>
  <si>
    <t>36-11 x 12-05 W -- 2-29</t>
  </si>
  <si>
    <t>02-02 x 12-05 W -- 2-28</t>
  </si>
  <si>
    <t>05-06 x 12-05 W -- 2-27</t>
  </si>
  <si>
    <t>02-02 x 12-05 W -- 2-26</t>
  </si>
  <si>
    <t>02-02 x 12-05 W -- 2-25</t>
  </si>
  <si>
    <t>19-04 x 12-05 W -- 2-24</t>
  </si>
  <si>
    <t>02-02 x 12-05 W -- 2-23</t>
  </si>
  <si>
    <t>07-06 x 12-05 W -- 2-22</t>
  </si>
  <si>
    <t>05-06 x 12-05 W -- 2-21</t>
  </si>
  <si>
    <t>03-08 x 12-05 W -- 2-20</t>
  </si>
  <si>
    <t>03-08 x 12-05 W -- 2-19</t>
  </si>
  <si>
    <t>03-08 x 12-05 W -- 2-18</t>
  </si>
  <si>
    <t>03-08 x 12-05 W -- 2-17</t>
  </si>
  <si>
    <t>03-08 x 12-05 W -- 2-16</t>
  </si>
  <si>
    <t>11-05 x 12-05 W -- 2-15</t>
  </si>
  <si>
    <t>03-05 x 02-10 W -- 2-14</t>
  </si>
  <si>
    <t>01-10 x 12-05 W -- 2-13</t>
  </si>
  <si>
    <t>07-05 x 02-10 W -- 2-12</t>
  </si>
  <si>
    <t>01-10 x 12-05 W -- 2-11</t>
  </si>
  <si>
    <t>01-10 x 12-05 W -- 2-10</t>
  </si>
  <si>
    <t>01-10 x 12-05 W -- 2-09</t>
  </si>
  <si>
    <t>05-01 x 12-05 W -- 2-08</t>
  </si>
  <si>
    <t>04-10 x 12-05 W -- 2-07</t>
  </si>
  <si>
    <t>05-06 x 12-05 W -- 2-06</t>
  </si>
  <si>
    <t>05-06 x 12-05 W -- 2-05</t>
  </si>
  <si>
    <t>05-06 x 12-05 W -- 2-04</t>
  </si>
  <si>
    <t>05-06 x 12-05 W -- 2-03</t>
  </si>
  <si>
    <t>05-06 x 12-05 W -- 2-02</t>
  </si>
  <si>
    <t>05-06 x 12-05 W -- 2-01</t>
  </si>
  <si>
    <t>sliders - none shown</t>
  </si>
  <si>
    <t>W - EX-04 -- 03-00x09-00 - swing</t>
  </si>
  <si>
    <t>W - EX-04 -- 03-00x09-00</t>
  </si>
  <si>
    <t>W - EX-04 -- 03-02x09-00 - swing</t>
  </si>
  <si>
    <t>W - EX-04 -- 03-02x09-00</t>
  </si>
  <si>
    <t>W - EX-04 -- 04-04x08-00 - swing</t>
  </si>
  <si>
    <t>W - EX-04 -- 04-04x08-00</t>
  </si>
  <si>
    <t>W - EX-09 -- 07-00x09-00 - swing pair - wood finish insert</t>
  </si>
  <si>
    <t>W - EX-09 -- 07-00x09-00</t>
  </si>
  <si>
    <t>W - EX-09 -- 06-00x08-08 - swing pair - wood finish insert</t>
  </si>
  <si>
    <t>W - EX-09 -- 06-00x08-08</t>
  </si>
  <si>
    <t>WD infill panel W-105 6-2x2-3</t>
  </si>
  <si>
    <t>doors - interior</t>
  </si>
  <si>
    <t>IN-03 Glass (Frosted) - 3-0x8-0 Alum Frm - transom</t>
  </si>
  <si>
    <t>IN-03 Glass (Frosted) - 3-0x9-0 Alum Frm - transom</t>
  </si>
  <si>
    <t>IN-03.2 Glass (Frosted) - 3-0x8-0 Alum Frm - transom</t>
  </si>
  <si>
    <t>IN-03.2 Glass (Frosted) - 3-6x8-0 Alum Frm - transom</t>
  </si>
  <si>
    <t>shower glass</t>
  </si>
  <si>
    <t>glass panel -- 02-06x08-00 - 1/2"</t>
  </si>
  <si>
    <t>Tube Steel - required at mullions &amp; jambs</t>
  </si>
  <si>
    <t>Mullions</t>
  </si>
  <si>
    <t>Break Metal</t>
  </si>
  <si>
    <t>- Glass specification to be Glazing 1 (9/16" O.A. IMPACT GLASS CONSISTING OF: 
• 1/4" HEAT STRENGTHENED 
• 0.090" SENTRYGLAS INTERLAYER BY KURARAY 
• 1/4" HEAT STRENGTHENED</t>
  </si>
  <si>
    <t xml:space="preserve">- Please confirm the finish type and color for the Aluminum Windows. Window color to be “High Performance White.” </t>
  </si>
  <si>
    <t xml:space="preserve">- All exterior glazing systems to be Eurowall Direct Set Fixed Window system WZ3. Specific Specification is now included  in revised spec book under Section 08300. </t>
  </si>
  <si>
    <r>
      <t>Glass Railings -</t>
    </r>
    <r>
      <rPr>
        <sz val="11"/>
        <color rgb="FFFF0000"/>
        <rFont val="Calibri"/>
        <family val="2"/>
        <scheme val="minor"/>
      </rPr>
      <t xml:space="preserve"> conflicting details, missing detail</t>
    </r>
  </si>
  <si>
    <t>Dining - Level 2/Roof - top of planter - Brisk Arch M-10 - 1'-6" exposure</t>
  </si>
  <si>
    <t>A2.40, 2/A8.11</t>
  </si>
  <si>
    <t>Dining - Level 1 ramp D-100</t>
  </si>
  <si>
    <t>Dining - Level 2 - planter right side Entry Lounge - 4'-6"</t>
  </si>
  <si>
    <t>1/A4.01, 5/A8.16</t>
  </si>
  <si>
    <t>Wellness - Level 2 - Exterior Terrace - 4'-6"</t>
  </si>
  <si>
    <t>No windoWs or glass</t>
  </si>
  <si>
    <t xml:space="preserve">Spa Pods </t>
  </si>
  <si>
    <t>01-11 x 09-11 -- callout -- SP-1-08</t>
  </si>
  <si>
    <t>03-07 x 09-11 -- callout -- SP-1-07</t>
  </si>
  <si>
    <t>03-06 x 09-11 -- callout -- SP-1-06</t>
  </si>
  <si>
    <t>01-11 x 09-11 -- callout -- SP-1-05</t>
  </si>
  <si>
    <t>01-11 x 09-11 -- callout -- SP-1-04</t>
  </si>
  <si>
    <t>01-11 x 09-11 -- callout -- SP-1-09</t>
  </si>
  <si>
    <t>01-11 x 09-11 -- callout -- SP-1-10</t>
  </si>
  <si>
    <t>01-11 x 09-11 -- callout -- SP-1-11</t>
  </si>
  <si>
    <t>03-00 x 09-11 -- callout -- SP-1-12</t>
  </si>
  <si>
    <t>01-11 x 09-11 -- callout -- SP-1-13</t>
  </si>
  <si>
    <t>01-11 x 09-11 -- callout -- SP-1-14</t>
  </si>
  <si>
    <t>03-00 x 09-11 -- callout -- SP-1-15</t>
  </si>
  <si>
    <t>10-07 x 09-11 -- callout -- SP-105.2</t>
  </si>
  <si>
    <t>10-10 x 09-11 -- callout -- SP-103.2</t>
  </si>
  <si>
    <t>17-04 x 09-11 -- callout -- SP-107.2</t>
  </si>
  <si>
    <t>10-08 x 09-11 -- callout -- SP-109.2</t>
  </si>
  <si>
    <t>03-07 x 09-11 -- callout -- SP-106.3</t>
  </si>
  <si>
    <t>03-06 x 09-11 -- callout -- SP-104.3</t>
  </si>
  <si>
    <t>03-02 x 09-11 -- callout -- SP-105.3</t>
  </si>
  <si>
    <t>03-02 x 09-11 -- callout -- SP-103.1</t>
  </si>
  <si>
    <t>06-00 x 09-11 -- callout -- SP-106.4</t>
  </si>
  <si>
    <t>03-02 x 09-11 -- callout -- SP-107.1</t>
  </si>
  <si>
    <t>06-00 x 09-11 -- callout -- SP-110.4</t>
  </si>
  <si>
    <t>03-02 x 09-11 -- callout -- SP-109.1</t>
  </si>
  <si>
    <t>interior</t>
  </si>
  <si>
    <t>DOOR - 03-00 X 09-00 - SP-110.1</t>
  </si>
  <si>
    <t>glass panel &amp; door - 1/2"</t>
  </si>
  <si>
    <t>Skylight Concepts</t>
  </si>
  <si>
    <t>Myron Goodrich</t>
  </si>
  <si>
    <t>954-607-2556</t>
  </si>
  <si>
    <t>mgoodrich@skylightconcepts.com</t>
  </si>
  <si>
    <t>VELLUX IMPACT RATED FIXED SKYLIGHT CURB MOUNTED. MODEL (#1446)</t>
  </si>
  <si>
    <t>Wellness - 5'-11" x 5'-11"</t>
  </si>
  <si>
    <t>installation</t>
  </si>
  <si>
    <t xml:space="preserve">blocking </t>
  </si>
  <si>
    <t>they have too much scope for clubcore</t>
  </si>
  <si>
    <t>March 25th</t>
  </si>
  <si>
    <t>working on it</t>
  </si>
  <si>
    <t>Welch Plastering, Inc.</t>
  </si>
  <si>
    <t>Griffin Stucco</t>
  </si>
  <si>
    <t>Lotspeich</t>
  </si>
  <si>
    <t>RB Plastering</t>
  </si>
  <si>
    <t>Alliance USA</t>
  </si>
  <si>
    <t>Dorado Drywall Stucco</t>
  </si>
  <si>
    <t>Diane Fried</t>
  </si>
  <si>
    <t>Dan Doerflinger</t>
  </si>
  <si>
    <t>Carlos Valencia</t>
  </si>
  <si>
    <t>Estimating Department</t>
  </si>
  <si>
    <t>James Pegg</t>
  </si>
  <si>
    <t>561-736-3515</t>
  </si>
  <si>
    <t>561-657-3113</t>
  </si>
  <si>
    <t xml:space="preserve">954-978-2388 </t>
  </si>
  <si>
    <t>772-617-2281</t>
  </si>
  <si>
    <t>954-840-7770</t>
  </si>
  <si>
    <t>954-675-4867</t>
  </si>
  <si>
    <t>admin@welchplastering.com</t>
  </si>
  <si>
    <t>dan@griffinstucco.com</t>
  </si>
  <si>
    <t xml:space="preserve"> ryan.schultz@lcfinc.com</t>
  </si>
  <si>
    <t>estimating@rbplasteringinc.com</t>
  </si>
  <si>
    <t>estimating@alliancegcusa.com</t>
  </si>
  <si>
    <t>james@doradodrywall.com</t>
  </si>
  <si>
    <t>Club</t>
  </si>
  <si>
    <t>3/4" direct bond plaster cement for all wall types  W5.8 - Site wall 7ft</t>
  </si>
  <si>
    <t>3/4" direct bond plaster cement for all wall types  W5.6 - Planter walls wellness 566 LF @ 1'-6", Planter walls dining 533 LF @ 3'-2"</t>
  </si>
  <si>
    <t>A2.30.5, A2.43</t>
  </si>
  <si>
    <r>
      <rPr>
        <sz val="11"/>
        <color rgb="FF000000"/>
        <rFont val="Calibri"/>
        <family val="2"/>
        <scheme val="minor"/>
      </rPr>
      <t>5/8" x 6" high stucco below T.O slab for wall types W5</t>
    </r>
    <r>
      <rPr>
        <sz val="11"/>
        <color rgb="FFFF0000"/>
        <rFont val="Calibri"/>
        <family val="2"/>
        <scheme val="minor"/>
      </rPr>
      <t xml:space="preserve"> ( W1-W8  REMOVED in ADD1)</t>
    </r>
  </si>
  <si>
    <t>5/8" scratch coat under stone cladding</t>
  </si>
  <si>
    <r>
      <rPr>
        <sz val="11"/>
        <color rgb="FF000000"/>
        <rFont val="Calibri"/>
        <family val="2"/>
        <scheme val="minor"/>
      </rPr>
      <t xml:space="preserve">5/8" x 6" high stucco below T.O slab for wall types W1,W4 </t>
    </r>
    <r>
      <rPr>
        <sz val="11"/>
        <color rgb="FFFF0000"/>
        <rFont val="Calibri"/>
        <family val="2"/>
        <scheme val="minor"/>
      </rPr>
      <t>REMOVED in ADD1</t>
    </r>
  </si>
  <si>
    <t>Spa Garden</t>
  </si>
  <si>
    <r>
      <rPr>
        <sz val="11"/>
        <color rgb="FF000000"/>
        <rFont val="Calibri"/>
        <family val="2"/>
        <scheme val="minor"/>
      </rPr>
      <t>5/8" x 6" high stucco below T.O slab for wall types W1,W4</t>
    </r>
    <r>
      <rPr>
        <sz val="11"/>
        <color rgb="FFFF0000"/>
        <rFont val="Calibri"/>
        <family val="2"/>
        <scheme val="minor"/>
      </rPr>
      <t xml:space="preserve"> REMOVED in ADD1</t>
    </r>
  </si>
  <si>
    <t>Misc</t>
  </si>
  <si>
    <t xml:space="preserve">Include metal lath </t>
  </si>
  <si>
    <t>LS</t>
  </si>
  <si>
    <t>wire lath</t>
  </si>
  <si>
    <t>Vinyl lath</t>
  </si>
  <si>
    <t>paper back lath</t>
  </si>
  <si>
    <t xml:space="preserve">G60 hot dip galv foundation weep screed - Specs in Section 092400 </t>
  </si>
  <si>
    <t>Vinyl Weep Screed</t>
  </si>
  <si>
    <t>PVC</t>
  </si>
  <si>
    <t>Zinc steel cornerbeads - Specs in Section 092400</t>
  </si>
  <si>
    <t>Vinyl Corner Bead</t>
  </si>
  <si>
    <t>We include 5/8" stucco with sand/float finish and bonding agent only at the wellness exterior site wall. All stucco accessories are included as PVC.</t>
  </si>
  <si>
    <t>We include 5/8" scratch coat under stone cladding as specified in A0.32 . The material is assumed to be compatible with the mortar bed. See VA log</t>
  </si>
  <si>
    <t>Deduct the 5/8" scratch coat under the stone cladding</t>
  </si>
  <si>
    <t>We exclude any stucco or cement plastering under Wood cladding</t>
  </si>
  <si>
    <t>3/4" direct bond plaster cement for all wall types  W5.6 - Planter walls wellness 566 LF @ 1'-6", Planter walls dining 533 LF @ 3'-2" ILO Metal plate</t>
  </si>
  <si>
    <t>Feliciano Drywall</t>
  </si>
  <si>
    <t>Perini Interiors</t>
  </si>
  <si>
    <t>Luis Feliciano</t>
  </si>
  <si>
    <t xml:space="preserve">Blake Whitley </t>
  </si>
  <si>
    <t>Jason Perini</t>
  </si>
  <si>
    <t>09 29</t>
  </si>
  <si>
    <t>(954) 632-8125</t>
  </si>
  <si>
    <t>(561) 300-5056</t>
  </si>
  <si>
    <t>(321) 890-7406</t>
  </si>
  <si>
    <t>luis@fdrywall.com</t>
  </si>
  <si>
    <t xml:space="preserve"> blake.whitley@lcfinc.com</t>
  </si>
  <si>
    <t>jason@periniinteriors.com</t>
  </si>
  <si>
    <t>paint</t>
  </si>
  <si>
    <t>Budget proposal</t>
  </si>
  <si>
    <t>working on hard number</t>
  </si>
  <si>
    <t>only Mouldings</t>
  </si>
  <si>
    <t>Russo Painting/Hyde Park</t>
  </si>
  <si>
    <t>Art Space NYC/Hyde Park</t>
  </si>
  <si>
    <t>Foster Reeve &amp; Associates</t>
  </si>
  <si>
    <t>Addison Drywall</t>
  </si>
  <si>
    <t>Hyde Park Mouldings</t>
  </si>
  <si>
    <t>Ryan Russo</t>
  </si>
  <si>
    <t>Michael Glickman</t>
  </si>
  <si>
    <t>Richard Carbino</t>
  </si>
  <si>
    <t>David Taylor</t>
  </si>
  <si>
    <t>Benjamin Blythe</t>
  </si>
  <si>
    <t xml:space="preserve">561-585-7506 </t>
  </si>
  <si>
    <t xml:space="preserve">212-967-6602    </t>
  </si>
  <si>
    <t xml:space="preserve"> 561-444-2971</t>
  </si>
  <si>
    <t xml:space="preserve">561-529-2800, Ext. 203 </t>
  </si>
  <si>
    <t>561-727-9118</t>
  </si>
  <si>
    <t>&lt;Estimating@russopainting.net&gt;</t>
  </si>
  <si>
    <t>artspacenyc@yahoo.com</t>
  </si>
  <si>
    <t>richard@fraplaster.com</t>
  </si>
  <si>
    <t>David Taylor &lt;david@addisondrywall.com&gt;</t>
  </si>
  <si>
    <t>ben@hyde-park.com</t>
  </si>
  <si>
    <t xml:space="preserve">SF-101  White Plaster, color WHI-05, smooth textured hand troweled </t>
  </si>
  <si>
    <t>D-100 Entry Bar, D-102 Dining Room, D-103 Omakase, D-108 FOH Hallway, D-101 Wine Room, F-102 Juice Bar</t>
  </si>
  <si>
    <t>Planter millwork at Juice Bar West (SF-101 plaster)</t>
  </si>
  <si>
    <t xml:space="preserve">SF-102 Empty Item (SF-101, see RFI Responses #1 page 19) </t>
  </si>
  <si>
    <t>D-100 Entry Bar -E</t>
  </si>
  <si>
    <t>SF-103 Tinted Pink Plaster, Color NUD -01, finish smooth</t>
  </si>
  <si>
    <t>D-104 Private dining</t>
  </si>
  <si>
    <t>SF-104 Tinted Plaster, color to match PT-110 OC-18 Dove Wing, smooth texture</t>
  </si>
  <si>
    <t>D-200 Sky Bar (include ceiling), D-202 D-203 Sky Bar Restroom, D-200 BOH Vestibule, D-201 Hallway</t>
  </si>
  <si>
    <t>D-200 SKy Bar</t>
  </si>
  <si>
    <t>SF-105 Cream Plaster, color to match PT-108 : OC-131 White down, smooth texture</t>
  </si>
  <si>
    <t>W-100 Retail, W-118 Womens Bar&amp;Lounge, W-116 Mens Bar&amp; Lounge,  W-102 Vanity, W-124 Vanity, W-127 Changin room Hallway, W.E.03 - Spa Elevator base, W-100 Retail, W218- IV Lounge, W-214 Hallway</t>
  </si>
  <si>
    <t>SF-106 Textured Raked Plaster, color to match SF-105&amp;PT-108, OC-131, white down</t>
  </si>
  <si>
    <t>W-116 Mens Bar&amp; Lounge,  W-118 Womens Bar&amp; Lounge, W-102 Vanity, W-124 Vanity, W-200 Spa Reception,W-131 Hallway, W-200 Reception, W-S.02 Stair outside wall</t>
  </si>
  <si>
    <t>Ceilings</t>
  </si>
  <si>
    <t>Mouldings</t>
  </si>
  <si>
    <t>Custom Plaster cast moulding profile at Sky Bar ceiling</t>
  </si>
  <si>
    <t>Plaster surroundings columns at Sky Bar 12ft high</t>
  </si>
  <si>
    <t>ID-5.11, ID-6.18</t>
  </si>
  <si>
    <t xml:space="preserve">Cast Plaster trim profiles at Sky Bar </t>
  </si>
  <si>
    <t>Painted GFRG Curved drywall at Spa ceiling</t>
  </si>
  <si>
    <t>HB Adjustment</t>
  </si>
  <si>
    <t>Dock Bar - No Plaster</t>
  </si>
  <si>
    <t>Spa Dock - No Plaster</t>
  </si>
  <si>
    <t>waiting for updated numbers</t>
  </si>
  <si>
    <t>unresponsive</t>
  </si>
  <si>
    <t>incomplete scope</t>
  </si>
  <si>
    <t>Tony Rodrigues Metal Framing, Inc.</t>
  </si>
  <si>
    <t>Oceanside Drywall, Inc.</t>
  </si>
  <si>
    <t>Claros Group Inc</t>
  </si>
  <si>
    <t>Dorado</t>
  </si>
  <si>
    <t>Atlantic Interior Services</t>
  </si>
  <si>
    <t>Tony Rodriguez</t>
  </si>
  <si>
    <t>Miguel Oliver</t>
  </si>
  <si>
    <t xml:space="preserve">Natalia Ponce De Leon </t>
  </si>
  <si>
    <t>Luis Ramirez</t>
  </si>
  <si>
    <t>Francisco Perez</t>
  </si>
  <si>
    <t>561-252-4230</t>
  </si>
  <si>
    <t>561-951-3982</t>
  </si>
  <si>
    <t>954-465-0883</t>
  </si>
  <si>
    <t>(561) 848-3040 ext. 223</t>
  </si>
  <si>
    <t xml:space="preserve"> 561-575-4499</t>
  </si>
  <si>
    <t>tony@rodriguesmetalframing.com</t>
  </si>
  <si>
    <t>moliver@oceansidedrywall.com</t>
  </si>
  <si>
    <t>lenin@clarosgroupinc.com&gt;</t>
  </si>
  <si>
    <t>James@doradodrywall.com</t>
  </si>
  <si>
    <t xml:space="preserve"> &lt;Luis.Ramirez@lcfinc.com&gt;</t>
  </si>
  <si>
    <t>frank@atlanticinteriorservices.com</t>
  </si>
  <si>
    <t xml:space="preserve">Framing and Drywall, incl.: </t>
  </si>
  <si>
    <t xml:space="preserve">  a. furnish all metal studs, channels, horizontal bracing, gypsum board products and insulation as scheduled</t>
  </si>
  <si>
    <t xml:space="preserve">  b. equipment, lifts, power tools, etc. as required </t>
  </si>
  <si>
    <t xml:space="preserve">  c. Level 4 finish and Level 5 finish as scheduled</t>
  </si>
  <si>
    <t xml:space="preserve">  d. provide in wall backing for cabinets, door frames, fire extinguishers, accessories, etc. as required/scheduled.</t>
  </si>
  <si>
    <t xml:space="preserve">  e. include labor for wall and ceiling layout as required</t>
  </si>
  <si>
    <t xml:space="preserve">  f. provide fire caulking, sound caulking, etc. to complete partition/wall type for a complete wall and ceiling assembly.</t>
  </si>
  <si>
    <t xml:space="preserve">  g. OSHA requirements</t>
  </si>
  <si>
    <t xml:space="preserve">  h. daily clean up for your scope of work</t>
  </si>
  <si>
    <t xml:space="preserve">Acknowledgement of RFI Responses #1 and #2 </t>
  </si>
  <si>
    <t>Acknowledgement of Addendum #1</t>
  </si>
  <si>
    <t xml:space="preserve">Club </t>
  </si>
  <si>
    <t>P1.1A - 15'H</t>
  </si>
  <si>
    <t>1-5/8" metal studs with 5/8" GB, 3/8" air gap and 2" rigid insulation  R-13, paint finish</t>
  </si>
  <si>
    <t>P1.1B - 15'H</t>
  </si>
  <si>
    <t>1-5/8" metal studs with 5/8" Durock Cement Board, 3/8" air gap and 2" rigid insulation R-13  - tile finish</t>
  </si>
  <si>
    <t>P1.1C - 15'H</t>
  </si>
  <si>
    <t>1-5/8" metal studs with 5/8" GB, 3/8" air gap and 2" rigid insulation  R-13 , FRP finish</t>
  </si>
  <si>
    <t>P1.1D - 15'H</t>
  </si>
  <si>
    <t>1-5/8" metal studs with 5/8" durock cement board, 3/8" air gap and 2" rigid insulation  R-13, plaster finish</t>
  </si>
  <si>
    <t>P1.1G - 15'H</t>
  </si>
  <si>
    <t>1-5/8" metal studs with 5/8" plywood sheathing, 3/8" air gap and 2" rigid insulation  R-13 , wood finish</t>
  </si>
  <si>
    <t>P1.1H - 15'H</t>
  </si>
  <si>
    <t>1-5/8" metal studs with 5/8" GB, 3/8" air gap and 2" rigid insulation  R-13, wallpaper finish</t>
  </si>
  <si>
    <t>P1.3A - 15'H</t>
  </si>
  <si>
    <t xml:space="preserve">3-5/8" metal studs with 5/8" GB, 3/8" air gap and 2" rigid insulation  R-13, paint finish </t>
  </si>
  <si>
    <t>P1.3B - 15'H</t>
  </si>
  <si>
    <t xml:space="preserve">3-5/8" metal studs with 5/8" GB, 3/8" air gap and 2" rigid insulation  R-13 </t>
  </si>
  <si>
    <t>P2.1A</t>
  </si>
  <si>
    <t>1-5/8" metal studs with 5/8" GB, sound batt insulation for sound attenuation, paint finish</t>
  </si>
  <si>
    <t>P2.1B</t>
  </si>
  <si>
    <t>1-5/8" metal studs with 5/8" Durock Cement Board, sound batt insulation for sound attenuation, paint finish</t>
  </si>
  <si>
    <t>P2.1C</t>
  </si>
  <si>
    <t>1-5/8" metal studs with 5/8" GB, sound batt insulation for sound attenuation , FRP finish</t>
  </si>
  <si>
    <t>P2.1D</t>
  </si>
  <si>
    <t>1-5/8" metal studs with 5/8" durock cement board, sound batt insulation for sound attenuation, plaster finish</t>
  </si>
  <si>
    <t>P2.1G</t>
  </si>
  <si>
    <t>1-5/8" metal studs with 5/8" plywood sheathing backerboard, sound batt insulation for sound attenuation, wood clad finish</t>
  </si>
  <si>
    <t>P2.1H</t>
  </si>
  <si>
    <t>1-5/8" metal studs with 5/8" GB, sound batt insulation for sound attenuation, wallpaper finish</t>
  </si>
  <si>
    <t>P2.3A</t>
  </si>
  <si>
    <t xml:space="preserve">3-5/8" metal studs with 5/8" GB, sound batt insulation for sound attenuation </t>
  </si>
  <si>
    <t>P2.3B</t>
  </si>
  <si>
    <t>3-5/8" metal studs with 5/8" Durock Cement Board, sound batt insulation for sound attenuation  - tile areas</t>
  </si>
  <si>
    <t>P2.3D</t>
  </si>
  <si>
    <t>3-5/8" metal studs with 5/8" Durock Cement Board,, sound batt insulation for sound attenuation, plaster finish</t>
  </si>
  <si>
    <t>P2.3G</t>
  </si>
  <si>
    <t>3-5/8" metal studs with 5/8" plywood sheathing backerboard, sound batt insulation for sound attenuation, wood clad finish</t>
  </si>
  <si>
    <t>P2.3H</t>
  </si>
  <si>
    <t>3-5/8" metal studs with 5/8" GB, sound batt insulation for sound attenuation, wallpaper finish</t>
  </si>
  <si>
    <t>P2.6A</t>
  </si>
  <si>
    <t>6" metal studs with 5/8" GB, sound batt insulation for sound attenuation, paint finish</t>
  </si>
  <si>
    <t>P2.6B</t>
  </si>
  <si>
    <t>6" metal studs with 5/8" Durock Cement Board, sound batt insulation for sound attenuation  - tile areas</t>
  </si>
  <si>
    <t>P2.6C</t>
  </si>
  <si>
    <t>6" metal studs with 5/8" GB, sound batt insulation for sound attenuation , FRP finish</t>
  </si>
  <si>
    <t>P2.6D</t>
  </si>
  <si>
    <t>6" metal studs with 5/8" Durock Cement board sound batt insulation for sound attenuation, plaster finish</t>
  </si>
  <si>
    <t>P2.6G</t>
  </si>
  <si>
    <t>6" metal studs with 5/8" plywood sheating backerboard, sound batt insulation for sound attenuation</t>
  </si>
  <si>
    <t>P2.6H</t>
  </si>
  <si>
    <t>6" metal studs with 5/8" GB, sound batt insulation for sound attenuation, wallpaper finish</t>
  </si>
  <si>
    <t>P3.3A</t>
  </si>
  <si>
    <t xml:space="preserve">3-5/8" metal studs with double side 5/8" GB,sound batt insulation for sound attenuation </t>
  </si>
  <si>
    <t>P3.3B</t>
  </si>
  <si>
    <t>3-5/8" metal studs with double side 5/8" Durock Cement Board, sound batt insulation for sound attenuation  - tile areas</t>
  </si>
  <si>
    <t>P3.3AB</t>
  </si>
  <si>
    <t xml:space="preserve">3-5/8" metal studs with 5/8" GB,  5/8" Durock Cement Board, sound batt insulation for sound attenuation </t>
  </si>
  <si>
    <t>P3.6A</t>
  </si>
  <si>
    <t>6" metal studs with double side 5/8" GB, sound batt insulation for sound attenuation</t>
  </si>
  <si>
    <t>P3.6B</t>
  </si>
  <si>
    <t>6" metal studs with double side 5/8" Durock Cement Board, sound batt insulation for sound attenuation</t>
  </si>
  <si>
    <t>P3.6C</t>
  </si>
  <si>
    <t>6" metal studs with double side 5/8" GB,sound batt insulation for sound attenuation , FRP finish</t>
  </si>
  <si>
    <t>P3.6D</t>
  </si>
  <si>
    <t>6" metal studs with 5/8" Durock cement board, sound batt insulation for sound attenuation, plaster finish</t>
  </si>
  <si>
    <t>P3.6G</t>
  </si>
  <si>
    <t>6" metal studs with double side 5/8" plywood sheating backerboard, sound batt insulation for sound attenuation, wood clad finish</t>
  </si>
  <si>
    <t>P3.6H</t>
  </si>
  <si>
    <t>6" metal studs with double side 5/8" GB, sound batt insulation for sound attenuation, wallpaper finish</t>
  </si>
  <si>
    <t>P3.6AB</t>
  </si>
  <si>
    <t>6" metal studs with  5/8" GB &amp;  5/8" Durock Cement Board, sound batt insulation for sound attenuation</t>
  </si>
  <si>
    <t>P3.6AC</t>
  </si>
  <si>
    <r>
      <rPr>
        <sz val="11"/>
        <color rgb="FF000000"/>
        <rFont val="Calibri"/>
        <family val="2"/>
      </rPr>
      <t xml:space="preserve">6" metal studs with  </t>
    </r>
    <r>
      <rPr>
        <sz val="11"/>
        <color rgb="FFFF0000"/>
        <rFont val="Calibri"/>
        <family val="2"/>
      </rPr>
      <t>double side 5/8" GB</t>
    </r>
    <r>
      <rPr>
        <sz val="11"/>
        <color rgb="FF000000"/>
        <rFont val="Calibri"/>
        <family val="2"/>
      </rPr>
      <t xml:space="preserve"> , sound batt insulation for sound attenuation, FRP finish on one side</t>
    </r>
  </si>
  <si>
    <t>P3.6AD</t>
  </si>
  <si>
    <t>6" metal studs with 5/8" Durock cement board, sound batt insulation for sound attenuation, plaster finish on one side</t>
  </si>
  <si>
    <t>P3.6AG</t>
  </si>
  <si>
    <t>6" metal studs with one 5/8" GB, 5/8" plywood sheathing, sound batt insulation for sound attenuation, wood clad on one side</t>
  </si>
  <si>
    <t>P3.6AH</t>
  </si>
  <si>
    <t>6" metal studs with one 5/8" GB, 5/8" plywood sheathing, sound batt insulation for sound attenuation, wallpaper on one side</t>
  </si>
  <si>
    <t>P3.6BC</t>
  </si>
  <si>
    <r>
      <rPr>
        <sz val="11"/>
        <color rgb="FF000000"/>
        <rFont val="Calibri"/>
        <family val="2"/>
      </rPr>
      <t xml:space="preserve">6" metal studs with one 5/8" Durock Cement Board, </t>
    </r>
    <r>
      <rPr>
        <sz val="11"/>
        <color rgb="FFFF0000"/>
        <rFont val="Calibri"/>
        <family val="2"/>
      </rPr>
      <t>5/8" GB</t>
    </r>
    <r>
      <rPr>
        <sz val="11"/>
        <color rgb="FF000000"/>
        <rFont val="Calibri"/>
        <family val="2"/>
      </rPr>
      <t>, sound batt insulation for sound attenuation, FRP on one side, tile on other side</t>
    </r>
  </si>
  <si>
    <t>P3.6BD</t>
  </si>
  <si>
    <r>
      <rPr>
        <sz val="11"/>
        <color rgb="FF000000"/>
        <rFont val="Calibri"/>
        <family val="2"/>
      </rPr>
      <t xml:space="preserve">6" metal studs with one 5/8" Durock Cement Board, </t>
    </r>
    <r>
      <rPr>
        <sz val="11"/>
        <color rgb="FFFF0000"/>
        <rFont val="Calibri"/>
        <family val="2"/>
      </rPr>
      <t>5/8" GB</t>
    </r>
    <r>
      <rPr>
        <sz val="11"/>
        <color rgb="FF000000"/>
        <rFont val="Calibri"/>
        <family val="2"/>
      </rPr>
      <t>, sound batt insulation for sound attenuation, plaster on one side, tile on other side</t>
    </r>
  </si>
  <si>
    <t>P3.6BG</t>
  </si>
  <si>
    <t>6" metal studs with one 5/8" Durock Cement Board, 5/8" plywood sheathing, sound batt insulation for sound attenuation, wood clad on one side, tile on other side</t>
  </si>
  <si>
    <t>P3.6BH</t>
  </si>
  <si>
    <t>6" metal studs with one 5/8" Durock Cement Board, 5/8" GB, sound batt insulation for sound attenuation, wallcover on one side, tile on other side</t>
  </si>
  <si>
    <t>P3.6CD</t>
  </si>
  <si>
    <t>6" metal studs with 5/8" Durock Cement Board, 5/8" GB ,sound batt insulation for sound attenuation , FRP finish one side, plaster finish other side</t>
  </si>
  <si>
    <t>P3.6CG</t>
  </si>
  <si>
    <t>6" metal studs with 5/8" GB, 5/8" plywood sheathing, sound batt insulation, FRP finish one side, wood clad other side</t>
  </si>
  <si>
    <t>P3.6DG</t>
  </si>
  <si>
    <t>6" metal studs with double side 5/8" GB, sound batt insulation, plaster finish one side, wood clad other side</t>
  </si>
  <si>
    <t>P3.6DH</t>
  </si>
  <si>
    <t>6" metal studs with double side 5/8" GB, sound batt insulation, plaster finish one side, wall covering other side</t>
  </si>
  <si>
    <t>P3.6GH</t>
  </si>
  <si>
    <t>6" metal studs with 5/8" GB, 5/8" plywood sheathing, sound batt insulation, wood clad finish one side, wall covering other side</t>
  </si>
  <si>
    <t>P3.8B</t>
  </si>
  <si>
    <t>8" metal studs with double side 5/8" Durock Cement Board, sound batt insulation for sound attenuation</t>
  </si>
  <si>
    <t>P3.8AD</t>
  </si>
  <si>
    <t>8" metal studs with double side 5/8" GB, sound batt insulation for sound attenuation, plaster finish on one side</t>
  </si>
  <si>
    <t>P3.8DH</t>
  </si>
  <si>
    <t>8" metal studs with double side 5/8" GB, sound batt insulation, plaster finish one side, wall covering other side</t>
  </si>
  <si>
    <t>P3.10A</t>
  </si>
  <si>
    <t>10" metal studs with double side 5/8" GB, sound batt insulation for sound attenuation</t>
  </si>
  <si>
    <t>P3.10AB</t>
  </si>
  <si>
    <t>10" metal studs with  5/8" GB &amp;  5/8" Durock Cement Board, sound batt insulation for sound attenuation</t>
  </si>
  <si>
    <t>P3.10BD</t>
  </si>
  <si>
    <r>
      <rPr>
        <sz val="11"/>
        <color rgb="FF000000"/>
        <rFont val="Calibri"/>
        <family val="2"/>
      </rPr>
      <t xml:space="preserve">10" metal studs with one 5/8" Durock Cement Board, </t>
    </r>
    <r>
      <rPr>
        <sz val="11"/>
        <color rgb="FFFF0000"/>
        <rFont val="Calibri"/>
        <family val="2"/>
      </rPr>
      <t>5/8" GB</t>
    </r>
    <r>
      <rPr>
        <sz val="11"/>
        <color rgb="FF000000"/>
        <rFont val="Calibri"/>
        <family val="2"/>
      </rPr>
      <t>, sound batt insulation for sound attenuation, plaster on one side, tile on other side</t>
    </r>
  </si>
  <si>
    <t>P4.4A</t>
  </si>
  <si>
    <t>4" C-H stud, 20 Ga with (1) layer of 1" sheetrock gypsum liner board type SLX and (1) layer of 3/4" sheetrock ultracode board type X, 3" batt insulation and fire rated sealant, paint finish</t>
  </si>
  <si>
    <t>P4.4B</t>
  </si>
  <si>
    <t>4" C-H stud, 20 Ga with (1) layer of 1" sheetrock gypsum liner board type SLX and (1) layer of 3/4" sheetrock ultracode board type X, 3" batt insulation and fire rated sealant, tile finish</t>
  </si>
  <si>
    <t>P4.4D</t>
  </si>
  <si>
    <t>4" C-H stud, 20 Ga with (1) layer of 1" sheetrock gypsum liner board type SLX and (1) layer of 3/4" sheetrock ultracode board type X, 3" batt insulation and fire rated sealant, plaster finish</t>
  </si>
  <si>
    <t>P4.4G</t>
  </si>
  <si>
    <t>4" C-H stud, 20 Ga with (1) layer of 1" sheetrock gypsum liner board type SLX and (1) layer of 3/4" sheetrock ultracode board type X, 3" batt insulation and fire rated sealant, wood clad finish</t>
  </si>
  <si>
    <t>P4.4H</t>
  </si>
  <si>
    <t>4" C-H stud, 20 Ga metal studs with double side 5/8" GB, sound batt insulation for sound attenuation, wallpaper finish</t>
  </si>
  <si>
    <t>Metal framing</t>
  </si>
  <si>
    <t>1-5/8" studs, 3-5/8" studs, 6" studs, 4" C-H studs 20Ga -G60 Studs</t>
  </si>
  <si>
    <t>G60</t>
  </si>
  <si>
    <t>G60?</t>
  </si>
  <si>
    <t>Fry Reglet</t>
  </si>
  <si>
    <t>Drywall board</t>
  </si>
  <si>
    <t>5/8" Gypsum board for all A walls</t>
  </si>
  <si>
    <t>5/8" Durock Cement Board for B-tile areas and D-Plaster walls</t>
  </si>
  <si>
    <t xml:space="preserve">5/8" Plywood sheathing backerboard for G wood clad walls </t>
  </si>
  <si>
    <t>FRP Finish By Panolam, Standard FRP, classic collection</t>
  </si>
  <si>
    <t>1" sheetrock gypsum liner board type SLX</t>
  </si>
  <si>
    <t>3/4" sheetrock ultracode board type X</t>
  </si>
  <si>
    <t>Lvl 5 finish for plaster finish walls</t>
  </si>
  <si>
    <t>Manual</t>
  </si>
  <si>
    <t>Lvl 5 finish for painted walls</t>
  </si>
  <si>
    <t>Note ID-5.37</t>
  </si>
  <si>
    <t>2" rigid insulation R13, 3" Batt insulation</t>
  </si>
  <si>
    <t>Sealant</t>
  </si>
  <si>
    <t>2h fire rating (fire rated sealant)</t>
  </si>
  <si>
    <t>Note 9/A0.31</t>
  </si>
  <si>
    <t>Interior Soffits &amp; ceilings</t>
  </si>
  <si>
    <t>1-5/8" and 3-5/8" studs w/ 5/8" drywall board at drywall ceiling</t>
  </si>
  <si>
    <t xml:space="preserve">5/8" plywood at ceilings with wood finish						</t>
  </si>
  <si>
    <t>Framing for roller shade pockets</t>
  </si>
  <si>
    <t>2,4/A8.13</t>
  </si>
  <si>
    <t>Framing to support Insect screen &amp; access panels</t>
  </si>
  <si>
    <t>8/A2.50</t>
  </si>
  <si>
    <t>Drywall for ceiling cove</t>
  </si>
  <si>
    <t>Exterior Framing</t>
  </si>
  <si>
    <t>Framing w/5/8" Denssglass for parapet</t>
  </si>
  <si>
    <t>Framing w/ 5/8" durock cement board (Should be densglass) under MT-01 plate outside kids space</t>
  </si>
  <si>
    <t>Framing w/ 5/8" plywood under WD-08 soffits</t>
  </si>
  <si>
    <t>2/A4.02</t>
  </si>
  <si>
    <t>Framing for ribbon canopy soffit</t>
  </si>
  <si>
    <t>Engineering for exterior framing</t>
  </si>
  <si>
    <t>All blocking as per plans (wet areas require metal blocking)</t>
  </si>
  <si>
    <t>Note 5/A0.31</t>
  </si>
  <si>
    <t>Install door frames</t>
  </si>
  <si>
    <t>FRP cladding at bars (Entry Bar, Sky Bar, Speakeasy Bar, Omakase Bar, Juice Bar, Mens Womans Lounge Bar)</t>
  </si>
  <si>
    <t>ID-5.05, ID-5.11, ID-6.32, ID-6.40, ID-6.50, ID-6.61.2</t>
  </si>
  <si>
    <t>Touch up hours</t>
  </si>
  <si>
    <t>2"</t>
  </si>
  <si>
    <t>Rigid insulation at unconditioned space below conditioned space</t>
  </si>
  <si>
    <t>A2.10, A2.12</t>
  </si>
  <si>
    <t>Dining fireplace framing, drywall &amp; insulation</t>
  </si>
  <si>
    <t>Fire rated blocking at Speakeasy Upholstered ceiling panel</t>
  </si>
  <si>
    <t>2/ID-6.17</t>
  </si>
  <si>
    <t>Wood blocking at Dining Restroom ( behind stone cladding)</t>
  </si>
  <si>
    <t>2/ID-6.18</t>
  </si>
  <si>
    <t xml:space="preserve">Shaft walls to have STC-51 </t>
  </si>
  <si>
    <t>Installation of Access panels</t>
  </si>
  <si>
    <t>P1.1A</t>
  </si>
  <si>
    <t xml:space="preserve">1-5/8" metal studs with 5/8" GB, 3/8" air gap and 2" rigid insulation  R-13 </t>
  </si>
  <si>
    <t>P1.1B</t>
  </si>
  <si>
    <t>1-5/8" metal studs with 5/8" Durock Cement Board, 3/8" air gap and 2" rigid insulation R-13  - tile areas</t>
  </si>
  <si>
    <t>P1.1C</t>
  </si>
  <si>
    <t>6" metal studs with 5/8" Durock Cement Board, sound batt insulation for sound attenuation</t>
  </si>
  <si>
    <t>6" metal studs with 5/8" Durock Cement Board, 5/8" GB sound batt insulation for sound attenuation</t>
  </si>
  <si>
    <t>6" metal studs with 5/8" Durock Cement Board, 5/8" GB, sound batt insulation for sound attenuation,  FRP finish</t>
  </si>
  <si>
    <t>1-5/8" metal studs, 6" metal studs</t>
  </si>
  <si>
    <t>5/8" Gypsum board for all walls</t>
  </si>
  <si>
    <t>5/8" Durock Cement Board for tile areas</t>
  </si>
  <si>
    <t>FRP Finish FRP-1</t>
  </si>
  <si>
    <t>Lvl 4 finish (lvl 5 removed in Addendum #1)</t>
  </si>
  <si>
    <t>asked to deduct</t>
  </si>
  <si>
    <t>2" rigid insulation R13, Batt sound insulation</t>
  </si>
  <si>
    <t>1-5/8" and 3-5/8" studs w/ 5/8" drywall board  at drywall ceiling</t>
  </si>
  <si>
    <t>Exterior Framing/Plywood</t>
  </si>
  <si>
    <t>Furring w/ 5/8" plywood under WD-16 soffits</t>
  </si>
  <si>
    <t xml:space="preserve">Spa </t>
  </si>
  <si>
    <t>6" metal studs with 5/8" GB, sound batt insulation for sound attenuation  - tile areas</t>
  </si>
  <si>
    <t>6" metal studs with 5/8" GB (double side), sound batt insulation for sound attenuation</t>
  </si>
  <si>
    <t>6" metal studs with 5/8" Durock Cement Board (double side), sound batt insulation for sound attenuation</t>
  </si>
  <si>
    <t>6" metal studs with 5/8" Durock Cement Board, 5/8" GB, sound batt insulation for sound attenuation</t>
  </si>
  <si>
    <t>1-5/8" metal studs,  3-5/8" metal stud, 6" metal studs</t>
  </si>
  <si>
    <t xml:space="preserve">Caulking </t>
  </si>
  <si>
    <t>5/8" plywood at ceilings with wood finish</t>
  </si>
  <si>
    <t>Plywood backer for wood screen wall</t>
  </si>
  <si>
    <t>ID-6.06, ID-5.01</t>
  </si>
  <si>
    <t>Metal studs as G40 ILO G60</t>
  </si>
  <si>
    <t>Deduct for Level 4 finish for BOH areas</t>
  </si>
  <si>
    <t>Remove rigid insulation at W-001 Cart Banr and D-001A Service Area</t>
  </si>
  <si>
    <t>VR Fi Foil ILO (achieving R-7)  of 2" rigid insulation at exterior block walls at Club Core</t>
  </si>
  <si>
    <t>VR Fi Foil ILO (achieving R-7)  of 2" rigid insulation at exterior block walls at Dock Bar</t>
  </si>
  <si>
    <t>included</t>
  </si>
  <si>
    <t>VR Fi Foil ILO (achieving R-7)  of 2" rigid insulation at exterior block walls at Spa Garden</t>
  </si>
  <si>
    <t>3" mineral wool ILO R-11 Fiberglass Batt Insulation at Club Core</t>
  </si>
  <si>
    <t>Interior Framing/Drywall</t>
  </si>
  <si>
    <t>they dont have time</t>
  </si>
  <si>
    <t>Jack Walsh Carpets &amp; Rugs, Inc.</t>
  </si>
  <si>
    <t>O'Neill Brothers Flooring</t>
  </si>
  <si>
    <t>Total Flooring Contractors, LLC</t>
  </si>
  <si>
    <t>ProFast Commercial Flooring LLC</t>
  </si>
  <si>
    <t>Jra Marble And Construction LLC</t>
  </si>
  <si>
    <t>Tile And Marble Works, Inc.</t>
  </si>
  <si>
    <t>Tile</t>
  </si>
  <si>
    <t>Michael Teitelbaum</t>
  </si>
  <si>
    <t>Emily Baker</t>
  </si>
  <si>
    <t>Jessica Hartman</t>
  </si>
  <si>
    <t>Kevin Killian</t>
  </si>
  <si>
    <t>Nick Colucci</t>
  </si>
  <si>
    <t xml:space="preserve"> 561-659-4846</t>
  </si>
  <si>
    <t>561-795-8552</t>
  </si>
  <si>
    <t>469-332-9024</t>
  </si>
  <si>
    <t>301-663-8808</t>
  </si>
  <si>
    <t>561-721-1010</t>
  </si>
  <si>
    <t>michael@jackwalshcarpets.com</t>
  </si>
  <si>
    <t>bidassist@oneillbrothersflooring.com</t>
  </si>
  <si>
    <t>scolado@totalflooring.net</t>
  </si>
  <si>
    <t>kkillian@profastflooring.com</t>
  </si>
  <si>
    <t>nick@tileandmarbleworks.com</t>
  </si>
  <si>
    <t>Acknowledgement of RFI Responses #1 and #2</t>
  </si>
  <si>
    <t>Club - Dining</t>
  </si>
  <si>
    <t>T-102 (Penny lane white blend stone mosaic, white blend, thk 3/8", size 11 1/8 x 11 15/16 x 3/8, grout: laticrete - #44 bright white)</t>
  </si>
  <si>
    <t>D-202 WC, D-203 WC</t>
  </si>
  <si>
    <t>T-109 (Vonn Porcelain Floor Tile, color: light-BH anti slip, thick 0.35", size: 18"x36", grout: laticrete - #85 almond)</t>
  </si>
  <si>
    <t>D-006 Kids Space corridor, D-007 Liquour Storage, D-E.02 Elevator</t>
  </si>
  <si>
    <t>T-111 (Quarry Tile, arid gray 0Q42, thk 1/2", size 6"x6")</t>
  </si>
  <si>
    <t>D-008 Speakeasy, D-100 Entry Bar, D-102 Dining Room (entry of D-105 Kitchen), D-200 Sky Bar, D-204 AV/IT, D-205 Bar Storage</t>
  </si>
  <si>
    <t>ST-101.2 Mocca fina limestone, honed finish, grout: laticrete - #85 almond</t>
  </si>
  <si>
    <t>D-100 Entry Bar, D-101 Wine Room, D-E.02 Elevator Stone tile and slab</t>
  </si>
  <si>
    <t>ST-105.2 (Bianco Dolomiti, honed finish, grout: laticrete #44 bright white)</t>
  </si>
  <si>
    <t>D-109 Womens RR, D-110 Mens RR</t>
  </si>
  <si>
    <t>ST-108.2 (Basalt floor, honed finish, grout: laticrete - #45 Raven)</t>
  </si>
  <si>
    <t>D-005 Womens WC, D-004 Mens WC</t>
  </si>
  <si>
    <t>Wall</t>
  </si>
  <si>
    <t>T-101 ( Porcelain ceramic tile, lake marine, glossy, 2"x10")</t>
  </si>
  <si>
    <t>D-005, D-004 Restrooms</t>
  </si>
  <si>
    <t>T-122 (Color wheel ceramic tile, color: arctic white 0190, size: 3"x6", grout: laticrete - #44 bright white</t>
  </si>
  <si>
    <t>D-102 Kitchen Vestibule</t>
  </si>
  <si>
    <t>ST-102.2 (Red Travertine Vein cut, thk 3/4", finish: honed,  grout: laticrete#46 quarry red)</t>
  </si>
  <si>
    <t>D-102 Dining Room, D-101 Wine Room</t>
  </si>
  <si>
    <t>ST-103.2 (Fluted Carrara Wainscott, finish:honed, grout: laticrete-#44 bright white)</t>
  </si>
  <si>
    <t>D-109 D-110 Dining Restrooms</t>
  </si>
  <si>
    <t>ST-104.1 (Cipollino marble, finish: polished, thk 3/4", grout:laticrete-#88 silver shadow)</t>
  </si>
  <si>
    <t>ST-110.1 Wainscot &amp; Trim (Bardiglio marble, finish: polished, thk 3/4", grout:laticrete-#88 silver shadow)</t>
  </si>
  <si>
    <t>D-202 D-203 Sky Bar Restroom</t>
  </si>
  <si>
    <t>WT-2 (Soho Studio, Masia, Gris Claro Gloss, 3"x12')</t>
  </si>
  <si>
    <t>S-111.1 Staff WC</t>
  </si>
  <si>
    <t>CR-102 (Cork Penny Tile, 1" habitus cork mosaic, navy, by The Habitus Collection)</t>
  </si>
  <si>
    <t>Baseboard</t>
  </si>
  <si>
    <t>D-006 Kids Space corridor</t>
  </si>
  <si>
    <t>T-125 Quarry Tile Round Top Cover Base to use with T-111</t>
  </si>
  <si>
    <t>Back of Bars</t>
  </si>
  <si>
    <t>ST-101.2 (Mocca fina limestone, honed finish, grout: laticrete - #85 almond)</t>
  </si>
  <si>
    <t>D-100 Entry Bar, D-106 FOH Hallway</t>
  </si>
  <si>
    <t>ST-105.1 (Bianco Dolomiti, honed finish, grout: laticrete #44 bright white)</t>
  </si>
  <si>
    <t>D-E.02 Elevator Stone tile and slab</t>
  </si>
  <si>
    <t>ST-101.2 Entry Bar steps (Stone treads)</t>
  </si>
  <si>
    <t>3/ID-6.04</t>
  </si>
  <si>
    <t>ST-101.2 Stone jambs and casing for sliding doors at D-104 Private Dining</t>
  </si>
  <si>
    <t>8/ID-702, 7/ID-5.07</t>
  </si>
  <si>
    <t>Club - Fitness</t>
  </si>
  <si>
    <t>ST-111.2 Coral Stone, semi-filled, grout: laticrete - #85 almond, 24"x24"</t>
  </si>
  <si>
    <t>F-100 Entry, F-102 Juice Bar, F-109 WC, F-111 WC</t>
  </si>
  <si>
    <t>F-102 juice Bar</t>
  </si>
  <si>
    <t>T-103 (Original ceramic tile, color: clover, finish: matte, thk 5/6", size 3"x9", grout: Laticrete - #44 bright white)</t>
  </si>
  <si>
    <t>F-103 Gym Comfort Station, F-109 F-111 Fitness RR Wainscot</t>
  </si>
  <si>
    <t>T-104 Ceramic Tile, color: tusk, finish: glossy, size: 4"x4"</t>
  </si>
  <si>
    <t>T-105 &amp; T-105.2 Ceramic Tile, color: mandarin, finish: glossy, size: 2"x6" -Tile mix</t>
  </si>
  <si>
    <t xml:space="preserve">T-127.2 &amp; T-105.2 T-129&amp;T-129.2 Ceramic Tile mix </t>
  </si>
  <si>
    <t>Base</t>
  </si>
  <si>
    <t>T-125 Quarry base to use with T-111</t>
  </si>
  <si>
    <t>Club - Wellness</t>
  </si>
  <si>
    <t>W.E.03 - Spa Elevator base, W-118 Stair nosings Entry Lounge, W-200 Reception, W-200 Reception Stair, W-201 Hallway</t>
  </si>
  <si>
    <t>W-137 Womens&amp;Mens Pool WC, W-126 Lockers, W-125 Lockers, W-127 Hallway, W-109 Men Locker Hallway, W-111 Mens Locker base, W-112 Mens Locker base, W-102 Vanity, W-124 Vanity, W-128 Changing Room</t>
  </si>
  <si>
    <t>T-114 (Penny Tile Floor, rosette custom mosaic, size: 1"x1")</t>
  </si>
  <si>
    <t>T-115 (Bianco Dolomiti A2 Standard, polished finish, size 1.2"x 1.2", grout: laticrete - #44 Bright White)</t>
  </si>
  <si>
    <t>W-134 Womens Steam, W-107 Mens Steam, W-130A-D Shower, W-105 Showers</t>
  </si>
  <si>
    <t>T-107 (Lapidary rought-cut mosaics, color jade green, size 11.125"x12.25", grout: laticrete - #85 almond)</t>
  </si>
  <si>
    <t>W-137 Womens&amp;Mens Pool WC</t>
  </si>
  <si>
    <t>W-132 &amp; W-108 Thermal Area, W-1345 Steam, W-133 Sauna, W-107 Steam, W-106 Sauna, W-137 Womens&amp;Mens Pool WC, W-232 WC, W-202 WC</t>
  </si>
  <si>
    <t>W-115, W-116 Bar&amp;Lounge, W-117 Prep Kitchen</t>
  </si>
  <si>
    <t>T-130 (Calacatta gold marble mosaic, color calacatta gold, finish honed, size 1 1/4 x 1 1/4, grout: laticrete - #44 bright white)</t>
  </si>
  <si>
    <t>W-208 Hammam</t>
  </si>
  <si>
    <t>ST-105.2 (Bianco Dolomiti, polished finish, grout: laticrete #44 bright white)</t>
  </si>
  <si>
    <t>W-135 &amp; W-137 PoolRR., W-102 Vanity</t>
  </si>
  <si>
    <t>W-127 Hallway, W-124 Vanity, W-131 Hallway, W-135 &amp; W-137 PoolRR</t>
  </si>
  <si>
    <t>ST-115.2 (Travertine Vein cut, polished finish, grout: laticrete - #85 almond)</t>
  </si>
  <si>
    <t>pool sub</t>
  </si>
  <si>
    <t>ST-116.3 (Pink nambia, polished finish, grout: laticrete - #18 Sauterne)</t>
  </si>
  <si>
    <t>W-132 Thermal Area coping and steps</t>
  </si>
  <si>
    <t>ST-118.1 (Matcha verde, polished finish, grout: laticrete - #44 bright white)</t>
  </si>
  <si>
    <t>W-130ABCD Shower, W-105ABCD Showers slab</t>
  </si>
  <si>
    <t>ST-119.2 (Inverso Vanilla onyx, honed finish, grout: laticrete - #03 silk)</t>
  </si>
  <si>
    <t>W-208 Hammam slab</t>
  </si>
  <si>
    <t>ST-120.2 Low relief carved stone , white carved limestone, honed finish</t>
  </si>
  <si>
    <t>W-205 Treatment RM</t>
  </si>
  <si>
    <t>ST-122.1 (White danby marble, polished finish, 3/4" thick, grout: laticrete #44 bright white)</t>
  </si>
  <si>
    <t>ST-122.2 (White danby marble, honed finish, 3/4" thick, grout: laticrete #44 bright white)</t>
  </si>
  <si>
    <t>W-124 Vanity, W-127 Hallway, W-102 Vanity</t>
  </si>
  <si>
    <t>T-124 (Original ceramic tile, light blue wall, color: caribean, finish: glossy, size: 3"x9", grout: laticrete - #44 bright white)</t>
  </si>
  <si>
    <t>W-127 Hallway, W-124 Vanity, W-129ABCD</t>
  </si>
  <si>
    <t>T-108 (Malibu white zuma porcelain tile, color white, finish glossy, size 6"x6", grout: laticrete - #44 bright white)</t>
  </si>
  <si>
    <r>
      <rPr>
        <b/>
        <sz val="11"/>
        <color rgb="FF000000"/>
        <rFont val="Calibri"/>
        <family val="2"/>
        <scheme val="minor"/>
      </rPr>
      <t xml:space="preserve">T-132 Custom Artisan Tile  </t>
    </r>
    <r>
      <rPr>
        <b/>
        <sz val="11"/>
        <color rgb="FFFF0000"/>
        <rFont val="Calibri"/>
        <family val="2"/>
        <scheme val="minor"/>
      </rPr>
      <t>Material Allowance $100/SF as per RFI Reponses #2</t>
    </r>
  </si>
  <si>
    <t>W-124 Vanity, W-102 Vanity</t>
  </si>
  <si>
    <t>T-116,T-117,T-118 Mix</t>
  </si>
  <si>
    <t>W-130ABCD Shower, W-105ABCD Showers</t>
  </si>
  <si>
    <t>T-126 &amp; T-133</t>
  </si>
  <si>
    <t>W-135 &amp; W-137 PoolRR</t>
  </si>
  <si>
    <t>W-134 Steam</t>
  </si>
  <si>
    <t>T-105.2 (Fireclay Tile USA, green wall tile, 3x9)</t>
  </si>
  <si>
    <t>T-106 (Nemo Tile, penny wall tile, 12x12)</t>
  </si>
  <si>
    <t>T-110 Breeze block</t>
  </si>
  <si>
    <t>T-112 (Urban coastile blue accent tile, 6x6)</t>
  </si>
  <si>
    <t>T-123 (Fireclay Tile USA, dark blue wall, 3x9)</t>
  </si>
  <si>
    <t>W-102 Vanity, W-114 Men RR</t>
  </si>
  <si>
    <t>T-128 (Artistic tile volakas, 4x12)</t>
  </si>
  <si>
    <t>W-232 Chiropractor, W-202 WC</t>
  </si>
  <si>
    <t>T-113 (Artistic tile mosaic tile)</t>
  </si>
  <si>
    <t>WT-1 (Mediterranea, Style touch, color: snow crest, 3"x12')</t>
  </si>
  <si>
    <t>W-021 &amp; W-020 RR</t>
  </si>
  <si>
    <t>WT-3 (Anthology, style: boutique sleek, color salt matte, 3"x12')</t>
  </si>
  <si>
    <t>W-225 Staff W/C</t>
  </si>
  <si>
    <t>W-126 W-125 Locker Rooms, W127 Hallway, W-124 Vanity, W-128 Changing Room, W-123 Changing Room, W-135 &amp; W-137 PoolRR, W-110-111-112 Lockers, W-109 Hallway, W-105ABCD Showers</t>
  </si>
  <si>
    <t>ST-111.2 (Coral Stone, semi-filled, grout: laticrete - #85 almond)</t>
  </si>
  <si>
    <t>ST-113.2 (Nacia Quartzite, honed finis, grout: laticrete -#85 almond)</t>
  </si>
  <si>
    <t>T-125 Quarry Cove Base to use with T-111</t>
  </si>
  <si>
    <r>
      <rPr>
        <b/>
        <sz val="11"/>
        <color rgb="FF000000"/>
        <rFont val="Calibri"/>
        <family val="2"/>
        <scheme val="minor"/>
      </rPr>
      <t xml:space="preserve">All the stone finish for the spa bench, hammam bench and thermal area(exterior stair, coping, exterior face, slab) - </t>
    </r>
    <r>
      <rPr>
        <b/>
        <sz val="11"/>
        <color rgb="FFFF0000"/>
        <rFont val="Calibri"/>
        <family val="2"/>
        <scheme val="minor"/>
      </rPr>
      <t>POOLS by pool contractor</t>
    </r>
  </si>
  <si>
    <t>Stone casing&amp;jambs at doors (D-104, W-102, W-130ABCD, W-128, W-135,W-137, W-208, W-211, W-212)</t>
  </si>
  <si>
    <t>ID 5.07, 5.34, 5.43</t>
  </si>
  <si>
    <t>Stone treads at Entry Bar steps</t>
  </si>
  <si>
    <t>Stone backsplash &amp; wall at Pool restroom vanity</t>
  </si>
  <si>
    <t>ST-101.2 stone treads at spa stair</t>
  </si>
  <si>
    <t>1/ID-5.40</t>
  </si>
  <si>
    <t>Metal reveal for spa stair treads</t>
  </si>
  <si>
    <t>T-115 ceiling at W-107 Steam Room (RFI Responses #1 Page 19)</t>
  </si>
  <si>
    <t>T-201 Quarry Tile</t>
  </si>
  <si>
    <t>Outdoor Bar</t>
  </si>
  <si>
    <t>T-202 Cove Tile Base</t>
  </si>
  <si>
    <t>ST-201.2 (Bianco Dolomiti, polished finish, grout: laticrete - #44 bright white)</t>
  </si>
  <si>
    <t>Mens ADA RR shelf</t>
  </si>
  <si>
    <t>FT-1 (Atlas Concorde, memory oak, color: vanilla, size 7.75" x 39 3/8", trim: schluter schiene stainless)</t>
  </si>
  <si>
    <t>SP-111 BOH, SP-112 Staff WC</t>
  </si>
  <si>
    <t>TB-1 (Atlas Concorde, memory oak, color: vanilla, size cut to 4", trim: schluter schiene stainless, grout: laticrete )</t>
  </si>
  <si>
    <t xml:space="preserve">ST-303.2 </t>
  </si>
  <si>
    <t>SP-101 Double Treat. ADA Bathroom, Double Treat. Bathroom, Double Treat. WC. SP-104-106 Massage Bathroom &amp; WC</t>
  </si>
  <si>
    <t>WT-4 (Manuf: Glazzio, style Hanoi collection, color HAN030030, size: 2 1/2" x 8", trim: schluter schiene stainless, grout: laticrete NO NUMBER</t>
  </si>
  <si>
    <t>SP-112 Staff WC</t>
  </si>
  <si>
    <t xml:space="preserve">ST-302.2 </t>
  </si>
  <si>
    <t>SP-101 Double Treat. ADA, Double Treatment</t>
  </si>
  <si>
    <t>T-301 &amp; T-302 Mix, T-301.2 &amp; T-302.2</t>
  </si>
  <si>
    <t>SP-101 Double Treat. ADA Bathroom, Double Treat. Bathroom, Double Treat. WC,  SP-104-106 Massage Bathroom &amp; WC</t>
  </si>
  <si>
    <t xml:space="preserve">T-302&amp;T302.2 </t>
  </si>
  <si>
    <t>SP-101 Double Treat. ADA Bathroom, Double Treat. Bathroom</t>
  </si>
  <si>
    <t>General</t>
  </si>
  <si>
    <t>Floor Protection</t>
  </si>
  <si>
    <t>All grout per specs in Project Manual</t>
  </si>
  <si>
    <t>All finishes, sizes per specs in Project Manual</t>
  </si>
  <si>
    <t>Waterproofing at all wet areas including shower, sauna, steam rm benches</t>
  </si>
  <si>
    <t>Minor floor preparation</t>
  </si>
  <si>
    <t>All transitions and thresholds as per ID drawings</t>
  </si>
  <si>
    <t>Stone casing at W-206 Treatment room wood door 8/ID-703 included as WD-109</t>
  </si>
  <si>
    <t>ST-105.1 base is included as ST-105.2</t>
  </si>
  <si>
    <t>Resilient</t>
  </si>
  <si>
    <t>We have included waterproofing at wall tile for showers, steam rooms and hammam room</t>
  </si>
  <si>
    <t xml:space="preserve">We have included Floor protection </t>
  </si>
  <si>
    <t>alt product/incompl scope</t>
  </si>
  <si>
    <t>Applied Flooring Technologies</t>
  </si>
  <si>
    <t>Dura Floor Inc. dba Dura Bond Co.</t>
  </si>
  <si>
    <t>Stonhard</t>
  </si>
  <si>
    <t>Blackrock Industrial</t>
  </si>
  <si>
    <t>George May</t>
  </si>
  <si>
    <t>Linda Canary</t>
  </si>
  <si>
    <t xml:space="preserve">David Riviere </t>
  </si>
  <si>
    <t>Carissa Pirotta</t>
  </si>
  <si>
    <t>561-337-8099</t>
  </si>
  <si>
    <t>305-576-6533</t>
  </si>
  <si>
    <t>786-566-8629</t>
  </si>
  <si>
    <t xml:space="preserve">833- 255-7625   </t>
  </si>
  <si>
    <t>George May &lt;George@appliedflooringtechnologies.com&gt;</t>
  </si>
  <si>
    <t>lcanary@durafloor.net</t>
  </si>
  <si>
    <t>David.Riviere@stonhard.com</t>
  </si>
  <si>
    <t>carissa@blackrockindustrial.com</t>
  </si>
  <si>
    <t>UR-1 (Dur-a-Flex., style: quartz blends, color: hybr-flex EQ, thk: 3/16")</t>
  </si>
  <si>
    <t>D-010 Ref Storage, D-011 Cond Garbage, D-000 BOH Hallway, D-012 Storage, D-014 AV/IT, D-003 Jan,  D-105 Kitchen, D-111.1 Staff WC</t>
  </si>
  <si>
    <t>F-000 BOH Hallway</t>
  </si>
  <si>
    <t>W-E.01, W-E.02 BOH Elevator,W-009 Shoe drop, W-006 Laundry, W-023 Prep Kitchen, W-022 Employee L, W-020 Mens RR, W-021 Womens RR, W-024 Jan, W-019 Offices, W-000 BOH Hallway, W-007 Pool Equip, W-008 Hallway, W-101 BOH Hallway, W-225 Staff WC, W-226,W-227 AV/IT, W228 BOH</t>
  </si>
  <si>
    <t>UR-2 (Dur-a-Flex., style: quartz blends, color: hybr-flex EC, thk: 3/16")</t>
  </si>
  <si>
    <t>W-002 Golf Barg Storage, W-005 Repair Storage, W-003 Caddy Storage</t>
  </si>
  <si>
    <t>SC-1 Concrete cure &amp; sealer (Check specs 033000)</t>
  </si>
  <si>
    <t>D-013 Electrical, D-009 Mech, D-007 Liquid Sto., D-015 Storage, D-0.16 Mechanical, D-002 Sto.</t>
  </si>
  <si>
    <t>F-007 MEP, F-006 Pool Mech, F-003 Elect.,F-002 Pool Sto, F-001 Pool Equip., F-010 Mech, F-009 Laundry, F-008 AV/IT, F-011 BDA Room, F-110 JC , F112- Laundry Drop, F101 Prep Storage</t>
  </si>
  <si>
    <t>W-139 Laundry Chute, W-121 Hallway, W-113 J/C . D-115 Steam Equip., W-222 BOH, W-213 BOH</t>
  </si>
  <si>
    <t>BSC-1 (Broom swept concrete) IN CONCRETE</t>
  </si>
  <si>
    <t>W-S.01 BOH Stair, W-001 Cart Barn</t>
  </si>
  <si>
    <t>IB-1 (6" base by Dur-a-Flex., style: quartz blends, color: hybr-flex ec, thk: 3/16")</t>
  </si>
  <si>
    <t>D-011 Cond Garbage, D-000 BOH Hallway, D-012 Storage, D-014 AV/IT, D-003 JAN,  D-105 Kitchen, D-111.1 Staff WC</t>
  </si>
  <si>
    <t>W-E.01, W-E.02 BOH Elevator, W-101 BOH Hallway, W-225, W-226,W-227, W228</t>
  </si>
  <si>
    <t>BOH stairwells floors as SC-1 as per RFI #2 responses</t>
  </si>
  <si>
    <t xml:space="preserve">UR-1 floor by Dur-a-Flex., style: quartz blends, color: hybr-flex ec, thk: 3/16" </t>
  </si>
  <si>
    <t>DB.101 Kitchen, DB.107 A/V</t>
  </si>
  <si>
    <t xml:space="preserve">IB-1 base by Dur-a-Flex., style: quartz blends, color: hybr-flex ec, thk: 3/16" </t>
  </si>
  <si>
    <t>Alternate</t>
  </si>
  <si>
    <t>Tunnels flooring Dining to Wellness as UR-1 as per RFI response #2</t>
  </si>
  <si>
    <t>Add Ramboard Floor Protection</t>
  </si>
  <si>
    <t>Acousti Engineering Company</t>
  </si>
  <si>
    <t>Bergolla</t>
  </si>
  <si>
    <t>Martin Acoustics</t>
  </si>
  <si>
    <t>Aloyma Garcia</t>
  </si>
  <si>
    <t>Alice Louk</t>
  </si>
  <si>
    <t>Jeff Taylor</t>
  </si>
  <si>
    <t>Partha Thinakaran</t>
  </si>
  <si>
    <t>09 41</t>
  </si>
  <si>
    <t xml:space="preserve"> 561-863-2441</t>
  </si>
  <si>
    <t>305-887-3088</t>
  </si>
  <si>
    <t>772-223-1341</t>
  </si>
  <si>
    <t>978-770-9206</t>
  </si>
  <si>
    <t>aloymagarcia@acousti.com</t>
  </si>
  <si>
    <t>Alice Louk &lt;alice@bergolla.com&gt;</t>
  </si>
  <si>
    <t>martinoffice@martinacoustics.net</t>
  </si>
  <si>
    <t>estimating@atlanticinteriorservices.com</t>
  </si>
  <si>
    <t>ACT-1 (Manuf: USG, style: vinyl gypsum tile/clima plus, size: 24"x24"x5/8" square lay in grid, suspension system: prelude XL 15/16" by Armstrong, color: white</t>
  </si>
  <si>
    <t>I 5.46, I 5.47</t>
  </si>
  <si>
    <t>wrong specs</t>
  </si>
  <si>
    <t>W-023 Prep Kitchen, D-105 Kitchen, D-111.1 Staff WC</t>
  </si>
  <si>
    <t>ACT-2 (Manuf: Armstrong, style: dunesquare tegular #1774, susp. sys: prelude XL 15/16", color: white, size: 24"x24"x1"</t>
  </si>
  <si>
    <t>W-203 Mech, W-227 AV/IT</t>
  </si>
  <si>
    <t>WD-101 Acoustic Ceilings, perforated, color anegre quarter sawn species, plank width 8"</t>
  </si>
  <si>
    <t>D-102 Dining Room, D-104 Private Dining</t>
  </si>
  <si>
    <t>F-104 Movement, F-103 Gym, F-102 Juice Bar</t>
  </si>
  <si>
    <t>W-118 Womens Bar, W-116  Mens Bar</t>
  </si>
  <si>
    <t>WD-113</t>
  </si>
  <si>
    <t>1" acoustic insulation at kids screening UPH acoustical wall w/ whisper wall</t>
  </si>
  <si>
    <t>6/ID-6.17</t>
  </si>
  <si>
    <t>Spa Dock</t>
  </si>
  <si>
    <t>WD-302 Acoustical ceiling, perforated acoustic wood ceiling, color: anegre quarter sawn, plank width 8"</t>
  </si>
  <si>
    <t>SP-110 Double Treatment ADA, SP-107 Double Treatment Pavilion, SP-103 SP-105 Massage Treatment, SP-109 Single Treatment</t>
  </si>
  <si>
    <t>CR101 furnish and install</t>
  </si>
  <si>
    <t>CR102 furnish and install</t>
  </si>
  <si>
    <t>wood floor included</t>
  </si>
  <si>
    <t>Steven Colado</t>
  </si>
  <si>
    <r>
      <rPr>
        <b/>
        <sz val="11"/>
        <color rgb="FF000000"/>
        <rFont val="Calibri"/>
        <family val="2"/>
        <scheme val="minor"/>
      </rPr>
      <t>CP-101 Wall to wall carpet, wool by Royal Thai</t>
    </r>
    <r>
      <rPr>
        <b/>
        <i/>
        <sz val="11"/>
        <color rgb="FF000000"/>
        <rFont val="Calibri"/>
        <family val="2"/>
        <scheme val="minor"/>
      </rPr>
      <t xml:space="preserve"> INSTALL ONLY</t>
    </r>
  </si>
  <si>
    <t>SY</t>
  </si>
  <si>
    <r>
      <rPr>
        <b/>
        <sz val="11"/>
        <color rgb="FF000000"/>
        <rFont val="Calibri"/>
        <family val="2"/>
        <scheme val="minor"/>
      </rPr>
      <t>CP-101 Wall to wall carpet, wool by Royal Thai</t>
    </r>
    <r>
      <rPr>
        <b/>
        <i/>
        <sz val="11"/>
        <color rgb="FF000000"/>
        <rFont val="Calibri"/>
        <family val="2"/>
        <scheme val="minor"/>
      </rPr>
      <t xml:space="preserve"> </t>
    </r>
    <r>
      <rPr>
        <b/>
        <i/>
        <sz val="11"/>
        <color rgb="FFFF0000"/>
        <rFont val="Calibri"/>
        <family val="2"/>
        <scheme val="minor"/>
      </rPr>
      <t>Mat allowance per RFI #2</t>
    </r>
  </si>
  <si>
    <t>VF-101 Linolium Flooring, Marmoleum by Forbo Flooring</t>
  </si>
  <si>
    <t>D-001 Kids Space</t>
  </si>
  <si>
    <t>VB-1 Vinyl Base</t>
  </si>
  <si>
    <t xml:space="preserve">Club - Fitness </t>
  </si>
  <si>
    <t>VF-102  Ecore, Bounce 2 Motiate, Charcoal</t>
  </si>
  <si>
    <t>VF-103 Turf</t>
  </si>
  <si>
    <t>VF-104 Wood LVT, branching out 5mm acoustic 4480v, color: prairie oak, size: 6"x48"</t>
  </si>
  <si>
    <t>F-104 Movement, F-106 VO2, F-107 Fitness Diagnostics, F-108 Consultation</t>
  </si>
  <si>
    <t>W-220 Hyperb O RM, W-219 Medical Aesth., W-230 Consultation, W-229 Exam, W-231 Lab, W-216 IV Consult, W-217 IV Prep, W-215 Chiro&amp;Acup, W-204 Neuro Acoustic, W-205 Facial Treat., W-206 Treatment, W-207 Treatment</t>
  </si>
  <si>
    <t>W-001 Cart Barn, W-139 Laundry Chute, W-121 Hallway, W-113 J/C . D-115 Steam Equip., W-222 BOH</t>
  </si>
  <si>
    <t>Moisture Mitigation</t>
  </si>
  <si>
    <t>VF-301</t>
  </si>
  <si>
    <t>SP-101 Double Treat. ADA, Double Treatment, SP-105 Thai Massage, SP-103 Massage Treatment, Single Treatment</t>
  </si>
  <si>
    <t>General Scope</t>
  </si>
  <si>
    <t>Moisture Testing</t>
  </si>
  <si>
    <t>We have included moisture mitigation</t>
  </si>
  <si>
    <t>waiting for break out</t>
  </si>
  <si>
    <t>their own product</t>
  </si>
  <si>
    <t>Absolute Hardwood Flooring</t>
  </si>
  <si>
    <t>ONeill Brothers Flooring</t>
  </si>
  <si>
    <t>European Flooring Of Palm Beach</t>
  </si>
  <si>
    <t>Kellum Stripling</t>
  </si>
  <si>
    <t>Lisa O'neill</t>
  </si>
  <si>
    <t>Nick Ahlbrecht</t>
  </si>
  <si>
    <t>561-833-5720</t>
  </si>
  <si>
    <t xml:space="preserve"> 561-680-8344</t>
  </si>
  <si>
    <t>kellum@absolutehardwoodflooring.com</t>
  </si>
  <si>
    <t>lisa@oneillbrothersflooring.com</t>
  </si>
  <si>
    <t>nahlbrecht@europeanflooring.com</t>
  </si>
  <si>
    <t>WD-102 White Oak Floor 7" (color: dinesen oil, thk 0.7", 6MM thick wear layer)</t>
  </si>
  <si>
    <t>D-104 Private Dining, D-106 Kitchen Vestibule, D-102 Dining Room, D-201 Hallway</t>
  </si>
  <si>
    <t>W-214 Hallway, W-223 Cryo Room, W-224 Red Light Therapy, W-221 Clinician, W-218 IV Lounge</t>
  </si>
  <si>
    <t>WD-107 Blue Ash Wood, by Tabu</t>
  </si>
  <si>
    <t>WD-108 Engineered Teak Floor, color: kukui, stain: natural non yellow, width: 5-1/8"</t>
  </si>
  <si>
    <t>WD-112 White Oak Floor 12" (color: dinesen oil, thk 0.7", 6MM thick wear layer)</t>
  </si>
  <si>
    <t>W-116 Mens Bar &amp; Lounge, W-118 Womens Bar &amp; Lounge</t>
  </si>
  <si>
    <t>Wood stair steps at Dining in MILLWORK</t>
  </si>
  <si>
    <t>Wood stair steps at Dining Spiral Stair in MILLWORK</t>
  </si>
  <si>
    <t>Plywood subfloor</t>
  </si>
  <si>
    <t>Wood Flooring sound insulation</t>
  </si>
  <si>
    <t>IPE Tongue &amp; Groove (raised decking system/furring)  IN EXTERIOR WOOD</t>
  </si>
  <si>
    <t xml:space="preserve"> PT-204 Painted Wood Flooring (1/4" acoustimat and 1/2" plywood subfloor) </t>
  </si>
  <si>
    <t>ADA Bathrooms DB.104, DB.105 , Mens restroom DB.102, Womens restroom DB.103, WC DB.106</t>
  </si>
  <si>
    <t>No Wood flooring in Spa Deck</t>
  </si>
  <si>
    <t>WD-102 and WD-112 Premium grade Grato ILO Dinesen</t>
  </si>
  <si>
    <t>WD-102 and WD-112 Style grade Grato ILO Dinesen</t>
  </si>
  <si>
    <t xml:space="preserve">Deduct Plywood subfloor for floor types WD-102&amp;WD-112 as not required per manufacturer. </t>
  </si>
  <si>
    <t>Lacquered European Flooring ILO specified WD-102,WD-107,WD-108 and WD-112 floors</t>
  </si>
  <si>
    <t>painted 3 coat system</t>
  </si>
  <si>
    <t>no wc material</t>
  </si>
  <si>
    <t>missed the whole BOH</t>
  </si>
  <si>
    <t>on revision</t>
  </si>
  <si>
    <t>Advanced Painting Contractors</t>
  </si>
  <si>
    <t>Ira Walden &amp; Sons, Inc.</t>
  </si>
  <si>
    <t>New Touch of Color</t>
  </si>
  <si>
    <t>Talbot Painting, Inc.</t>
  </si>
  <si>
    <t>ILG Painting</t>
  </si>
  <si>
    <t>Russo Painting</t>
  </si>
  <si>
    <t xml:space="preserve">Painting </t>
  </si>
  <si>
    <t>Daniel Eggertsson</t>
  </si>
  <si>
    <t>Chad Quist</t>
  </si>
  <si>
    <t>James Lee</t>
  </si>
  <si>
    <t>Don Talbott</t>
  </si>
  <si>
    <t>Jose Hernandez</t>
  </si>
  <si>
    <t xml:space="preserve"> 561-845-0123</t>
  </si>
  <si>
    <t xml:space="preserve"> 561-779-2223</t>
  </si>
  <si>
    <t>754-211-5220</t>
  </si>
  <si>
    <t> 561-748-2575</t>
  </si>
  <si>
    <t>305-824-7431</t>
  </si>
  <si>
    <t>deggertsson@advanced-painting.com</t>
  </si>
  <si>
    <t>cquist@irawalden.com</t>
  </si>
  <si>
    <t>estimating@newtouchofcolorcorp.com</t>
  </si>
  <si>
    <t>don@talbotcompanies.com</t>
  </si>
  <si>
    <t xml:space="preserve"> estimating@ilgpainting.com</t>
  </si>
  <si>
    <t>Estimating &lt;Estimating@russopainting.net&gt;</t>
  </si>
  <si>
    <t xml:space="preserve">Painting, incl.: </t>
  </si>
  <si>
    <t xml:space="preserve">  a. specified painting products as scheduled</t>
  </si>
  <si>
    <t xml:space="preserve">  b. equipment, lifts, sprayers, etc.</t>
  </si>
  <si>
    <t xml:space="preserve">  c. beauty bead caulking at interior and exterior work</t>
  </si>
  <si>
    <t xml:space="preserve">  d. protection for adjacent work, including flooring</t>
  </si>
  <si>
    <t xml:space="preserve">  e. OSHA requirements</t>
  </si>
  <si>
    <t xml:space="preserve">  f. daily clean up </t>
  </si>
  <si>
    <t xml:space="preserve">  g. Above scope included for:</t>
  </si>
  <si>
    <t>Exterior</t>
  </si>
  <si>
    <t>doors and frames</t>
  </si>
  <si>
    <t>steel channel MT-01 high performance coating at ext soffits</t>
  </si>
  <si>
    <t>steel columns MT-01 high performance coating at south dining room (52 EA)</t>
  </si>
  <si>
    <t>planter metal plate MT-04 (Dark Bronze)</t>
  </si>
  <si>
    <t>Interior:</t>
  </si>
  <si>
    <t xml:space="preserve">drywall partitions - BOH (EPT-1 ) </t>
  </si>
  <si>
    <t>drywall partitions - FOH (PT-101,103,104,106,107,108,111)</t>
  </si>
  <si>
    <t>drywall ceilings - BOH (EPT-2 )</t>
  </si>
  <si>
    <t>drywall ceilings - FOH</t>
  </si>
  <si>
    <t>wood baseboard and trims (semi gloss finish)</t>
  </si>
  <si>
    <t>BOH stairwells walls (skim coat and paint) PT-1 as per RFI #2 responses</t>
  </si>
  <si>
    <t>Exposed steel columns and beams</t>
  </si>
  <si>
    <t xml:space="preserve">1&amp;2/ID-5.06, </t>
  </si>
  <si>
    <r>
      <rPr>
        <sz val="10"/>
        <color rgb="FF000000"/>
        <rFont val="Arial"/>
        <family val="2"/>
      </rPr>
      <t xml:space="preserve">Exposed conduit, ductwork, piping, etc - Cart Barn </t>
    </r>
    <r>
      <rPr>
        <sz val="10"/>
        <color rgb="FFFF0000"/>
        <rFont val="Arial"/>
        <family val="2"/>
      </rPr>
      <t>as ALTERNATE</t>
    </r>
  </si>
  <si>
    <t>Note 7/A6.10.1</t>
  </si>
  <si>
    <t>Handrails as per note 7/A7.13</t>
  </si>
  <si>
    <t>Dining spiral steel stair</t>
  </si>
  <si>
    <t>Wet areas paint to have anti-staining and antimicrobial properties</t>
  </si>
  <si>
    <t>1 coat of primer and 2 coats of finish for BOH</t>
  </si>
  <si>
    <t>2 coats of primer and 2 coats of finish for FOH</t>
  </si>
  <si>
    <t>Wallcoverings</t>
  </si>
  <si>
    <t>Club - Dining Wallcoverings WALLS</t>
  </si>
  <si>
    <t>Install only</t>
  </si>
  <si>
    <t>WC-101 (Performance Vinyl WC, pattern vinyl madagascar raffia, color: island malta white, width 54")</t>
  </si>
  <si>
    <t>WC-102 (Luxe naturals WC, pattern: cork couture, color: blanc, width 36")</t>
  </si>
  <si>
    <t xml:space="preserve">D-202 &amp; D-203 Sky Bar WC </t>
  </si>
  <si>
    <t>WC-103 (Performance Vinyl WC, pattern: vinyl glazed grass, color: crushed coriander, width 54")</t>
  </si>
  <si>
    <t>D-E.02 Dining Elevator wall and cab</t>
  </si>
  <si>
    <t>WC-110 (Performance Vinyl, pattern: vinyl all wound up, color: batty beige, width:50"-52")</t>
  </si>
  <si>
    <t>D-006 Kids Corridor</t>
  </si>
  <si>
    <t>WC-114 (Paper Weave WC, patterm: resort weave, color:ocean view, width 36")</t>
  </si>
  <si>
    <t>D-006 Kids corridor vestibule to bathroom</t>
  </si>
  <si>
    <t>Club - Dining Wallcoverings CEILINGS</t>
  </si>
  <si>
    <t>Club - Fitness Wallcoverings WALLS</t>
  </si>
  <si>
    <t>WC-103 Performance Vinyl WC, pattern: vinyl glazed grass, color: crushed coriander, width 54"</t>
  </si>
  <si>
    <t>F-107 Fitness Diag., F-108 Consultation, F-109 WC , F-111 WC</t>
  </si>
  <si>
    <t>Club - Wellness Wallcoverings WALLS</t>
  </si>
  <si>
    <t>install only</t>
  </si>
  <si>
    <t>W-104 Changing Room, W-114 Mens Spa RR, W-120 Salon, W-129ABCD WC, W-123 ADA Changing RM, 204 Neuro Acoustic,W-211 IR Sauna ,  W-220 Hyperbaric O RM, W-223 Cryotherapy, W-224 Red light therapy, W-216 IV Consult, W-217 IV Prep</t>
  </si>
  <si>
    <t>WC-104 (Woven vinyl WC, pattern: vinyl island raffia, color:shell white, width:52"-54")</t>
  </si>
  <si>
    <t>W-135 &amp; 137 Womens&amp;Mens Pool WC, W-137ABCD WC, W-135ABCD WC</t>
  </si>
  <si>
    <t>WC-105 (Performance vinyl WC, pattern: vinyl tailored linens, color: pink sash, width: 54")</t>
  </si>
  <si>
    <t>W-219 Medical Aesth., W-221 L2 Clinician, W-224 Red light therapy, W-229 Exam, W-230 Consultation, W-231 Lab, W-215 Chiro &amp; Acup. ,W.E.03 - Spa Elevator</t>
  </si>
  <si>
    <t>WC-106 (Performance vinyl WC, pattern: vinyl glazed grass, color: tarragon, width:54")</t>
  </si>
  <si>
    <t>W-115 Mens Barber</t>
  </si>
  <si>
    <t>WC-107 (Performance vinyl WC, pattern: vinyl wicker, color: champagne clarity, width:39.5")</t>
  </si>
  <si>
    <t>W-124 Vanity (behind mirror), W-127 Hallway, W-109 Men Locker Hallway</t>
  </si>
  <si>
    <t>WC-109  (Performance vinyl WC, pattern: vinyl glazed grass, color: ground ginger, width:52"-54")</t>
  </si>
  <si>
    <t>W-127 Hallway, W-102 Vanity</t>
  </si>
  <si>
    <t>WC-108 OPEN ITEM PROVIDE ALLOWANCE</t>
  </si>
  <si>
    <t>WC-112 OPEN ITEM PROVIDE ALLOWANCE</t>
  </si>
  <si>
    <t>Club - Wellness Wallcoverings CEILINGS</t>
  </si>
  <si>
    <t>W-129 ABCD, W-114AB</t>
  </si>
  <si>
    <t xml:space="preserve">Steel plates &amp; Channel - MT-05 </t>
  </si>
  <si>
    <t>drywall partitions/shiplap walls – FOH (PT-201,202,203)</t>
  </si>
  <si>
    <t>drywall partitions/shiplap walls – BOH (EPT-1)</t>
  </si>
  <si>
    <t>drywall ceilings - BOH (EPT-2)</t>
  </si>
  <si>
    <t xml:space="preserve">drywall ceilings - FOH (PT-201) </t>
  </si>
  <si>
    <t>wood flooring (High gloss, PT-204)</t>
  </si>
  <si>
    <t>Ceilings to be flat, walls to be eggshell paint</t>
  </si>
  <si>
    <t>drywall partitions BOH – (EPT-1)</t>
  </si>
  <si>
    <t>drywall ceilings BOH – (PT-1)</t>
  </si>
  <si>
    <t xml:space="preserve">drywall ceilings FOH - </t>
  </si>
  <si>
    <t>We exclude any dryfall painting to BOH unoccupied spaces ceilings</t>
  </si>
  <si>
    <t>Wallcoverings are not included in the Spa and Dock Bar</t>
  </si>
  <si>
    <t>We include painting exposed steel at occupied spaces</t>
  </si>
  <si>
    <t>Alternate - Golf Cart Barn exposed pipes, HVAC painted</t>
  </si>
  <si>
    <t>Areas to receive WC to be primed only</t>
  </si>
  <si>
    <t>VE to remove paint from  BOH stairwells</t>
  </si>
  <si>
    <t>VE to paint 3 coat system ILO 4 coat</t>
  </si>
  <si>
    <t>Remove MT-1 plates painting</t>
  </si>
  <si>
    <t>Pending</t>
  </si>
  <si>
    <t>Haworth Interior Window Systems - 4SPACE</t>
  </si>
  <si>
    <t>Wine Room - 15-4 x 9-0</t>
  </si>
  <si>
    <t>A0.40 - Lower Level Office - 19-09 x 09-00</t>
  </si>
  <si>
    <t>Barber W-115 - 8-0 x 8-2</t>
  </si>
  <si>
    <t xml:space="preserve">Interior Specialties </t>
  </si>
  <si>
    <t>Newton Distributing Company</t>
  </si>
  <si>
    <t>Mardale Specialties Direct Inc</t>
  </si>
  <si>
    <t>Schedule 10 Specialists, Inc.</t>
  </si>
  <si>
    <t xml:space="preserve">Christopher Smith </t>
  </si>
  <si>
    <t>Johannes Shike</t>
  </si>
  <si>
    <t>Eddie Figueroa</t>
  </si>
  <si>
    <t xml:space="preserve">407-331-4564 </t>
  </si>
  <si>
    <t>508-815-4028</t>
  </si>
  <si>
    <t>954-751-9642</t>
  </si>
  <si>
    <t>csmith@interiorspecialties.com</t>
  </si>
  <si>
    <t>jshike@newtondistributing.com</t>
  </si>
  <si>
    <t>efigueroa@specialtiesdirect.com</t>
  </si>
  <si>
    <t xml:space="preserve">D-005 &amp; D-005 Womens &amp; Mens RR </t>
  </si>
  <si>
    <t>B-105 Changing Station Koala Kare, SS</t>
  </si>
  <si>
    <t>B-112 TP Holder Waterworks, dark brass finish</t>
  </si>
  <si>
    <t>B-113 36" GB Waterworks, dark brass finish</t>
  </si>
  <si>
    <t>B-114 42" GB Waterworks, dark brass finish</t>
  </si>
  <si>
    <t>B-115 Hook Waterworks, dark brass finish</t>
  </si>
  <si>
    <t xml:space="preserve">D-109 &amp; D-110 Womens &amp; Mens RR </t>
  </si>
  <si>
    <t>BOH</t>
  </si>
  <si>
    <t>D-111.1 Staff WC</t>
  </si>
  <si>
    <t>I-5.44</t>
  </si>
  <si>
    <t>B-110 36" GB, Bobrick, SS, B-6806X36</t>
  </si>
  <si>
    <t>B-111 42" GB, Bobrick, SS, B-6806X42</t>
  </si>
  <si>
    <t>B-112 TP Holder, Bobrick, Satin cast aluminum, B-2740</t>
  </si>
  <si>
    <t>B-114 Soap Dispenser, Bobrick, SS, B-4112</t>
  </si>
  <si>
    <t>B-115 Paper Towel Dispenser, Bobrick, SS, B-36903</t>
  </si>
  <si>
    <t>B-117 Feminine Napkin Dispenser, Bobrick, SS, KB-310-SSRE</t>
  </si>
  <si>
    <t>B-119 Mirror 24"x36"  SS, Bobrick, SS, B-165-2436</t>
  </si>
  <si>
    <t>B-120 Recessed Toilet Seat Cover Dispenser, Bobrick, SS, B-3013</t>
  </si>
  <si>
    <t>D-202 &amp; D-203 W/C</t>
  </si>
  <si>
    <t xml:space="preserve"> F-109 F-111 Fitness RR </t>
  </si>
  <si>
    <t>B-101 TP Holder by Waterworks, nickel</t>
  </si>
  <si>
    <t>B-102 36" GB Waterworks, dark nickel finish</t>
  </si>
  <si>
    <t>B-103 42" GB Waterworks, dark nickel finish</t>
  </si>
  <si>
    <t>B-104 Hook Waterworks, nickel finish</t>
  </si>
  <si>
    <t>W-020 W-021 Womens RR</t>
  </si>
  <si>
    <t>B-113 Kumin/Robe Hook, Kohler, Polished Chrome, K-97897-CP</t>
  </si>
  <si>
    <t>B-116 Cylinder Door Stop 2", Emtek, Polished Chrome, 2258</t>
  </si>
  <si>
    <t>B-119 Mirror, 37"x21", Bobrick, SS, B-1665-2436</t>
  </si>
  <si>
    <t>W-225 Staff WC</t>
  </si>
  <si>
    <t>W-135 W-137 Mens &amp; Womens Pool WC</t>
  </si>
  <si>
    <t>B-105 Changing Station</t>
  </si>
  <si>
    <t>B-108 Shower Clamp</t>
  </si>
  <si>
    <t xml:space="preserve">W-130ABCD Shower </t>
  </si>
  <si>
    <t>B-104 Hook Waterworks, Nickel finish</t>
  </si>
  <si>
    <t>W-123 Womens ADA Changing Room</t>
  </si>
  <si>
    <t>W-129ABCD WC</t>
  </si>
  <si>
    <t>B-101 TP Holder by Waterworks, Nickel finish</t>
  </si>
  <si>
    <t>W-114 Mens Restroom</t>
  </si>
  <si>
    <t>B-104 Hook by Waterworks, Nickel finish</t>
  </si>
  <si>
    <t>W-104 Changing Room</t>
  </si>
  <si>
    <t>W-105 ABCD Showers</t>
  </si>
  <si>
    <r>
      <rPr>
        <sz val="11"/>
        <color rgb="FF000000"/>
        <rFont val="Calibri"/>
        <family val="2"/>
        <scheme val="minor"/>
      </rPr>
      <t xml:space="preserve">B-108 Shower Clamp </t>
    </r>
    <r>
      <rPr>
        <b/>
        <sz val="11"/>
        <color rgb="FF000000"/>
        <rFont val="Calibri"/>
        <family val="2"/>
        <scheme val="minor"/>
      </rPr>
      <t>IN SHOWER ENCLOSURES</t>
    </r>
  </si>
  <si>
    <t xml:space="preserve">W-202 Treatment RR </t>
  </si>
  <si>
    <t>W-209 Hammam</t>
  </si>
  <si>
    <t>W-215 Chiro/Acupun Rm</t>
  </si>
  <si>
    <t>B-106 Automatic Soap Dispenser, Uline, SS</t>
  </si>
  <si>
    <t>B-107 Automatic Towel Dispenser, Uline, SS</t>
  </si>
  <si>
    <t>W-219 Medical Aesthetic</t>
  </si>
  <si>
    <t>W-220 Hyperb O Room</t>
  </si>
  <si>
    <t>W-224 Red Light Room</t>
  </si>
  <si>
    <t>W-231 Lab Room</t>
  </si>
  <si>
    <t>Fire Extinguishers</t>
  </si>
  <si>
    <t>FEC painted w/ vertical lettering (Cosmic 5E: 3A 40BC by JL Industries)</t>
  </si>
  <si>
    <t>Wall mounted FE - K CLass at Kitchen (Saturn 15: 1-A:K by JL Industries) - none shown</t>
  </si>
  <si>
    <t>Wall mounted FE - BOH (Cosmic 5E: 3A 40BC by JL Industries) -none shown</t>
  </si>
  <si>
    <t>Dock Bar RR</t>
  </si>
  <si>
    <t>B-201 Toilet Paper Holder, Waterworks, Nickel Finish</t>
  </si>
  <si>
    <t>B-202 36" Grab Bar, Waterworks, Nickel Finish</t>
  </si>
  <si>
    <t>B-203 42" Grab Bar, Waterworks, Nickel Finish</t>
  </si>
  <si>
    <t>B-204 Single Robe Hook, Waterworks, Nickel Finish</t>
  </si>
  <si>
    <t>B-205 Changing Station, SS,  Koala Kare</t>
  </si>
  <si>
    <t>Comfort Station</t>
  </si>
  <si>
    <t>B-113 Kumin Robe Hooks</t>
  </si>
  <si>
    <t>Treatment Pavilion - Double ADA</t>
  </si>
  <si>
    <t>B-301 Toilet Paper Holder, Waterworks, Nickel Finish</t>
  </si>
  <si>
    <t>B-302 36" Grab Bar, Waterworks, Nickel Finish</t>
  </si>
  <si>
    <t>B-303 42" Grab Bar, Waterworks, Nickel Finish</t>
  </si>
  <si>
    <r>
      <rPr>
        <sz val="11"/>
        <color rgb="FF000000"/>
        <rFont val="Calibri"/>
        <family val="2"/>
        <scheme val="minor"/>
      </rPr>
      <t xml:space="preserve">B-307 Shower Hinge </t>
    </r>
    <r>
      <rPr>
        <b/>
        <sz val="11"/>
        <color rgb="FF000000"/>
        <rFont val="Calibri"/>
        <family val="2"/>
        <scheme val="minor"/>
      </rPr>
      <t>IN SHOWER ENCLOSURE</t>
    </r>
  </si>
  <si>
    <t>B-308 Fold Down Slat Shower Sear</t>
  </si>
  <si>
    <t>Treatment Pavilion - Double</t>
  </si>
  <si>
    <t>Operable Partitions</t>
  </si>
  <si>
    <t>10 22</t>
  </si>
  <si>
    <t>10 30</t>
  </si>
  <si>
    <t xml:space="preserve">11 11 </t>
  </si>
  <si>
    <t>Hedrick</t>
  </si>
  <si>
    <t xml:space="preserve">Fireplace </t>
  </si>
  <si>
    <t>Dining Fireplace</t>
  </si>
  <si>
    <t>fireplace insert - Orthal 77HH (200HH)</t>
  </si>
  <si>
    <t>flue</t>
  </si>
  <si>
    <t>chimeny exhaust fan</t>
  </si>
  <si>
    <t>shipping</t>
  </si>
  <si>
    <t>Hollman</t>
  </si>
  <si>
    <t>Treeforms</t>
  </si>
  <si>
    <t>Jose Herrera</t>
  </si>
  <si>
    <t>Carol Bauer</t>
  </si>
  <si>
    <t>(972) 815-4037</t>
  </si>
  <si>
    <t>(336) 292-8998</t>
  </si>
  <si>
    <t>Jose@hollman.com</t>
  </si>
  <si>
    <t>cbauer2@bellsouth.net</t>
  </si>
  <si>
    <t>Wood Lockers - W-110, 111, 112 125, 126 Lockers</t>
  </si>
  <si>
    <t xml:space="preserve">Acceptable Manufacturers: </t>
  </si>
  <si>
    <t xml:space="preserve">Hollman, Inc. (www.hollman.com) </t>
  </si>
  <si>
    <t xml:space="preserve">Treeforms. (www.treeforms.com) </t>
  </si>
  <si>
    <t>Accessories</t>
  </si>
  <si>
    <t xml:space="preserve">Hinges: Concealed style, four way adjustable, 130 deg opening, self closing. </t>
  </si>
  <si>
    <t xml:space="preserve">Locks: Electronic Lock.  Refer to Interior Design Drawings. </t>
  </si>
  <si>
    <t xml:space="preserve">Clothes hooks: Double prong type. </t>
  </si>
  <si>
    <t>Clothes Rod: Manufacturer; EB Bradley.</t>
  </si>
  <si>
    <t xml:space="preserve">Number Plates: Metal, recessed, flush mounted. </t>
  </si>
  <si>
    <t>Locks</t>
  </si>
  <si>
    <t>Lockers Lockset - GAT NET LOCK 7020 USB AC</t>
  </si>
  <si>
    <t>Lockers C Main Controler</t>
  </si>
  <si>
    <t>Lockers Power Supply</t>
  </si>
  <si>
    <t>Lockers S1 Controler</t>
  </si>
  <si>
    <t>Lockers S2 Controler</t>
  </si>
  <si>
    <t>Shipping</t>
  </si>
  <si>
    <t>Fl Sales Tax</t>
  </si>
  <si>
    <t>Installation</t>
  </si>
  <si>
    <t>Metal Lockers - W-022 Employee Lounge</t>
  </si>
  <si>
    <t>List Industries Inc. (www.listindustries.com)</t>
  </si>
  <si>
    <t xml:space="preserve">Lyon Workspace Products. (www.lyonworkspace.com) </t>
  </si>
  <si>
    <t xml:space="preserve">Construction: </t>
  </si>
  <si>
    <t xml:space="preserve">Frame and door: Minimum 16 gage galvanized steel, welded joints. </t>
  </si>
  <si>
    <t xml:space="preserve">Sides , tops, and back: Minimum 24 gage galvanized steel. </t>
  </si>
  <si>
    <t xml:space="preserve">Ends , sloped tops, and filler panels: Minimum 20 gage galvanized steel. </t>
  </si>
  <si>
    <t xml:space="preserve">Latching device: Tamper proof automatic single three point latch. </t>
  </si>
  <si>
    <t xml:space="preserve">Locks: Built-in combination locks with master key control; furnish four master keys. </t>
  </si>
  <si>
    <t xml:space="preserve">Accessories: </t>
  </si>
  <si>
    <t xml:space="preserve">For each locker: Two double prong hooks, hat shelf, metal number plate, and rubber bumper. </t>
  </si>
  <si>
    <t xml:space="preserve">4 inch high closed base. </t>
  </si>
  <si>
    <t xml:space="preserve">End and filler panels. </t>
  </si>
  <si>
    <t xml:space="preserve">Sloped metal top with end closures. </t>
  </si>
  <si>
    <t>RFI Response: LOCKER SYSTEM IS A LAMINATE LOCKER FROM BRADFORD W/ MANUAL LOCK. - NEW SPEC IS FOR A METAL LOCKER</t>
  </si>
  <si>
    <t>lockers - 4 tier,manual locks</t>
  </si>
  <si>
    <t>Code Signage</t>
  </si>
  <si>
    <t>Stairs</t>
  </si>
  <si>
    <t>Room Signage</t>
  </si>
  <si>
    <t>Wayfinding</t>
  </si>
  <si>
    <t>Site</t>
  </si>
  <si>
    <t>Per RFI response include allowance</t>
  </si>
  <si>
    <t>Cheney Bros</t>
  </si>
  <si>
    <t>Food Service Equipment</t>
  </si>
  <si>
    <t xml:space="preserve">Justin Couchman </t>
  </si>
  <si>
    <t xml:space="preserve">11 40 00 </t>
  </si>
  <si>
    <t xml:space="preserve">(561) 232-9978 </t>
  </si>
  <si>
    <t>jcouchman@cheneybrothers.com</t>
  </si>
  <si>
    <t>D-008 REF Storage</t>
  </si>
  <si>
    <t>D-005 Storage</t>
  </si>
  <si>
    <t>D-011 Speakeasy</t>
  </si>
  <si>
    <t>D-105 Kitchen</t>
  </si>
  <si>
    <t>D-100 Lounge (bar)</t>
  </si>
  <si>
    <t>F-101 Prep / Storage</t>
  </si>
  <si>
    <t>W-023 Prep Kitchen</t>
  </si>
  <si>
    <t>W-001 Cart Barn (ice machine)</t>
  </si>
  <si>
    <t>W-145 Prep Kitchen</t>
  </si>
  <si>
    <t>W-139 Women's Bar &amp; Lounge</t>
  </si>
  <si>
    <t>W-136 Men's Bar &amp; Lounge</t>
  </si>
  <si>
    <t>Install laundry equipment</t>
  </si>
  <si>
    <t>20 lb stack washer/dryer</t>
  </si>
  <si>
    <t>50 lb stack washer/dryer</t>
  </si>
  <si>
    <t>lint collector</t>
  </si>
  <si>
    <t xml:space="preserve"> - Hoods (Streivor) and fire suppression are to be supplied by the food service consultant and installed by the kitchen  equipment subcontractor. </t>
  </si>
  <si>
    <t xml:space="preserve"> - All exhaust fans, DOAS units, ductwork, and insulation to be provided and installed by the mechanical subcontractor.</t>
  </si>
  <si>
    <t>Dock Bar</t>
  </si>
  <si>
    <t>DB.101 Kitchen</t>
  </si>
  <si>
    <t>Spa Pods - NA</t>
  </si>
  <si>
    <t>Wall Protection</t>
  </si>
  <si>
    <t>12 30</t>
  </si>
  <si>
    <t>Scaffolding</t>
  </si>
  <si>
    <t>14 80</t>
  </si>
  <si>
    <t>Westwood</t>
  </si>
  <si>
    <t>EQ-1 - MANITOWOC - iT1200 D-570 - ICE MACHINE</t>
  </si>
  <si>
    <t>W-001 CART BARN</t>
  </si>
  <si>
    <t>EQ-2 - PERLICK - HB24BS4 - INDOOR ADA-HEIGHT U/C BEVERAGE CENTER</t>
  </si>
  <si>
    <t xml:space="preserve">EQ-3 GE CAFÉ - CGE29DM5TS5 - REFRIGERATOR/FREEZER </t>
  </si>
  <si>
    <t>W-022 EMPLOYEE LOUNGE</t>
  </si>
  <si>
    <t xml:space="preserve">EQ-4 - INSINKERATOR - 80020-ISE- GARBAGE DISPOSAL - </t>
  </si>
  <si>
    <t>EQ-101 - Hatco - HCSSBFR-36-F - HOT/COLD PLATE | FITNESS &amp; SPA LOUNGES</t>
  </si>
  <si>
    <t>W-116 MENS / W-116 WOMENS COMFORT STATION</t>
  </si>
  <si>
    <t>F-103 GYM</t>
  </si>
  <si>
    <t>EQ-103 - True Residential - TUBADA-24-RS-A~O - UNDERCOUNTER BEVERAGE 
CENTER | TYPICAL - THROUGHOUT FITNESS, SPA &amp; KIDS CLUB</t>
  </si>
  <si>
    <t>EQ-104 - Suitmate - 115V - EC3 - SWIMSUIT WATER EXTRACTOR - SPA WET AREA</t>
  </si>
  <si>
    <t>W-127 HALLWAY</t>
  </si>
  <si>
    <t>W-102 VANITY</t>
  </si>
  <si>
    <t>EQ-106 - True Residential - TUIADA-15-LS-A~O - UNDERCOUNTER ADA ICE MACHINE - THROUGHOUT FITNESS, SPA &amp; KIDS CLUB</t>
  </si>
  <si>
    <t>None Found</t>
  </si>
  <si>
    <t>EQ-107 - True Residential - TURADA-24-D-A~O - UNDERCOUNTER ADA FRIDGE DRAWERS - THROUGHOUT FITNESS, SPA &amp; KIDS CLUB</t>
  </si>
  <si>
    <t>D-001 KIDS SPACE</t>
  </si>
  <si>
    <t>EQ-108 - Perlick - HA24FB-4-6 - UNDERCOUNTER ADA FREEZER DRAWERS - THROUGHOUT FITNESS, SPA &amp; KIDS CLUB</t>
  </si>
  <si>
    <t>EQ-109 - SubZero - Wolf - WWD30 - UNDERCOUNTER WARMING DRAWER - THROUGHOUT FITNESS, SPA &amp; KIDS CLUB</t>
  </si>
  <si>
    <t>EQ-110 - Vivreau USA - VIVREAU VI TAP 2H - WATER DISPENSER SYSTEM - FITNESS</t>
  </si>
  <si>
    <t>EQ-111 - True Residential - TR-36RBF-L-SS-A - STAINLESS STEEL FRIDGE - AT SALON BOH</t>
  </si>
  <si>
    <t>W-119 SALON BOH</t>
  </si>
  <si>
    <t>EQ-112 - True Residential - TURADA-24-RS-A~O - UNDERCOUNTER ADA FRIDGE - AT IV PREP ROOM</t>
  </si>
  <si>
    <t>tax on equipment</t>
  </si>
  <si>
    <t>EQ-102 - Big Ass Fans - MK-HK4-07 - 84" CEILING FAN | RESTAURANT &amp; FITNESS</t>
  </si>
  <si>
    <t>INC ELEC</t>
  </si>
  <si>
    <t>D-102 DINING ROOM</t>
  </si>
  <si>
    <t>F-103 GYM - TERRACE</t>
  </si>
  <si>
    <t>F-104 MOVEMENT</t>
  </si>
  <si>
    <t>W-116 MEN'S BAR &amp; LOUNGE - terrace</t>
  </si>
  <si>
    <t>W-118 WOMEN'S BAR &amp; LOUNGE - terrace</t>
  </si>
  <si>
    <t>W-218 IV LOUNGE - terrace</t>
  </si>
  <si>
    <t>installation - see Electrical</t>
  </si>
  <si>
    <t>EQ-105 - SEE LOCKERS</t>
  </si>
  <si>
    <t>EQ-201 - Big Ass Fans - MK-HK4-07 - 84" CEILING FAN</t>
  </si>
  <si>
    <t>DB-100 Dock Bar &amp; Patio</t>
  </si>
  <si>
    <t>Raise &amp; Shine Blinds</t>
  </si>
  <si>
    <t>Morr Kadoch</t>
  </si>
  <si>
    <t>(786) 999-2450</t>
  </si>
  <si>
    <t>info@raiseshineblinds.com</t>
  </si>
  <si>
    <t>Roller Shades:</t>
  </si>
  <si>
    <t xml:space="preserve">Description:  LUTRON SHADE
Pattern #:  S0220ET-B  
Openness:  5%  
Color:  WHITE / LINEN  </t>
  </si>
  <si>
    <t>Blackout Roller Shade:</t>
  </si>
  <si>
    <t xml:space="preserve">Description:  LUTRON SHADE
Pattern #:  WSF-RF-LFR0-IV  
Openness:  0% BLACKOUT  
Color:  IVORY  </t>
  </si>
  <si>
    <t>D-001 Kids Space - 14'-6"</t>
  </si>
  <si>
    <t>D-102 Dining Room - 14'-2"</t>
  </si>
  <si>
    <t>D-104 Private Dining - 11'-4"</t>
  </si>
  <si>
    <t>D-200 Sky Bar - 11'-0"</t>
  </si>
  <si>
    <t>F-100 Entry - 13'-0"</t>
  </si>
  <si>
    <t>F-102 Juice Bar - 13'-0"</t>
  </si>
  <si>
    <t>F-103 Gym - 13'-0"</t>
  </si>
  <si>
    <t>F-104 Movement - 13'-0"</t>
  </si>
  <si>
    <t>F-107 Fitness Diagnostics - 9'-6"</t>
  </si>
  <si>
    <t>F-108 Consultation - 9'-6"</t>
  </si>
  <si>
    <t>WC Corridor - 9'-0"</t>
  </si>
  <si>
    <t>W-108 Thermal Area - 11'-0"</t>
  </si>
  <si>
    <t>W-110 Lockers - 10'-4"</t>
  </si>
  <si>
    <t>W-111 Lockers - 10'-4"</t>
  </si>
  <si>
    <t>W-112 Lockers - 10'-4"</t>
  </si>
  <si>
    <t>W-116 Men's Bar &amp; Lounge - 11'-0"</t>
  </si>
  <si>
    <t>W-118 Women's Bar &amp; Lounge - 11'-0"</t>
  </si>
  <si>
    <t>W-125 Lockers - 10'-4"</t>
  </si>
  <si>
    <t>W-126 Lockers - 10'-4"</t>
  </si>
  <si>
    <t>W-132 Thermal Area - 11'-0"</t>
  </si>
  <si>
    <t>W-WC Corridor - 9'-0"</t>
  </si>
  <si>
    <t>W-200 Reception - 10'-0"</t>
  </si>
  <si>
    <t>W-201 Hallway - 10'-0"</t>
  </si>
  <si>
    <t>W-204 Neuro Acoustic - 10'-0"</t>
  </si>
  <si>
    <t>W-205 Facial Treatment Room - 10'-0"</t>
  </si>
  <si>
    <t>W-206 Treatment - 10'-0"</t>
  </si>
  <si>
    <t>W-207 Treatment - 10'-0"</t>
  </si>
  <si>
    <t>W-214 Hallway - 10'-0"</t>
  </si>
  <si>
    <t>W-215 Acupuncture Room - 10'-0"</t>
  </si>
  <si>
    <t>W-218 IV Lounge - 10'-0"</t>
  </si>
  <si>
    <t>W-219 Medical Treatment - 10'-0"</t>
  </si>
  <si>
    <t>W-220 Hyperbaric - 10'-0"</t>
  </si>
  <si>
    <t>W-230 Consultation - 10'-0"</t>
  </si>
  <si>
    <t>W-231 Lab - 10'-0"</t>
  </si>
  <si>
    <t>W- Clinician - 10'-0"</t>
  </si>
  <si>
    <t>W-Lab Corridor - 10'-0"</t>
  </si>
  <si>
    <t>Power Supplies - 1 power supply serves 10 shades</t>
  </si>
  <si>
    <t>Shipping &amp; handling</t>
  </si>
  <si>
    <t>Sales tax</t>
  </si>
  <si>
    <t>Roller shades installation</t>
  </si>
  <si>
    <t>D-008 Speakeasy - at corridor door</t>
  </si>
  <si>
    <t>D-104 Private Dining</t>
  </si>
  <si>
    <t xml:space="preserve">Interior Design FF&amp;E Package provided by Champalimaud has specs for Draperies in the spa, restaurant, Spa L2 reception and speakeasy. Please specify if the draperies will be provided and installed by GC or the owner. General Contractor will be responsible for installation of the drapery track assembly.  Drapery manufacturer would install all FF&amp;E drapery. </t>
  </si>
  <si>
    <t>Drapery track only - propvide and install</t>
  </si>
  <si>
    <t>Apex</t>
  </si>
  <si>
    <t>Pool Crafters</t>
  </si>
  <si>
    <t>Pool Mechanics</t>
  </si>
  <si>
    <t>Atlantic Pool Maint</t>
  </si>
  <si>
    <t>Almar / Jackson</t>
  </si>
  <si>
    <t>Rock Star Pools</t>
  </si>
  <si>
    <t>A &amp; G Concrete Pools</t>
  </si>
  <si>
    <t>Swimming Pool</t>
  </si>
  <si>
    <t>Billy Scott</t>
  </si>
  <si>
    <t xml:space="preserve">Daniel Valenzuela </t>
  </si>
  <si>
    <t xml:space="preserve">Kelly Kephart </t>
  </si>
  <si>
    <t>Joseph Stallone</t>
  </si>
  <si>
    <t>Kim Nash</t>
  </si>
  <si>
    <t>Nigel Guite’</t>
  </si>
  <si>
    <t>Frank DelRocco</t>
  </si>
  <si>
    <t xml:space="preserve">13 11 00 </t>
  </si>
  <si>
    <t>(208) 371-2068</t>
  </si>
  <si>
    <t>(561) 454-9374</t>
  </si>
  <si>
    <t xml:space="preserve">(239) 992-9096  </t>
  </si>
  <si>
    <t xml:space="preserve">(561) 582-1830 </t>
  </si>
  <si>
    <t>(561) 262-7280</t>
  </si>
  <si>
    <t>(239) 293-0803</t>
  </si>
  <si>
    <t>772-260-2215</t>
  </si>
  <si>
    <t>estimating@apexpavers.com</t>
  </si>
  <si>
    <t>daniel@poolcrafters.com</t>
  </si>
  <si>
    <t>KellyK@certifiedpools.net</t>
  </si>
  <si>
    <t>josephstallone94@gmail.com</t>
  </si>
  <si>
    <t>kim@almarjacksonpools.com</t>
  </si>
  <si>
    <t>Nigel@rockstarpools.com</t>
  </si>
  <si>
    <t>frankagpools@hotmail.com</t>
  </si>
  <si>
    <t>Lap Pool</t>
  </si>
  <si>
    <t>Lap Pool Spa</t>
  </si>
  <si>
    <t>Lap Pool Surge Tank</t>
  </si>
  <si>
    <t>Spa Collector Tank</t>
  </si>
  <si>
    <t>Concrete structure</t>
  </si>
  <si>
    <t>Womens Hot &amp; Cold Spas</t>
  </si>
  <si>
    <t>Mens Hot &amp; Cold Spas</t>
  </si>
  <si>
    <t>Wellness Spa 1</t>
  </si>
  <si>
    <t>Wellness Spa 2</t>
  </si>
  <si>
    <t>Womens Hot Spa collector tank</t>
  </si>
  <si>
    <t>Womens Cold Spa collector tank</t>
  </si>
  <si>
    <t>Mens Hot Spa collector tank</t>
  </si>
  <si>
    <t>Mens Cold Spa collector tank</t>
  </si>
  <si>
    <t>Wellness Spa 1 collector tank</t>
  </si>
  <si>
    <t>Wellness Spa 2 collector tank</t>
  </si>
  <si>
    <t>Spas structure - stainless steel framing, base, floor and walls</t>
  </si>
  <si>
    <t>tile allowance - $10 per sf</t>
  </si>
  <si>
    <t>coping allowance - $12 per sf</t>
  </si>
  <si>
    <t>conduit, wire and electrical connections from disconnects to equipment</t>
  </si>
  <si>
    <t>conduit, wire and electrical connections from supply panels to equipment</t>
  </si>
  <si>
    <t>low voltage equipment, cabling, connections for pool controls</t>
  </si>
  <si>
    <t>potable water connections w/ backflow preventor &amp; water hammer arrestor from stub-in provided by others</t>
  </si>
  <si>
    <t>potable water connections from stub-in provided by others</t>
  </si>
  <si>
    <t>waste line connections from rough-in provided by others</t>
  </si>
  <si>
    <t>crane to set stainless spa basins</t>
  </si>
  <si>
    <t>hrs</t>
  </si>
  <si>
    <t xml:space="preserve">houskeeing pads for pool equipment </t>
  </si>
  <si>
    <t>a-m</t>
  </si>
  <si>
    <t>pool equipment houskeeing pads</t>
  </si>
  <si>
    <t>3 1/2" rat slab at stainless conc basins</t>
  </si>
  <si>
    <t>a-l</t>
  </si>
  <si>
    <t>waterproofing of stainless conc basins</t>
  </si>
  <si>
    <t>a-d</t>
  </si>
  <si>
    <t>a-j</t>
  </si>
  <si>
    <t>2 - Year Warranty</t>
  </si>
  <si>
    <t>Treatment Spa 1</t>
  </si>
  <si>
    <t>Treatment Spa 2</t>
  </si>
  <si>
    <t>Treatment Spa 3</t>
  </si>
  <si>
    <t>Treatment Spa 1 collector tank</t>
  </si>
  <si>
    <t>Treatment Spa 2 collector tank</t>
  </si>
  <si>
    <t>Treatment Spa 3 collector tank</t>
  </si>
  <si>
    <t>Cascading Water Feature</t>
  </si>
  <si>
    <t xml:space="preserve">perimiter </t>
  </si>
  <si>
    <t>waterfall</t>
  </si>
  <si>
    <t>stone</t>
  </si>
  <si>
    <t>Cascade A1</t>
  </si>
  <si>
    <t>B1/B2</t>
  </si>
  <si>
    <t>All rock/stone within water feature</t>
  </si>
  <si>
    <t>bottom stone</t>
  </si>
  <si>
    <t>Cascade A2</t>
  </si>
  <si>
    <t>B3/AB</t>
  </si>
  <si>
    <t>perimiter walls stone</t>
  </si>
  <si>
    <t>Cascade AB</t>
  </si>
  <si>
    <t>A1/A2</t>
  </si>
  <si>
    <t>water fall stone</t>
  </si>
  <si>
    <t>Cascade B1</t>
  </si>
  <si>
    <t>A2/AB</t>
  </si>
  <si>
    <t>top rock</t>
  </si>
  <si>
    <t>Cascade B2</t>
  </si>
  <si>
    <t>Water Garden Feature</t>
  </si>
  <si>
    <t>Cascade B3</t>
  </si>
  <si>
    <t>All rock/stone within water feature  - material not specified</t>
  </si>
  <si>
    <t>All Rock/Stone</t>
  </si>
  <si>
    <t>Water Feature at Dining Entrance</t>
  </si>
  <si>
    <t>Include comlpete:</t>
  </si>
  <si>
    <t>copings</t>
  </si>
  <si>
    <t>gutter systems</t>
  </si>
  <si>
    <t>pool, spa, water feature controls</t>
  </si>
  <si>
    <t>lap lines &amp; targets</t>
  </si>
  <si>
    <t>Lap lines &amp; targets</t>
  </si>
  <si>
    <t>pool &amp; spa signage</t>
  </si>
  <si>
    <t>safety equipment</t>
  </si>
  <si>
    <t>railings &amp; grab rails</t>
  </si>
  <si>
    <t>ADA lifts</t>
  </si>
  <si>
    <t>lighting systems</t>
  </si>
  <si>
    <t>vacuum systems</t>
  </si>
  <si>
    <t>heating systems</t>
  </si>
  <si>
    <t>chemical systems</t>
  </si>
  <si>
    <t>air systems</t>
  </si>
  <si>
    <t>piping, valves, equipment, pumps, etc.</t>
  </si>
  <si>
    <t>excavation for in-ground structures</t>
  </si>
  <si>
    <t>excavation and backfill for in-ground structures</t>
  </si>
  <si>
    <t>backfill for in-ground structures</t>
  </si>
  <si>
    <t>excavation for surge tanks</t>
  </si>
  <si>
    <t>sleeves and/or coring for pipe penetrations in concrete or CMU ws</t>
  </si>
  <si>
    <t>electrical bonding</t>
  </si>
  <si>
    <t>Gas connection to equipment by others</t>
  </si>
  <si>
    <t>Gas heater ventilation by others</t>
  </si>
  <si>
    <t>Sope Contingency</t>
  </si>
  <si>
    <t>Separate any hardscape work outside pool, spa or waterfeature structures</t>
  </si>
  <si>
    <t>proposal pools</t>
  </si>
  <si>
    <t>Design for Leisure</t>
  </si>
  <si>
    <t>Spa Rooms</t>
  </si>
  <si>
    <t xml:space="preserve">Matthew Williamson </t>
  </si>
  <si>
    <t>702-818-9051</t>
  </si>
  <si>
    <t>mwilliamson@designforleisure.com</t>
  </si>
  <si>
    <t>design by: design for liesure</t>
  </si>
  <si>
    <t>proprietary sub: design for liesure</t>
  </si>
  <si>
    <t>W-106 Sauna</t>
  </si>
  <si>
    <t>W-133 Sauna</t>
  </si>
  <si>
    <t>excludes:</t>
  </si>
  <si>
    <t>finished floor and site applied finishes</t>
  </si>
  <si>
    <t xml:space="preserve">exterior finishes to front wall and glazing </t>
  </si>
  <si>
    <t>interconnecting MEP services from cabin to equipment in mech room</t>
  </si>
  <si>
    <t>floor drain connection and plumbing connections.</t>
  </si>
  <si>
    <t>W-107 Steam</t>
  </si>
  <si>
    <t>site applied finishes</t>
  </si>
  <si>
    <t>floor waterproofing</t>
  </si>
  <si>
    <t>slab depression</t>
  </si>
  <si>
    <t xml:space="preserve">interconnecting MEP services from cabin to equipment in mech room </t>
  </si>
  <si>
    <t>local permits or DoH inspections arranged by others</t>
  </si>
  <si>
    <t xml:space="preserve">finished floor and exterior wall finishes. </t>
  </si>
  <si>
    <t>exterior finishes to front wall and door</t>
  </si>
  <si>
    <t>window to Exterior by others</t>
  </si>
  <si>
    <t>hot water to hydronic manifold in mechanical room</t>
  </si>
  <si>
    <t>Estimated allowance for shipping and delivery by Ocean container to project site. Excludes offsite storage.</t>
  </si>
  <si>
    <t>Estimated allowance for mobilization and travel expenses for specialist installation teams to FL .</t>
  </si>
  <si>
    <t>Scope Contingeny</t>
  </si>
  <si>
    <t>Otis Elevator Company</t>
  </si>
  <si>
    <t>Luis Gonzalez</t>
  </si>
  <si>
    <t>(615) 589-8123</t>
  </si>
  <si>
    <t>luis.gonzalez@otis.com</t>
  </si>
  <si>
    <t>Basis of design: OTIS GEN 3 EDGE</t>
  </si>
  <si>
    <t xml:space="preserve">design to be OTIS. Is there a preference? Does the owner want to consider a maintenance agreement post construction when </t>
  </si>
  <si>
    <t xml:space="preserve">A: Otis WILL BE THE BASIS OF DESIGN. TKE SPECIFICATION WILL BE UPDATED AND REMOVED. </t>
  </si>
  <si>
    <t>Elevator 01 - FOH passenger</t>
  </si>
  <si>
    <t>stop</t>
  </si>
  <si>
    <t>Capacity - 4,000 #</t>
  </si>
  <si>
    <t>Speed - 200 FPM</t>
  </si>
  <si>
    <t>Double entry</t>
  </si>
  <si>
    <t>Cab Finishes</t>
  </si>
  <si>
    <t>Jamb Finish - MT-101 on ID drawings</t>
  </si>
  <si>
    <t>Elevator 02 - FOH passenger</t>
  </si>
  <si>
    <t>Capacity - 3,500 #</t>
  </si>
  <si>
    <t>Single entry</t>
  </si>
  <si>
    <t>Block out &amp; infill for cab installation</t>
  </si>
  <si>
    <t>Pit Access Ladders</t>
  </si>
  <si>
    <t>Temp use - on time cost - BOH elevator</t>
  </si>
  <si>
    <t>Temp use - BOH elevator</t>
  </si>
  <si>
    <t>mo</t>
  </si>
  <si>
    <t>Temp protection</t>
  </si>
  <si>
    <t>Elevator 03 - FOH</t>
  </si>
  <si>
    <t>Elevator 04 - BOH (freight?)</t>
  </si>
  <si>
    <t>Speed - 150 FPM</t>
  </si>
  <si>
    <t>Jamb Finish - MT-05 on ID drawings</t>
  </si>
  <si>
    <t>Elevator 05 - BOH (freight?)</t>
  </si>
  <si>
    <t>Current code emergency communications system - data cable to each controler</t>
  </si>
  <si>
    <r>
      <t xml:space="preserve">FOH Cab finishes - ID-6.90 - </t>
    </r>
    <r>
      <rPr>
        <sz val="11"/>
        <color rgb="FFFF0000"/>
        <rFont val="Calibri"/>
        <family val="2"/>
        <scheme val="minor"/>
      </rPr>
      <t>details vague</t>
    </r>
    <r>
      <rPr>
        <sz val="11"/>
        <rFont val="Calibri"/>
        <family val="2"/>
        <scheme val="minor"/>
      </rPr>
      <t xml:space="preserve"> , </t>
    </r>
    <r>
      <rPr>
        <sz val="11"/>
        <color rgb="FFFF0000"/>
        <rFont val="Calibri"/>
        <family val="2"/>
        <scheme val="minor"/>
      </rPr>
      <t>assume for FOH cabs only</t>
    </r>
  </si>
  <si>
    <t>Temp generator for inspections</t>
  </si>
  <si>
    <t>Fuel Cell</t>
  </si>
  <si>
    <t>Fuel &amp; add mixture</t>
  </si>
  <si>
    <t>Wilkinson Hi-Rise</t>
  </si>
  <si>
    <t>Kareem Bayram</t>
  </si>
  <si>
    <t>(954) 225-3661</t>
  </si>
  <si>
    <t>kbayram@whrise.com</t>
  </si>
  <si>
    <t>Linen Chute #1 - 2 levels</t>
  </si>
  <si>
    <t>Linen Chute #2 - 3 levels</t>
  </si>
  <si>
    <t>Linen Chute #3 - 3 levels</t>
  </si>
  <si>
    <t>CHUTE TO BE 24" DIAMETER AND FABRICATED OF 16 GA. ALUMINIZED STEEL</t>
  </si>
  <si>
    <t>Intake: 18" WIDE X 18" HIGH, SIDE HINGED HAND OPERATED SELF CLOSING, STAINLESS DOOR W/ SATIN FINISH  AND STEEL ANGLE FRAME, "B" LABEL, 1-1/2 HOUR,  250° F, 30 MIN. TEMP. RISE WITH POSITIVE LATCHING  KEY CYLINDER LOCKING T-HANDLE.</t>
  </si>
  <si>
    <t>Hopper Discharge w/Pedistal: 24" WIDE X 30" HIGH, VERTICAL HOPPER TYPE, "B" LABEL CONSTRUTION. HELD OPEN WITH 165° FUSIBLE LINK. COMPLETE WITH 1 1/2" SQ. SUPPORT PEDESTAL.</t>
  </si>
  <si>
    <t>Vent: FULL DIAMETER VENT WITH METAL SAFETY CAP AND FLASHING</t>
  </si>
  <si>
    <t>Sprinkler Heads: AUTOMATIC 155° BRASS 1/2" IPS SPRINKLER HEADS LOCTED ABOVE TOP INTAKE AND ALTERNATE INTAKES WITH MANDATORY SPRINKLER LOCATED AT LOWEST SERVICE LEVEL, READY FOR CONNECTION BY OTHERS.</t>
  </si>
  <si>
    <t>Flushing Head: BRASS 1/2" IPS FLUSHING SPRAY HEAD LOCATED ABOVE TOP INTAKE. READY FOR CONNECTION BY OTHERS.</t>
  </si>
  <si>
    <t>Chute Supports: FABRICATED FROM 1-1/2" X 1-1/2" X 3/16" STEEL ANGLE</t>
  </si>
  <si>
    <t>Century</t>
  </si>
  <si>
    <t>Millbrook</t>
  </si>
  <si>
    <t>Pye-Barker</t>
  </si>
  <si>
    <t>Summit</t>
  </si>
  <si>
    <t>Fire Protection</t>
  </si>
  <si>
    <t xml:space="preserve">Dennisse Collazo </t>
  </si>
  <si>
    <t xml:space="preserve">Carl Cortiza </t>
  </si>
  <si>
    <t>Graham Cullenberg</t>
  </si>
  <si>
    <t>Ryan Lee</t>
  </si>
  <si>
    <t xml:space="preserve">(470) 925-3427 </t>
  </si>
  <si>
    <t>(561) 788-7533</t>
  </si>
  <si>
    <t>(772) 678-9781</t>
  </si>
  <si>
    <t>(772) 834-1266</t>
  </si>
  <si>
    <t>dennisse.collazo@centuryfp.com</t>
  </si>
  <si>
    <t xml:space="preserve">Ccortiza@millbrookfireprotection.com  </t>
  </si>
  <si>
    <t>Graham@tlcfireandsecurity.com</t>
  </si>
  <si>
    <t>rlee1@SummitFireSecurity.com</t>
  </si>
  <si>
    <t>Start at 1'-0" AAF at flange location shown on plans.</t>
  </si>
  <si>
    <t>Automatic fire sprinkler risers</t>
  </si>
  <si>
    <t>Automatic fire sprinkler system</t>
  </si>
  <si>
    <t>Ordinary Hazard - 1</t>
  </si>
  <si>
    <t>Light hazard</t>
  </si>
  <si>
    <t>Laundry chute risers - sprinkler connection to top of linen chutes</t>
  </si>
  <si>
    <t>Heads as specified per area</t>
  </si>
  <si>
    <t xml:space="preserve"> - AV Rooms are calling out OH-I. Do these areas need to be sprinkled or does the contractor need to include a gas system? The intent is to provide wet sprinkler inside all rooms including AV rooms.  </t>
  </si>
  <si>
    <t>General:</t>
  </si>
  <si>
    <t>engineering / shop drawings</t>
  </si>
  <si>
    <t>permit fees</t>
  </si>
  <si>
    <t>riser start - 1'-0" AFF</t>
  </si>
  <si>
    <t>specified heads</t>
  </si>
  <si>
    <t>FOH  - concealed</t>
  </si>
  <si>
    <t>BOH - recessed</t>
  </si>
  <si>
    <t>Exposed - upright</t>
  </si>
  <si>
    <t>schedule 10 black steel / schedule 40 black steel / galvanized</t>
  </si>
  <si>
    <t>galvanized</t>
  </si>
  <si>
    <t>BIM</t>
  </si>
  <si>
    <t>TYPE VB, NON-SPRINKLED</t>
  </si>
  <si>
    <t>Spa Pods</t>
  </si>
  <si>
    <t>Medic Air Systems</t>
  </si>
  <si>
    <t>Anchor Mechanical</t>
  </si>
  <si>
    <t>Ameri-Tech Plumbing</t>
  </si>
  <si>
    <t>KCL Plumbing</t>
  </si>
  <si>
    <t>The Severen Goup</t>
  </si>
  <si>
    <t>Cale Janssen</t>
  </si>
  <si>
    <t>Justin Pease</t>
  </si>
  <si>
    <t>Jean Rizo</t>
  </si>
  <si>
    <t>Kevin Lesiak</t>
  </si>
  <si>
    <t>Erin Potts</t>
  </si>
  <si>
    <t>(386) 760-2356</t>
  </si>
  <si>
    <t xml:space="preserve">(561) 310-1946 </t>
  </si>
  <si>
    <t>(561) 410-4364</t>
  </si>
  <si>
    <t>(561) 318-5621</t>
  </si>
  <si>
    <t>(240) 994-5733</t>
  </si>
  <si>
    <t>cjanssen@medicairsystems.com</t>
  </si>
  <si>
    <t>jpease@anchormechanical.com</t>
  </si>
  <si>
    <t>jrizo@ameritechplumbing.com</t>
  </si>
  <si>
    <t>KCLplumbing@gmail.com</t>
  </si>
  <si>
    <t>epotts@theseverngroup.com</t>
  </si>
  <si>
    <t>BUDGET</t>
  </si>
  <si>
    <t>Fixtures</t>
  </si>
  <si>
    <t>CO-2 Cleanout</t>
  </si>
  <si>
    <t>CO-3 Cleanout</t>
  </si>
  <si>
    <t>DF-1 Drinking Fountain</t>
  </si>
  <si>
    <t>ET-1 Expansion Tank</t>
  </si>
  <si>
    <t>FD-1 - Floor Drain</t>
  </si>
  <si>
    <t>FS-1 - Floor Sink</t>
  </si>
  <si>
    <t>GI-1 Grease Interceptor 1500 gal</t>
  </si>
  <si>
    <t>L-1 - Lavatory</t>
  </si>
  <si>
    <t>L-2 - Lavatory</t>
  </si>
  <si>
    <t>L-2 - Lavatory Treatment Rooms</t>
  </si>
  <si>
    <t>MS-1 Mop Sink</t>
  </si>
  <si>
    <t>MV-1 - Master Valve</t>
  </si>
  <si>
    <t>P-1 Booster Pump</t>
  </si>
  <si>
    <t>P-2 Circulating Pump</t>
  </si>
  <si>
    <t>PD-1 Roof Drain - Pedistal Pavers</t>
  </si>
  <si>
    <t>RD-1 Roof Drain</t>
  </si>
  <si>
    <t>RD-2 OverflowDrain</t>
  </si>
  <si>
    <t>S-1 Sink</t>
  </si>
  <si>
    <t>S-2 Sink</t>
  </si>
  <si>
    <t>SH-1 Shower</t>
  </si>
  <si>
    <t>SH-1 Shower Drain - Linear</t>
  </si>
  <si>
    <t>SI-1 Oil Sediment Interceptor</t>
  </si>
  <si>
    <t>SP-1 Sampling Port</t>
  </si>
  <si>
    <t>SSP - 1 Swin Suit Spinner Drain</t>
  </si>
  <si>
    <t>UR-1 Urinal</t>
  </si>
  <si>
    <t>WC-1 Water Closet</t>
  </si>
  <si>
    <t>WH-1 - Water heater</t>
  </si>
  <si>
    <t>WS-1 Water Softener</t>
  </si>
  <si>
    <t>xVTR Roof Vent</t>
  </si>
  <si>
    <t>All Kitchen plumbing connections - water / waste / vent</t>
  </si>
  <si>
    <t>Speakeasy Bar 011</t>
  </si>
  <si>
    <t>#10 ice machine</t>
  </si>
  <si>
    <t>#11 ice machine</t>
  </si>
  <si>
    <t>#15 sink</t>
  </si>
  <si>
    <t>Prep Kitchen W-023</t>
  </si>
  <si>
    <t>#43 work counter sink</t>
  </si>
  <si>
    <t>#48 ice machine</t>
  </si>
  <si>
    <t>#56 hand sink / eye wash</t>
  </si>
  <si>
    <t>#57 pot sink</t>
  </si>
  <si>
    <t>#59 dishwasher</t>
  </si>
  <si>
    <t>#70 ice machine</t>
  </si>
  <si>
    <t>Kitchen D-105</t>
  </si>
  <si>
    <t>#71 ice machine</t>
  </si>
  <si>
    <t>#73 ice machine</t>
  </si>
  <si>
    <t>#74 ice machine</t>
  </si>
  <si>
    <t>#76 mop sink cabinet</t>
  </si>
  <si>
    <t>#85 hand sink</t>
  </si>
  <si>
    <t>#90 work counter sink</t>
  </si>
  <si>
    <t>#112 2-deck combi-oven</t>
  </si>
  <si>
    <t>#114 fill faucet - water</t>
  </si>
  <si>
    <t>#118 work counter sink</t>
  </si>
  <si>
    <t>#135 pasta cooker</t>
  </si>
  <si>
    <t>#148 hose reel - water</t>
  </si>
  <si>
    <t>#155 chef's counter sinks</t>
  </si>
  <si>
    <t>#163 drawer hand sink</t>
  </si>
  <si>
    <t>#168 coffee brewer - water</t>
  </si>
  <si>
    <t>#171 espresso machine</t>
  </si>
  <si>
    <t>#172 tea brewer - water</t>
  </si>
  <si>
    <t>#175 ice/water station</t>
  </si>
  <si>
    <t>#181 scrap collector</t>
  </si>
  <si>
    <t>#182 hose reel - water</t>
  </si>
  <si>
    <t>#183 dishwasher</t>
  </si>
  <si>
    <t>#184 condensate hood - waste</t>
  </si>
  <si>
    <t>#187 hand sink / eye wash</t>
  </si>
  <si>
    <t>#188 pot sink</t>
  </si>
  <si>
    <t>Omakase D-103</t>
  </si>
  <si>
    <t>#197 drawer hand sink</t>
  </si>
  <si>
    <t>Entry Lounge D-100</t>
  </si>
  <si>
    <t>#210 beer tower - waste</t>
  </si>
  <si>
    <t>#218 cocktail station</t>
  </si>
  <si>
    <t>#219 glass washer</t>
  </si>
  <si>
    <t>#220 hand sink / trash</t>
  </si>
  <si>
    <t>#222 cocktail station</t>
  </si>
  <si>
    <t>Juice Bar F-102 / Prep / Storage F-101</t>
  </si>
  <si>
    <t>#226 ice machine</t>
  </si>
  <si>
    <t>#230  dishwasher</t>
  </si>
  <si>
    <t>#233 triple sink</t>
  </si>
  <si>
    <t>#235 hand sink / eye wash</t>
  </si>
  <si>
    <t>#236 drawer hand sink</t>
  </si>
  <si>
    <t>#244 undermount sink</t>
  </si>
  <si>
    <t>#246 ice bin - waste</t>
  </si>
  <si>
    <t>#251 coffee / espresso machine</t>
  </si>
  <si>
    <t>Prep Kitchen W-145</t>
  </si>
  <si>
    <t>#264 coffee / espresso machine</t>
  </si>
  <si>
    <t>#267 work counter with sink</t>
  </si>
  <si>
    <t>#268 hand sink</t>
  </si>
  <si>
    <t>#269 ice machine</t>
  </si>
  <si>
    <t>#270 ice machine</t>
  </si>
  <si>
    <t>#278 cocktail station</t>
  </si>
  <si>
    <t>#280 hand sink / s&amp;t</t>
  </si>
  <si>
    <t>#285 glass washer</t>
  </si>
  <si>
    <t>Sky Bar D-205/ Bar Storage D-201</t>
  </si>
  <si>
    <t>#331 ice machine</t>
  </si>
  <si>
    <t>#332 ice machine</t>
  </si>
  <si>
    <t>#346 cocktail station</t>
  </si>
  <si>
    <t>#348 glass washer</t>
  </si>
  <si>
    <t>#349 hand sink / trash</t>
  </si>
  <si>
    <t>#350 cocktail station</t>
  </si>
  <si>
    <t>All Kitchen gas connections</t>
  </si>
  <si>
    <t>#115 open burner/oven - 1"</t>
  </si>
  <si>
    <t>#112 2-deck combi-oven - ?"</t>
  </si>
  <si>
    <t>#135 pasta cooker - 3/4"</t>
  </si>
  <si>
    <t>#136 2 burner / fench top / conv. oven - 3/4"</t>
  </si>
  <si>
    <t>#139 fryer - 1"</t>
  </si>
  <si>
    <t>#142 broiler - 3/4"</t>
  </si>
  <si>
    <t>#144 french hot top range - 3/4"</t>
  </si>
  <si>
    <t>#145 2 burner/ griddle / conv. Oven - 3/4"</t>
  </si>
  <si>
    <t>#147 2 burner / fench top / conv. oven - 3/4"</t>
  </si>
  <si>
    <t>Gas to (2) fireplaces.</t>
  </si>
  <si>
    <t>Connection to linen chute flush heads - 3 locations</t>
  </si>
  <si>
    <r>
      <t xml:space="preserve">ID Manual plumbing fixtures - </t>
    </r>
    <r>
      <rPr>
        <sz val="11"/>
        <color rgb="FFFF0000"/>
        <rFont val="Calibri"/>
        <family val="2"/>
      </rPr>
      <t>ID Manual and plumbing drawings fixture schedule are not coordinated</t>
    </r>
  </si>
  <si>
    <t>RFI Responses:</t>
  </si>
  <si>
    <t xml:space="preserve"> - Domestic water feed and backflow preventer for CHW system - Domestic water feed to be 1.5" with backflow preventer and ball valves before and after backflow.</t>
  </si>
  <si>
    <t xml:space="preserve"> - For the purposes of bidding, Kitchen designer drawings should take precedence over any information shown on the plumbing drawings regarding kitchen equipment schedules.</t>
  </si>
  <si>
    <t xml:space="preserve"> - For the purposes of bidding, Interior Designer plumbing fixture selections should take precedence over any information shown on the plumbing drawings.</t>
  </si>
  <si>
    <t>allownace</t>
  </si>
  <si>
    <t>Steam W-134</t>
  </si>
  <si>
    <t>floor drain connection at unit</t>
  </si>
  <si>
    <t>1/2" water conneection at unit</t>
  </si>
  <si>
    <t>1-1/2" copper insulated from unit to Steam Equip W-016</t>
  </si>
  <si>
    <t>2" drain pipe from steam unit to floor sink in Steam Equip W-016</t>
  </si>
  <si>
    <t>floor sink in Steam Equip W-016</t>
  </si>
  <si>
    <t>Steam W-107</t>
  </si>
  <si>
    <t>1-1/2" copper insulated from unit to Steam W-115</t>
  </si>
  <si>
    <t>2" drain pipe from steam unit to floor sink in Steam W-115</t>
  </si>
  <si>
    <t>floor sink in Steam W-115</t>
  </si>
  <si>
    <t>Snow</t>
  </si>
  <si>
    <t>Hammam</t>
  </si>
  <si>
    <t>1/2" water connection at unit</t>
  </si>
  <si>
    <t>EWH-1</t>
  </si>
  <si>
    <t>Duplex Ejector System</t>
  </si>
  <si>
    <t>Dock Bar &amp; Patio DB-100 / Kitchen DB-101</t>
  </si>
  <si>
    <t>#296 ice machine</t>
  </si>
  <si>
    <t>#303 hand sink / eye wash</t>
  </si>
  <si>
    <t>#304 work counter with sink</t>
  </si>
  <si>
    <t>#307 utensil sink</t>
  </si>
  <si>
    <t>#310 mop sink cabinet</t>
  </si>
  <si>
    <t>#312 cocktail station</t>
  </si>
  <si>
    <t>#315 hand sink / trash</t>
  </si>
  <si>
    <t>#316 glass washer</t>
  </si>
  <si>
    <t>#317 cocktail station</t>
  </si>
  <si>
    <t>#319 beer tower - waste</t>
  </si>
  <si>
    <t>L-1 lavatory</t>
  </si>
  <si>
    <t>S-1 sink</t>
  </si>
  <si>
    <t>SH-2 shower</t>
  </si>
  <si>
    <t>WH-2 - Water heater</t>
  </si>
  <si>
    <t>Sewer, waste, vent, etc. pipe</t>
  </si>
  <si>
    <t>Sewer, waste, above ground pipe</t>
  </si>
  <si>
    <t>Water pipes above ground pipe</t>
  </si>
  <si>
    <t>Water pipes below ground pipe</t>
  </si>
  <si>
    <t>Condensate above ground pipe - final connection by HVAC</t>
  </si>
  <si>
    <t>Storm above ground  pipe</t>
  </si>
  <si>
    <t>Storm below ground  pipe</t>
  </si>
  <si>
    <t>Gas piping to be black iron</t>
  </si>
  <si>
    <t>Sewer to five feet out.</t>
  </si>
  <si>
    <t>Water to five feet out.</t>
  </si>
  <si>
    <t>Insulation on all hot water and hot recirculation.</t>
  </si>
  <si>
    <t>Standard excavation, backfill, compaction, rough grade.</t>
  </si>
  <si>
    <t>Fire stop.</t>
  </si>
  <si>
    <t>Handicap wraps.</t>
  </si>
  <si>
    <t>Trap primers.</t>
  </si>
  <si>
    <t>Shock arrestors.</t>
  </si>
  <si>
    <t>Mechanicool Inc.</t>
  </si>
  <si>
    <t>Everest Mechanical</t>
  </si>
  <si>
    <t>Coastal Florida Mech</t>
  </si>
  <si>
    <t>Florida Mechanical</t>
  </si>
  <si>
    <t>Joe Joyce</t>
  </si>
  <si>
    <t xml:space="preserve">Robert Gliniewicz </t>
  </si>
  <si>
    <t>Jessi Kanov</t>
  </si>
  <si>
    <t xml:space="preserve">Dave Kennedy </t>
  </si>
  <si>
    <t>Rich Lanfair</t>
  </si>
  <si>
    <t xml:space="preserve">(954) 821-1015  </t>
  </si>
  <si>
    <t>(630) 768-6562</t>
  </si>
  <si>
    <t xml:space="preserve">(561) 789-8173 </t>
  </si>
  <si>
    <t>(561) 722-9794</t>
  </si>
  <si>
    <t xml:space="preserve">(561) 329-2006 </t>
  </si>
  <si>
    <t>jmj@mechanicoolfl.com</t>
  </si>
  <si>
    <t>RGliniewicz@everestmech.com</t>
  </si>
  <si>
    <t>jkanov@coastalfloridamechanical.com</t>
  </si>
  <si>
    <t>estimating@flamech.com</t>
  </si>
  <si>
    <t>rlanfair@anchormechanical.com</t>
  </si>
  <si>
    <t>Air Cooled Chillers</t>
  </si>
  <si>
    <t>CH-1 - 310 ton</t>
  </si>
  <si>
    <t>Chilled Water Pumps</t>
  </si>
  <si>
    <t>CHWSP</t>
  </si>
  <si>
    <t>Chilled Water Pump VFD</t>
  </si>
  <si>
    <t>Chilled Water Air Handling Unit</t>
  </si>
  <si>
    <t>AHU-D0-1</t>
  </si>
  <si>
    <t>AHU-D0-2</t>
  </si>
  <si>
    <t>AHU-D1-1</t>
  </si>
  <si>
    <t>AHU-D1-2</t>
  </si>
  <si>
    <t>AHU-D1-3</t>
  </si>
  <si>
    <t>AHU-D2-1</t>
  </si>
  <si>
    <t>AHU-D2-2</t>
  </si>
  <si>
    <t>AHU-F0-1</t>
  </si>
  <si>
    <t>AHU-F1-1</t>
  </si>
  <si>
    <t>AHU-F1-2</t>
  </si>
  <si>
    <t>AHU-W0-1</t>
  </si>
  <si>
    <t>AHU-W0-2</t>
  </si>
  <si>
    <t>AHU-W0-3</t>
  </si>
  <si>
    <t>AHU-W0-4</t>
  </si>
  <si>
    <t>AHU-W1-1</t>
  </si>
  <si>
    <t>AHU-W1-2</t>
  </si>
  <si>
    <t>AHU-W1-3</t>
  </si>
  <si>
    <t>AHU-W2-1</t>
  </si>
  <si>
    <t>AHU-W2-2</t>
  </si>
  <si>
    <t>AHU-W2-3</t>
  </si>
  <si>
    <t>AHU-W2-4</t>
  </si>
  <si>
    <t>Cooling Coil epoxy E-Coat</t>
  </si>
  <si>
    <t>Chilled Water Fan Coil Units</t>
  </si>
  <si>
    <t>FCU-D0-1</t>
  </si>
  <si>
    <t>FCU-D2-1</t>
  </si>
  <si>
    <t>FCU-F0-1</t>
  </si>
  <si>
    <t>FCU-W0-1</t>
  </si>
  <si>
    <t>FCU-W2-1</t>
  </si>
  <si>
    <t>Outside Air System Units - Captiveaire - suuply and install</t>
  </si>
  <si>
    <t>DOAS-1</t>
  </si>
  <si>
    <t>DOAS-2</t>
  </si>
  <si>
    <t>Kitchen Exhaust Fans - Captiveaire - suuply and install</t>
  </si>
  <si>
    <t>KEF-1</t>
  </si>
  <si>
    <t>KEF-2</t>
  </si>
  <si>
    <t>KEF-3</t>
  </si>
  <si>
    <t>KEF-4</t>
  </si>
  <si>
    <t>KEF-5</t>
  </si>
  <si>
    <t>DEF-1</t>
  </si>
  <si>
    <t>Exhaust Fans</t>
  </si>
  <si>
    <t>EF-DX-X</t>
  </si>
  <si>
    <t>EF-FX-X</t>
  </si>
  <si>
    <t>EF-WX-X</t>
  </si>
  <si>
    <t>SF-WX-X</t>
  </si>
  <si>
    <t>Vav Terminal Units</t>
  </si>
  <si>
    <t>Air Devices Type A - FF - grills &amp; linears</t>
  </si>
  <si>
    <t>Air Cleaning Modules - enVerid Systems</t>
  </si>
  <si>
    <t>350 CFM</t>
  </si>
  <si>
    <t>355 CFM</t>
  </si>
  <si>
    <t>1000 CFM</t>
  </si>
  <si>
    <t>Install smoke detectors provided by others</t>
  </si>
  <si>
    <t>Chilled water piping &amp; insulation</t>
  </si>
  <si>
    <t>Louvers</t>
  </si>
  <si>
    <t>Fire Dampers</t>
  </si>
  <si>
    <t>Smoke Fire Dampers</t>
  </si>
  <si>
    <t>Trane Controls</t>
  </si>
  <si>
    <t>Kitchen hoods installation</t>
  </si>
  <si>
    <t>BY KE SUB</t>
  </si>
  <si>
    <t>Kitchen hood fire system installation</t>
  </si>
  <si>
    <t>Welded kitchen exhaust duct</t>
  </si>
  <si>
    <t>Dining mech yard</t>
  </si>
  <si>
    <t>mechanical equipment racks/supports</t>
  </si>
  <si>
    <t>chiller supports - steel dunnage - additional supports on structural frame</t>
  </si>
  <si>
    <t>pipe curbs</t>
  </si>
  <si>
    <t>HVAC  conc housekeeping pads</t>
  </si>
  <si>
    <t xml:space="preserve"> - Hoods (Streivor) and fire suppression are to be supplied by the food service consultant and installed by the kitchen equipment subcontractor.</t>
  </si>
  <si>
    <t xml:space="preserve"> - Basis of design for controls is Trane. Alternates for controls must be compatible and able to communicate with all equipment specified and must be 
approved by the mechanical engineer.</t>
  </si>
  <si>
    <t xml:space="preserve"> - HDPE is an acceptable material for any underground CHW piping, all above ground CHW piping must be insulated black steel or type "L" copper as specified on sheet M002.00. </t>
  </si>
  <si>
    <t xml:space="preserve"> - All exposed insulated ductwork exterior to building shall be insulated with 2" thick rigid Ductboard and finished with Venture Tape Venture Clad 1577CW jacketing system (R-8.0 minimum). All exposed insulated ductwork interior to the building shall be insulated with 1.5" thick rigid Ductboard with either FSK facing or Venture Tape Venture Clad 1577CW jacketing system (R-6.0 minimum). </t>
  </si>
  <si>
    <t xml:space="preserve"> - Copper press fit fittings are acceptable in lieu of soldered joints. </t>
  </si>
  <si>
    <t>HVAC connections to Wellness spa units:</t>
  </si>
  <si>
    <t>es</t>
  </si>
  <si>
    <t>Supply Air Duct to be brought to Supply Air Connection</t>
  </si>
  <si>
    <t>Exhaust Duct to be brought to Exhaust Connection</t>
  </si>
  <si>
    <t>W-107 Steam - final connections</t>
  </si>
  <si>
    <t xml:space="preserve">4" Supply Air to Steam Inlet Mixing plenum from Supply air fan </t>
  </si>
  <si>
    <t>Exhaust Grille outside Steam Room door</t>
  </si>
  <si>
    <t>W-134 Steam - final connections</t>
  </si>
  <si>
    <t>4" Supply Air to Supply Air Slot</t>
  </si>
  <si>
    <t>6" Exhaust Duct to be brought to Exhaust Connection</t>
  </si>
  <si>
    <t>6" Supply Air Duct to be brought to Supply Air Connection</t>
  </si>
  <si>
    <t>Temp Cooling</t>
  </si>
  <si>
    <t>Chilled Water Fan Coil - FCU-1</t>
  </si>
  <si>
    <t>Chilled Water Blower Coil - BCU-01</t>
  </si>
  <si>
    <t>Fan - EF-1</t>
  </si>
  <si>
    <t>Air Devices Type A - N</t>
  </si>
  <si>
    <t>Chilled Water Lines to Dock Bar</t>
  </si>
  <si>
    <t>Scope contingency</t>
  </si>
  <si>
    <t>Split System Air Handling Unit - AHU - Trane</t>
  </si>
  <si>
    <t>Split System Condensing Unit - CU - Trane</t>
  </si>
  <si>
    <t>Fan - EF-1, 2, 3</t>
  </si>
  <si>
    <t>Air Devices Type A - M</t>
  </si>
  <si>
    <t xml:space="preserve">Galvanized G-90 sheet metal ductwork and accessories for supply, return, and general exhaust </t>
  </si>
  <si>
    <t xml:space="preserve">Certified, Independent Test and Balance </t>
  </si>
  <si>
    <t>Crane Service</t>
  </si>
  <si>
    <t>ECSI</t>
  </si>
  <si>
    <t>Blyco</t>
  </si>
  <si>
    <t>Gerelco</t>
  </si>
  <si>
    <t>Electrical</t>
  </si>
  <si>
    <t xml:space="preserve">Ken Kettner  </t>
  </si>
  <si>
    <t>John Markham</t>
  </si>
  <si>
    <t>William Jordan</t>
  </si>
  <si>
    <t>Scott Matthews</t>
  </si>
  <si>
    <t xml:space="preserve">(561) 618-3090 </t>
  </si>
  <si>
    <t>(772) 529-4045</t>
  </si>
  <si>
    <t xml:space="preserve">(561) 371-8381 </t>
  </si>
  <si>
    <t>(772) 324-5747</t>
  </si>
  <si>
    <t>ken@ecsinc.biz</t>
  </si>
  <si>
    <t>jmarkham@blycoelectric.com</t>
  </si>
  <si>
    <t>wjordan@anchormechanical.com</t>
  </si>
  <si>
    <t>smatthews@gerelco.com</t>
  </si>
  <si>
    <t xml:space="preserve">Temp power for construction tools and temp. lighting. </t>
  </si>
  <si>
    <t>Panels &amp; switchgear</t>
  </si>
  <si>
    <t>Lighting</t>
  </si>
  <si>
    <t>Lighting controls</t>
  </si>
  <si>
    <t xml:space="preserve">Power for roof top equipment per plan. </t>
  </si>
  <si>
    <t xml:space="preserve">Motor-rated switches for HVAC equipment as indicated. </t>
  </si>
  <si>
    <t>Generator</t>
  </si>
  <si>
    <t>Transfer switch</t>
  </si>
  <si>
    <t>Fuel for generator</t>
  </si>
  <si>
    <t>FPL secondary conduits</t>
  </si>
  <si>
    <t>OFCI lighting fixtures per ID Project Manual</t>
  </si>
  <si>
    <t xml:space="preserve">Complete fire alarm system </t>
  </si>
  <si>
    <t xml:space="preserve">Lightning Protection (System by Bonded) </t>
  </si>
  <si>
    <t>BDA - See 27 53</t>
  </si>
  <si>
    <t>Electrical per pool equipment drawings</t>
  </si>
  <si>
    <t>Conduit &amp; boxes for low voltage scope</t>
  </si>
  <si>
    <t>Power for irrigation controler</t>
  </si>
  <si>
    <t>Provide Big Ass ceilings fans</t>
  </si>
  <si>
    <t>Provide j-box, conduit, wire for ceiling fans and installation of ceiling fans - not shown on electrical drawings</t>
  </si>
  <si>
    <t>Provide j-box, conduit, wire for power supplies and installation of power supplies for roller shades - not shown on electrical drawings</t>
  </si>
  <si>
    <t>BIM Coordination</t>
  </si>
  <si>
    <t>temp generator - temp offices</t>
  </si>
  <si>
    <t>temp generator - fuel</t>
  </si>
  <si>
    <t>temp generator - buildings</t>
  </si>
  <si>
    <t>Commuincation conduits - 2 - 2" from Dock Bar data rack to face of Dining at lower level</t>
  </si>
  <si>
    <t>Commuincation handholds</t>
  </si>
  <si>
    <t>Commuincation conduits - 2 - 1-1/4" from Spa Pods to Comfort Station data rack</t>
  </si>
  <si>
    <t>Commuincation conduits - 2 - 2" from Comfort Station data rack to face of Wellness lower level</t>
  </si>
  <si>
    <t xml:space="preserve">Site  </t>
  </si>
  <si>
    <t>Jade Communications</t>
  </si>
  <si>
    <t>Coranet</t>
  </si>
  <si>
    <t>CASI</t>
  </si>
  <si>
    <t>Universal Cabling Systems</t>
  </si>
  <si>
    <t>Structured Cable</t>
  </si>
  <si>
    <t>John Spera</t>
  </si>
  <si>
    <t>Carlos Lara</t>
  </si>
  <si>
    <t>Jon Singer</t>
  </si>
  <si>
    <t>(561) 654-9627</t>
  </si>
  <si>
    <t>(954) 391-3445</t>
  </si>
  <si>
    <t>(954) 649-7102</t>
  </si>
  <si>
    <t>johns@jade-com.com</t>
  </si>
  <si>
    <t>Carloslara@coranet.com</t>
  </si>
  <si>
    <t>Jon@CASISystems.com</t>
  </si>
  <si>
    <t>Equipment</t>
  </si>
  <si>
    <t>D-014 AV/IT</t>
  </si>
  <si>
    <t>Rack - CHATSWORTH - ZB11-A0200-71</t>
  </si>
  <si>
    <t>Rack - MIDDLE ATLANTIC - WRK-44SA-32</t>
  </si>
  <si>
    <t>Power - TWO VERTICAL PDUS - CPI #EA-3001-CE</t>
  </si>
  <si>
    <t>Power - TWO VERTICAL PDUS - PDT-1620C-NS</t>
  </si>
  <si>
    <t>MAIN GROUND BUS BAR</t>
  </si>
  <si>
    <t>12" X 4" BASKET TYPE CABLE TRAY</t>
  </si>
  <si>
    <t>FP Plywood Backbords</t>
  </si>
  <si>
    <t>D-204 AV/IT</t>
  </si>
  <si>
    <t>Cabling</t>
  </si>
  <si>
    <t>D - 1 Cables</t>
  </si>
  <si>
    <t>D - 2 Cables</t>
  </si>
  <si>
    <t>D - 2 Floor Box Cables</t>
  </si>
  <si>
    <t>D - C Camera</t>
  </si>
  <si>
    <t>D - Multi - 3</t>
  </si>
  <si>
    <t>D - WAP</t>
  </si>
  <si>
    <t>F-008 AV/IT</t>
  </si>
  <si>
    <t>F - 1 Cables</t>
  </si>
  <si>
    <t>F - 2 Cables</t>
  </si>
  <si>
    <t>F - 2 Floor Box Cables</t>
  </si>
  <si>
    <t>F - C Camera</t>
  </si>
  <si>
    <t>F - Multi - 3</t>
  </si>
  <si>
    <t>F - WAP</t>
  </si>
  <si>
    <t>W-014 AV/IT</t>
  </si>
  <si>
    <t>W-227 AV/IT</t>
  </si>
  <si>
    <t>W - 1 Cables</t>
  </si>
  <si>
    <t>W - 2 Cables</t>
  </si>
  <si>
    <t>W - C Camera</t>
  </si>
  <si>
    <t>W - Multi - 3</t>
  </si>
  <si>
    <t>W - WAP</t>
  </si>
  <si>
    <t>Fiber &amp; Copper Distribution backbone cabling</t>
  </si>
  <si>
    <t>lot</t>
  </si>
  <si>
    <t>as-buit and shop drawings</t>
  </si>
  <si>
    <t>W - 2 Cables - POS</t>
  </si>
  <si>
    <t>Fiber Distribution cabling</t>
  </si>
  <si>
    <t>SP-111</t>
  </si>
  <si>
    <t>SPA  - 1 Cables - A</t>
  </si>
  <si>
    <t>SPA  - C Camera</t>
  </si>
  <si>
    <t>SPA  - WAP</t>
  </si>
  <si>
    <t>Contingency</t>
  </si>
  <si>
    <t>prorated as-builts &amp; shops</t>
  </si>
  <si>
    <t>total from above</t>
  </si>
  <si>
    <t>structured cabling</t>
  </si>
  <si>
    <t>A/V</t>
  </si>
  <si>
    <t>security</t>
  </si>
  <si>
    <t>Jade</t>
  </si>
  <si>
    <t>AV System</t>
  </si>
  <si>
    <t>difference</t>
  </si>
  <si>
    <t>Peerson Audio</t>
  </si>
  <si>
    <t>AHT Global</t>
  </si>
  <si>
    <t xml:space="preserve">Jonathas Barreto                    </t>
  </si>
  <si>
    <t>561-741-8720</t>
  </si>
  <si>
    <t>jbarreto@peersonaudio.com</t>
  </si>
  <si>
    <t>65" Displays - LG - 65UH5F-H</t>
  </si>
  <si>
    <t>Display Wall mount - Chief - TS525TU</t>
  </si>
  <si>
    <t>Wall box (electrical contractor) - Chief - PAC526F</t>
  </si>
  <si>
    <t>Gaming consoles - OFE</t>
  </si>
  <si>
    <t>Ceilling speakers - Sonance - PS-P83T</t>
  </si>
  <si>
    <t>12 foot HDMI HD series cables (input cable) - Extron - 6-633-12</t>
  </si>
  <si>
    <t>D-001.A Screening Room</t>
  </si>
  <si>
    <t>85" Displays - LG - 85UH5F-H</t>
  </si>
  <si>
    <t>Movie player (installed in AV rack D-014) - Kaleidescape - Strato C</t>
  </si>
  <si>
    <t>HDMI DM RX unit - Crestron - HD-RXC-4KZ-101</t>
  </si>
  <si>
    <t>HDMI DM TX unit (installed in AV rack D-014) - Crestron - HD-RXC-4KZ-101</t>
  </si>
  <si>
    <t>10" Control Panel - Crestron - TSW-1070-W-S</t>
  </si>
  <si>
    <t>Ceilling speakers - Sonance - PS-C83RT</t>
  </si>
  <si>
    <t>Two Channel Amplifiers - Extron - XPA U 1002</t>
  </si>
  <si>
    <t>OFE Switch for IP video distribution - OFE</t>
  </si>
  <si>
    <t>Decoder cards - Crestron - DM-NVX-D30</t>
  </si>
  <si>
    <t>Master Controller - Crestron - CP4N</t>
  </si>
  <si>
    <t>Cresnet power supply - Crestron - C2N-SPWS300</t>
  </si>
  <si>
    <t>8 Channel 70V amplifier - QSC - MP-A40V</t>
  </si>
  <si>
    <t>Audio DSP - QSC - Core110f</t>
  </si>
  <si>
    <t>Ceilling speakers (Lower Level) - Sonance - PS-C83RT</t>
  </si>
  <si>
    <t>Ceilling speakers ( D-008) Speakeasy - James Loudspeakers - SA63-4</t>
  </si>
  <si>
    <t>Outdoor speakers - Sonance - VPXT6R</t>
  </si>
  <si>
    <t>D-100 Entry Lounge</t>
  </si>
  <si>
    <t>65" pole mounted display - LG - 65UH5F-H</t>
  </si>
  <si>
    <t>Ceiling wall mount display - Chief - LCM1U</t>
  </si>
  <si>
    <t>Ceiling plate - Chief - CMA115</t>
  </si>
  <si>
    <t>IPTV Decoder with local power supply - Crestron - DM-NVX-D30</t>
  </si>
  <si>
    <t>D-200 Sky Bar / D-204 AV/TI</t>
  </si>
  <si>
    <t>10" Control Panel - Q-SYS - TSC-101-G3</t>
  </si>
  <si>
    <t>4 Channel 70V amplifier - QSC - MP-A40V</t>
  </si>
  <si>
    <t>Antenna</t>
  </si>
  <si>
    <t>HDMI Wall Plate - Comprehensive - WPD-HD1-AW</t>
  </si>
  <si>
    <t>F-107 Fitness Diagnostics</t>
  </si>
  <si>
    <t>55" Displays - LG - 55UH5F-H</t>
  </si>
  <si>
    <t>F-XXX Pool</t>
  </si>
  <si>
    <t>Underwater speaker - OCEANers - SP8</t>
  </si>
  <si>
    <t>Landscape ground subwoofer - Sonance - LS12T</t>
  </si>
  <si>
    <t>Landscape ground Satellite speaker - Sonance LS6T</t>
  </si>
  <si>
    <t>Ceilling speakers (1st Floor) - Sonance - PS-C83RT</t>
  </si>
  <si>
    <t>Outdoor speakers (1st Flr Sauna and Steam rms and Ext) - Sonance - VPXT6R</t>
  </si>
  <si>
    <t>75" Displays - LG - 75UH5F-H</t>
  </si>
  <si>
    <t>75" Displays - Peerless-AV - Neptune Partial Sun</t>
  </si>
  <si>
    <t>Wall Speakers - K-Arry - KV25II</t>
  </si>
  <si>
    <t>W-116 Mens Bar &amp; Lounge</t>
  </si>
  <si>
    <t>Extendable video wall mount - Draper - PW010020</t>
  </si>
  <si>
    <t>W-118 Womens Bar</t>
  </si>
  <si>
    <t>W-140 / W-141 Exterior Patio</t>
  </si>
  <si>
    <t>W-203 Consultation</t>
  </si>
  <si>
    <t>Sound System Cabling</t>
  </si>
  <si>
    <t>LOT-INTERCONNECTING CORDS AND CABLES, PATCH CABLES, WIRING, JACKS, PLUGS, CONNECTORS, PLATES, TERMINATION BLOCKS/STRIPS, PATCH PANELS, MOUNTING HARDWARE, SHELVES, SECURITY COVERS, LACING BARS, BLANKS, VENTS,  JUNCTION BOXES, TERMINATION BOXES, THERMAL MANAGEMENT, POWER SUPPLIES, POWER DISTRIBUTION, GROUNDING, WIREWAYS, FLEXIBLE CONDUIT, CABLE SUPPORT/WRAPS AND MISC. HARDWARE/SOFTWARE TO ENSURE A COMPLETE AND OPERATIONAL SYSTEM - CUSTOM BY AUDIOVISUAL CONTRACTOR
ITEMIZE ANY MISC COMPONENTS HERE AND PROVIDE LUMP SUM PRICING</t>
  </si>
  <si>
    <t>Mobilization, programming &amp; commissioning</t>
  </si>
  <si>
    <t>Ceiling speakers - Sonance - VPXT6R</t>
  </si>
  <si>
    <t>70V transformer for outdoor ceiling speakers - Sonance - PS-60XF</t>
  </si>
  <si>
    <t>Custom outdoor rated enclosure for transformer</t>
  </si>
  <si>
    <t>2 Channel 70V amplifier - QSC - MP-A80V</t>
  </si>
  <si>
    <t>Wall Bluetooth input panel - QSC - UnD6IO-BT</t>
  </si>
  <si>
    <t>Wall controller - QSC - Axon C1</t>
  </si>
  <si>
    <t>Rack touch panel controller - QSC - TSC-101-G3</t>
  </si>
  <si>
    <t>Nautilus RF LLC</t>
  </si>
  <si>
    <t>Jimmy Bradford</t>
  </si>
  <si>
    <t>27 53 00</t>
  </si>
  <si>
    <t xml:space="preserve">(954) 760-8573 </t>
  </si>
  <si>
    <t>jbradford@nautilusrf.com</t>
  </si>
  <si>
    <t>Club Core</t>
  </si>
  <si>
    <t>Pemit, engineering &amp; commissioning</t>
  </si>
  <si>
    <t>Survey</t>
  </si>
  <si>
    <t>Control Wiring</t>
  </si>
  <si>
    <t>CCTV Security Camera - wall mounted</t>
  </si>
  <si>
    <t>CCTV Security Camera - ceiling mounted</t>
  </si>
  <si>
    <t>Proximity Card Reader</t>
  </si>
  <si>
    <t>Wireless Access Control Gateway - Salto Bluenet Gateway</t>
  </si>
  <si>
    <t>Wireless Access Control Extention Node - Salto Bluenet Node</t>
  </si>
  <si>
    <t>Automated External Defibrillator Cabinet</t>
  </si>
  <si>
    <t>Type A</t>
  </si>
  <si>
    <t>Card Reader - 1</t>
  </si>
  <si>
    <t>Door Position Switch - 1</t>
  </si>
  <si>
    <t>Elec Panic Hardware - by others - 1</t>
  </si>
  <si>
    <t>Type C</t>
  </si>
  <si>
    <t>Wireless Slalto Lockset w/ Integrated reader - 1</t>
  </si>
  <si>
    <t>Panic Hardware - (integrated?) - 1</t>
  </si>
  <si>
    <t>Type E</t>
  </si>
  <si>
    <t>Lever Hardware - (integrated?) - 1</t>
  </si>
  <si>
    <t>Lever Hardware - 1</t>
  </si>
  <si>
    <t>Type F</t>
  </si>
  <si>
    <t>Type B</t>
  </si>
  <si>
    <t>Door Position Switch - 2</t>
  </si>
  <si>
    <t>Elec Panic Hardware - by others - 2</t>
  </si>
  <si>
    <t>Type D</t>
  </si>
  <si>
    <t>IR Sensor - 1</t>
  </si>
  <si>
    <t>Lever Hardware - by others - 1</t>
  </si>
  <si>
    <t>W-110, 111, 112 Lockers</t>
  </si>
  <si>
    <t>Dock Bar - NA</t>
  </si>
  <si>
    <t>Gartner</t>
  </si>
  <si>
    <t>exclude</t>
  </si>
  <si>
    <t>Guettler Brothers</t>
  </si>
  <si>
    <t xml:space="preserve">David Urbina </t>
  </si>
  <si>
    <t>31 30 00</t>
  </si>
  <si>
    <t>(772)-971-6473</t>
  </si>
  <si>
    <t>DUrbina@guettlerconstruction.com</t>
  </si>
  <si>
    <t xml:space="preserve">Site Work </t>
  </si>
  <si>
    <t>Grading</t>
  </si>
  <si>
    <t>subgrade for stairs</t>
  </si>
  <si>
    <t>sy</t>
  </si>
  <si>
    <t>base material for stairs</t>
  </si>
  <si>
    <t>subgrade for pavers</t>
  </si>
  <si>
    <t>base material for pavers</t>
  </si>
  <si>
    <t>subgrade for Crushed Coquina Path</t>
  </si>
  <si>
    <t>base material for Crushed Coquina Path</t>
  </si>
  <si>
    <t>Civil</t>
  </si>
  <si>
    <t>As-builts</t>
  </si>
  <si>
    <t>Erosion Control</t>
  </si>
  <si>
    <t>Silt Fence</t>
  </si>
  <si>
    <t>Silt Fence - Maintenance HB</t>
  </si>
  <si>
    <t>Inlet Protection</t>
  </si>
  <si>
    <t>Earthwork</t>
  </si>
  <si>
    <t>Build Spa Pods</t>
  </si>
  <si>
    <t>Build Embankments</t>
  </si>
  <si>
    <t>Backfill structures</t>
  </si>
  <si>
    <t>Rough Grade</t>
  </si>
  <si>
    <t>Fine Grade</t>
  </si>
  <si>
    <t>Lower level excavation - to bottom SOG elevation - 42' to 26'-6"</t>
  </si>
  <si>
    <t xml:space="preserve">Utilities </t>
  </si>
  <si>
    <t>Paving - by others</t>
  </si>
  <si>
    <t>Subgrade</t>
  </si>
  <si>
    <t>Base Material</t>
  </si>
  <si>
    <t>Asphalt</t>
  </si>
  <si>
    <t>Curb &amp; gutter - by others</t>
  </si>
  <si>
    <t>Striping &amp; Signage - by others</t>
  </si>
  <si>
    <t>Temp crane road - stabilized subgrade</t>
  </si>
  <si>
    <t>Temp crane road - 8" rock?</t>
  </si>
  <si>
    <t>Lower level excavation - site work sub to excavate to top of footing  elevation - 42' to 24'-0"</t>
  </si>
  <si>
    <t>Generator enclosuure - no details</t>
  </si>
  <si>
    <t>Remove footing, MEP trench, misc spoils form site</t>
  </si>
  <si>
    <t>sub add</t>
  </si>
  <si>
    <t>S-103  - SOIL STABILIZATION OR GEOTEXTILE TIEBACK SYSTEM TO BE PROVIDED BY CONTRACTOR TO REMOVE LATERAL EARTH PRESSURE GOING INTO BUILDING AT ALL LOCATIONS WHERE GRADE EXCEEDS EL. 42'-0"</t>
  </si>
  <si>
    <t>Structural load to be removed?
Depth and width of area of remidiation?
Engineering required?</t>
  </si>
  <si>
    <t>Assume GEOTEXTILE TIEBACK SYSTEM</t>
  </si>
  <si>
    <t>????????????????</t>
  </si>
  <si>
    <t>Fencing</t>
  </si>
  <si>
    <t>31 46 00 Sheet Piling</t>
  </si>
  <si>
    <t>Temp steel sheet piling - (base on Caretta pricing)</t>
  </si>
  <si>
    <t>2 ft embedment for every 1 ft of exposed height</t>
  </si>
  <si>
    <t>17' excavation - 34' embedment?</t>
  </si>
  <si>
    <t>assumes 1 month rental</t>
  </si>
  <si>
    <t>additional months rental</t>
  </si>
  <si>
    <t>mark-ups</t>
  </si>
  <si>
    <t>Grading - by Owner</t>
  </si>
  <si>
    <t xml:space="preserve">Concrete Base  </t>
  </si>
  <si>
    <t>Victory</t>
  </si>
  <si>
    <t>Conc Paving Pedestrian - assume 4"</t>
  </si>
  <si>
    <t>Conc Paving Vehicular (service drive only) - assume 6"</t>
  </si>
  <si>
    <t>Concrete base for stairs</t>
  </si>
  <si>
    <t>L3.03-1-4-5</t>
  </si>
  <si>
    <t>Stone pavers conc support slab - 4"</t>
  </si>
  <si>
    <r>
      <t xml:space="preserve">Hardscape - Concrete Retaining Walls - </t>
    </r>
    <r>
      <rPr>
        <sz val="11"/>
        <color rgb="FFFF0000"/>
        <rFont val="Calibri"/>
        <family val="2"/>
        <scheme val="minor"/>
      </rPr>
      <t>no structural details</t>
    </r>
    <r>
      <rPr>
        <sz val="11"/>
        <rFont val="Calibri"/>
        <family val="2"/>
        <scheme val="minor"/>
      </rPr>
      <t xml:space="preserve"> - assume 12" depth footing cover.</t>
    </r>
  </si>
  <si>
    <t>Detail:</t>
  </si>
  <si>
    <t>(1) Stone Veneer Retaining Wall - 12" - Dining east side stairs</t>
  </si>
  <si>
    <t>L3.04-1</t>
  </si>
  <si>
    <t xml:space="preserve"> - this should be a curb?</t>
  </si>
  <si>
    <t>(2) Stone Veneer Retaining Wall - 24" - Dining - L1.01, L1.03</t>
  </si>
  <si>
    <t>wall - 3.50 t x 2.00 w</t>
  </si>
  <si>
    <t>footing - 2.50 x 1.00 - assume 0.7 X wall height</t>
  </si>
  <si>
    <t>stone veneer - 2'-6"  exposure</t>
  </si>
  <si>
    <t>drainage back-fill</t>
  </si>
  <si>
    <t>(3) Stone Veneer Retaining Wall - 12" - Dining service drive east side</t>
  </si>
  <si>
    <t>wall -  7.00 t x 1.00 w</t>
  </si>
  <si>
    <t>footing - 5.00 x 1.00 - assume 0.7 X wall height</t>
  </si>
  <si>
    <t>stone veneer - 6'-0" exposure</t>
  </si>
  <si>
    <t>(4) Stone Veneer Free Standing Wall - 12" - Dining service drive east side</t>
  </si>
  <si>
    <t>L3.04-4</t>
  </si>
  <si>
    <t>wall - 9.00 t x 1.00 w</t>
  </si>
  <si>
    <t>footing - 6.5 x 1.00 - assume 0.7 X wall height</t>
  </si>
  <si>
    <t xml:space="preserve">stone veneer - </t>
  </si>
  <si>
    <t xml:space="preserve">stone veneer back side - </t>
  </si>
  <si>
    <t>(5) Stone Veneer Retaining Wall - 12" - Dining grand stair west side - L1.03</t>
  </si>
  <si>
    <t>wall - avg height - 9.00 t x 1.00 w</t>
  </si>
  <si>
    <t>footing - 6.50 x 1.00 - assume 0.7 X wall height</t>
  </si>
  <si>
    <t>(6) Stone Veneer Retaining Wall - 12" - Fitness / Pool wrap around - L1.03</t>
  </si>
  <si>
    <t>wall - avg height - 5.75 t x 1.00 w</t>
  </si>
  <si>
    <t>footing - 4.00 x 1.00 - assume 0.7 X wall height</t>
  </si>
  <si>
    <t>(7) Stone Veneer Retaining Wall - 12" - Cart Barn entrance east side - L1.04</t>
  </si>
  <si>
    <t>wall - avg height - 10.25 t x 100 w</t>
  </si>
  <si>
    <t>footing - 7.25 x 1.00</t>
  </si>
  <si>
    <t>(8) Stone Veneer Retaining Wall - 12" - Cart Barn entrance west side - L1.04</t>
  </si>
  <si>
    <t>wall - avg height - 8.50 t x 1.00 w</t>
  </si>
  <si>
    <t>footing - 6.00 x 1.00</t>
  </si>
  <si>
    <t>(9) Concrete Retaining Wall- 12"  - Dining service drive west side</t>
  </si>
  <si>
    <t>L3.04-6</t>
  </si>
  <si>
    <t>wall - avg height - 13.00 t x 1.00 w</t>
  </si>
  <si>
    <t>footing - 8.78 x 1.00</t>
  </si>
  <si>
    <t xml:space="preserve">sand blast finish - </t>
  </si>
  <si>
    <t>Concrete Retaining Wall- 12"  - Spa Garden</t>
  </si>
  <si>
    <t>wall - 9.00 t  x 1.00 w</t>
  </si>
  <si>
    <t>footing - 8.75 x 1.00</t>
  </si>
  <si>
    <t>Concrete Retaining Wall- 12"  - Spa Garden entry</t>
  </si>
  <si>
    <t>wall - 9 X 24 X .5 x 2</t>
  </si>
  <si>
    <t>Drainage back-fill at retaining walls</t>
  </si>
  <si>
    <r>
      <t xml:space="preserve">Hardscape - French drain at retaining walls - </t>
    </r>
    <r>
      <rPr>
        <sz val="11"/>
        <color rgb="FFFF0000"/>
        <rFont val="Calibri"/>
        <family val="2"/>
        <scheme val="minor"/>
      </rPr>
      <t>no details</t>
    </r>
  </si>
  <si>
    <r>
      <t xml:space="preserve">Stone Veneer Bulkhead  Wall - 14" - </t>
    </r>
    <r>
      <rPr>
        <sz val="11"/>
        <color rgb="FFFF0000"/>
        <rFont val="Calibri"/>
        <family val="2"/>
        <scheme val="minor"/>
      </rPr>
      <t>no locations called out</t>
    </r>
  </si>
  <si>
    <t>L3.04-5</t>
  </si>
  <si>
    <r>
      <t xml:space="preserve">Hardscape - Pier for gate detail - </t>
    </r>
    <r>
      <rPr>
        <sz val="11"/>
        <color rgb="FFFF0000"/>
        <rFont val="Calibri"/>
        <family val="2"/>
        <scheme val="minor"/>
      </rPr>
      <t>no structural details - 8" CMU?</t>
    </r>
  </si>
  <si>
    <t>L3.05-2</t>
  </si>
  <si>
    <t>8" CMU - 2' x 2' x 5.25'</t>
  </si>
  <si>
    <t>3x3x1 conc footing</t>
  </si>
  <si>
    <r>
      <t xml:space="preserve">Hardscape - Pool Condenser Enclosure - </t>
    </r>
    <r>
      <rPr>
        <sz val="11"/>
        <color rgb="FFFF0000"/>
        <rFont val="Calibri"/>
        <family val="2"/>
        <scheme val="minor"/>
      </rPr>
      <t>no structural details - 8" CMU?</t>
    </r>
  </si>
  <si>
    <t>8" CMU - 5'</t>
  </si>
  <si>
    <t>1x1x cont. footing</t>
  </si>
  <si>
    <r>
      <t xml:space="preserve">Hardscape - Concrete apron at Amphitheater - 6" - </t>
    </r>
    <r>
      <rPr>
        <sz val="11"/>
        <color rgb="FFFF0000"/>
        <rFont val="Calibri"/>
        <family val="2"/>
        <scheme val="minor"/>
      </rPr>
      <t>no structural details</t>
    </r>
  </si>
  <si>
    <t>L3.03-3</t>
  </si>
  <si>
    <r>
      <t xml:space="preserve">Hardscape - Concrete apron (wall?) at Dining stairs - </t>
    </r>
    <r>
      <rPr>
        <sz val="11"/>
        <color rgb="FFFF0000"/>
        <rFont val="Calibri"/>
        <family val="2"/>
        <scheme val="minor"/>
      </rPr>
      <t>no details</t>
    </r>
  </si>
  <si>
    <r>
      <t xml:space="preserve">Hardscape - Stone Veneer - Irregular Florida Keystone - full thickness - 3" to 4" - </t>
    </r>
    <r>
      <rPr>
        <sz val="11"/>
        <color rgb="FFFF0000"/>
        <rFont val="Calibri"/>
        <family val="2"/>
        <scheme val="minor"/>
      </rPr>
      <t xml:space="preserve"> not able to accurately determine wall heights and stone exposure</t>
    </r>
  </si>
  <si>
    <t>L100B</t>
  </si>
  <si>
    <t>Stone Veneer Retaining Wall - 24" - Dining - L1.01, L1.03</t>
  </si>
  <si>
    <t>Stone Veneer Retaining Wall - 12" - Dining service drive east side</t>
  </si>
  <si>
    <t>3)</t>
  </si>
  <si>
    <t>Stone Veneer Free Standing Wall - 12" - Dining service drive east side</t>
  </si>
  <si>
    <t>Stone Veneer Retaining Wall - 12" - Dining grand stair west side - L1.03</t>
  </si>
  <si>
    <t>Stone Veneer Retaining Wall - 12" - Fitness / Pool wrap around - L1.03</t>
  </si>
  <si>
    <t>Stone Veneer Retaining Wall - 12" - Cart Barn entrance east side - L1.04</t>
  </si>
  <si>
    <t>Stone Veneer Retaining Wall - 12" - Cart Barn entrance west side - L1.04</t>
  </si>
  <si>
    <t>Sone Veneer Bulkhead - 2.08 - EXCLUDE - BY OTHERS</t>
  </si>
  <si>
    <t>Wood Bulkhead - EXCLUDE - BY OTHERS</t>
  </si>
  <si>
    <t>L3.04-3</t>
  </si>
  <si>
    <t>RFI responses:</t>
  </si>
  <si>
    <t xml:space="preserve">Q: Referencing Hardscape drawings L1.02 and L1.04 the Hot Tubs at the Treatment Pods call out both "Hot Tub - Detail L3.10-37" and  "Stone Veneer Retaining Wall - Detail L3.01-3/5" We are assuming both applications cannot happen on top of each other.  Please clarify with a detail how this detail will work. </t>
  </si>
  <si>
    <t xml:space="preserve">A: Notes on L1.02 L1.04 will be changed to "Hot Tub -Detail L3.10-3" only the other detail reference will be removed. </t>
  </si>
  <si>
    <t xml:space="preserve">Q: A3.00 Depicts the same hatching for ST-02 leading down to the loading dock service area. Please confirm if that retaining wall is to receive the ST-02 and where is terminates or is it assumed to be wall type W5.16 as noted on A2.10.2 with a single side plaster? </t>
  </si>
  <si>
    <t xml:space="preserve">A: That wall is to be .wall type W5.16 as noted on A2.10.2 with a single side plaster </t>
  </si>
  <si>
    <t>David Watne</t>
  </si>
  <si>
    <t>Perfect Pavers</t>
  </si>
  <si>
    <t>Palm Beach Contracting</t>
  </si>
  <si>
    <t>C.S.E Paving</t>
  </si>
  <si>
    <t>Marbon</t>
  </si>
  <si>
    <t>David W. Bennett</t>
  </si>
  <si>
    <t>Cissy Yang</t>
  </si>
  <si>
    <t>Niki Massey</t>
  </si>
  <si>
    <t>Stephen Warden</t>
  </si>
  <si>
    <t xml:space="preserve">(561) 339-7688 </t>
  </si>
  <si>
    <t xml:space="preserve">(954) 779-1855 </t>
  </si>
  <si>
    <t xml:space="preserve">(561) 758-9551 </t>
  </si>
  <si>
    <t xml:space="preserve">(561) 279-9200 </t>
  </si>
  <si>
    <t xml:space="preserve">David@dwhardscapes.com </t>
  </si>
  <si>
    <t>cissy.yang@perfectpavers.com</t>
  </si>
  <si>
    <t>niki@palmbeachcontractingservices.com</t>
  </si>
  <si>
    <t>sales@csepaving.com</t>
  </si>
  <si>
    <t>Paul@marbon.com</t>
  </si>
  <si>
    <t>Pavers</t>
  </si>
  <si>
    <t>Concrete Pavers - Techo Block - Industria Smooth</t>
  </si>
  <si>
    <t>Coral Stone Flagstone Pavers</t>
  </si>
  <si>
    <t>Coral Stone Pavers</t>
  </si>
  <si>
    <t>Coral Stone Pavers w/ Grass</t>
  </si>
  <si>
    <t>Coral Stone Pavers - pool deck</t>
  </si>
  <si>
    <t>Stair Stone Slabs</t>
  </si>
  <si>
    <t>Florida Key Stone Slabs - Stairs - 15" x 5"</t>
  </si>
  <si>
    <t xml:space="preserve">L3.03-1 </t>
  </si>
  <si>
    <t>Limestone (assume FL Key Stone) - Stairs - 15" x 5"</t>
  </si>
  <si>
    <t>Oolite Stone Slabs (assume FL Key Stone) - Stairs - 15" x 5"</t>
  </si>
  <si>
    <t>L3.03-2</t>
  </si>
  <si>
    <t>Other Stone Details</t>
  </si>
  <si>
    <t>Florida Key Stone Block Wall (prev Oolite) Wellness steps to pool - 18" x 34"</t>
  </si>
  <si>
    <t>L3.04-2</t>
  </si>
  <si>
    <t>Stone Amphitheater Wall - Oolite cut bolders - 18" x 34"</t>
  </si>
  <si>
    <t>Stone Banding - Florida Key Stone - 12" x 24"</t>
  </si>
  <si>
    <t>L3.04-7</t>
  </si>
  <si>
    <t>Crushed Coquina Path - sf</t>
  </si>
  <si>
    <t>Scope Contingency</t>
  </si>
  <si>
    <t xml:space="preserve">Q: On sheet L1.00B – Coral Stone Paving and Coral Stone Flagstone Paving are labeled as two detail callouts and one of the detail callouts (L3.01-3) is the same. Please clarify. </t>
  </si>
  <si>
    <t xml:space="preserve">A: Coral Stone Flagstone Paving will have the L3.01-3 Detail Reference removed. This spec will be changed from 3/4" to 2". </t>
  </si>
  <si>
    <t xml:space="preserve">Q: On sheet L1.00B – Limestone Stairs and Florida Key Stone Slabs Stairs are labeled as the same detail callout (L3.03-1) is the same. Please clarify. </t>
  </si>
  <si>
    <t xml:space="preserve">A: They both reference the same detail but different materials. Note 1 on Detail sheet calls out Material Schedule. </t>
  </si>
  <si>
    <t xml:space="preserve">Q: On sheet L1.00B – Oolite Block Wall and Amphitheater Wall are labeled as the same detail callout (L3.04-2).  Please clarify. </t>
  </si>
  <si>
    <t xml:space="preserve">A: Oolite Block wall will be removed from list as material will be Florda Key Stone. </t>
  </si>
  <si>
    <t xml:space="preserve">Q: On sheet L1.00B – Stone Banding L3.04-7 – This material has no specifications. </t>
  </si>
  <si>
    <t xml:space="preserve">A: Florida Keystone Note 1. on detail will change to "See Sheet L1.00B. </t>
  </si>
  <si>
    <t xml:space="preserve">Q: On sheet L1.00B – Coral Stone Coping L3.02-5 – This material has no specifications. </t>
  </si>
  <si>
    <t xml:space="preserve">A: Disregard this Detail. It will be removed as it is no longer provided. </t>
  </si>
  <si>
    <t xml:space="preserve">Q: On sheet L1.00B – tone Paving Over Structure L3.02-4 – This material has no specifications. </t>
  </si>
  <si>
    <t xml:space="preserve">A: Palladium White Coral Stone </t>
  </si>
  <si>
    <t xml:space="preserve">Q: L3.01-3/4 Coral Stone Walkway: please clarify if this area has a border paver as plan shows some sort of border but the plan detail does 
not provide this information. </t>
  </si>
  <si>
    <t xml:space="preserve">A: Detail will be modified to show only walkways on plan that show a band will get a 18"x36" band. </t>
  </si>
  <si>
    <t>Q: L3.01-8 Coral Stone w/ Grass Joints: Please provide spec for edge restraint for these areas.</t>
  </si>
  <si>
    <t>A: A detail for Permalock cleanline will be added</t>
  </si>
  <si>
    <t xml:space="preserve">Q: It is our understanding that the owner has directly hired a company for all the decorative vehicular (cart path) walks. These walks are called out and specified on the Hardscape documents. Please advise if these are to be included by Contractor or by Owner. </t>
  </si>
  <si>
    <t xml:space="preserve">A: Owner will construct all cart paths; contractor shall provide all other walkways. </t>
  </si>
  <si>
    <t>A Great Fence</t>
  </si>
  <si>
    <t>Fence &amp; Gates</t>
  </si>
  <si>
    <t>Melissa Smith</t>
  </si>
  <si>
    <t>(772) 812-0223</t>
  </si>
  <si>
    <t>bids@agreatfence.com</t>
  </si>
  <si>
    <t>Pool Fence</t>
  </si>
  <si>
    <t>Hardscape Fence Detail</t>
  </si>
  <si>
    <t>4' - 3x3 tube steel posts / concrete footing</t>
  </si>
  <si>
    <t>3/L3.05</t>
  </si>
  <si>
    <t>Hardscape Gate Detail</t>
  </si>
  <si>
    <t>2/L3.05</t>
  </si>
  <si>
    <t>2' gate section - 2 ea</t>
  </si>
  <si>
    <t xml:space="preserve">4' x 4' gate </t>
  </si>
  <si>
    <r>
      <t xml:space="preserve">Fence &amp; Gates - Wood Pool Enclosure Gate - </t>
    </r>
    <r>
      <rPr>
        <sz val="11"/>
        <color rgb="FFFF0000"/>
        <rFont val="Calibri"/>
        <family val="2"/>
        <scheme val="minor"/>
      </rPr>
      <t>no detail or dimensions</t>
    </r>
  </si>
  <si>
    <t>1/L3.05</t>
  </si>
  <si>
    <t>wood cladding on steel frame</t>
  </si>
  <si>
    <t>steel posts &amp; beam</t>
  </si>
  <si>
    <t>Site Handrails</t>
  </si>
  <si>
    <t>4/L3.03</t>
  </si>
  <si>
    <t>Total handrails</t>
  </si>
  <si>
    <t>Handrail sections</t>
  </si>
  <si>
    <t>Retaining Wall Guard Rail</t>
  </si>
  <si>
    <t>L3.03-6</t>
  </si>
  <si>
    <t>TCI Rood</t>
  </si>
  <si>
    <t>Custom Landscapes</t>
  </si>
  <si>
    <t>A Cut Above</t>
  </si>
  <si>
    <t>Down to Earth</t>
  </si>
  <si>
    <t>Swallowtail</t>
  </si>
  <si>
    <t>Maira Mendez</t>
  </si>
  <si>
    <t>Gerald Wenta</t>
  </si>
  <si>
    <t>Sonia Almanza</t>
  </si>
  <si>
    <t>Anna Buttenschon</t>
  </si>
  <si>
    <t>Steve Kross</t>
  </si>
  <si>
    <t>(561) 951-9220</t>
  </si>
  <si>
    <t xml:space="preserve">(772) 216-3587 </t>
  </si>
  <si>
    <t xml:space="preserve">(561) 795-1995 </t>
  </si>
  <si>
    <t>(954) 439-2662</t>
  </si>
  <si>
    <t>(772) 360-7132</t>
  </si>
  <si>
    <t>mmendez@tcirrigation.com</t>
  </si>
  <si>
    <t>geraldwenta@gmail.com</t>
  </si>
  <si>
    <t>Sonia Almanza &lt;sonia@acalandscape.net&gt;</t>
  </si>
  <si>
    <t>Anna.Buttenschon@down2earthinc.com</t>
  </si>
  <si>
    <t>sjkross@aol.com</t>
  </si>
  <si>
    <t>Landscape - labor only</t>
  </si>
  <si>
    <t>Install only specified plants</t>
  </si>
  <si>
    <t>Staking / guying of trees &amp; palms</t>
  </si>
  <si>
    <t>Shredded hardwood mulch</t>
  </si>
  <si>
    <t>Bahia sod</t>
  </si>
  <si>
    <t>Back fill at plant pits</t>
  </si>
  <si>
    <t>Planting Soil</t>
  </si>
  <si>
    <t>Fertilizer</t>
  </si>
  <si>
    <t>Aluminum edging</t>
  </si>
  <si>
    <t>Supplemental Watering</t>
  </si>
  <si>
    <t>Root barrier</t>
  </si>
  <si>
    <r>
      <t xml:space="preserve">Landscape - Root barrier - </t>
    </r>
    <r>
      <rPr>
        <sz val="11"/>
        <color rgb="FFFF0000"/>
        <rFont val="Calibri"/>
        <family val="2"/>
        <scheme val="minor"/>
      </rPr>
      <t>need to confirm locations</t>
    </r>
  </si>
  <si>
    <t>Banyon trees - installed by Owner per RFI repsonse</t>
  </si>
  <si>
    <t>Irrigation system - provide and insstall</t>
  </si>
  <si>
    <t>Bond</t>
  </si>
  <si>
    <t>Coquina path</t>
  </si>
  <si>
    <t xml:space="preserve">coquina  </t>
  </si>
  <si>
    <t>fabric</t>
  </si>
  <si>
    <t>edging</t>
  </si>
  <si>
    <t>Marine Construction</t>
  </si>
  <si>
    <t>Cranes and Hoist</t>
  </si>
  <si>
    <t xml:space="preserve">41 22 </t>
  </si>
  <si>
    <t>Crane and Hoist</t>
  </si>
  <si>
    <t>OCIP Insurance per exhibit</t>
  </si>
  <si>
    <t>Crane SK405.20 by Maxim Crane Works 10/04/23</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</si>
  <si>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</si>
  <si>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</si>
  <si>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</si>
  <si>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</si>
  <si>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</si>
  <si>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</si>
  <si>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</si>
  <si>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</si>
  <si>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</si>
  <si>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</si>
  <si>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</si>
  <si>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</si>
  <si>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</si>
  <si>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</si>
  <si>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</si>
  <si>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</si>
  <si>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</si>
  <si>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</si>
  <si>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</si>
  <si>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</si>
  <si>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</si>
  <si>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</si>
  <si>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</si>
  <si>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</si>
  <si>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</si>
  <si>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2,600.00LF</t>
  </si>
  <si>
    <t>Silt Fence Maintenance</t>
  </si>
  <si>
    <t>6.00MO</t>
  </si>
  <si>
    <t>22.00EACH</t>
  </si>
  <si>
    <t>Turbidity Barrier</t>
  </si>
  <si>
    <t>100.00LF</t>
  </si>
  <si>
    <t xml:space="preserve">Site Prep And Mass Grading </t>
  </si>
  <si>
    <t>Clear/Grub/Disk Site</t>
  </si>
  <si>
    <t>Site Cut To Fill</t>
  </si>
  <si>
    <t>600.00CY</t>
  </si>
  <si>
    <t>Import Fill, Place And Compact</t>
  </si>
  <si>
    <t>19,500.00CY</t>
  </si>
  <si>
    <t>Machine Grade Rough</t>
  </si>
  <si>
    <t>28,300.00SY</t>
  </si>
  <si>
    <t>Machine Grade Fine</t>
  </si>
  <si>
    <t>Site Grade Final (Pre-Landscape)</t>
  </si>
  <si>
    <t>Sod Dry Retention Areas</t>
  </si>
  <si>
    <t>4,200.00SY</t>
  </si>
  <si>
    <t xml:space="preserve">Paving Onsite </t>
  </si>
  <si>
    <t>12" Stabilized Subgrade, LBR40</t>
  </si>
  <si>
    <t>8,600.00SY</t>
  </si>
  <si>
    <t>6-1/2" FDOT Rock Base, LBR100</t>
  </si>
  <si>
    <t>8,100.00SY</t>
  </si>
  <si>
    <t>3/4" Asphalt Bottom Lift, Type S</t>
  </si>
  <si>
    <t>8,000.00SY</t>
  </si>
  <si>
    <t>3/4" Asphalt Top Lift, Type S</t>
  </si>
  <si>
    <t xml:space="preserve">Vehicular Brick Pavers (Standard Size/Color/Pattern) </t>
  </si>
  <si>
    <t>85.00SY</t>
  </si>
  <si>
    <t>Concrete Pavement 6"</t>
  </si>
  <si>
    <t>1,500.00SF</t>
  </si>
  <si>
    <t>Type D Curb (Machined)</t>
  </si>
  <si>
    <t>4,250.00LF</t>
  </si>
  <si>
    <t>Type D Curb (Hand Formed)</t>
  </si>
  <si>
    <t>110.00LF</t>
  </si>
  <si>
    <t>2' Valley Gutter Curb</t>
  </si>
  <si>
    <t>250.00LF</t>
  </si>
  <si>
    <t>Header Curb</t>
  </si>
  <si>
    <t>145.00LF</t>
  </si>
  <si>
    <t>Concrete Sidewalk 4"</t>
  </si>
  <si>
    <t>14,000.00SF</t>
  </si>
  <si>
    <t>Concrete Bike Rack 4"</t>
  </si>
  <si>
    <t>120.00SF</t>
  </si>
  <si>
    <t>ADA Ramp</t>
  </si>
  <si>
    <t>7.00EACH</t>
  </si>
  <si>
    <t xml:space="preserve">Guardrail (Includes TL-3 Guardrail And TL-2 End Sections) (Excludes Asphalt Mowing Strip) </t>
  </si>
  <si>
    <t>650.00LF</t>
  </si>
  <si>
    <t>Striping And Signage</t>
  </si>
  <si>
    <t xml:space="preserve">Storm Drainage </t>
  </si>
  <si>
    <t>4" HDPE RWL (Includes All Fittings)</t>
  </si>
  <si>
    <t>55.00LF</t>
  </si>
  <si>
    <t>6" HDPE RWL (Includes All Fittings)</t>
  </si>
  <si>
    <t>76.00LF</t>
  </si>
  <si>
    <t>8" HDPE RWL (Includes All Fittings)</t>
  </si>
  <si>
    <t>271.00LF</t>
  </si>
  <si>
    <t>12" HDPE</t>
  </si>
  <si>
    <t>560.00LF</t>
  </si>
  <si>
    <t>15" HDPE</t>
  </si>
  <si>
    <t>467.00LF</t>
  </si>
  <si>
    <t>18" HDPE</t>
  </si>
  <si>
    <t>142.00LF</t>
  </si>
  <si>
    <t>24" HDPE</t>
  </si>
  <si>
    <t>1,775.00LF</t>
  </si>
  <si>
    <t>24" Cap</t>
  </si>
  <si>
    <t>61.00LF</t>
  </si>
  <si>
    <t>12" HDPE Perforated W/2'x2' Under Drain</t>
  </si>
  <si>
    <t>153.00LF</t>
  </si>
  <si>
    <t>Cleanout With Concrete Collar</t>
  </si>
  <si>
    <t>4.00EACH</t>
  </si>
  <si>
    <t>Yard Drain</t>
  </si>
  <si>
    <t>8.00EACH</t>
  </si>
  <si>
    <t>Type C Catch Basin W/USF 6212</t>
  </si>
  <si>
    <t>1.00EACH</t>
  </si>
  <si>
    <t>Type C Water Control Structure W/USF 6611</t>
  </si>
  <si>
    <t>Type E Structure W/USF 6290</t>
  </si>
  <si>
    <t>5.00EACH</t>
  </si>
  <si>
    <t>5' X 6' Control Structure</t>
  </si>
  <si>
    <t>4' Round PC Catch Basin W/USF 4155-6209</t>
  </si>
  <si>
    <t>4' Round PG Curb Inlet W/USF 5130-6168</t>
  </si>
  <si>
    <t>9.00EACH</t>
  </si>
  <si>
    <t>4' Round PV Valley Inlet W/USF 5113-6194</t>
  </si>
  <si>
    <t>2.00EACH</t>
  </si>
  <si>
    <t>4' Manhole W/USF 170-F</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</si>
  <si>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</si>
  <si>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</si>
  <si>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</si>
  <si>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</si>
  <si>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</si>
  <si>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</si>
  <si>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</si>
  <si>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</si>
  <si>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</si>
  <si>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</si>
  <si>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</si>
  <si>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</si>
  <si>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</si>
  <si>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</si>
  <si>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Sanitary Sewer Dewatering</t>
  </si>
  <si>
    <t>Test/Final Sanitary Sewer</t>
  </si>
  <si>
    <t xml:space="preserve">Force Main And Lift Station </t>
  </si>
  <si>
    <t>4" C900 Force Main</t>
  </si>
  <si>
    <t>305.00LF</t>
  </si>
  <si>
    <t>MJ Fittings</t>
  </si>
  <si>
    <t>Lift Station</t>
  </si>
  <si>
    <t>Test/Final Force Main</t>
  </si>
  <si>
    <t xml:space="preserve">Potable Water Main </t>
  </si>
  <si>
    <t>8" C900 DR18 Water Main</t>
  </si>
  <si>
    <t>1,343.00LF</t>
  </si>
  <si>
    <t>8" Ductile Iron Water Main</t>
  </si>
  <si>
    <t>50.00LF</t>
  </si>
  <si>
    <t>8" Gate Valve Assembly</t>
  </si>
  <si>
    <t>6" C900 DR18 Water Main</t>
  </si>
  <si>
    <t>6" Gate Valve Assembly</t>
  </si>
  <si>
    <t>4" Single Water Service W/RPZ</t>
  </si>
  <si>
    <t>Fire Hydrant Assembly W/Gate Valve</t>
  </si>
  <si>
    <t>4" Gate Valve Assembly</t>
  </si>
  <si>
    <t>Lift Station Water Service</t>
  </si>
  <si>
    <t>Test/Final Water Main</t>
  </si>
  <si>
    <t xml:space="preserve">Fire Main </t>
  </si>
  <si>
    <t>6" Ductile Iron Fire Main</t>
  </si>
  <si>
    <t>135.00LF</t>
  </si>
  <si>
    <t>6" DDCV</t>
  </si>
  <si>
    <t>4" Ductile Iron Fire Main</t>
  </si>
  <si>
    <t>15.00LF</t>
  </si>
  <si>
    <t>MJDI Fittings</t>
  </si>
  <si>
    <t>4" Fire Department Connection</t>
  </si>
  <si>
    <t>6" Fire Line Stub Out</t>
  </si>
  <si>
    <t>Final/Test Fire Main</t>
  </si>
  <si>
    <t>MOT</t>
  </si>
  <si>
    <t>1,700.00LF</t>
  </si>
  <si>
    <t>Aggregate Construction Entrance</t>
  </si>
  <si>
    <t>Construction Entrance Maintenance</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</si>
  <si>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</si>
  <si>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</si>
  <si>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</si>
  <si>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</si>
  <si>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</si>
  <si>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</si>
  <si>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</si>
  <si>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</si>
  <si>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</si>
  <si>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</si>
  <si>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</si>
  <si>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</si>
  <si>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</si>
  <si>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</si>
  <si>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</si>
  <si>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</si>
  <si>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</si>
  <si>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</si>
  <si>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</si>
  <si>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</si>
  <si>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</si>
  <si>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</si>
  <si>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</si>
  <si>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</si>
  <si>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</si>
  <si>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t>Type D Curb</t>
  </si>
  <si>
    <r>
      <t>Storm Drainage</t>
    </r>
    <r>
      <rPr>
        <sz val="8"/>
        <color theme="1"/>
        <rFont val="Times New Roman"/>
        <family val="1"/>
      </rPr>
      <t xml:space="preserve"> </t>
    </r>
  </si>
  <si>
    <t>EACH</t>
  </si>
  <si>
    <t>Sanitary Sewer</t>
  </si>
  <si>
    <t>4" PVC Sanitary Sewer-Grease Trap (Includes All Fittings And Cleanouts)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</si>
  <si>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</si>
  <si>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</si>
  <si>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</si>
  <si>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</si>
  <si>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</si>
  <si>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</si>
  <si>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</si>
  <si>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</si>
  <si>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</si>
  <si>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</si>
  <si>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</si>
  <si>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</si>
  <si>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</si>
  <si>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</si>
  <si>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</si>
  <si>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</si>
  <si>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</si>
  <si>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</si>
  <si>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</si>
  <si>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</si>
  <si>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</si>
  <si>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</si>
  <si>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</si>
  <si>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</si>
  <si>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ft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</si>
  <si>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</si>
  <si>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</si>
  <si>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</si>
  <si>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</si>
  <si>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</si>
  <si>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</si>
  <si>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</si>
  <si>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</si>
  <si>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</si>
  <si>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</si>
  <si>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</si>
  <si>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flooring - LVT</t>
  </si>
  <si>
    <t>flooring - tile</t>
  </si>
  <si>
    <t>flooring - tile base</t>
  </si>
  <si>
    <t>paint walls</t>
  </si>
  <si>
    <t>paint ceilings</t>
  </si>
  <si>
    <t>paint base</t>
  </si>
  <si>
    <t>paint doors &amp; frames</t>
  </si>
  <si>
    <t>paint shelves</t>
  </si>
  <si>
    <t>paint shelf &amp; pole</t>
  </si>
  <si>
    <t>36" grab bar</t>
  </si>
  <si>
    <t>42" grab bar</t>
  </si>
  <si>
    <t>TP holder</t>
  </si>
  <si>
    <t>mirror</t>
  </si>
  <si>
    <t>Window treatment</t>
  </si>
  <si>
    <t>window blinds</t>
  </si>
  <si>
    <t>stove top</t>
  </si>
  <si>
    <t>refrigerator</t>
  </si>
  <si>
    <t>plumbing</t>
  </si>
  <si>
    <t>kitchen sink</t>
  </si>
  <si>
    <t>lav</t>
  </si>
  <si>
    <t>toilet</t>
  </si>
  <si>
    <t>HC shower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</si>
</sst>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0\)"/>
    <numFmt numFmtId="173" formatCode="[$-409]mmmm\ d\,\ yyyy;@"/>
    <numFmt numFmtId="174" formatCode="#,##0.0"/>
    <numFmt numFmtId="175" formatCode="00\ 00\ 00"/>
    <numFmt numFmtId="176" formatCode="_(&quot;$&quot;* #,##0.0_);_(&quot;$&quot;* \(#,##0.0\);_(&quot;$&quot;* &quot;-&quot;?_);_(@_)"/>
    <numFmt numFmtId="177" formatCode="00\)"/>
    <numFmt numFmtId="178" formatCode="_(* #,##0.000000_);_(* \(#,##0.000000\);_(* &quot;-&quot;??_);_(@_)"/>
    <numFmt numFmtId="179" formatCode="_(* #,##0.000000000_);_(* \(#,##0.000000000\);_(* &quot;-&quot;??_);_(@_)"/>
    <numFmt numFmtId="180" formatCode="0.0%"/>
    <numFmt numFmtId="181" formatCode="_(&quot;$&quot;* #,##0.000000_);_(&quot;$&quot;* \(#,##0.000000\);_(&quot;$&quot;* &quot;-&quot;??_);_(@_)"/>
    <numFmt numFmtId="182" formatCode="0.0000%"/>
    <numFmt numFmtId="183" formatCode="_(* #,##0.00000_);_(* \(#,##0.00000\);_(* &quot;-&quot;??_);_(@_)"/>
    <numFmt numFmtId="184" formatCode="_(* #,##0.0000_);_(* \(#,##0.0000\);_(* &quot;-&quot;??_);_(@_)"/>
  </numFmts>
  <fonts count="107">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2"/>
      <name val="Arial"/>
      <family val="2"/>
    </font>
    <font>
      <sz val="11"/>
      <color rgb="FF2919FB"/>
      <name val="Calibri"/>
      <family val="2"/>
      <scheme val="minor"/>
    </font>
    <font>
      <sz val="11"/>
      <color rgb="FF0000FF"/>
      <name val="Calibri"/>
      <family val="2"/>
      <scheme val="minor"/>
    </font>
    <font>
      <sz val="10"/>
      <color theme="1"/>
      <name val="Calibri"/>
      <family val="2"/>
      <scheme val="minor"/>
    </font>
    <font>
      <b/>
      <sz val="14"/>
      <color theme="1"/>
      <name val="Calibri"/>
      <family val="2"/>
      <scheme val="minor"/>
    </font>
    <font>
      <sz val="8"/>
      <color theme="1"/>
      <name val="Calibri"/>
      <family val="2"/>
      <scheme val="minor"/>
    </font>
    <font>
      <sz val="10"/>
      <color theme="1"/>
      <name val="Abadi"/>
      <family val="2"/>
    </font>
    <font>
      <sz val="12"/>
      <color theme="1"/>
      <name val="Calibri"/>
      <family val="2"/>
      <scheme val="minor"/>
    </font>
    <font>
      <i/>
      <sz val="12"/>
      <color theme="1"/>
      <name val="Calibri"/>
      <family val="2"/>
      <scheme val="minor"/>
    </font>
    <font>
      <b/>
      <sz val="10"/>
      <color rgb="FFFF0000"/>
      <name val="Calibri"/>
      <family val="2"/>
      <scheme val="minor"/>
    </font>
    <font>
      <b/>
      <sz val="12"/>
      <color theme="0"/>
      <name val="Calibri"/>
      <family val="2"/>
      <scheme val="minor"/>
    </font>
    <font>
      <i/>
      <sz val="10"/>
      <color theme="1"/>
      <name val="Calibri"/>
      <family val="2"/>
      <scheme val="minor"/>
    </font>
    <font>
      <b/>
      <sz val="12"/>
      <color rgb="FF0070C0"/>
      <name val="Calibri"/>
      <family val="2"/>
      <scheme val="minor"/>
    </font>
    <font>
      <b/>
      <sz val="10"/>
      <color theme="0"/>
      <name val="Calibri"/>
      <family val="2"/>
      <scheme val="minor"/>
    </font>
    <font>
      <sz val="9"/>
      <color theme="1"/>
      <name val="Calibri"/>
      <family val="2"/>
      <scheme val="minor"/>
    </font>
    <font>
      <b/>
      <sz val="10"/>
      <color theme="1"/>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u/>
      <sz val="12"/>
      <color theme="1"/>
      <name val="Calibri"/>
      <family val="2"/>
      <scheme val="minor"/>
    </font>
    <font>
      <sz val="12"/>
      <color rgb="FF000000"/>
      <name val="Times New Roman"/>
      <family val="2"/>
    </font>
    <font>
      <sz val="11"/>
      <name val="Arial"/>
      <family val="2"/>
    </font>
    <font>
      <sz val="21"/>
      <color theme="1"/>
      <name val="Century Gothic"/>
      <family val="2"/>
    </font>
    <font>
      <i/>
      <sz val="10"/>
      <name val="Arial"/>
      <family val="2"/>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sz val="11"/>
      <color theme="1"/>
      <name val="Abadi"/>
      <family val="2"/>
    </font>
    <font>
      <b/>
      <sz val="11"/>
      <color rgb="FF0070C0"/>
      <name val="Calibri"/>
      <family val="2"/>
      <scheme val="minor"/>
    </font>
    <font>
      <b/>
      <sz val="16"/>
      <name val="Calibri"/>
      <family val="2"/>
      <scheme val="minor"/>
    </font>
    <font>
      <b/>
      <sz val="11"/>
      <color theme="0" tint="-0.499984740745262"/>
      <name val="Calibri  "/>
    </font>
    <font>
      <sz val="11"/>
      <color theme="1"/>
      <name val="Calibri  "/>
    </font>
    <font>
      <sz val="12"/>
      <name val="Calibri  "/>
    </font>
    <font>
      <sz val="11"/>
      <name val="Calibri  "/>
    </font>
    <font>
      <b/>
      <sz val="11"/>
      <color theme="0"/>
      <name val="Calibri  "/>
    </font>
    <font>
      <u/>
      <sz val="11"/>
      <color theme="10"/>
      <name val="Calibri  "/>
    </font>
    <font>
      <i/>
      <sz val="11"/>
      <color theme="1"/>
      <name val="Calibri  "/>
    </font>
    <font>
      <i/>
      <sz val="11"/>
      <name val="Calibri  "/>
    </font>
    <font>
      <b/>
      <sz val="14"/>
      <name val="Century Gothic"/>
      <family val="2"/>
    </font>
    <font>
      <b/>
      <sz val="12"/>
      <name val="Century Gothic"/>
      <family val="2"/>
    </font>
    <font>
      <b/>
      <sz val="9"/>
      <color theme="1"/>
      <name val="Arial"/>
      <family val="2"/>
    </font>
    <font>
      <sz val="9"/>
      <color theme="1"/>
      <name val="Arial"/>
      <family val="2"/>
    </font>
    <font>
      <b/>
      <u/>
      <sz val="11"/>
      <color theme="4" tint="-0.249977111117893"/>
      <name val="Calibri"/>
      <family val="2"/>
      <scheme val="minor"/>
    </font>
    <font>
      <u/>
      <sz val="11"/>
      <color rgb="FF0070C0"/>
      <name val="Calibri  "/>
    </font>
    <font>
      <b/>
      <sz val="11"/>
      <name val="Calibri  "/>
    </font>
    <font>
      <b/>
      <sz val="11"/>
      <color rgb="FFFF0000"/>
      <name val="Calibri  "/>
    </font>
    <font>
      <b/>
      <sz val="14"/>
      <name val="Calibri  "/>
    </font>
    <font>
      <sz val="11"/>
      <color rgb="FF000000"/>
      <name val="Times New Roman"/>
      <family val="1"/>
    </font>
    <font>
      <b/>
      <sz val="11"/>
      <color rgb="FF000000"/>
      <name val="Calibri"/>
      <family val="2"/>
      <scheme val="minor"/>
    </font>
    <font>
      <sz val="12"/>
      <color rgb="FF000000"/>
      <name val="Calibri"/>
      <family val="2"/>
      <scheme val="minor"/>
    </font>
    <font>
      <sz val="10"/>
      <color theme="1"/>
      <name val="Calibri  "/>
    </font>
    <font>
      <sz val="10"/>
      <name val="Calibri  "/>
    </font>
    <font>
      <sz val="9"/>
      <color theme="1"/>
      <name val="Calibri  "/>
    </font>
    <font>
      <sz val="8"/>
      <color theme="1"/>
      <name val="Calibri  "/>
    </font>
    <font>
      <b/>
      <sz val="12"/>
      <name val="Calibri  "/>
    </font>
    <font>
      <sz val="9"/>
      <name val="Calibri  "/>
    </font>
    <font>
      <b/>
      <sz val="11"/>
      <name val="Calibri"/>
      <family val="2"/>
      <scheme val="minor"/>
    </font>
    <font>
      <i/>
      <sz val="11"/>
      <color rgb="FF000000"/>
      <name val="Calibri"/>
      <family val="2"/>
      <scheme val="minor"/>
    </font>
    <font>
      <b/>
      <i/>
      <sz val="11"/>
      <color rgb="FF000000"/>
      <name val="Calibri"/>
      <family val="2"/>
      <scheme val="minor"/>
    </font>
    <font>
      <sz val="8"/>
      <name val="Calibri  "/>
    </font>
    <font>
      <u/>
      <sz val="11"/>
      <color rgb="FF000000"/>
      <name val="Calibri"/>
      <family val="2"/>
      <scheme val="minor"/>
    </font>
    <font>
      <i/>
      <u/>
      <sz val="11"/>
      <color rgb="FF000000"/>
      <name val="Calibri"/>
      <family val="2"/>
      <scheme val="minor"/>
    </font>
    <font>
      <i/>
      <sz val="11"/>
      <color theme="1"/>
      <name val="Calibri"/>
      <family val="2"/>
      <scheme val="minor"/>
    </font>
    <font>
      <sz val="12"/>
      <name val="Calibri"/>
      <family val="2"/>
      <scheme val="minor"/>
    </font>
    <font>
      <sz val="11"/>
      <color theme="1"/>
      <name val="Calibri"/>
      <family val="2"/>
    </font>
    <font>
      <sz val="11"/>
      <name val="Calibri"/>
      <family val="2"/>
    </font>
    <font>
      <b/>
      <u/>
      <sz val="11"/>
      <color theme="4" tint="-0.249977111117893"/>
      <name val="Calibri"/>
      <family val="2"/>
    </font>
    <font>
      <u/>
      <sz val="11"/>
      <color theme="10"/>
      <name val="Calibri"/>
      <family val="2"/>
    </font>
    <font>
      <b/>
      <sz val="11"/>
      <color theme="1"/>
      <name val="Calibri"/>
      <family val="2"/>
    </font>
    <font>
      <sz val="11"/>
      <color rgb="FF000000"/>
      <name val="Calibri"/>
      <family val="2"/>
    </font>
    <font>
      <sz val="11"/>
      <color rgb="FFFF0000"/>
      <name val="Calibri"/>
      <family val="2"/>
    </font>
    <font>
      <b/>
      <sz val="11"/>
      <name val="Calibri"/>
      <family val="2"/>
    </font>
    <font>
      <sz val="11"/>
      <color rgb="FF2919FB"/>
      <name val="Calibri"/>
      <family val="2"/>
    </font>
    <font>
      <sz val="11"/>
      <color rgb="FF0000FF"/>
      <name val="Calibri"/>
      <family val="2"/>
    </font>
    <font>
      <b/>
      <u/>
      <sz val="11"/>
      <name val="Calibri"/>
      <family val="2"/>
      <scheme val="minor"/>
    </font>
    <font>
      <b/>
      <sz val="12"/>
      <name val="Calibri"/>
      <family val="2"/>
    </font>
    <font>
      <b/>
      <sz val="12"/>
      <name val="Calibri"/>
      <family val="2"/>
      <scheme val="minor"/>
    </font>
    <font>
      <b/>
      <i/>
      <u/>
      <sz val="20"/>
      <color rgb="FF000000"/>
      <name val="Calibri"/>
      <family val="2"/>
      <scheme val="minor"/>
    </font>
    <font>
      <b/>
      <sz val="16"/>
      <color rgb="FF000000"/>
      <name val="Calibri"/>
      <family val="2"/>
      <scheme val="minor"/>
    </font>
    <font>
      <b/>
      <u/>
      <sz val="12"/>
      <color rgb="FF000000"/>
      <name val="Calibri"/>
      <family val="2"/>
      <scheme val="minor"/>
    </font>
    <font>
      <sz val="10"/>
      <color theme="1"/>
      <name val="Calibri"/>
      <family val="2"/>
    </font>
    <font>
      <sz val="11"/>
      <color rgb="FF242424"/>
      <name val="Aptos Narrow"/>
      <family val="2"/>
    </font>
    <font>
      <b/>
      <i/>
      <sz val="11"/>
      <color rgb="FF000000"/>
      <name val="Calibri"/>
      <family val="2"/>
    </font>
    <font>
      <sz val="8"/>
      <color theme="1"/>
      <name val="Calibri"/>
      <family val="2"/>
    </font>
    <font>
      <b/>
      <u/>
      <sz val="11"/>
      <name val="Calibri"/>
      <family val="2"/>
    </font>
    <font>
      <sz val="10"/>
      <name val="Calibri"/>
      <family val="2"/>
      <scheme val="minor"/>
    </font>
    <font>
      <sz val="10"/>
      <name val="Ariel"/>
    </font>
    <font>
      <b/>
      <u/>
      <sz val="11"/>
      <color theme="1"/>
      <name val="Calibri"/>
      <family val="2"/>
      <scheme val="minor"/>
    </font>
    <font>
      <b/>
      <i/>
      <sz val="11"/>
      <color rgb="FFFF0000"/>
      <name val="Calibri"/>
      <family val="2"/>
      <scheme val="minor"/>
    </font>
    <font>
      <sz val="9"/>
      <name val="Calibri"/>
      <family val="2"/>
      <scheme val="minor"/>
    </font>
    <font>
      <sz val="10"/>
      <color rgb="FF000000"/>
      <name val="Arial"/>
      <family val="2"/>
    </font>
    <font>
      <sz val="10"/>
      <color rgb="FFFF0000"/>
      <name val="Arial"/>
      <family val="2"/>
    </font>
    <font>
      <sz val="11"/>
      <color theme="1"/>
      <name val="Cambria"/>
      <family val="1"/>
    </font>
    <font>
      <sz val="11"/>
      <color rgb="FF000000"/>
      <name val="Calibri  "/>
    </font>
    <font>
      <b/>
      <sz val="11"/>
      <color rgb="FF000000"/>
      <name val="Calibri"/>
      <family val="2"/>
    </font>
  </fonts>
  <fills count="33">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theme="2" tint="-9.9948118533890809E-2"/>
        <bgColor indexed="64"/>
      </patternFill>
    </fill>
    <fill>
      <patternFill patternType="solid">
        <fgColor rgb="FF92D050"/>
        <bgColor indexed="64"/>
      </patternFill>
    </fill>
    <fill>
      <patternFill patternType="solid">
        <fgColor rgb="FFFFC000"/>
        <bgColor indexed="64"/>
      </patternFill>
    </fill>
    <fill>
      <patternFill patternType="solid">
        <fgColor rgb="FFF47710"/>
        <bgColor indexed="64"/>
      </patternFill>
    </fill>
    <fill>
      <patternFill patternType="solid">
        <fgColor rgb="FF3F70B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39997558519241921"/>
        <bgColor indexed="64"/>
      </patternFill>
    </fill>
    <fill>
      <patternFill patternType="solid">
        <fgColor rgb="FF00B0F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rgb="FF000000"/>
      </patternFill>
    </fill>
    <fill>
      <patternFill patternType="solid">
        <fgColor theme="5" tint="-0.249977111117893"/>
        <bgColor indexed="64"/>
      </patternFill>
    </fill>
    <fill>
      <patternFill patternType="solid">
        <fgColor theme="5" tint="0.79998168889431442"/>
        <bgColor indexed="64"/>
      </patternFill>
    </fill>
    <fill>
      <patternFill patternType="solid">
        <fgColor theme="8" tint="0.79998168889431442"/>
        <bgColor rgb="FF000000"/>
      </patternFill>
    </fill>
  </fills>
  <borders count="580">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indexed="64"/>
      </left>
      <right/>
      <top/>
      <bottom/>
      <diagonal/>
    </border>
    <border>
      <left style="thick">
        <color rgb="FF0070C0"/>
      </left>
      <right/>
      <top style="thick">
        <color rgb="FF0070C0"/>
      </top>
      <bottom style="thick">
        <color rgb="FF0070C0"/>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style="thick">
        <color auto="1"/>
      </left>
      <right style="thin">
        <color auto="1"/>
      </right>
      <top/>
      <bottom/>
      <diagonal/>
    </border>
    <border>
      <left style="thin">
        <color auto="1"/>
      </left>
      <right style="thin">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style="medium">
        <color indexed="64"/>
      </left>
      <right/>
      <top style="hair">
        <color indexed="64"/>
      </top>
      <bottom style="hair">
        <color indexed="64"/>
      </bottom>
      <diagonal/>
    </border>
    <border>
      <left style="dotted">
        <color auto="1"/>
      </left>
      <right style="dotted">
        <color auto="1"/>
      </right>
      <top style="hair">
        <color auto="1"/>
      </top>
      <bottom style="hair">
        <color auto="1"/>
      </bottom>
      <diagonal/>
    </border>
    <border>
      <left/>
      <right/>
      <top/>
      <bottom style="thin">
        <color theme="3"/>
      </bottom>
      <diagonal/>
    </border>
    <border>
      <left style="thin">
        <color auto="1"/>
      </left>
      <right style="thick">
        <color auto="1"/>
      </right>
      <top style="thick">
        <color auto="1"/>
      </top>
      <bottom style="thin">
        <color auto="1"/>
      </bottom>
      <diagonal/>
    </border>
    <border>
      <left style="thin">
        <color auto="1"/>
      </left>
      <right style="thick">
        <color auto="1"/>
      </right>
      <top style="thick">
        <color auto="1"/>
      </top>
      <bottom style="thick">
        <color auto="1"/>
      </bottom>
      <diagonal/>
    </border>
    <border>
      <left style="dotted">
        <color auto="1"/>
      </left>
      <right style="medium">
        <color indexed="64"/>
      </right>
      <top style="hair">
        <color auto="1"/>
      </top>
      <bottom style="hair">
        <color auto="1"/>
      </bottom>
      <diagonal/>
    </border>
    <border>
      <left style="dotted">
        <color auto="1"/>
      </left>
      <right style="dotted">
        <color auto="1"/>
      </right>
      <top style="hair">
        <color auto="1"/>
      </top>
      <bottom style="medium">
        <color indexed="64"/>
      </bottom>
      <diagonal/>
    </border>
    <border>
      <left style="medium">
        <color indexed="64"/>
      </left>
      <right/>
      <top style="hair">
        <color indexed="64"/>
      </top>
      <bottom style="medium">
        <color indexed="64"/>
      </bottom>
      <diagonal/>
    </border>
    <border>
      <left style="dotted">
        <color auto="1"/>
      </left>
      <right style="medium">
        <color indexed="64"/>
      </right>
      <top style="hair">
        <color auto="1"/>
      </top>
      <bottom/>
      <diagonal/>
    </border>
    <border>
      <left style="dashed">
        <color indexed="64"/>
      </left>
      <right style="medium">
        <color indexed="64"/>
      </right>
      <top style="hair">
        <color indexed="64"/>
      </top>
      <bottom style="hair">
        <color indexed="64"/>
      </bottom>
      <diagonal/>
    </border>
    <border>
      <left style="dashed">
        <color indexed="64"/>
      </left>
      <right style="medium">
        <color indexed="64"/>
      </right>
      <top style="hair">
        <color indexed="64"/>
      </top>
      <bottom style="medium">
        <color indexed="64"/>
      </bottom>
      <diagonal/>
    </border>
    <border>
      <left style="dotted">
        <color auto="1"/>
      </left>
      <right/>
      <top style="hair">
        <color auto="1"/>
      </top>
      <bottom style="hair">
        <color auto="1"/>
      </bottom>
      <diagonal/>
    </border>
    <border>
      <left style="dotted">
        <color auto="1"/>
      </left>
      <right/>
      <top style="hair">
        <color auto="1"/>
      </top>
      <bottom/>
      <diagonal/>
    </border>
    <border>
      <left style="thin">
        <color indexed="64"/>
      </left>
      <right style="dotted">
        <color indexed="64"/>
      </right>
      <top style="hair">
        <color indexed="64"/>
      </top>
      <bottom style="hair">
        <color indexed="64"/>
      </bottom>
      <diagonal/>
    </border>
    <border>
      <left style="dotted">
        <color indexed="64"/>
      </left>
      <right style="thin">
        <color indexed="64"/>
      </right>
      <top style="hair">
        <color indexed="64"/>
      </top>
      <bottom style="hair">
        <color indexed="64"/>
      </bottom>
      <diagonal/>
    </border>
    <border>
      <left style="dotted">
        <color auto="1"/>
      </left>
      <right style="dotted">
        <color auto="1"/>
      </right>
      <top style="hair">
        <color auto="1"/>
      </top>
      <bottom/>
      <diagonal/>
    </border>
    <border>
      <left/>
      <right style="medium">
        <color indexed="64"/>
      </right>
      <top style="hair">
        <color auto="1"/>
      </top>
      <bottom/>
      <diagonal/>
    </border>
    <border>
      <left style="dotted">
        <color indexed="64"/>
      </left>
      <right style="thin">
        <color indexed="64"/>
      </right>
      <top style="hair">
        <color indexed="64"/>
      </top>
      <bottom/>
      <diagonal/>
    </border>
    <border>
      <left/>
      <right style="thick">
        <color auto="1"/>
      </right>
      <top style="medium">
        <color rgb="FF000000"/>
      </top>
      <bottom style="medium">
        <color rgb="FF000000"/>
      </bottom>
      <diagonal/>
    </border>
    <border>
      <left style="thick">
        <color auto="1"/>
      </left>
      <right/>
      <top style="medium">
        <color rgb="FF000000"/>
      </top>
      <bottom style="medium">
        <color rgb="FF000000"/>
      </bottom>
      <diagonal/>
    </border>
    <border>
      <left style="medium">
        <color indexed="8"/>
      </left>
      <right style="medium">
        <color indexed="8"/>
      </right>
      <top/>
      <bottom/>
      <diagonal/>
    </border>
    <border>
      <left style="thin">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auto="1"/>
      </left>
      <right style="dotted">
        <color auto="1"/>
      </right>
      <top style="hair">
        <color auto="1"/>
      </top>
      <bottom style="thin">
        <color indexed="64"/>
      </bottom>
      <diagonal/>
    </border>
    <border>
      <left style="dotted">
        <color auto="1"/>
      </left>
      <right style="thin">
        <color indexed="64"/>
      </right>
      <top style="hair">
        <color auto="1"/>
      </top>
      <bottom style="thin">
        <color indexed="64"/>
      </bottom>
      <diagonal/>
    </border>
    <border>
      <left style="thin">
        <color indexed="64"/>
      </left>
      <right style="dotted">
        <color auto="1"/>
      </right>
      <top style="hair">
        <color indexed="64"/>
      </top>
      <bottom style="thin">
        <color indexed="64"/>
      </bottom>
      <diagonal/>
    </border>
    <border>
      <left style="thin">
        <color indexed="64"/>
      </left>
      <right/>
      <top style="medium">
        <color indexed="64"/>
      </top>
      <bottom style="medium">
        <color indexed="64"/>
      </bottom>
      <diagonal/>
    </border>
    <border>
      <left style="medium">
        <color indexed="64"/>
      </left>
      <right style="dashed">
        <color indexed="64"/>
      </right>
      <top style="medium">
        <color indexed="64"/>
      </top>
      <bottom style="hair">
        <color indexed="64"/>
      </bottom>
      <diagonal/>
    </border>
    <border>
      <left style="dashed">
        <color indexed="64"/>
      </left>
      <right style="dashed">
        <color indexed="64"/>
      </right>
      <top style="medium">
        <color indexed="64"/>
      </top>
      <bottom style="hair">
        <color indexed="64"/>
      </bottom>
      <diagonal/>
    </border>
    <border>
      <left style="dashed">
        <color indexed="64"/>
      </left>
      <right style="medium">
        <color indexed="64"/>
      </right>
      <top style="medium">
        <color indexed="64"/>
      </top>
      <bottom style="hair">
        <color indexed="64"/>
      </bottom>
      <diagonal/>
    </border>
    <border>
      <left style="medium">
        <color indexed="64"/>
      </left>
      <right style="dashed">
        <color indexed="64"/>
      </right>
      <top style="hair">
        <color indexed="64"/>
      </top>
      <bottom style="hair">
        <color indexed="64"/>
      </bottom>
      <diagonal/>
    </border>
    <border>
      <left style="medium">
        <color indexed="64"/>
      </left>
      <right style="dashed">
        <color indexed="64"/>
      </right>
      <top/>
      <bottom style="hair">
        <color indexed="64"/>
      </bottom>
      <diagonal/>
    </border>
    <border>
      <left style="dashed">
        <color indexed="64"/>
      </left>
      <right style="dashed">
        <color indexed="64"/>
      </right>
      <top/>
      <bottom style="hair">
        <color indexed="64"/>
      </bottom>
      <diagonal/>
    </border>
    <border>
      <left style="dashed">
        <color indexed="64"/>
      </left>
      <right style="medium">
        <color indexed="64"/>
      </right>
      <top/>
      <bottom style="hair">
        <color indexed="64"/>
      </bottom>
      <diagonal/>
    </border>
    <border>
      <left style="medium">
        <color indexed="64"/>
      </left>
      <right style="dashed">
        <color indexed="64"/>
      </right>
      <top style="hair">
        <color indexed="64"/>
      </top>
      <bottom/>
      <diagonal/>
    </border>
    <border>
      <left style="dashed">
        <color indexed="64"/>
      </left>
      <right style="medium">
        <color indexed="64"/>
      </right>
      <top style="hair">
        <color indexed="64"/>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bottom/>
      <diagonal/>
    </border>
    <border>
      <left/>
      <right/>
      <top/>
      <bottom style="thick">
        <color auto="1"/>
      </bottom>
      <diagonal/>
    </border>
    <border>
      <left/>
      <right/>
      <top/>
      <bottom style="thin">
        <color rgb="FF000000"/>
      </bottom>
      <diagonal/>
    </border>
    <border>
      <left/>
      <right/>
      <top style="thick">
        <color auto="1"/>
      </top>
      <bottom style="thick">
        <color auto="1"/>
      </bottom>
      <diagonal/>
    </border>
    <border>
      <left style="thick">
        <color auto="1"/>
      </left>
      <right/>
      <top/>
      <bottom/>
      <diagonal/>
    </border>
    <border>
      <left style="thin">
        <color auto="1"/>
      </left>
      <right style="thick">
        <color auto="1"/>
      </right>
      <top/>
      <bottom/>
      <diagonal/>
    </border>
    <border>
      <left style="medium">
        <color indexed="8"/>
      </left>
      <right style="medium">
        <color indexed="8"/>
      </right>
      <top style="thin">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style="thin">
        <color rgb="FF000000"/>
      </bottom>
      <diagonal/>
    </border>
    <border>
      <left style="dotted">
        <color auto="1"/>
      </left>
      <right style="medium">
        <color indexed="64"/>
      </right>
      <top style="hair">
        <color auto="1"/>
      </top>
      <bottom style="medium">
        <color indexed="64"/>
      </bottom>
      <diagonal/>
    </border>
    <border>
      <left style="medium">
        <color indexed="8"/>
      </left>
      <right style="medium">
        <color indexed="8"/>
      </right>
      <top style="thin">
        <color rgb="FF000000"/>
      </top>
      <bottom style="thin">
        <color indexed="64"/>
      </bottom>
      <diagonal/>
    </border>
    <border>
      <left style="medium">
        <color indexed="8"/>
      </left>
      <right style="medium">
        <color indexed="8"/>
      </right>
      <top style="thin">
        <color rgb="FF000000"/>
      </top>
      <bottom/>
      <diagonal/>
    </border>
    <border>
      <left/>
      <right/>
      <top/>
      <bottom style="medium">
        <color rgb="FF000000"/>
      </bottom>
      <diagonal/>
    </border>
    <border>
      <left style="thick">
        <color auto="1"/>
      </left>
      <right/>
      <top style="thick">
        <color auto="1"/>
      </top>
      <bottom style="thin">
        <color rgb="FF000000"/>
      </bottom>
      <diagonal/>
    </border>
    <border>
      <left/>
      <right style="thick">
        <color auto="1"/>
      </right>
      <top style="thick">
        <color auto="1"/>
      </top>
      <bottom style="thin">
        <color rgb="FF000000"/>
      </bottom>
      <diagonal/>
    </border>
    <border>
      <left style="thick">
        <color auto="1"/>
      </left>
      <right/>
      <top style="thin">
        <color rgb="FF000000"/>
      </top>
      <bottom style="thick">
        <color auto="1"/>
      </bottom>
      <diagonal/>
    </border>
    <border>
      <left/>
      <right style="thick">
        <color auto="1"/>
      </right>
      <top style="thin">
        <color rgb="FF000000"/>
      </top>
      <bottom style="thick">
        <color auto="1"/>
      </bottom>
      <diagonal/>
    </border>
    <border>
      <left/>
      <right style="thick">
        <color auto="1"/>
      </right>
      <top/>
      <bottom/>
      <diagonal/>
    </border>
    <border>
      <left style="thick">
        <color auto="1"/>
      </left>
      <right/>
      <top style="thin">
        <color rgb="FF000000"/>
      </top>
      <bottom style="thin">
        <color rgb="FF000000"/>
      </bottom>
      <diagonal/>
    </border>
    <border>
      <left/>
      <right style="thick">
        <color auto="1"/>
      </right>
      <top style="thin">
        <color rgb="FF000000"/>
      </top>
      <bottom style="thin">
        <color rgb="FF000000"/>
      </bottom>
      <diagonal/>
    </border>
    <border>
      <left style="thick">
        <color auto="1"/>
      </left>
      <right/>
      <top/>
      <bottom style="thin">
        <color rgb="FF000000"/>
      </bottom>
      <diagonal/>
    </border>
    <border>
      <left/>
      <right style="thick">
        <color auto="1"/>
      </right>
      <top/>
      <bottom style="thin">
        <color rgb="FF000000"/>
      </bottom>
      <diagonal/>
    </border>
    <border>
      <left style="thick">
        <color auto="1"/>
      </left>
      <right style="medium">
        <color rgb="FF000000"/>
      </right>
      <top style="medium">
        <color rgb="FF000000"/>
      </top>
      <bottom style="thin">
        <color auto="1"/>
      </bottom>
      <diagonal/>
    </border>
    <border>
      <left style="thick">
        <color auto="1"/>
      </left>
      <right style="thick">
        <color auto="1"/>
      </right>
      <top/>
      <bottom style="thick">
        <color auto="1"/>
      </bottom>
      <diagonal/>
    </border>
    <border>
      <left/>
      <right/>
      <top style="thick">
        <color auto="1"/>
      </top>
      <bottom style="thin">
        <color auto="1"/>
      </bottom>
      <diagonal/>
    </border>
    <border>
      <left style="thick">
        <color auto="1"/>
      </left>
      <right style="thick">
        <color rgb="FF000000"/>
      </right>
      <top style="thick">
        <color auto="1"/>
      </top>
      <bottom style="thin">
        <color auto="1"/>
      </bottom>
      <diagonal/>
    </border>
    <border>
      <left/>
      <right style="dashed">
        <color indexed="64"/>
      </right>
      <top/>
      <bottom style="hair">
        <color indexed="64"/>
      </bottom>
      <diagonal/>
    </border>
    <border>
      <left/>
      <right style="dashed">
        <color indexed="64"/>
      </right>
      <top style="hair">
        <color indexed="64"/>
      </top>
      <bottom style="hair">
        <color indexed="64"/>
      </bottom>
      <diagonal/>
    </border>
    <border>
      <left/>
      <right style="dashed">
        <color indexed="64"/>
      </right>
      <top style="hair">
        <color indexed="64"/>
      </top>
      <bottom/>
      <diagonal/>
    </border>
    <border>
      <left style="thin">
        <color indexed="64"/>
      </left>
      <right style="dashed">
        <color indexed="64"/>
      </right>
      <top style="hair">
        <color indexed="64"/>
      </top>
      <bottom style="thin">
        <color indexed="64"/>
      </bottom>
      <diagonal/>
    </border>
    <border>
      <left/>
      <right/>
      <top style="medium">
        <color rgb="FF000000"/>
      </top>
      <bottom style="thin">
        <color auto="1"/>
      </bottom>
      <diagonal/>
    </border>
    <border>
      <left/>
      <right style="medium">
        <color indexed="64"/>
      </right>
      <top/>
      <bottom style="thick">
        <color auto="1"/>
      </bottom>
      <diagonal/>
    </border>
    <border>
      <left style="thin">
        <color auto="1"/>
      </left>
      <right/>
      <top style="thin">
        <color auto="1"/>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thick">
        <color auto="1"/>
      </right>
      <top style="thin">
        <color auto="1"/>
      </top>
      <bottom/>
      <diagonal/>
    </border>
    <border>
      <left style="thin">
        <color auto="1"/>
      </left>
      <right style="double">
        <color auto="1"/>
      </right>
      <top style="thin">
        <color auto="1"/>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ck">
        <color auto="1"/>
      </left>
      <right style="thick">
        <color auto="1"/>
      </right>
      <top style="thin">
        <color auto="1"/>
      </top>
      <bottom/>
      <diagonal/>
    </border>
    <border>
      <left style="thick">
        <color auto="1"/>
      </left>
      <right style="thin">
        <color auto="1"/>
      </right>
      <top style="thin">
        <color auto="1"/>
      </top>
      <bottom/>
      <diagonal/>
    </border>
    <border>
      <left style="thick">
        <color auto="1"/>
      </left>
      <right/>
      <top style="thin">
        <color auto="1"/>
      </top>
      <bottom/>
      <diagonal/>
    </border>
    <border>
      <left style="thin">
        <color auto="1"/>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ck">
        <color auto="1"/>
      </left>
      <right style="double">
        <color auto="1"/>
      </right>
      <top style="thin">
        <color auto="1"/>
      </top>
      <bottom/>
      <diagonal/>
    </border>
    <border>
      <left/>
      <right style="medium">
        <color auto="1"/>
      </right>
      <top style="thin">
        <color auto="1"/>
      </top>
      <bottom style="thin">
        <color auto="1"/>
      </bottom>
      <diagonal/>
    </border>
    <border>
      <left style="medium">
        <color indexed="64"/>
      </left>
      <right/>
      <top style="medium">
        <color indexed="64"/>
      </top>
      <bottom style="thin">
        <color indexed="64"/>
      </bottom>
      <diagonal/>
    </border>
    <border>
      <left style="dotted">
        <color indexed="64"/>
      </left>
      <right style="dotted">
        <color indexed="64"/>
      </right>
      <top style="medium">
        <color indexed="64"/>
      </top>
      <bottom style="thin">
        <color auto="1"/>
      </bottom>
      <diagonal/>
    </border>
    <border>
      <left/>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auto="1"/>
      </left>
      <right/>
      <top style="medium">
        <color auto="1"/>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auto="1"/>
      </bottom>
      <diagonal/>
    </border>
    <border>
      <left style="medium">
        <color auto="1"/>
      </left>
      <right style="medium">
        <color auto="1"/>
      </right>
      <top style="thin">
        <color indexed="8"/>
      </top>
      <bottom style="thin">
        <color indexed="64"/>
      </bottom>
      <diagonal/>
    </border>
    <border>
      <left style="medium">
        <color indexed="64"/>
      </left>
      <right style="medium">
        <color indexed="64"/>
      </right>
      <top style="medium">
        <color auto="1"/>
      </top>
      <bottom style="medium">
        <color indexed="8"/>
      </bottom>
      <diagonal/>
    </border>
    <border>
      <left style="thin">
        <color indexed="64"/>
      </left>
      <right style="thin">
        <color indexed="64"/>
      </right>
      <top style="thin">
        <color auto="1"/>
      </top>
      <bottom style="thin">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ck">
        <color auto="1"/>
      </left>
      <right/>
      <top style="thin">
        <color auto="1"/>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thick">
        <color auto="1"/>
      </right>
      <top/>
      <bottom style="thin">
        <color auto="1"/>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medium">
        <color auto="1"/>
      </left>
      <right/>
      <top style="thin">
        <color auto="1"/>
      </top>
      <bottom style="medium">
        <color auto="1"/>
      </bottom>
      <diagonal/>
    </border>
    <border>
      <left/>
      <right/>
      <top style="thin">
        <color indexed="64"/>
      </top>
      <bottom style="medium">
        <color indexed="64"/>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thin">
        <color theme="3"/>
      </left>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top/>
      <bottom style="thin">
        <color auto="1"/>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ck">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n">
        <color indexed="64"/>
      </left>
      <right style="thin">
        <color indexed="64"/>
      </right>
      <top/>
      <bottom style="thin">
        <color indexed="64"/>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ck">
        <color indexed="64"/>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right/>
      <top/>
      <bottom style="thin">
        <color indexed="64"/>
      </bottom>
      <diagonal/>
    </border>
    <border>
      <left style="thick">
        <color auto="1"/>
      </left>
      <right style="thick">
        <color auto="1"/>
      </right>
      <top style="thin">
        <color auto="1"/>
      </top>
      <bottom style="thin">
        <color rgb="FF000000"/>
      </bottom>
      <diagonal/>
    </border>
    <border>
      <left style="medium">
        <color indexed="64"/>
      </left>
      <right style="medium">
        <color indexed="64"/>
      </right>
      <top style="medium">
        <color auto="1"/>
      </top>
      <bottom style="medium">
        <color indexed="8"/>
      </bottom>
      <diagonal/>
    </border>
    <border>
      <left/>
      <right style="thick">
        <color auto="1"/>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auto="1"/>
      </left>
      <right style="medium">
        <color auto="1"/>
      </right>
      <top style="thin">
        <color indexed="8"/>
      </top>
      <bottom style="thin">
        <color indexed="64"/>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auto="1"/>
      </bottom>
      <diagonal/>
    </border>
    <border>
      <left style="medium">
        <color indexed="8"/>
      </left>
      <right style="medium">
        <color indexed="8"/>
      </right>
      <top style="thin">
        <color auto="1"/>
      </top>
      <bottom style="thin">
        <color indexed="8"/>
      </bottom>
      <diagonal/>
    </border>
    <border>
      <left style="thin">
        <color indexed="64"/>
      </left>
      <right style="thin">
        <color indexed="64"/>
      </right>
      <top style="thin">
        <color auto="1"/>
      </top>
      <bottom style="thin">
        <color indexed="64"/>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medium">
        <color indexed="64"/>
      </left>
      <right style="medium">
        <color indexed="64"/>
      </right>
      <top/>
      <bottom style="thin">
        <color indexed="64"/>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top style="thin">
        <color indexed="64"/>
      </top>
      <bottom style="thin">
        <color indexed="64"/>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auto="1"/>
      </left>
      <right style="medium">
        <color auto="1"/>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indexed="8"/>
      </bottom>
      <diagonal/>
    </border>
    <border>
      <left style="thin">
        <color indexed="64"/>
      </left>
      <right style="thin">
        <color indexed="64"/>
      </right>
      <top style="thin">
        <color auto="1"/>
      </top>
      <bottom style="thin">
        <color indexed="64"/>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medium">
        <color auto="1"/>
      </left>
      <right style="medium">
        <color auto="1"/>
      </right>
      <top style="thin">
        <color indexed="8"/>
      </top>
      <bottom style="thin">
        <color indexed="64"/>
      </bottom>
      <diagonal/>
    </border>
    <border>
      <left style="thick">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8"/>
      </left>
      <right style="medium">
        <color indexed="8"/>
      </right>
      <top style="thin">
        <color auto="1"/>
      </top>
      <bottom style="thin">
        <color indexed="8"/>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n">
        <color auto="1"/>
      </top>
      <bottom style="thin">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top/>
      <bottom style="thin">
        <color auto="1"/>
      </bottom>
      <diagonal/>
    </border>
    <border>
      <left style="medium">
        <color indexed="64"/>
      </left>
      <right style="medium">
        <color indexed="64"/>
      </right>
      <top style="medium">
        <color auto="1"/>
      </top>
      <bottom style="medium">
        <color indexed="8"/>
      </bottom>
      <diagonal/>
    </border>
    <border>
      <left style="medium">
        <color indexed="8"/>
      </left>
      <right style="medium">
        <color indexed="8"/>
      </right>
      <top/>
      <bottom style="thin">
        <color indexed="8"/>
      </bottom>
      <diagonal/>
    </border>
    <border>
      <left style="medium">
        <color auto="1"/>
      </left>
      <right style="medium">
        <color auto="1"/>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ck">
        <color auto="1"/>
      </right>
      <top/>
      <bottom style="thin">
        <color auto="1"/>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right/>
      <top/>
      <bottom style="thin">
        <color indexed="64"/>
      </bottom>
      <diagonal/>
    </border>
    <border>
      <left style="thick">
        <color auto="1"/>
      </left>
      <right/>
      <top/>
      <bottom style="thin">
        <color auto="1"/>
      </bottom>
      <diagonal/>
    </border>
    <border>
      <left/>
      <right style="thick">
        <color auto="1"/>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medium">
        <color auto="1"/>
      </left>
      <right style="medium">
        <color auto="1"/>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style="medium">
        <color rgb="FF000000"/>
      </right>
      <top style="thin">
        <color auto="1"/>
      </top>
      <bottom style="thin">
        <color auto="1"/>
      </bottom>
      <diagonal/>
    </border>
    <border>
      <left style="thick">
        <color auto="1"/>
      </left>
      <right/>
      <top style="thin">
        <color auto="1"/>
      </top>
      <bottom style="thick">
        <color auto="1"/>
      </bottom>
      <diagonal/>
    </border>
    <border>
      <left/>
      <right/>
      <top style="thin">
        <color auto="1"/>
      </top>
      <bottom style="medium">
        <color rgb="FF000000"/>
      </bottom>
      <diagonal/>
    </border>
    <border>
      <left style="thick">
        <color auto="1"/>
      </left>
      <right style="medium">
        <color rgb="FF000000"/>
      </right>
      <top style="thin">
        <color auto="1"/>
      </top>
      <bottom style="medium">
        <color rgb="FF000000"/>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ck">
        <color auto="1"/>
      </left>
      <right style="thick">
        <color rgb="FF000000"/>
      </right>
      <top style="thin">
        <color auto="1"/>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thin">
        <color auto="1"/>
      </left>
      <right style="thick">
        <color auto="1"/>
      </right>
      <top/>
      <bottom style="thin">
        <color auto="1"/>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thin">
        <color auto="1"/>
      </left>
      <right style="thick">
        <color auto="1"/>
      </right>
      <top/>
      <bottom style="thin">
        <color auto="1"/>
      </bottom>
      <diagonal/>
    </border>
    <border>
      <left style="medium">
        <color rgb="FF000000"/>
      </left>
      <right style="thick">
        <color auto="1"/>
      </right>
      <top style="thin">
        <color auto="1"/>
      </top>
      <bottom style="medium">
        <color rgb="FF000000"/>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thin">
        <color auto="1"/>
      </left>
      <right style="thick">
        <color auto="1"/>
      </right>
      <top/>
      <bottom style="thin">
        <color auto="1"/>
      </bottom>
      <diagonal/>
    </border>
    <border>
      <left style="thick">
        <color auto="1"/>
      </left>
      <right style="thick">
        <color rgb="FF000000"/>
      </right>
      <top style="thin">
        <color auto="1"/>
      </top>
      <bottom style="thick">
        <color auto="1"/>
      </bottom>
      <diagonal/>
    </border>
    <border>
      <left style="medium">
        <color indexed="64"/>
      </left>
      <right style="medium">
        <color indexed="64"/>
      </right>
      <top/>
      <bottom style="thin">
        <color indexed="8"/>
      </bottom>
      <diagonal/>
    </border>
    <border>
      <left/>
      <right/>
      <top/>
      <bottom style="thin">
        <color indexed="8"/>
      </bottom>
      <diagonal/>
    </border>
    <border>
      <left style="medium">
        <color auto="1"/>
      </left>
      <right style="medium">
        <color auto="1"/>
      </right>
      <top style="thin">
        <color indexed="8"/>
      </top>
      <bottom style="thin">
        <color indexed="64"/>
      </bottom>
      <diagonal/>
    </border>
    <border>
      <left style="double">
        <color auto="1"/>
      </left>
      <right/>
      <top style="thin">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n">
        <color auto="1"/>
      </left>
      <right style="double">
        <color auto="1"/>
      </right>
      <top style="thin">
        <color auto="1"/>
      </top>
      <bottom style="thick">
        <color auto="1"/>
      </bottom>
      <diagonal/>
    </border>
    <border>
      <left style="thick">
        <color auto="1"/>
      </left>
      <right style="thin">
        <color auto="1"/>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auto="1"/>
      </left>
      <right style="medium">
        <color auto="1"/>
      </right>
      <top style="thin">
        <color indexed="8"/>
      </top>
      <bottom style="thin">
        <color indexed="64"/>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thin">
        <color auto="1"/>
      </left>
      <right style="thick">
        <color auto="1"/>
      </right>
      <top/>
      <bottom style="thin">
        <color auto="1"/>
      </bottom>
      <diagonal/>
    </border>
    <border>
      <left style="double">
        <color auto="1"/>
      </left>
      <right/>
      <top style="thin">
        <color auto="1"/>
      </top>
      <bottom style="thin">
        <color auto="1"/>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double">
        <color auto="1"/>
      </right>
      <top style="thin">
        <color auto="1"/>
      </top>
      <bottom style="thick">
        <color auto="1"/>
      </bottom>
      <diagonal/>
    </border>
    <border>
      <left style="thick">
        <color auto="1"/>
      </left>
      <right style="thin">
        <color auto="1"/>
      </right>
      <top/>
      <bottom style="thin">
        <color auto="1"/>
      </bottom>
      <diagonal/>
    </border>
    <border>
      <left style="medium">
        <color indexed="64"/>
      </left>
      <right style="medium">
        <color indexed="64"/>
      </right>
      <top style="medium">
        <color auto="1"/>
      </top>
      <bottom style="medium">
        <color indexed="8"/>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indexed="8"/>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medium">
        <color indexed="8"/>
      </left>
      <right style="medium">
        <color indexed="8"/>
      </right>
      <top/>
      <bottom style="thin">
        <color indexed="8"/>
      </bottom>
      <diagonal/>
    </border>
    <border>
      <left style="thick">
        <color indexed="64"/>
      </left>
      <right/>
      <top style="thin">
        <color indexed="64"/>
      </top>
      <bottom style="thin">
        <color indexed="64"/>
      </bottom>
      <diagonal/>
    </border>
    <border>
      <left style="medium">
        <color indexed="8"/>
      </left>
      <right style="medium">
        <color indexed="8"/>
      </right>
      <top style="thin">
        <color indexed="8"/>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auto="1"/>
      </left>
      <right style="medium">
        <color auto="1"/>
      </right>
      <top style="thin">
        <color indexed="8"/>
      </top>
      <bottom style="thin">
        <color indexed="64"/>
      </bottom>
      <diagonal/>
    </border>
    <border>
      <left style="medium">
        <color indexed="8"/>
      </left>
      <right style="medium">
        <color indexed="8"/>
      </right>
      <top/>
      <bottom style="thin">
        <color indexed="64"/>
      </bottom>
      <diagonal/>
    </border>
    <border>
      <left/>
      <right/>
      <top/>
      <bottom style="thin">
        <color indexed="64"/>
      </bottom>
      <diagonal/>
    </border>
    <border>
      <left/>
      <right style="thick">
        <color auto="1"/>
      </right>
      <top/>
      <bottom style="thin">
        <color auto="1"/>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thin">
        <color indexed="64"/>
      </bottom>
      <diagonal/>
    </border>
    <border>
      <left style="medium">
        <color indexed="8"/>
      </left>
      <right style="medium">
        <color indexed="8"/>
      </right>
      <top style="thin">
        <color indexed="64"/>
      </top>
      <bottom style="thin">
        <color indexed="64"/>
      </bottom>
      <diagonal/>
    </border>
    <border>
      <left style="thick">
        <color indexed="64"/>
      </left>
      <right/>
      <top style="thin">
        <color indexed="64"/>
      </top>
      <bottom style="thin">
        <color indexed="64"/>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medium">
        <color indexed="8"/>
      </left>
      <right style="medium">
        <color indexed="8"/>
      </right>
      <top style="thin">
        <color indexed="8"/>
      </top>
      <bottom style="thin">
        <color rgb="FF000000"/>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indexed="8"/>
      </bottom>
      <diagonal/>
    </border>
    <border>
      <left style="medium">
        <color indexed="8"/>
      </left>
      <right style="medium">
        <color indexed="8"/>
      </right>
      <top style="thin">
        <color indexed="64"/>
      </top>
      <bottom style="thin">
        <color indexed="64"/>
      </bottom>
      <diagonal/>
    </border>
    <border>
      <left style="medium">
        <color indexed="8"/>
      </left>
      <right style="medium">
        <color indexed="8"/>
      </right>
      <top style="thin">
        <color auto="1"/>
      </top>
      <bottom style="thin">
        <color rgb="FF000000"/>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ck">
        <color auto="1"/>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medium">
        <color auto="1"/>
      </left>
      <right style="medium">
        <color auto="1"/>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rgb="FF000000"/>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right/>
      <top/>
      <bottom style="thin">
        <color indexed="64"/>
      </bottom>
      <diagonal/>
    </border>
    <border>
      <left style="thick">
        <color auto="1"/>
      </left>
      <right/>
      <top/>
      <bottom style="thin">
        <color auto="1"/>
      </bottom>
      <diagonal/>
    </border>
    <border>
      <left/>
      <right style="thick">
        <color auto="1"/>
      </right>
      <top/>
      <bottom style="thin">
        <color auto="1"/>
      </bottom>
      <diagonal/>
    </border>
    <border>
      <left style="medium">
        <color indexed="8"/>
      </left>
      <right style="medium">
        <color indexed="8"/>
      </right>
      <top/>
      <bottom style="thin">
        <color indexed="8"/>
      </bottom>
      <diagonal/>
    </border>
    <border>
      <left style="medium">
        <color indexed="8"/>
      </left>
      <right style="medium">
        <color indexed="8"/>
      </right>
      <top/>
      <bottom style="thin">
        <color indexed="64"/>
      </bottom>
      <diagonal/>
    </border>
    <border>
      <left style="medium">
        <color indexed="8"/>
      </left>
      <right style="medium">
        <color indexed="8"/>
      </right>
      <top style="thin">
        <color auto="1"/>
      </top>
      <bottom style="thin">
        <color indexed="8"/>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indexed="64"/>
      </left>
      <right/>
      <top style="thin">
        <color indexed="64"/>
      </top>
      <bottom style="thin">
        <color indexed="64"/>
      </bottom>
      <diagonal/>
    </border>
    <border>
      <left style="medium">
        <color auto="1"/>
      </left>
      <right style="medium">
        <color auto="1"/>
      </right>
      <top style="thin">
        <color indexed="8"/>
      </top>
      <bottom style="thin">
        <color indexed="64"/>
      </bottom>
      <diagonal/>
    </border>
    <border>
      <left style="medium">
        <color indexed="8"/>
      </left>
      <right style="medium">
        <color indexed="8"/>
      </right>
      <top style="thin">
        <color auto="1"/>
      </top>
      <bottom style="thick">
        <color auto="1"/>
      </bottom>
      <diagonal/>
    </border>
    <border>
      <left style="medium">
        <color indexed="8"/>
      </left>
      <right style="medium">
        <color indexed="8"/>
      </right>
      <top style="medium">
        <color indexed="8"/>
      </top>
      <bottom style="thin">
        <color auto="1"/>
      </bottom>
      <diagonal/>
    </border>
    <border>
      <left style="medium">
        <color indexed="8"/>
      </left>
      <right style="medium">
        <color indexed="8"/>
      </right>
      <top style="thin">
        <color indexed="64"/>
      </top>
      <bottom style="thin">
        <color indexed="64"/>
      </bottom>
      <diagonal/>
    </border>
    <border>
      <left style="thin">
        <color indexed="64"/>
      </left>
      <right style="thin">
        <color indexed="64"/>
      </right>
      <top style="thin">
        <color auto="1"/>
      </top>
      <bottom style="thin">
        <color indexed="64"/>
      </bottom>
      <diagonal/>
    </border>
    <border>
      <left style="thick">
        <color auto="1"/>
      </left>
      <right style="thin">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medium">
        <color indexed="64"/>
      </left>
      <right style="medium">
        <color indexed="64"/>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ck">
        <color indexed="64"/>
      </left>
      <right/>
      <top style="thin">
        <color indexed="64"/>
      </top>
      <bottom style="thin">
        <color indexed="64"/>
      </bottom>
      <diagonal/>
    </border>
    <border>
      <left style="thick">
        <color auto="1"/>
      </left>
      <right/>
      <top style="thin">
        <color auto="1"/>
      </top>
      <bottom style="thick">
        <color auto="1"/>
      </bottom>
      <diagonal/>
    </border>
    <border>
      <left style="medium">
        <color indexed="8"/>
      </left>
      <right style="medium">
        <color indexed="8"/>
      </right>
      <top style="thin">
        <color auto="1"/>
      </top>
      <bottom style="thin">
        <color indexed="8"/>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medium">
        <color indexed="8"/>
      </left>
      <right style="medium">
        <color indexed="8"/>
      </right>
      <top/>
      <bottom style="thin">
        <color indexed="64"/>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right/>
      <top/>
      <bottom style="thin">
        <color indexed="64"/>
      </bottom>
      <diagonal/>
    </border>
    <border>
      <left style="thick">
        <color auto="1"/>
      </left>
      <right/>
      <top/>
      <bottom style="thin">
        <color auto="1"/>
      </bottom>
      <diagonal/>
    </border>
    <border>
      <left/>
      <right style="thick">
        <color auto="1"/>
      </right>
      <top/>
      <bottom style="thin">
        <color auto="1"/>
      </bottom>
      <diagonal/>
    </border>
    <border>
      <left style="medium">
        <color indexed="8"/>
      </left>
      <right style="medium">
        <color indexed="8"/>
      </right>
      <top/>
      <bottom style="thin">
        <color indexed="8"/>
      </bottom>
      <diagonal/>
    </border>
    <border>
      <left style="medium">
        <color auto="1"/>
      </left>
      <right style="medium">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style="thin">
        <color auto="1"/>
      </left>
      <right style="double">
        <color auto="1"/>
      </right>
      <top style="thin">
        <color auto="1"/>
      </top>
      <bottom style="thin">
        <color auto="1"/>
      </bottom>
      <diagonal/>
    </border>
    <border>
      <left/>
      <right style="thick">
        <color auto="1"/>
      </right>
      <top/>
      <bottom style="thin">
        <color auto="1"/>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n">
        <color indexed="64"/>
      </left>
      <right style="thin">
        <color indexed="64"/>
      </right>
      <top/>
      <bottom style="thin">
        <color indexed="64"/>
      </bottom>
      <diagonal/>
    </border>
    <border>
      <left style="thick">
        <color auto="1"/>
      </left>
      <right style="thick">
        <color auto="1"/>
      </right>
      <top/>
      <bottom style="thin">
        <color auto="1"/>
      </bottom>
      <diagonal/>
    </border>
    <border>
      <left style="thin">
        <color auto="1"/>
      </left>
      <right style="double">
        <color auto="1"/>
      </right>
      <top style="thin">
        <color auto="1"/>
      </top>
      <bottom style="thick">
        <color auto="1"/>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7" fillId="0" borderId="0">
      <alignment vertical="top"/>
    </xf>
    <xf numFmtId="0" fontId="1" fillId="0" borderId="0"/>
    <xf numFmtId="44"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31" fillId="0" borderId="36"/>
    <xf numFmtId="5" fontId="30" fillId="0" borderId="0"/>
    <xf numFmtId="0" fontId="23" fillId="0" borderId="0"/>
  </cellStyleXfs>
  <cellXfs count="3707">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3"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4" borderId="2" xfId="0" applyFill="1" applyBorder="1"/>
    <xf numFmtId="0" fontId="0" fillId="4" borderId="3" xfId="0" applyFill="1" applyBorder="1" applyAlignment="1">
      <alignment wrapText="1"/>
    </xf>
    <xf numFmtId="0" fontId="0" fillId="4" borderId="3" xfId="0" applyFill="1" applyBorder="1" applyProtection="1">
      <protection locked="0"/>
    </xf>
    <xf numFmtId="0" fontId="0" fillId="4" borderId="3" xfId="0" applyFill="1" applyBorder="1" applyAlignment="1" applyProtection="1">
      <alignment vertical="center"/>
      <protection locked="0"/>
    </xf>
    <xf numFmtId="0" fontId="0" fillId="4" borderId="3" xfId="0" applyFill="1" applyBorder="1" applyAlignment="1" applyProtection="1">
      <alignment horizontal="right"/>
      <protection locked="0"/>
    </xf>
    <xf numFmtId="0" fontId="0" fillId="4" borderId="4" xfId="0" applyFill="1" applyBorder="1" applyAlignment="1" applyProtection="1">
      <alignment horizontal="right"/>
      <protection locked="0"/>
    </xf>
    <xf numFmtId="5" fontId="0" fillId="4" borderId="5" xfId="0" applyNumberFormat="1" applyFill="1" applyBorder="1" applyProtection="1">
      <protection locked="0"/>
    </xf>
    <xf numFmtId="0" fontId="0" fillId="2" borderId="1" xfId="0" applyFill="1" applyBorder="1" applyProtection="1">
      <protection locked="0"/>
    </xf>
    <xf numFmtId="0" fontId="10" fillId="0" borderId="0" xfId="0" applyFont="1"/>
    <xf numFmtId="0" fontId="12" fillId="0" borderId="0" xfId="0" applyFont="1"/>
    <xf numFmtId="0" fontId="13" fillId="0" borderId="0" xfId="0" applyFont="1" applyAlignment="1">
      <alignment horizontal="right"/>
    </xf>
    <xf numFmtId="0" fontId="14" fillId="0" borderId="0" xfId="0" applyFont="1"/>
    <xf numFmtId="14" fontId="15" fillId="0" borderId="0" xfId="0" applyNumberFormat="1" applyFont="1" applyAlignment="1">
      <alignment horizontal="left" vertical="center"/>
    </xf>
    <xf numFmtId="0" fontId="16" fillId="0" borderId="0" xfId="0" applyFont="1" applyAlignment="1">
      <alignment horizontal="right"/>
    </xf>
    <xf numFmtId="164" fontId="17" fillId="0" borderId="0" xfId="1" applyNumberFormat="1" applyFont="1" applyAlignment="1">
      <alignment horizontal="center" vertical="center" wrapText="1"/>
    </xf>
    <xf numFmtId="164" fontId="14" fillId="0" borderId="0" xfId="1" applyNumberFormat="1" applyFont="1"/>
    <xf numFmtId="0" fontId="1" fillId="0" borderId="0" xfId="0" applyFont="1"/>
    <xf numFmtId="0" fontId="11" fillId="0" borderId="0" xfId="0" applyFont="1"/>
    <xf numFmtId="0" fontId="7" fillId="0" borderId="0" xfId="0" applyFont="1"/>
    <xf numFmtId="0" fontId="18" fillId="0" borderId="0" xfId="0" applyFont="1"/>
    <xf numFmtId="164" fontId="19" fillId="0" borderId="0" xfId="1" applyNumberFormat="1" applyFont="1" applyAlignment="1">
      <alignment horizontal="center" vertical="center" wrapText="1"/>
    </xf>
    <xf numFmtId="164" fontId="17" fillId="6" borderId="11" xfId="1" applyNumberFormat="1" applyFont="1" applyFill="1" applyBorder="1" applyAlignment="1">
      <alignment horizontal="center" vertical="center" wrapText="1"/>
    </xf>
    <xf numFmtId="164" fontId="20" fillId="6" borderId="11" xfId="1" applyNumberFormat="1" applyFont="1" applyFill="1" applyBorder="1" applyAlignment="1">
      <alignment horizontal="center" vertical="center" wrapText="1"/>
    </xf>
    <xf numFmtId="164" fontId="20" fillId="6" borderId="12" xfId="1" applyNumberFormat="1" applyFont="1" applyFill="1" applyBorder="1" applyAlignment="1">
      <alignment horizontal="center" vertical="center" wrapText="1"/>
    </xf>
    <xf numFmtId="0" fontId="0" fillId="0" borderId="13" xfId="0" applyBorder="1"/>
    <xf numFmtId="0" fontId="0" fillId="0" borderId="14" xfId="0" applyBorder="1"/>
    <xf numFmtId="10" fontId="21" fillId="0" borderId="14" xfId="0" applyNumberFormat="1" applyFont="1" applyBorder="1"/>
    <xf numFmtId="0" fontId="0" fillId="0" borderId="13" xfId="0" applyBorder="1" applyAlignment="1">
      <alignment horizontal="right"/>
    </xf>
    <xf numFmtId="164" fontId="0" fillId="0" borderId="0" xfId="0" applyNumberFormat="1"/>
    <xf numFmtId="164" fontId="11" fillId="0" borderId="0" xfId="1" applyNumberFormat="1" applyFont="1" applyFill="1" applyBorder="1"/>
    <xf numFmtId="164" fontId="17" fillId="6" borderId="15" xfId="1" applyNumberFormat="1" applyFont="1" applyFill="1" applyBorder="1" applyAlignment="1">
      <alignment horizontal="center" vertical="center" wrapText="1"/>
    </xf>
    <xf numFmtId="164" fontId="20" fillId="6" borderId="15" xfId="1" applyNumberFormat="1" applyFont="1" applyFill="1" applyBorder="1" applyAlignment="1">
      <alignment horizontal="center" vertical="center" wrapText="1"/>
    </xf>
    <xf numFmtId="164" fontId="20" fillId="6" borderId="16" xfId="1" applyNumberFormat="1" applyFont="1" applyFill="1" applyBorder="1" applyAlignment="1">
      <alignment horizontal="center" vertical="center" wrapText="1"/>
    </xf>
    <xf numFmtId="0" fontId="0" fillId="0" borderId="0" xfId="0" applyAlignment="1">
      <alignment horizontal="right"/>
    </xf>
    <xf numFmtId="0" fontId="0" fillId="2" borderId="23" xfId="0" applyFill="1" applyBorder="1" applyProtection="1">
      <protection locked="0"/>
    </xf>
    <xf numFmtId="0" fontId="0" fillId="2" borderId="24" xfId="0" applyFill="1" applyBorder="1" applyProtection="1">
      <protection locked="0"/>
    </xf>
    <xf numFmtId="0" fontId="5" fillId="0" borderId="26" xfId="0" applyFont="1" applyBorder="1" applyProtection="1">
      <protection locked="0"/>
    </xf>
    <xf numFmtId="0" fontId="0" fillId="0" borderId="26" xfId="0" applyBorder="1" applyProtection="1">
      <protection locked="0"/>
    </xf>
    <xf numFmtId="5" fontId="0" fillId="0" borderId="22" xfId="2" applyNumberFormat="1" applyFont="1" applyBorder="1" applyProtection="1">
      <protection locked="0"/>
    </xf>
    <xf numFmtId="0" fontId="0" fillId="0" borderId="25" xfId="0" applyBorder="1"/>
    <xf numFmtId="5" fontId="0" fillId="4" borderId="5" xfId="0" applyNumberFormat="1" applyFill="1" applyBorder="1" applyAlignment="1" applyProtection="1">
      <alignment horizontal="left"/>
      <protection locked="0"/>
    </xf>
    <xf numFmtId="0" fontId="0" fillId="0" borderId="9" xfId="0" applyBorder="1" applyProtection="1">
      <protection locked="0"/>
    </xf>
    <xf numFmtId="170" fontId="0" fillId="4" borderId="5" xfId="0" applyNumberFormat="1" applyFill="1" applyBorder="1" applyAlignment="1" applyProtection="1">
      <alignment horizontal="left"/>
      <protection locked="0"/>
    </xf>
    <xf numFmtId="0" fontId="6" fillId="0" borderId="0" xfId="0" applyFont="1"/>
    <xf numFmtId="3" fontId="0" fillId="0" borderId="0" xfId="0" applyNumberFormat="1" applyAlignment="1">
      <alignment horizontal="right"/>
    </xf>
    <xf numFmtId="44" fontId="0" fillId="0" borderId="0" xfId="2" applyFont="1"/>
    <xf numFmtId="0" fontId="3" fillId="0" borderId="28" xfId="0" applyFont="1" applyBorder="1" applyAlignment="1" applyProtection="1">
      <alignment horizontal="right"/>
      <protection locked="0"/>
    </xf>
    <xf numFmtId="0" fontId="3" fillId="0" borderId="20" xfId="0" applyFont="1" applyBorder="1" applyAlignment="1" applyProtection="1">
      <alignment horizontal="right"/>
      <protection locked="0"/>
    </xf>
    <xf numFmtId="0" fontId="0" fillId="0" borderId="1" xfId="0" applyBorder="1" applyProtection="1">
      <protection locked="0"/>
    </xf>
    <xf numFmtId="0" fontId="0" fillId="5" borderId="0" xfId="0" applyFill="1"/>
    <xf numFmtId="0" fontId="0" fillId="10" borderId="0" xfId="0" applyFill="1"/>
    <xf numFmtId="171" fontId="29" fillId="0" borderId="29" xfId="0" applyNumberFormat="1" applyFont="1" applyBorder="1" applyAlignment="1">
      <alignment horizontal="left" vertical="top" shrinkToFit="1"/>
    </xf>
    <xf numFmtId="0" fontId="11" fillId="0" borderId="0" xfId="0" applyFont="1" applyAlignment="1">
      <alignment horizontal="right"/>
    </xf>
    <xf numFmtId="10" fontId="22" fillId="0" borderId="0" xfId="0" applyNumberFormat="1" applyFont="1"/>
    <xf numFmtId="164" fontId="11" fillId="0" borderId="0" xfId="0" applyNumberFormat="1" applyFont="1"/>
    <xf numFmtId="39" fontId="11" fillId="0" borderId="0" xfId="1" applyNumberFormat="1" applyFont="1" applyFill="1" applyBorder="1"/>
    <xf numFmtId="164" fontId="17" fillId="6" borderId="11" xfId="1" applyNumberFormat="1" applyFont="1" applyFill="1" applyBorder="1" applyAlignment="1">
      <alignment horizontal="left" vertical="center" wrapText="1"/>
    </xf>
    <xf numFmtId="0" fontId="5" fillId="0" borderId="0" xfId="0" applyFont="1" applyProtection="1">
      <protection locked="0"/>
    </xf>
    <xf numFmtId="167" fontId="0" fillId="0" borderId="0" xfId="2" applyNumberFormat="1" applyFont="1"/>
    <xf numFmtId="0" fontId="23" fillId="7" borderId="48" xfId="0" applyFont="1" applyFill="1" applyBorder="1" applyAlignment="1">
      <alignment horizontal="left" vertical="center" wrapText="1"/>
    </xf>
    <xf numFmtId="0" fontId="23" fillId="11" borderId="0" xfId="0" applyFont="1" applyFill="1" applyAlignment="1">
      <alignment horizontal="center"/>
    </xf>
    <xf numFmtId="0" fontId="23" fillId="0" borderId="0" xfId="0" applyFont="1"/>
    <xf numFmtId="0" fontId="23" fillId="10" borderId="0" xfId="0" applyFont="1" applyFill="1" applyAlignment="1">
      <alignment horizontal="center"/>
    </xf>
    <xf numFmtId="0" fontId="23" fillId="5" borderId="0" xfId="0" applyFont="1" applyFill="1" applyAlignment="1">
      <alignment horizontal="center"/>
    </xf>
    <xf numFmtId="0" fontId="23" fillId="7" borderId="48" xfId="0" applyFont="1" applyFill="1" applyBorder="1" applyAlignment="1">
      <alignment horizontal="left"/>
    </xf>
    <xf numFmtId="0" fontId="24" fillId="7" borderId="48" xfId="0" applyFont="1" applyFill="1" applyBorder="1" applyAlignment="1">
      <alignment horizontal="left" vertical="center" wrapText="1"/>
    </xf>
    <xf numFmtId="0" fontId="0" fillId="0" borderId="0" xfId="0" applyAlignment="1" applyProtection="1">
      <alignment horizontal="center"/>
      <protection locked="0"/>
    </xf>
    <xf numFmtId="0" fontId="34" fillId="0" borderId="0" xfId="4" applyFont="1"/>
    <xf numFmtId="164" fontId="33" fillId="0" borderId="0" xfId="1" applyNumberFormat="1" applyFont="1"/>
    <xf numFmtId="0" fontId="33" fillId="0" borderId="0" xfId="0" applyFont="1"/>
    <xf numFmtId="43" fontId="33" fillId="0" borderId="0" xfId="1" applyFont="1"/>
    <xf numFmtId="44" fontId="33" fillId="0" borderId="0" xfId="2" applyFont="1"/>
    <xf numFmtId="8" fontId="33" fillId="0" borderId="0" xfId="0" applyNumberFormat="1" applyFont="1"/>
    <xf numFmtId="43" fontId="33" fillId="0" borderId="0" xfId="0" applyNumberFormat="1" applyFont="1"/>
    <xf numFmtId="164" fontId="33" fillId="0" borderId="0" xfId="1" applyNumberFormat="1" applyFont="1" applyAlignment="1">
      <alignment horizontal="left"/>
    </xf>
    <xf numFmtId="8" fontId="0" fillId="0" borderId="0" xfId="0" applyNumberFormat="1"/>
    <xf numFmtId="164" fontId="0" fillId="0" borderId="0" xfId="1" applyNumberFormat="1" applyFont="1"/>
    <xf numFmtId="164" fontId="0" fillId="10" borderId="0" xfId="1" applyNumberFormat="1" applyFont="1" applyFill="1"/>
    <xf numFmtId="0" fontId="23" fillId="0" borderId="0" xfId="0" applyFont="1" applyAlignment="1">
      <alignment horizontal="center"/>
    </xf>
    <xf numFmtId="0" fontId="39" fillId="0" borderId="0" xfId="0" applyFont="1" applyAlignment="1">
      <alignment horizontal="right"/>
    </xf>
    <xf numFmtId="0" fontId="40" fillId="0" borderId="0" xfId="0" applyFont="1" applyAlignment="1">
      <alignment horizontal="right"/>
    </xf>
    <xf numFmtId="0" fontId="0" fillId="0" borderId="0" xfId="0" applyAlignment="1">
      <alignment horizontal="center"/>
    </xf>
    <xf numFmtId="0" fontId="3" fillId="14" borderId="48" xfId="0" applyFont="1" applyFill="1" applyBorder="1" applyAlignment="1">
      <alignment horizontal="center" vertical="center"/>
    </xf>
    <xf numFmtId="0" fontId="3" fillId="0" borderId="0" xfId="0" applyFont="1" applyAlignment="1">
      <alignment horizontal="center"/>
    </xf>
    <xf numFmtId="167" fontId="3" fillId="14" borderId="46" xfId="2" applyNumberFormat="1" applyFont="1" applyFill="1" applyBorder="1" applyAlignment="1">
      <alignment horizontal="center"/>
    </xf>
    <xf numFmtId="167" fontId="3" fillId="14" borderId="14" xfId="2" applyNumberFormat="1" applyFont="1" applyFill="1" applyBorder="1" applyAlignment="1">
      <alignment horizontal="center"/>
    </xf>
    <xf numFmtId="0" fontId="3" fillId="0" borderId="0" xfId="0" applyFont="1"/>
    <xf numFmtId="0" fontId="3" fillId="14" borderId="52" xfId="0" applyFont="1" applyFill="1" applyBorder="1" applyAlignment="1">
      <alignment horizontal="center" vertical="center"/>
    </xf>
    <xf numFmtId="167" fontId="3" fillId="14" borderId="50" xfId="2" applyNumberFormat="1" applyFont="1" applyFill="1" applyBorder="1" applyAlignment="1">
      <alignment horizontal="center"/>
    </xf>
    <xf numFmtId="167" fontId="3" fillId="14" borderId="31" xfId="2" applyNumberFormat="1" applyFont="1" applyFill="1" applyBorder="1" applyAlignment="1">
      <alignment horizontal="center"/>
    </xf>
    <xf numFmtId="0" fontId="3" fillId="11" borderId="33" xfId="0" applyFont="1" applyFill="1" applyBorder="1" applyAlignment="1">
      <alignment horizontal="center"/>
    </xf>
    <xf numFmtId="164" fontId="3" fillId="11" borderId="32" xfId="1" applyNumberFormat="1" applyFont="1" applyFill="1" applyBorder="1"/>
    <xf numFmtId="164" fontId="3" fillId="11" borderId="53" xfId="1" applyNumberFormat="1" applyFont="1" applyFill="1" applyBorder="1"/>
    <xf numFmtId="164" fontId="3" fillId="11" borderId="33" xfId="1" applyNumberFormat="1" applyFont="1" applyFill="1" applyBorder="1"/>
    <xf numFmtId="167" fontId="0" fillId="11" borderId="33" xfId="2" applyNumberFormat="1" applyFont="1" applyFill="1" applyBorder="1"/>
    <xf numFmtId="170" fontId="0" fillId="11" borderId="33" xfId="0" applyNumberFormat="1" applyFill="1" applyBorder="1"/>
    <xf numFmtId="167" fontId="0" fillId="0" borderId="46" xfId="2" applyNumberFormat="1" applyFont="1" applyFill="1" applyBorder="1"/>
    <xf numFmtId="0" fontId="0" fillId="7" borderId="0" xfId="0" applyFill="1"/>
    <xf numFmtId="174" fontId="0" fillId="0" borderId="46" xfId="1" applyNumberFormat="1" applyFont="1" applyFill="1" applyBorder="1"/>
    <xf numFmtId="167" fontId="0" fillId="0" borderId="0" xfId="2" applyNumberFormat="1" applyFont="1" applyFill="1"/>
    <xf numFmtId="174" fontId="0" fillId="0" borderId="50" xfId="1" applyNumberFormat="1" applyFont="1" applyBorder="1"/>
    <xf numFmtId="167" fontId="3" fillId="0" borderId="51" xfId="2" applyNumberFormat="1" applyFont="1" applyBorder="1"/>
    <xf numFmtId="0" fontId="3" fillId="15" borderId="32" xfId="0" applyFont="1" applyFill="1" applyBorder="1" applyAlignment="1">
      <alignment horizontal="center"/>
    </xf>
    <xf numFmtId="164" fontId="0" fillId="15" borderId="32" xfId="1" applyNumberFormat="1" applyFont="1" applyFill="1" applyBorder="1"/>
    <xf numFmtId="164" fontId="0" fillId="15" borderId="53" xfId="1" applyNumberFormat="1" applyFont="1" applyFill="1" applyBorder="1"/>
    <xf numFmtId="164" fontId="0" fillId="15" borderId="33" xfId="1" applyNumberFormat="1" applyFont="1" applyFill="1" applyBorder="1"/>
    <xf numFmtId="167" fontId="0" fillId="15" borderId="33" xfId="2" applyNumberFormat="1" applyFont="1" applyFill="1" applyBorder="1"/>
    <xf numFmtId="174" fontId="0" fillId="7" borderId="50" xfId="1" applyNumberFormat="1" applyFont="1" applyFill="1" applyBorder="1"/>
    <xf numFmtId="167" fontId="0" fillId="0" borderId="50" xfId="2" applyNumberFormat="1" applyFont="1" applyFill="1" applyBorder="1"/>
    <xf numFmtId="167" fontId="3" fillId="0" borderId="52" xfId="2" applyNumberFormat="1" applyFont="1" applyBorder="1"/>
    <xf numFmtId="0" fontId="3" fillId="15" borderId="33" xfId="0" applyFont="1" applyFill="1" applyBorder="1" applyAlignment="1">
      <alignment horizontal="center"/>
    </xf>
    <xf numFmtId="164" fontId="0" fillId="15" borderId="49" xfId="1" applyNumberFormat="1" applyFont="1" applyFill="1" applyBorder="1" applyAlignment="1">
      <alignment horizontal="center"/>
    </xf>
    <xf numFmtId="167" fontId="0" fillId="0" borderId="50" xfId="2" applyNumberFormat="1" applyFont="1" applyBorder="1"/>
    <xf numFmtId="167" fontId="0" fillId="0" borderId="52" xfId="2" applyNumberFormat="1" applyFont="1" applyBorder="1"/>
    <xf numFmtId="0" fontId="0" fillId="0" borderId="48" xfId="0" applyBorder="1"/>
    <xf numFmtId="174" fontId="0" fillId="0" borderId="46" xfId="1" applyNumberFormat="1" applyFont="1" applyBorder="1"/>
    <xf numFmtId="167" fontId="0" fillId="0" borderId="46" xfId="2" applyNumberFormat="1" applyFont="1" applyBorder="1"/>
    <xf numFmtId="167" fontId="3" fillId="0" borderId="47" xfId="2" applyNumberFormat="1" applyFont="1" applyBorder="1"/>
    <xf numFmtId="167" fontId="3" fillId="0" borderId="48" xfId="2" applyNumberFormat="1" applyFont="1" applyBorder="1"/>
    <xf numFmtId="167" fontId="0" fillId="0" borderId="48" xfId="2" applyNumberFormat="1" applyFont="1" applyBorder="1"/>
    <xf numFmtId="174" fontId="0" fillId="7" borderId="46" xfId="1" applyNumberFormat="1" applyFont="1" applyFill="1" applyBorder="1"/>
    <xf numFmtId="0" fontId="0" fillId="0" borderId="47" xfId="0" applyBorder="1" applyAlignment="1">
      <alignment horizontal="center"/>
    </xf>
    <xf numFmtId="0" fontId="3" fillId="0" borderId="52" xfId="0" applyFont="1" applyBorder="1" applyAlignment="1">
      <alignment horizontal="center"/>
    </xf>
    <xf numFmtId="174" fontId="3" fillId="3" borderId="50" xfId="1" applyNumberFormat="1" applyFont="1" applyFill="1" applyBorder="1"/>
    <xf numFmtId="0" fontId="3" fillId="3" borderId="51" xfId="0" applyFont="1" applyFill="1" applyBorder="1" applyAlignment="1">
      <alignment horizontal="center"/>
    </xf>
    <xf numFmtId="167" fontId="3" fillId="3" borderId="30" xfId="2" applyNumberFormat="1" applyFont="1" applyFill="1" applyBorder="1"/>
    <xf numFmtId="167" fontId="3" fillId="0" borderId="33" xfId="2" applyNumberFormat="1" applyFont="1" applyBorder="1"/>
    <xf numFmtId="167" fontId="3" fillId="3" borderId="33" xfId="2" applyNumberFormat="1" applyFont="1" applyFill="1" applyBorder="1"/>
    <xf numFmtId="174" fontId="3" fillId="0" borderId="0" xfId="1" applyNumberFormat="1" applyFont="1"/>
    <xf numFmtId="167" fontId="3" fillId="0" borderId="0" xfId="2" applyNumberFormat="1" applyFont="1"/>
    <xf numFmtId="167" fontId="3" fillId="11" borderId="35" xfId="2" applyNumberFormat="1" applyFont="1" applyFill="1" applyBorder="1"/>
    <xf numFmtId="167" fontId="3" fillId="15" borderId="35" xfId="2" applyNumberFormat="1" applyFont="1" applyFill="1" applyBorder="1"/>
    <xf numFmtId="167" fontId="3" fillId="0" borderId="35" xfId="2" applyNumberFormat="1" applyFont="1" applyBorder="1"/>
    <xf numFmtId="174" fontId="0" fillId="0" borderId="0" xfId="1" applyNumberFormat="1" applyFont="1"/>
    <xf numFmtId="168" fontId="10" fillId="0" borderId="0" xfId="0" applyNumberFormat="1" applyFont="1" applyAlignment="1">
      <alignment horizontal="left"/>
    </xf>
    <xf numFmtId="14" fontId="10" fillId="0" borderId="0" xfId="0" applyNumberFormat="1" applyFont="1" applyAlignment="1">
      <alignment horizontal="left" vertical="center"/>
    </xf>
    <xf numFmtId="164" fontId="17" fillId="6" borderId="12" xfId="1" applyNumberFormat="1" applyFont="1" applyFill="1" applyBorder="1" applyAlignment="1">
      <alignment horizontal="left" vertical="center" wrapText="1"/>
    </xf>
    <xf numFmtId="0" fontId="2" fillId="0" borderId="0" xfId="0" applyFont="1"/>
    <xf numFmtId="0" fontId="43" fillId="0" borderId="0" xfId="0" applyFont="1"/>
    <xf numFmtId="42" fontId="43" fillId="0" borderId="0" xfId="0" applyNumberFormat="1" applyFont="1"/>
    <xf numFmtId="175" fontId="49" fillId="0" borderId="57" xfId="1" applyNumberFormat="1" applyFont="1" applyBorder="1" applyAlignment="1">
      <alignment horizontal="center"/>
    </xf>
    <xf numFmtId="175" fontId="49" fillId="0" borderId="57" xfId="1" applyNumberFormat="1" applyFont="1" applyFill="1" applyBorder="1" applyAlignment="1">
      <alignment horizontal="center"/>
    </xf>
    <xf numFmtId="0" fontId="43" fillId="0" borderId="0" xfId="0" applyFont="1" applyAlignment="1">
      <alignment vertical="center"/>
    </xf>
    <xf numFmtId="0" fontId="48" fillId="0" borderId="0" xfId="0" applyFont="1" applyAlignment="1">
      <alignment horizontal="right"/>
    </xf>
    <xf numFmtId="0" fontId="43" fillId="0" borderId="0" xfId="0" applyFont="1" applyAlignment="1">
      <alignment horizontal="left"/>
    </xf>
    <xf numFmtId="42" fontId="43" fillId="0" borderId="0" xfId="0" applyNumberFormat="1" applyFont="1" applyAlignment="1">
      <alignment horizontal="left"/>
    </xf>
    <xf numFmtId="0" fontId="44" fillId="0" borderId="0" xfId="10" applyFont="1" applyBorder="1" applyAlignment="1">
      <alignment horizontal="left" vertical="center"/>
    </xf>
    <xf numFmtId="0" fontId="3" fillId="2" borderId="6" xfId="0" applyFont="1" applyFill="1" applyBorder="1" applyAlignment="1">
      <alignment vertical="top"/>
    </xf>
    <xf numFmtId="5" fontId="0" fillId="2" borderId="1" xfId="2" applyNumberFormat="1" applyFont="1" applyFill="1" applyBorder="1" applyAlignment="1" applyProtection="1">
      <alignment horizontal="center" vertical="top"/>
      <protection locked="0"/>
    </xf>
    <xf numFmtId="0" fontId="45" fillId="0" borderId="0" xfId="0" applyFont="1"/>
    <xf numFmtId="0" fontId="3" fillId="14" borderId="48" xfId="0" applyFont="1" applyFill="1" applyBorder="1" applyAlignment="1">
      <alignment horizontal="center" wrapText="1"/>
    </xf>
    <xf numFmtId="44" fontId="0" fillId="4" borderId="5" xfId="2" applyFont="1" applyFill="1" applyBorder="1" applyAlignment="1" applyProtection="1">
      <alignment horizontal="left"/>
      <protection locked="0"/>
    </xf>
    <xf numFmtId="43" fontId="0" fillId="0" borderId="0" xfId="1" applyFont="1" applyProtection="1">
      <protection locked="0"/>
    </xf>
    <xf numFmtId="43" fontId="0" fillId="0" borderId="3" xfId="1" applyFont="1" applyBorder="1" applyProtection="1">
      <protection locked="0"/>
    </xf>
    <xf numFmtId="43" fontId="0" fillId="2" borderId="7" xfId="1" applyFont="1" applyFill="1" applyBorder="1" applyAlignment="1" applyProtection="1">
      <alignment horizontal="center" vertical="top" wrapText="1"/>
      <protection locked="0"/>
    </xf>
    <xf numFmtId="43" fontId="0" fillId="4" borderId="3" xfId="1" applyFont="1" applyFill="1" applyBorder="1" applyProtection="1">
      <protection locked="0"/>
    </xf>
    <xf numFmtId="43" fontId="0" fillId="2" borderId="7" xfId="1" applyFont="1" applyFill="1" applyBorder="1" applyProtection="1">
      <protection locked="0"/>
    </xf>
    <xf numFmtId="0" fontId="0" fillId="20" borderId="0" xfId="0" applyFill="1" applyProtection="1">
      <protection locked="0"/>
    </xf>
    <xf numFmtId="0" fontId="0" fillId="0" borderId="3" xfId="0" applyBorder="1" applyAlignment="1" applyProtection="1">
      <alignment horizontal="center"/>
      <protection locked="0"/>
    </xf>
    <xf numFmtId="0" fontId="0" fillId="2" borderId="7" xfId="0" applyFill="1" applyBorder="1" applyAlignment="1">
      <alignment vertical="top" wrapText="1"/>
    </xf>
    <xf numFmtId="0" fontId="0" fillId="2" borderId="7" xfId="0" applyFill="1" applyBorder="1" applyAlignment="1" applyProtection="1">
      <alignment horizontal="center" vertical="top" wrapText="1"/>
      <protection locked="0"/>
    </xf>
    <xf numFmtId="0" fontId="0" fillId="2" borderId="8" xfId="0" applyFill="1" applyBorder="1" applyAlignment="1" applyProtection="1">
      <alignment horizontal="center" vertical="top" wrapText="1"/>
      <protection locked="0"/>
    </xf>
    <xf numFmtId="0" fontId="0" fillId="0" borderId="0" xfId="0" applyAlignment="1">
      <alignment vertical="top"/>
    </xf>
    <xf numFmtId="0" fontId="0" fillId="4" borderId="3" xfId="0" applyFill="1" applyBorder="1" applyAlignment="1" applyProtection="1">
      <alignment horizontal="center" vertical="center"/>
      <protection locked="0"/>
    </xf>
    <xf numFmtId="0" fontId="0" fillId="2" borderId="7" xfId="0" applyFill="1" applyBorder="1" applyAlignment="1" applyProtection="1">
      <alignment horizontal="center"/>
      <protection locked="0"/>
    </xf>
    <xf numFmtId="0" fontId="6" fillId="5" borderId="0" xfId="0" applyFont="1" applyFill="1" applyAlignment="1">
      <alignment horizontal="center"/>
    </xf>
    <xf numFmtId="0" fontId="6" fillId="11" borderId="0" xfId="0" applyFont="1" applyFill="1" applyAlignment="1">
      <alignment horizontal="center"/>
    </xf>
    <xf numFmtId="0" fontId="6" fillId="10" borderId="0" xfId="0" applyFont="1" applyFill="1" applyAlignment="1">
      <alignment horizontal="center"/>
    </xf>
    <xf numFmtId="0" fontId="54" fillId="0" borderId="0" xfId="4" applyFont="1"/>
    <xf numFmtId="171" fontId="38" fillId="0" borderId="29" xfId="0" applyNumberFormat="1" applyFont="1" applyBorder="1" applyAlignment="1">
      <alignment horizontal="left" vertical="top" shrinkToFit="1"/>
    </xf>
    <xf numFmtId="172" fontId="43" fillId="0" borderId="0" xfId="0" applyNumberFormat="1" applyFont="1" applyAlignment="1">
      <alignment horizontal="center" vertical="top"/>
    </xf>
    <xf numFmtId="0" fontId="43" fillId="0" borderId="0" xfId="0" applyFont="1" applyAlignment="1">
      <alignment horizontal="left" vertical="top"/>
    </xf>
    <xf numFmtId="0" fontId="56" fillId="0" borderId="0" xfId="0" applyFont="1"/>
    <xf numFmtId="0" fontId="56" fillId="0" borderId="0" xfId="0" applyFont="1" applyAlignment="1">
      <alignment horizontal="center" vertical="center"/>
    </xf>
    <xf numFmtId="172" fontId="43" fillId="0" borderId="0" xfId="0" applyNumberFormat="1" applyFont="1" applyAlignment="1">
      <alignment horizontal="right" vertical="top"/>
    </xf>
    <xf numFmtId="0" fontId="57" fillId="0" borderId="0" xfId="0" applyFont="1" applyAlignment="1">
      <alignment wrapText="1"/>
    </xf>
    <xf numFmtId="44" fontId="43" fillId="0" borderId="0" xfId="0" applyNumberFormat="1" applyFont="1" applyAlignment="1">
      <alignment vertical="top"/>
    </xf>
    <xf numFmtId="172" fontId="43" fillId="0" borderId="0" xfId="0" applyNumberFormat="1" applyFont="1" applyAlignment="1">
      <alignment horizontal="right"/>
    </xf>
    <xf numFmtId="0" fontId="43" fillId="0" borderId="40" xfId="0" applyFont="1" applyBorder="1" applyAlignment="1">
      <alignment horizontal="left" vertical="center" wrapText="1"/>
    </xf>
    <xf numFmtId="0" fontId="43" fillId="0" borderId="0" xfId="0" applyFont="1" applyAlignment="1">
      <alignment horizontal="left" vertical="center"/>
    </xf>
    <xf numFmtId="172" fontId="43" fillId="0" borderId="39" xfId="0" applyNumberFormat="1" applyFont="1" applyBorder="1" applyAlignment="1">
      <alignment horizontal="center" vertical="center"/>
    </xf>
    <xf numFmtId="44" fontId="43" fillId="0" borderId="41" xfId="2" applyFont="1" applyBorder="1" applyAlignment="1">
      <alignment horizontal="left" vertical="center"/>
    </xf>
    <xf numFmtId="0" fontId="43" fillId="0" borderId="42" xfId="0" applyFont="1" applyBorder="1" applyAlignment="1">
      <alignment horizontal="left" vertical="center" wrapText="1"/>
    </xf>
    <xf numFmtId="44" fontId="43" fillId="0" borderId="43" xfId="2" applyFont="1" applyBorder="1" applyAlignment="1">
      <alignment horizontal="left" vertical="center"/>
    </xf>
    <xf numFmtId="0" fontId="43" fillId="0" borderId="44" xfId="0" applyFont="1" applyBorder="1" applyAlignment="1">
      <alignment horizontal="left" vertical="center" wrapText="1"/>
    </xf>
    <xf numFmtId="44" fontId="43" fillId="0" borderId="45" xfId="2" applyFont="1" applyBorder="1" applyAlignment="1">
      <alignment horizontal="left" vertical="center"/>
    </xf>
    <xf numFmtId="172" fontId="43" fillId="0" borderId="0" xfId="0" applyNumberFormat="1" applyFont="1" applyAlignment="1">
      <alignment horizontal="center" vertical="center"/>
    </xf>
    <xf numFmtId="0" fontId="43" fillId="0" borderId="0" xfId="0" applyFont="1" applyAlignment="1">
      <alignment horizontal="left" vertical="center" wrapText="1"/>
    </xf>
    <xf numFmtId="44" fontId="43" fillId="0" borderId="0" xfId="2" applyFont="1" applyBorder="1" applyAlignment="1">
      <alignment horizontal="left" vertical="center"/>
    </xf>
    <xf numFmtId="172" fontId="45" fillId="0" borderId="0" xfId="0" applyNumberFormat="1" applyFont="1" applyAlignment="1">
      <alignment horizontal="center" vertical="top"/>
    </xf>
    <xf numFmtId="0" fontId="45" fillId="0" borderId="0" xfId="0" applyFont="1" applyAlignment="1">
      <alignment horizontal="left" vertical="top"/>
    </xf>
    <xf numFmtId="167" fontId="45" fillId="0" borderId="0" xfId="2" applyNumberFormat="1" applyFont="1"/>
    <xf numFmtId="167" fontId="45" fillId="0" borderId="0" xfId="2" applyNumberFormat="1" applyFont="1" applyAlignment="1">
      <alignment horizontal="left"/>
    </xf>
    <xf numFmtId="164" fontId="0" fillId="0" borderId="0" xfId="1" applyNumberFormat="1" applyFont="1" applyAlignment="1">
      <alignment horizontal="right"/>
    </xf>
    <xf numFmtId="10" fontId="21" fillId="0" borderId="14" xfId="0" applyNumberFormat="1" applyFont="1" applyBorder="1" applyAlignment="1">
      <alignment horizontal="right"/>
    </xf>
    <xf numFmtId="0" fontId="21" fillId="0" borderId="0" xfId="0" applyFont="1" applyAlignment="1">
      <alignment horizontal="right"/>
    </xf>
    <xf numFmtId="0" fontId="21" fillId="0" borderId="13" xfId="0" applyFont="1" applyBorder="1" applyAlignment="1">
      <alignment horizontal="right"/>
    </xf>
    <xf numFmtId="164" fontId="21" fillId="0" borderId="0" xfId="1" applyNumberFormat="1" applyFont="1" applyAlignment="1">
      <alignment horizontal="right"/>
    </xf>
    <xf numFmtId="10" fontId="21" fillId="0" borderId="0" xfId="0" applyNumberFormat="1" applyFont="1" applyAlignment="1">
      <alignment horizontal="right"/>
    </xf>
    <xf numFmtId="3" fontId="21" fillId="0" borderId="0" xfId="0" applyNumberFormat="1" applyFont="1" applyAlignment="1">
      <alignment horizontal="right"/>
    </xf>
    <xf numFmtId="0" fontId="21" fillId="0" borderId="14" xfId="0" applyFont="1" applyBorder="1" applyAlignment="1">
      <alignment horizontal="right"/>
    </xf>
    <xf numFmtId="0" fontId="1" fillId="0" borderId="0" xfId="0" applyFont="1" applyAlignment="1">
      <alignment horizontal="right"/>
    </xf>
    <xf numFmtId="164" fontId="19" fillId="0" borderId="0" xfId="1" applyNumberFormat="1" applyFont="1" applyAlignment="1">
      <alignment horizontal="right" vertical="center" wrapText="1"/>
    </xf>
    <xf numFmtId="164" fontId="17" fillId="6" borderId="11" xfId="1" applyNumberFormat="1" applyFont="1" applyFill="1" applyBorder="1" applyAlignment="1">
      <alignment horizontal="right" vertical="center" wrapText="1"/>
    </xf>
    <xf numFmtId="164" fontId="17" fillId="6" borderId="12" xfId="1" applyNumberFormat="1" applyFont="1" applyFill="1" applyBorder="1" applyAlignment="1">
      <alignment horizontal="right" vertical="center" wrapText="1"/>
    </xf>
    <xf numFmtId="0" fontId="14" fillId="0" borderId="0" xfId="0" applyFont="1" applyAlignment="1">
      <alignment horizontal="right"/>
    </xf>
    <xf numFmtId="164" fontId="17" fillId="0" borderId="0" xfId="1" applyNumberFormat="1" applyFont="1" applyAlignment="1">
      <alignment horizontal="right" vertical="center" wrapText="1"/>
    </xf>
    <xf numFmtId="164" fontId="14" fillId="0" borderId="0" xfId="1" applyNumberFormat="1" applyFont="1" applyAlignment="1">
      <alignment horizontal="right"/>
    </xf>
    <xf numFmtId="0" fontId="0" fillId="0" borderId="14" xfId="0" applyBorder="1" applyAlignment="1">
      <alignment horizontal="right"/>
    </xf>
    <xf numFmtId="164" fontId="0" fillId="0" borderId="0" xfId="0" applyNumberFormat="1" applyAlignment="1">
      <alignment horizontal="right"/>
    </xf>
    <xf numFmtId="2" fontId="0" fillId="0" borderId="0" xfId="0" applyNumberFormat="1" applyAlignment="1">
      <alignment horizontal="right"/>
    </xf>
    <xf numFmtId="44" fontId="0" fillId="4" borderId="60" xfId="2" applyFont="1" applyFill="1" applyBorder="1" applyAlignment="1" applyProtection="1">
      <alignment horizontal="left"/>
      <protection locked="0"/>
    </xf>
    <xf numFmtId="44" fontId="0" fillId="21" borderId="5" xfId="2" applyFont="1" applyFill="1" applyBorder="1" applyAlignment="1" applyProtection="1">
      <alignment horizontal="left"/>
      <protection locked="0"/>
    </xf>
    <xf numFmtId="0" fontId="0" fillId="4" borderId="3" xfId="0" applyFill="1" applyBorder="1" applyAlignment="1">
      <alignment horizontal="right" wrapText="1"/>
    </xf>
    <xf numFmtId="44" fontId="0" fillId="4" borderId="4" xfId="2" applyFont="1" applyFill="1" applyBorder="1" applyAlignment="1" applyProtection="1">
      <alignment horizontal="right"/>
      <protection locked="0"/>
    </xf>
    <xf numFmtId="0" fontId="0" fillId="2" borderId="61" xfId="0" applyFill="1" applyBorder="1" applyProtection="1">
      <protection locked="0"/>
    </xf>
    <xf numFmtId="42" fontId="43" fillId="0" borderId="62" xfId="1" applyNumberFormat="1" applyFont="1" applyFill="1" applyBorder="1" applyAlignment="1"/>
    <xf numFmtId="164" fontId="46" fillId="0" borderId="0" xfId="1" applyNumberFormat="1" applyFont="1" applyAlignment="1">
      <alignment horizontal="center" vertical="top" wrapText="1"/>
    </xf>
    <xf numFmtId="43" fontId="0" fillId="0" borderId="0" xfId="1" applyFont="1" applyAlignment="1" applyProtection="1">
      <alignment horizontal="center"/>
      <protection locked="0"/>
    </xf>
    <xf numFmtId="43" fontId="0" fillId="0" borderId="3" xfId="1" applyFont="1" applyBorder="1" applyAlignment="1" applyProtection="1">
      <alignment horizontal="center"/>
      <protection locked="0"/>
    </xf>
    <xf numFmtId="43" fontId="0" fillId="4" borderId="3" xfId="1" applyFont="1" applyFill="1" applyBorder="1" applyAlignment="1" applyProtection="1">
      <alignment horizontal="center"/>
      <protection locked="0"/>
    </xf>
    <xf numFmtId="43" fontId="0" fillId="2" borderId="7" xfId="1" applyFont="1" applyFill="1" applyBorder="1" applyAlignment="1" applyProtection="1">
      <alignment horizontal="center"/>
      <protection locked="0"/>
    </xf>
    <xf numFmtId="44" fontId="0" fillId="22" borderId="5" xfId="2" applyFont="1" applyFill="1" applyBorder="1" applyAlignment="1" applyProtection="1">
      <alignment horizontal="left"/>
      <protection locked="0"/>
    </xf>
    <xf numFmtId="44" fontId="0" fillId="0" borderId="0" xfId="2" applyFont="1" applyProtection="1">
      <protection locked="0"/>
    </xf>
    <xf numFmtId="0" fontId="0" fillId="0" borderId="0" xfId="0" applyAlignment="1" applyProtection="1">
      <alignment horizontal="right"/>
      <protection locked="0"/>
    </xf>
    <xf numFmtId="0" fontId="42" fillId="0" borderId="59" xfId="0" applyFont="1" applyBorder="1" applyAlignment="1">
      <alignment vertical="center"/>
    </xf>
    <xf numFmtId="0" fontId="44" fillId="0" borderId="0" xfId="10" applyFont="1" applyBorder="1" applyAlignment="1">
      <alignment vertical="center"/>
    </xf>
    <xf numFmtId="0" fontId="51" fillId="0" borderId="0" xfId="0" applyFont="1" applyAlignment="1">
      <alignment vertical="center"/>
    </xf>
    <xf numFmtId="44" fontId="0" fillId="2" borderId="1" xfId="0" applyNumberFormat="1" applyFill="1" applyBorder="1" applyProtection="1">
      <protection locked="0"/>
    </xf>
    <xf numFmtId="0" fontId="55" fillId="0" borderId="57" xfId="4" quotePrefix="1" applyFont="1" applyFill="1" applyBorder="1"/>
    <xf numFmtId="0" fontId="43" fillId="0" borderId="57" xfId="0" quotePrefix="1" applyFont="1" applyBorder="1"/>
    <xf numFmtId="0" fontId="46" fillId="16" borderId="57" xfId="0" applyFont="1" applyFill="1" applyBorder="1" applyAlignment="1">
      <alignment horizontal="center" vertical="center"/>
    </xf>
    <xf numFmtId="0" fontId="47" fillId="0" borderId="57" xfId="4" quotePrefix="1" applyFont="1" applyFill="1" applyBorder="1"/>
    <xf numFmtId="0" fontId="46" fillId="16" borderId="64" xfId="0" applyFont="1" applyFill="1" applyBorder="1" applyAlignment="1">
      <alignment horizontal="center" vertical="center"/>
    </xf>
    <xf numFmtId="0" fontId="43" fillId="0" borderId="58" xfId="0" applyFont="1" applyBorder="1" applyAlignment="1">
      <alignment horizontal="left"/>
    </xf>
    <xf numFmtId="0" fontId="46" fillId="16" borderId="58" xfId="0" applyFont="1" applyFill="1" applyBorder="1" applyAlignment="1">
      <alignment horizontal="left" vertical="center"/>
    </xf>
    <xf numFmtId="0" fontId="46" fillId="16" borderId="63" xfId="0" applyFont="1" applyFill="1" applyBorder="1" applyAlignment="1">
      <alignment horizontal="left" vertical="center"/>
    </xf>
    <xf numFmtId="166" fontId="59" fillId="0" borderId="0" xfId="0" applyNumberFormat="1" applyFont="1" applyAlignment="1">
      <alignment horizontal="center" vertical="top"/>
    </xf>
    <xf numFmtId="0" fontId="0" fillId="20" borderId="0" xfId="0" applyFill="1" applyAlignment="1" applyProtection="1">
      <alignment horizontal="right"/>
      <protection locked="0"/>
    </xf>
    <xf numFmtId="0" fontId="0" fillId="5" borderId="0" xfId="0" applyFill="1" applyAlignment="1" applyProtection="1">
      <alignment horizontal="right"/>
      <protection locked="0"/>
    </xf>
    <xf numFmtId="0" fontId="3" fillId="2" borderId="55" xfId="0" applyFont="1" applyFill="1" applyBorder="1" applyAlignment="1">
      <alignment horizontal="left"/>
    </xf>
    <xf numFmtId="0" fontId="3" fillId="2" borderId="56" xfId="0" applyFont="1" applyFill="1" applyBorder="1" applyAlignment="1">
      <alignment horizontal="left"/>
    </xf>
    <xf numFmtId="42" fontId="43" fillId="0" borderId="65" xfId="1" applyNumberFormat="1" applyFont="1" applyFill="1" applyBorder="1" applyAlignment="1"/>
    <xf numFmtId="42" fontId="43" fillId="0" borderId="66" xfId="1" applyNumberFormat="1" applyFont="1" applyFill="1" applyBorder="1" applyAlignment="1"/>
    <xf numFmtId="0" fontId="43" fillId="0" borderId="66" xfId="0" applyFont="1" applyBorder="1"/>
    <xf numFmtId="42" fontId="46" fillId="16" borderId="66" xfId="0" applyNumberFormat="1" applyFont="1" applyFill="1" applyBorder="1" applyAlignment="1">
      <alignment horizontal="center" vertical="center"/>
    </xf>
    <xf numFmtId="42" fontId="43" fillId="0" borderId="66" xfId="0" applyNumberFormat="1" applyFont="1" applyBorder="1"/>
    <xf numFmtId="42" fontId="46" fillId="16" borderId="67" xfId="0" applyNumberFormat="1" applyFont="1" applyFill="1" applyBorder="1" applyAlignment="1">
      <alignment horizontal="center" vertical="center"/>
    </xf>
    <xf numFmtId="0" fontId="43" fillId="12" borderId="0" xfId="0" applyFont="1" applyFill="1"/>
    <xf numFmtId="0" fontId="62" fillId="0" borderId="0" xfId="0" applyFont="1" applyAlignment="1">
      <alignment horizontal="left" vertical="top"/>
    </xf>
    <xf numFmtId="166" fontId="62" fillId="0" borderId="0" xfId="0" applyNumberFormat="1" applyFont="1" applyAlignment="1">
      <alignment horizontal="left" vertical="top"/>
    </xf>
    <xf numFmtId="166" fontId="43" fillId="0" borderId="0" xfId="0" applyNumberFormat="1" applyFont="1" applyAlignment="1">
      <alignment horizontal="left" vertical="top"/>
    </xf>
    <xf numFmtId="0" fontId="63" fillId="0" borderId="0" xfId="0" applyFont="1"/>
    <xf numFmtId="166" fontId="45" fillId="0" borderId="0" xfId="0" applyNumberFormat="1" applyFont="1"/>
    <xf numFmtId="166" fontId="45" fillId="0" borderId="0" xfId="2" applyNumberFormat="1" applyFont="1"/>
    <xf numFmtId="0" fontId="64" fillId="0" borderId="0" xfId="0" applyFont="1"/>
    <xf numFmtId="0" fontId="65" fillId="0" borderId="0" xfId="0" applyFont="1"/>
    <xf numFmtId="167" fontId="65" fillId="0" borderId="0" xfId="2" applyNumberFormat="1" applyFont="1"/>
    <xf numFmtId="167" fontId="63" fillId="0" borderId="0" xfId="2" applyNumberFormat="1" applyFont="1"/>
    <xf numFmtId="0" fontId="66" fillId="0" borderId="0" xfId="0" applyFont="1" applyAlignment="1">
      <alignment horizontal="left"/>
    </xf>
    <xf numFmtId="166" fontId="66" fillId="0" borderId="0" xfId="0" applyNumberFormat="1" applyFont="1" applyAlignment="1">
      <alignment horizontal="left"/>
    </xf>
    <xf numFmtId="173" fontId="63" fillId="0" borderId="0" xfId="0" quotePrefix="1" applyNumberFormat="1" applyFont="1" applyAlignment="1">
      <alignment horizontal="left"/>
    </xf>
    <xf numFmtId="166" fontId="63" fillId="0" borderId="0" xfId="0" quotePrefix="1" applyNumberFormat="1" applyFont="1" applyAlignment="1">
      <alignment horizontal="left"/>
    </xf>
    <xf numFmtId="166" fontId="67" fillId="0" borderId="0" xfId="2" applyNumberFormat="1" applyFont="1" applyAlignment="1">
      <alignment horizontal="left"/>
    </xf>
    <xf numFmtId="0" fontId="43" fillId="0" borderId="0" xfId="0" applyFont="1" applyAlignment="1">
      <alignment horizontal="center" vertical="top"/>
    </xf>
    <xf numFmtId="0" fontId="63" fillId="0" borderId="0" xfId="0" applyFont="1" applyAlignment="1">
      <alignment vertical="top"/>
    </xf>
    <xf numFmtId="177" fontId="63" fillId="0" borderId="70" xfId="0" applyNumberFormat="1" applyFont="1" applyBorder="1" applyAlignment="1">
      <alignment vertical="top"/>
    </xf>
    <xf numFmtId="172" fontId="63" fillId="0" borderId="58" xfId="0" applyNumberFormat="1" applyFont="1" applyBorder="1" applyAlignment="1">
      <alignment vertical="top" wrapText="1"/>
    </xf>
    <xf numFmtId="172" fontId="63" fillId="0" borderId="58" xfId="0" applyNumberFormat="1" applyFont="1" applyBorder="1" applyAlignment="1">
      <alignment vertical="top"/>
    </xf>
    <xf numFmtId="0" fontId="63" fillId="0" borderId="58" xfId="0" applyFont="1" applyBorder="1" applyAlignment="1">
      <alignment vertical="top" wrapText="1"/>
    </xf>
    <xf numFmtId="0" fontId="63" fillId="0" borderId="58" xfId="0" applyFont="1" applyBorder="1" applyAlignment="1">
      <alignment vertical="top"/>
    </xf>
    <xf numFmtId="166" fontId="63" fillId="0" borderId="71" xfId="0" applyNumberFormat="1" applyFont="1" applyBorder="1" applyAlignment="1">
      <alignment vertical="top"/>
    </xf>
    <xf numFmtId="172" fontId="63" fillId="0" borderId="0" xfId="0" applyNumberFormat="1" applyFont="1" applyAlignment="1">
      <alignment vertical="top"/>
    </xf>
    <xf numFmtId="166" fontId="63" fillId="0" borderId="0" xfId="0" applyNumberFormat="1" applyFont="1"/>
    <xf numFmtId="0" fontId="45" fillId="0" borderId="15" xfId="10" applyFont="1" applyBorder="1" applyAlignment="1">
      <alignment vertical="top" wrapText="1"/>
    </xf>
    <xf numFmtId="0" fontId="58" fillId="0" borderId="15" xfId="10" applyFont="1" applyBorder="1" applyAlignment="1">
      <alignment horizontal="left" vertical="center"/>
    </xf>
    <xf numFmtId="166" fontId="58" fillId="0" borderId="15" xfId="10" applyNumberFormat="1" applyFont="1" applyBorder="1" applyAlignment="1">
      <alignment horizontal="left" vertical="center"/>
    </xf>
    <xf numFmtId="166" fontId="63" fillId="0" borderId="15" xfId="10" applyNumberFormat="1" applyFont="1" applyBorder="1" applyAlignment="1">
      <alignment horizontal="center" vertical="center" wrapText="1"/>
    </xf>
    <xf numFmtId="0" fontId="43" fillId="0" borderId="58" xfId="0" applyFont="1" applyBorder="1" applyAlignment="1">
      <alignment horizontal="left" wrapText="1"/>
    </xf>
    <xf numFmtId="42" fontId="43" fillId="0" borderId="73" xfId="1" applyNumberFormat="1" applyFont="1" applyFill="1" applyBorder="1" applyAlignment="1"/>
    <xf numFmtId="172" fontId="63" fillId="0" borderId="72" xfId="0" applyNumberFormat="1" applyFont="1" applyBorder="1" applyAlignment="1">
      <alignment vertical="top" wrapText="1"/>
    </xf>
    <xf numFmtId="0" fontId="63" fillId="0" borderId="72" xfId="0" applyFont="1" applyBorder="1" applyAlignment="1">
      <alignment vertical="top" wrapText="1"/>
    </xf>
    <xf numFmtId="0" fontId="63" fillId="0" borderId="72" xfId="0" applyFont="1" applyBorder="1" applyAlignment="1">
      <alignment vertical="top"/>
    </xf>
    <xf numFmtId="166" fontId="63" fillId="0" borderId="74" xfId="0" applyNumberFormat="1" applyFont="1" applyBorder="1" applyAlignment="1">
      <alignment vertical="top"/>
    </xf>
    <xf numFmtId="3" fontId="0" fillId="0" borderId="0" xfId="0" applyNumberFormat="1"/>
    <xf numFmtId="0" fontId="55" fillId="0" borderId="57" xfId="4" quotePrefix="1" applyFont="1" applyBorder="1"/>
    <xf numFmtId="0" fontId="0" fillId="0" borderId="0" xfId="0" applyAlignment="1" applyProtection="1">
      <alignment wrapText="1"/>
      <protection locked="0"/>
    </xf>
    <xf numFmtId="43" fontId="0" fillId="0" borderId="0" xfId="1" applyFont="1"/>
    <xf numFmtId="43" fontId="0" fillId="0" borderId="0" xfId="1" applyFont="1" applyAlignment="1">
      <alignment vertical="top"/>
    </xf>
    <xf numFmtId="44" fontId="6" fillId="0" borderId="0" xfId="2" applyFont="1"/>
    <xf numFmtId="44" fontId="0" fillId="0" borderId="4" xfId="2" applyFont="1" applyBorder="1" applyAlignment="1" applyProtection="1">
      <alignment horizontal="right"/>
      <protection locked="0"/>
    </xf>
    <xf numFmtId="44" fontId="0" fillId="2" borderId="8" xfId="2" applyFont="1" applyFill="1" applyBorder="1" applyAlignment="1" applyProtection="1">
      <alignment horizontal="center" vertical="top" wrapText="1"/>
      <protection locked="0"/>
    </xf>
    <xf numFmtId="44" fontId="0" fillId="2" borderId="61" xfId="2" applyFont="1" applyFill="1" applyBorder="1" applyProtection="1">
      <protection locked="0"/>
    </xf>
    <xf numFmtId="43" fontId="0" fillId="0" borderId="0" xfId="1" applyFont="1" applyAlignment="1" applyProtection="1">
      <alignment horizontal="right"/>
      <protection locked="0"/>
    </xf>
    <xf numFmtId="43" fontId="0" fillId="0" borderId="3" xfId="1" applyFont="1" applyBorder="1" applyAlignment="1" applyProtection="1">
      <alignment horizontal="right"/>
      <protection locked="0"/>
    </xf>
    <xf numFmtId="43" fontId="0" fillId="2" borderId="7" xfId="1" applyFont="1" applyFill="1" applyBorder="1" applyAlignment="1" applyProtection="1">
      <alignment horizontal="right" vertical="top" wrapText="1"/>
      <protection locked="0"/>
    </xf>
    <xf numFmtId="43" fontId="0" fillId="4" borderId="3" xfId="1" applyFont="1" applyFill="1" applyBorder="1" applyAlignment="1" applyProtection="1">
      <alignment horizontal="right"/>
      <protection locked="0"/>
    </xf>
    <xf numFmtId="43" fontId="0" fillId="2" borderId="7" xfId="1" applyFont="1" applyFill="1" applyBorder="1" applyAlignment="1" applyProtection="1">
      <alignment horizontal="right"/>
      <protection locked="0"/>
    </xf>
    <xf numFmtId="178" fontId="0" fillId="0" borderId="0" xfId="1" applyNumberFormat="1" applyFont="1"/>
    <xf numFmtId="179" fontId="0" fillId="0" borderId="0" xfId="1" applyNumberFormat="1" applyFont="1"/>
    <xf numFmtId="166" fontId="63" fillId="0" borderId="58" xfId="0" applyNumberFormat="1" applyFont="1" applyBorder="1" applyAlignment="1">
      <alignment vertical="top"/>
    </xf>
    <xf numFmtId="172" fontId="63" fillId="0" borderId="72" xfId="0" applyNumberFormat="1" applyFont="1" applyBorder="1" applyAlignment="1">
      <alignment vertical="top"/>
    </xf>
    <xf numFmtId="0" fontId="6" fillId="0" borderId="0" xfId="0" applyFont="1" applyAlignment="1">
      <alignment horizontal="left"/>
    </xf>
    <xf numFmtId="0" fontId="76" fillId="0" borderId="0" xfId="0" applyFont="1"/>
    <xf numFmtId="0" fontId="76" fillId="0" borderId="0" xfId="0" applyFont="1" applyAlignment="1">
      <alignment wrapText="1"/>
    </xf>
    <xf numFmtId="0" fontId="76" fillId="0" borderId="0" xfId="0" applyFont="1" applyProtection="1">
      <protection locked="0"/>
    </xf>
    <xf numFmtId="43" fontId="76" fillId="0" borderId="0" xfId="1" applyFont="1" applyProtection="1">
      <protection locked="0"/>
    </xf>
    <xf numFmtId="0" fontId="76" fillId="0" borderId="0" xfId="0" applyFont="1" applyAlignment="1" applyProtection="1">
      <alignment horizontal="center"/>
      <protection locked="0"/>
    </xf>
    <xf numFmtId="0" fontId="77" fillId="5" borderId="0" xfId="0" applyFont="1" applyFill="1" applyAlignment="1">
      <alignment horizontal="center"/>
    </xf>
    <xf numFmtId="0" fontId="77" fillId="0" borderId="0" xfId="0" applyFont="1"/>
    <xf numFmtId="0" fontId="77" fillId="11" borderId="0" xfId="0" applyFont="1" applyFill="1" applyAlignment="1">
      <alignment horizontal="center"/>
    </xf>
    <xf numFmtId="0" fontId="77" fillId="10" borderId="0" xfId="0" applyFont="1" applyFill="1" applyAlignment="1">
      <alignment horizontal="center"/>
    </xf>
    <xf numFmtId="0" fontId="78" fillId="0" borderId="0" xfId="4" applyFont="1"/>
    <xf numFmtId="0" fontId="76" fillId="20" borderId="0" xfId="0" applyFont="1" applyFill="1" applyProtection="1">
      <protection locked="0"/>
    </xf>
    <xf numFmtId="0" fontId="76" fillId="0" borderId="2" xfId="0" applyFont="1" applyBorder="1" applyAlignment="1">
      <alignment horizontal="right"/>
    </xf>
    <xf numFmtId="0" fontId="76" fillId="0" borderId="3" xfId="0" applyFont="1" applyBorder="1" applyAlignment="1">
      <alignment wrapText="1"/>
    </xf>
    <xf numFmtId="0" fontId="76" fillId="0" borderId="3" xfId="0" applyFont="1" applyBorder="1" applyProtection="1">
      <protection locked="0"/>
    </xf>
    <xf numFmtId="43" fontId="76" fillId="0" borderId="3" xfId="1" applyFont="1" applyBorder="1" applyProtection="1">
      <protection locked="0"/>
    </xf>
    <xf numFmtId="0" fontId="76" fillId="0" borderId="3" xfId="0" applyFont="1" applyBorder="1" applyAlignment="1" applyProtection="1">
      <alignment horizontal="center"/>
      <protection locked="0"/>
    </xf>
    <xf numFmtId="0" fontId="76" fillId="0" borderId="4" xfId="0" applyFont="1" applyBorder="1" applyAlignment="1" applyProtection="1">
      <alignment horizontal="right"/>
      <protection locked="0"/>
    </xf>
    <xf numFmtId="0" fontId="80" fillId="2" borderId="6" xfId="0" applyFont="1" applyFill="1" applyBorder="1" applyAlignment="1">
      <alignment vertical="top"/>
    </xf>
    <xf numFmtId="0" fontId="76" fillId="2" borderId="7" xfId="0" applyFont="1" applyFill="1" applyBorder="1" applyAlignment="1">
      <alignment vertical="top" wrapText="1"/>
    </xf>
    <xf numFmtId="0" fontId="76" fillId="2" borderId="7" xfId="0" applyFont="1" applyFill="1" applyBorder="1" applyAlignment="1" applyProtection="1">
      <alignment horizontal="center" vertical="top" wrapText="1"/>
      <protection locked="0"/>
    </xf>
    <xf numFmtId="43" fontId="76" fillId="2" borderId="7" xfId="1" applyFont="1" applyFill="1" applyBorder="1" applyAlignment="1" applyProtection="1">
      <alignment horizontal="center" vertical="top" wrapText="1"/>
      <protection locked="0"/>
    </xf>
    <xf numFmtId="0" fontId="76" fillId="2" borderId="8" xfId="0" applyFont="1" applyFill="1" applyBorder="1" applyAlignment="1" applyProtection="1">
      <alignment horizontal="center" vertical="top" wrapText="1"/>
      <protection locked="0"/>
    </xf>
    <xf numFmtId="5" fontId="76" fillId="2" borderId="1" xfId="2" applyNumberFormat="1" applyFont="1" applyFill="1" applyBorder="1" applyAlignment="1" applyProtection="1">
      <alignment horizontal="center" vertical="top"/>
      <protection locked="0"/>
    </xf>
    <xf numFmtId="0" fontId="76" fillId="0" borderId="0" xfId="0" applyFont="1" applyAlignment="1">
      <alignment vertical="top"/>
    </xf>
    <xf numFmtId="0" fontId="76" fillId="4" borderId="2" xfId="0" applyFont="1" applyFill="1" applyBorder="1"/>
    <xf numFmtId="0" fontId="76" fillId="4" borderId="3" xfId="0" applyFont="1" applyFill="1" applyBorder="1" applyAlignment="1">
      <alignment horizontal="right" wrapText="1"/>
    </xf>
    <xf numFmtId="0" fontId="76" fillId="4" borderId="3" xfId="0" applyFont="1" applyFill="1" applyBorder="1" applyProtection="1">
      <protection locked="0"/>
    </xf>
    <xf numFmtId="43" fontId="76" fillId="4" borderId="3" xfId="1" applyFont="1" applyFill="1" applyBorder="1" applyProtection="1">
      <protection locked="0"/>
    </xf>
    <xf numFmtId="0" fontId="76" fillId="4" borderId="3" xfId="0" applyFont="1" applyFill="1" applyBorder="1" applyAlignment="1" applyProtection="1">
      <alignment horizontal="center" vertical="center"/>
      <protection locked="0"/>
    </xf>
    <xf numFmtId="0" fontId="76" fillId="4" borderId="3" xfId="0" applyFont="1" applyFill="1" applyBorder="1" applyAlignment="1" applyProtection="1">
      <alignment horizontal="right"/>
      <protection locked="0"/>
    </xf>
    <xf numFmtId="44" fontId="76" fillId="4" borderId="4" xfId="2" applyFont="1" applyFill="1" applyBorder="1" applyAlignment="1" applyProtection="1">
      <alignment horizontal="right"/>
      <protection locked="0"/>
    </xf>
    <xf numFmtId="5" fontId="76" fillId="4" borderId="5" xfId="0" applyNumberFormat="1" applyFont="1" applyFill="1" applyBorder="1" applyProtection="1">
      <protection locked="0"/>
    </xf>
    <xf numFmtId="44" fontId="76" fillId="4" borderId="5" xfId="2" applyFont="1" applyFill="1" applyBorder="1" applyAlignment="1" applyProtection="1">
      <alignment horizontal="left"/>
      <protection locked="0"/>
    </xf>
    <xf numFmtId="0" fontId="76" fillId="2" borderId="7" xfId="0" applyFont="1" applyFill="1" applyBorder="1" applyProtection="1">
      <protection locked="0"/>
    </xf>
    <xf numFmtId="43" fontId="76" fillId="2" borderId="7" xfId="1" applyFont="1" applyFill="1" applyBorder="1" applyProtection="1">
      <protection locked="0"/>
    </xf>
    <xf numFmtId="0" fontId="76" fillId="2" borderId="7" xfId="0" applyFont="1" applyFill="1" applyBorder="1" applyAlignment="1" applyProtection="1">
      <alignment horizontal="center"/>
      <protection locked="0"/>
    </xf>
    <xf numFmtId="0" fontId="76" fillId="2" borderId="61" xfId="0" applyFont="1" applyFill="1" applyBorder="1" applyProtection="1">
      <protection locked="0"/>
    </xf>
    <xf numFmtId="0" fontId="76" fillId="2" borderId="1" xfId="0" applyFont="1" applyFill="1" applyBorder="1" applyProtection="1">
      <protection locked="0"/>
    </xf>
    <xf numFmtId="0" fontId="76" fillId="2" borderId="23" xfId="0" applyFont="1" applyFill="1" applyBorder="1" applyProtection="1">
      <protection locked="0"/>
    </xf>
    <xf numFmtId="0" fontId="80" fillId="2" borderId="6" xfId="0" applyFont="1" applyFill="1" applyBorder="1"/>
    <xf numFmtId="0" fontId="76" fillId="2" borderId="7" xfId="0" applyFont="1" applyFill="1" applyBorder="1" applyAlignment="1">
      <alignment wrapText="1"/>
    </xf>
    <xf numFmtId="0" fontId="80" fillId="0" borderId="28" xfId="0" applyFont="1" applyBorder="1" applyAlignment="1" applyProtection="1">
      <alignment horizontal="right"/>
      <protection locked="0"/>
    </xf>
    <xf numFmtId="0" fontId="76" fillId="0" borderId="1" xfId="0" applyFont="1" applyBorder="1" applyProtection="1">
      <protection locked="0"/>
    </xf>
    <xf numFmtId="0" fontId="80" fillId="0" borderId="20" xfId="0" applyFont="1" applyBorder="1" applyAlignment="1" applyProtection="1">
      <alignment horizontal="right"/>
      <protection locked="0"/>
    </xf>
    <xf numFmtId="0" fontId="76" fillId="5" borderId="0" xfId="0" applyFont="1" applyFill="1"/>
    <xf numFmtId="0" fontId="76" fillId="10" borderId="0" xfId="0" applyFont="1" applyFill="1"/>
    <xf numFmtId="43" fontId="63" fillId="0" borderId="0" xfId="1" applyFont="1" applyAlignment="1">
      <alignment vertical="top"/>
    </xf>
    <xf numFmtId="0" fontId="63" fillId="0" borderId="0" xfId="0" applyFont="1" applyAlignment="1">
      <alignment vertical="top" wrapText="1"/>
    </xf>
    <xf numFmtId="0" fontId="0" fillId="0" borderId="0" xfId="0" applyAlignment="1">
      <alignment vertical="center"/>
    </xf>
    <xf numFmtId="0" fontId="6" fillId="7" borderId="77" xfId="0" applyFont="1" applyFill="1" applyBorder="1" applyAlignment="1">
      <alignment horizontal="left"/>
    </xf>
    <xf numFmtId="172" fontId="63" fillId="0" borderId="58" xfId="0" applyNumberFormat="1" applyFont="1" applyBorder="1" applyAlignment="1">
      <alignment horizontal="left" vertical="top" wrapText="1"/>
    </xf>
    <xf numFmtId="0" fontId="41" fillId="0" borderId="10" xfId="0" applyFont="1" applyBorder="1" applyAlignment="1">
      <alignment horizontal="left" vertical="top"/>
    </xf>
    <xf numFmtId="0" fontId="21" fillId="0" borderId="13" xfId="0" applyFont="1" applyBorder="1" applyAlignment="1">
      <alignment horizontal="left"/>
    </xf>
    <xf numFmtId="0" fontId="21" fillId="0" borderId="13" xfId="0" applyFont="1" applyBorder="1" applyAlignment="1">
      <alignment horizontal="left" indent="2"/>
    </xf>
    <xf numFmtId="44" fontId="6" fillId="5" borderId="0" xfId="2" applyFont="1" applyFill="1" applyAlignment="1">
      <alignment horizontal="center"/>
    </xf>
    <xf numFmtId="44" fontId="6" fillId="11" borderId="0" xfId="2" applyFont="1" applyFill="1" applyAlignment="1">
      <alignment horizontal="center"/>
    </xf>
    <xf numFmtId="44" fontId="6" fillId="10" borderId="0" xfId="2" applyFont="1" applyFill="1" applyAlignment="1">
      <alignment horizontal="center"/>
    </xf>
    <xf numFmtId="44" fontId="0" fillId="20" borderId="0" xfId="2" applyFont="1" applyFill="1" applyProtection="1">
      <protection locked="0"/>
    </xf>
    <xf numFmtId="44" fontId="0" fillId="0" borderId="3" xfId="2" applyFont="1" applyBorder="1" applyProtection="1">
      <protection locked="0"/>
    </xf>
    <xf numFmtId="44" fontId="0" fillId="2" borderId="7" xfId="2" applyFont="1" applyFill="1" applyBorder="1" applyAlignment="1" applyProtection="1">
      <alignment horizontal="center" vertical="top" wrapText="1"/>
      <protection locked="0"/>
    </xf>
    <xf numFmtId="44" fontId="0" fillId="4" borderId="3" xfId="2" applyFont="1" applyFill="1" applyBorder="1" applyAlignment="1" applyProtection="1">
      <alignment horizontal="right"/>
      <protection locked="0"/>
    </xf>
    <xf numFmtId="44" fontId="0" fillId="2" borderId="7" xfId="2" applyFont="1" applyFill="1" applyBorder="1" applyProtection="1">
      <protection locked="0"/>
    </xf>
    <xf numFmtId="4" fontId="0" fillId="0" borderId="0" xfId="0" applyNumberFormat="1"/>
    <xf numFmtId="164" fontId="0" fillId="0" borderId="0" xfId="1" applyNumberFormat="1" applyFont="1" applyProtection="1">
      <protection locked="0"/>
    </xf>
    <xf numFmtId="164" fontId="0" fillId="0" borderId="3" xfId="1" applyNumberFormat="1" applyFont="1" applyBorder="1" applyProtection="1">
      <protection locked="0"/>
    </xf>
    <xf numFmtId="164" fontId="0" fillId="2" borderId="7" xfId="1" applyNumberFormat="1" applyFont="1" applyFill="1" applyBorder="1" applyAlignment="1" applyProtection="1">
      <alignment horizontal="center" vertical="top" wrapText="1"/>
      <protection locked="0"/>
    </xf>
    <xf numFmtId="164" fontId="0" fillId="4" borderId="3" xfId="1" applyNumberFormat="1" applyFont="1" applyFill="1" applyBorder="1" applyProtection="1">
      <protection locked="0"/>
    </xf>
    <xf numFmtId="164" fontId="0" fillId="2" borderId="7" xfId="1" applyNumberFormat="1" applyFont="1" applyFill="1" applyBorder="1" applyProtection="1">
      <protection locked="0"/>
    </xf>
    <xf numFmtId="166" fontId="63" fillId="0" borderId="71" xfId="0" applyNumberFormat="1" applyFont="1" applyBorder="1" applyAlignment="1">
      <alignment vertical="top" wrapText="1"/>
    </xf>
    <xf numFmtId="177" fontId="63" fillId="0" borderId="78" xfId="0" applyNumberFormat="1" applyFont="1" applyBorder="1" applyAlignment="1">
      <alignment vertical="top"/>
    </xf>
    <xf numFmtId="172" fontId="63" fillId="0" borderId="79" xfId="0" applyNumberFormat="1" applyFont="1" applyBorder="1" applyAlignment="1">
      <alignment vertical="top" wrapText="1"/>
    </xf>
    <xf numFmtId="0" fontId="63" fillId="0" borderId="79" xfId="0" applyFont="1" applyBorder="1" applyAlignment="1">
      <alignment vertical="top" wrapText="1"/>
    </xf>
    <xf numFmtId="166" fontId="63" fillId="0" borderId="79" xfId="0" applyNumberFormat="1" applyFont="1" applyBorder="1" applyAlignment="1">
      <alignment vertical="top"/>
    </xf>
    <xf numFmtId="0" fontId="63" fillId="0" borderId="80" xfId="0" applyFont="1" applyBorder="1" applyAlignment="1">
      <alignment vertical="top" wrapText="1"/>
    </xf>
    <xf numFmtId="166" fontId="63" fillId="0" borderId="80" xfId="0" applyNumberFormat="1" applyFont="1" applyBorder="1" applyAlignment="1">
      <alignment vertical="top"/>
    </xf>
    <xf numFmtId="0" fontId="63" fillId="0" borderId="80" xfId="0" applyFont="1" applyBorder="1" applyAlignment="1">
      <alignment vertical="top"/>
    </xf>
    <xf numFmtId="166" fontId="63" fillId="0" borderId="81" xfId="0" applyNumberFormat="1" applyFont="1" applyBorder="1" applyAlignment="1">
      <alignment vertical="top"/>
    </xf>
    <xf numFmtId="177" fontId="63" fillId="0" borderId="82" xfId="0" applyNumberFormat="1" applyFont="1" applyBorder="1" applyAlignment="1">
      <alignment vertical="top"/>
    </xf>
    <xf numFmtId="43" fontId="3" fillId="2" borderId="6" xfId="1" applyFont="1" applyFill="1" applyBorder="1" applyAlignment="1">
      <alignment vertical="top"/>
    </xf>
    <xf numFmtId="43" fontId="0" fillId="4" borderId="2" xfId="1" applyFont="1" applyFill="1" applyBorder="1"/>
    <xf numFmtId="43" fontId="3" fillId="2" borderId="6" xfId="1" applyFont="1" applyFill="1" applyBorder="1"/>
    <xf numFmtId="43" fontId="0" fillId="5" borderId="0" xfId="1" applyFont="1" applyFill="1"/>
    <xf numFmtId="43" fontId="0" fillId="10" borderId="0" xfId="1" applyFont="1" applyFill="1"/>
    <xf numFmtId="0" fontId="0" fillId="0" borderId="2" xfId="1" applyNumberFormat="1" applyFont="1" applyBorder="1" applyAlignment="1">
      <alignment horizontal="right"/>
    </xf>
    <xf numFmtId="0" fontId="3" fillId="0" borderId="28" xfId="1" applyNumberFormat="1" applyFont="1" applyBorder="1" applyAlignment="1" applyProtection="1">
      <alignment horizontal="right"/>
      <protection locked="0"/>
    </xf>
    <xf numFmtId="0" fontId="3" fillId="0" borderId="20" xfId="1" applyNumberFormat="1" applyFont="1" applyBorder="1" applyAlignment="1" applyProtection="1">
      <alignment horizontal="right"/>
      <protection locked="0"/>
    </xf>
    <xf numFmtId="43" fontId="1" fillId="0" borderId="0" xfId="1" applyFont="1"/>
    <xf numFmtId="43" fontId="1" fillId="0" borderId="0" xfId="1" applyFont="1" applyProtection="1">
      <protection locked="0"/>
    </xf>
    <xf numFmtId="43" fontId="1" fillId="0" borderId="34" xfId="1" applyFont="1" applyBorder="1" applyAlignment="1">
      <alignment horizontal="center"/>
    </xf>
    <xf numFmtId="43" fontId="1" fillId="0" borderId="54" xfId="1" applyFont="1" applyBorder="1" applyAlignment="1">
      <alignment horizontal="center"/>
    </xf>
    <xf numFmtId="43" fontId="1" fillId="0" borderId="84" xfId="1" applyFont="1" applyBorder="1" applyAlignment="1">
      <alignment horizontal="center"/>
    </xf>
    <xf numFmtId="43" fontId="1" fillId="0" borderId="85" xfId="1" applyFont="1" applyBorder="1" applyAlignment="1">
      <alignment horizontal="center"/>
    </xf>
    <xf numFmtId="43" fontId="1" fillId="0" borderId="87" xfId="1" applyFont="1" applyBorder="1" applyAlignment="1">
      <alignment horizontal="center"/>
    </xf>
    <xf numFmtId="43" fontId="1" fillId="0" borderId="40" xfId="1" applyFont="1" applyBorder="1" applyAlignment="1">
      <alignment horizontal="center"/>
    </xf>
    <xf numFmtId="0" fontId="0" fillId="0" borderId="83" xfId="0" applyBorder="1"/>
    <xf numFmtId="0" fontId="0" fillId="0" borderId="35" xfId="0" applyBorder="1"/>
    <xf numFmtId="43" fontId="0" fillId="0" borderId="85" xfId="0" applyNumberFormat="1" applyBorder="1"/>
    <xf numFmtId="43" fontId="0" fillId="0" borderId="86" xfId="0" applyNumberFormat="1" applyBorder="1"/>
    <xf numFmtId="43" fontId="0" fillId="0" borderId="40" xfId="0" applyNumberFormat="1" applyBorder="1"/>
    <xf numFmtId="43" fontId="0" fillId="0" borderId="66" xfId="0" applyNumberFormat="1" applyBorder="1"/>
    <xf numFmtId="43" fontId="1" fillId="0" borderId="88" xfId="1" applyFont="1" applyBorder="1" applyAlignment="1">
      <alignment horizontal="center"/>
    </xf>
    <xf numFmtId="43" fontId="1" fillId="0" borderId="89" xfId="1" applyFont="1" applyBorder="1" applyAlignment="1">
      <alignment horizontal="center"/>
    </xf>
    <xf numFmtId="43" fontId="0" fillId="0" borderId="89" xfId="0" applyNumberFormat="1" applyBorder="1"/>
    <xf numFmtId="43" fontId="0" fillId="0" borderId="90" xfId="0" applyNumberFormat="1" applyBorder="1"/>
    <xf numFmtId="43" fontId="1" fillId="0" borderId="91" xfId="1" applyFont="1" applyBorder="1" applyAlignment="1">
      <alignment horizontal="center"/>
    </xf>
    <xf numFmtId="43" fontId="1" fillId="0" borderId="42" xfId="1" applyFont="1" applyBorder="1" applyAlignment="1">
      <alignment horizontal="center"/>
    </xf>
    <xf numFmtId="43" fontId="0" fillId="0" borderId="92" xfId="0" applyNumberFormat="1" applyBorder="1"/>
    <xf numFmtId="43" fontId="1" fillId="0" borderId="93" xfId="1" applyFont="1" applyBorder="1" applyAlignment="1">
      <alignment horizontal="center"/>
    </xf>
    <xf numFmtId="43" fontId="1" fillId="0" borderId="94" xfId="1" applyFont="1" applyBorder="1" applyAlignment="1">
      <alignment horizontal="center"/>
    </xf>
    <xf numFmtId="43" fontId="0" fillId="0" borderId="94" xfId="0" applyNumberFormat="1" applyBorder="1"/>
    <xf numFmtId="43" fontId="0" fillId="0" borderId="95" xfId="0" applyNumberFormat="1" applyBorder="1"/>
    <xf numFmtId="43" fontId="1" fillId="0" borderId="96" xfId="1" applyFont="1" applyBorder="1" applyAlignment="1">
      <alignment horizontal="center"/>
    </xf>
    <xf numFmtId="43" fontId="1" fillId="0" borderId="97" xfId="1" applyFont="1" applyBorder="1" applyAlignment="1">
      <alignment horizontal="center"/>
    </xf>
    <xf numFmtId="43" fontId="0" fillId="0" borderId="97" xfId="0" applyNumberFormat="1" applyBorder="1"/>
    <xf numFmtId="43" fontId="0" fillId="0" borderId="98" xfId="0" applyNumberFormat="1" applyBorder="1"/>
    <xf numFmtId="167" fontId="42" fillId="0" borderId="0" xfId="2" applyNumberFormat="1" applyFont="1" applyAlignment="1">
      <alignment vertical="center"/>
    </xf>
    <xf numFmtId="167" fontId="43" fillId="12" borderId="0" xfId="2" applyNumberFormat="1" applyFont="1" applyFill="1"/>
    <xf numFmtId="167" fontId="44" fillId="0" borderId="0" xfId="2" applyNumberFormat="1" applyFont="1" applyBorder="1" applyAlignment="1">
      <alignment vertical="center"/>
    </xf>
    <xf numFmtId="167" fontId="51" fillId="0" borderId="0" xfId="2" applyNumberFormat="1" applyFont="1" applyAlignment="1">
      <alignment vertical="center"/>
    </xf>
    <xf numFmtId="167" fontId="43" fillId="0" borderId="68" xfId="2" applyNumberFormat="1" applyFont="1" applyBorder="1" applyAlignment="1">
      <alignment horizontal="left"/>
    </xf>
    <xf numFmtId="167" fontId="43" fillId="0" borderId="69" xfId="2" applyNumberFormat="1" applyFont="1" applyBorder="1" applyAlignment="1">
      <alignment horizontal="left"/>
    </xf>
    <xf numFmtId="167" fontId="43" fillId="0" borderId="58" xfId="2" applyNumberFormat="1" applyFont="1" applyBorder="1" applyAlignment="1">
      <alignment horizontal="left"/>
    </xf>
    <xf numFmtId="167" fontId="46" fillId="16" borderId="58" xfId="2" applyNumberFormat="1" applyFont="1" applyFill="1" applyBorder="1" applyAlignment="1">
      <alignment horizontal="left" vertical="center"/>
    </xf>
    <xf numFmtId="167" fontId="46" fillId="16" borderId="63" xfId="2" applyNumberFormat="1" applyFont="1" applyFill="1" applyBorder="1" applyAlignment="1">
      <alignment horizontal="left" vertical="center"/>
    </xf>
    <xf numFmtId="167" fontId="48" fillId="0" borderId="0" xfId="2" applyNumberFormat="1" applyFont="1"/>
    <xf numFmtId="167" fontId="43" fillId="0" borderId="0" xfId="2" applyNumberFormat="1" applyFont="1" applyAlignment="1">
      <alignment horizontal="left"/>
    </xf>
    <xf numFmtId="167" fontId="43" fillId="0" borderId="0" xfId="2" applyNumberFormat="1" applyFont="1"/>
    <xf numFmtId="167" fontId="43" fillId="0" borderId="0" xfId="0" applyNumberFormat="1" applyFont="1"/>
    <xf numFmtId="10" fontId="0" fillId="0" borderId="0" xfId="3" applyNumberFormat="1" applyFont="1"/>
    <xf numFmtId="10" fontId="0" fillId="0" borderId="0" xfId="0" applyNumberFormat="1"/>
    <xf numFmtId="0" fontId="38" fillId="0" borderId="0" xfId="0" applyFont="1"/>
    <xf numFmtId="44" fontId="0" fillId="0" borderId="0" xfId="0" applyNumberFormat="1" applyProtection="1">
      <protection locked="0"/>
    </xf>
    <xf numFmtId="0" fontId="0" fillId="2" borderId="101" xfId="0" applyFill="1" applyBorder="1" applyAlignment="1" applyProtection="1">
      <alignment horizontal="center" vertical="top" wrapText="1"/>
      <protection locked="0"/>
    </xf>
    <xf numFmtId="0" fontId="0" fillId="0" borderId="102" xfId="0" applyBorder="1"/>
    <xf numFmtId="0" fontId="0" fillId="0" borderId="103" xfId="0" applyBorder="1" applyProtection="1">
      <protection locked="0"/>
    </xf>
    <xf numFmtId="165" fontId="0" fillId="0" borderId="22" xfId="0" applyNumberFormat="1" applyBorder="1" applyProtection="1">
      <protection locked="0"/>
    </xf>
    <xf numFmtId="0" fontId="96" fillId="0" borderId="104" xfId="0" applyFont="1" applyBorder="1" applyAlignment="1">
      <alignment horizontal="left" vertical="top" wrapText="1"/>
    </xf>
    <xf numFmtId="164" fontId="0" fillId="4" borderId="3" xfId="1" applyNumberFormat="1" applyFont="1" applyFill="1" applyBorder="1" applyAlignment="1" applyProtection="1">
      <alignment horizontal="center"/>
      <protection locked="0"/>
    </xf>
    <xf numFmtId="164" fontId="0" fillId="0" borderId="0" xfId="1" applyNumberFormat="1" applyFont="1" applyAlignment="1" applyProtection="1">
      <alignment horizontal="center"/>
      <protection locked="0"/>
    </xf>
    <xf numFmtId="164" fontId="0" fillId="0" borderId="3" xfId="1" applyNumberFormat="1" applyFont="1" applyBorder="1" applyAlignment="1" applyProtection="1">
      <alignment horizontal="center"/>
      <protection locked="0"/>
    </xf>
    <xf numFmtId="164" fontId="0" fillId="2" borderId="7" xfId="1" applyNumberFormat="1" applyFont="1" applyFill="1" applyBorder="1" applyAlignment="1" applyProtection="1">
      <alignment horizontal="center"/>
      <protection locked="0"/>
    </xf>
    <xf numFmtId="0" fontId="6" fillId="0" borderId="104" xfId="0" applyFont="1" applyBorder="1" applyAlignment="1">
      <alignment horizontal="left" vertical="top" wrapText="1" indent="2"/>
    </xf>
    <xf numFmtId="0" fontId="6" fillId="0" borderId="104" xfId="0" applyFont="1" applyBorder="1" applyAlignment="1">
      <alignment horizontal="left" vertical="top" wrapText="1" indent="4"/>
    </xf>
    <xf numFmtId="0" fontId="77" fillId="0" borderId="104" xfId="0" applyFont="1" applyBorder="1" applyAlignment="1">
      <alignment horizontal="left" vertical="top" wrapText="1"/>
    </xf>
    <xf numFmtId="0" fontId="77" fillId="0" borderId="104" xfId="0" applyFont="1" applyBorder="1" applyAlignment="1">
      <alignment horizontal="left" vertical="top" wrapText="1" indent="2"/>
    </xf>
    <xf numFmtId="0" fontId="77" fillId="0" borderId="104" xfId="0" applyFont="1" applyBorder="1" applyAlignment="1">
      <alignment horizontal="left" vertical="top" wrapText="1" indent="4"/>
    </xf>
    <xf numFmtId="0" fontId="0" fillId="0" borderId="104" xfId="0" applyBorder="1" applyAlignment="1">
      <alignment horizontal="left" wrapText="1"/>
    </xf>
    <xf numFmtId="22" fontId="0" fillId="0" borderId="0" xfId="0" applyNumberFormat="1" applyProtection="1">
      <protection locked="0"/>
    </xf>
    <xf numFmtId="44" fontId="0" fillId="0" borderId="0" xfId="0" applyNumberFormat="1"/>
    <xf numFmtId="0" fontId="6" fillId="19" borderId="77" xfId="0" applyFont="1" applyFill="1" applyBorder="1" applyAlignment="1">
      <alignment horizontal="left"/>
    </xf>
    <xf numFmtId="0" fontId="0" fillId="0" borderId="106" xfId="0" applyBorder="1" applyAlignment="1">
      <alignment horizontal="left" wrapText="1"/>
    </xf>
    <xf numFmtId="0" fontId="0" fillId="0" borderId="29" xfId="0" applyBorder="1" applyAlignment="1">
      <alignment horizontal="left" wrapText="1"/>
    </xf>
    <xf numFmtId="0" fontId="77" fillId="0" borderId="105" xfId="0" applyFont="1" applyBorder="1" applyAlignment="1">
      <alignment horizontal="left" vertical="top" wrapText="1"/>
    </xf>
    <xf numFmtId="0" fontId="0" fillId="0" borderId="105" xfId="0" applyBorder="1" applyAlignment="1">
      <alignment horizontal="left" wrapText="1"/>
    </xf>
    <xf numFmtId="0" fontId="77" fillId="0" borderId="105" xfId="0" applyFont="1" applyBorder="1" applyAlignment="1">
      <alignment horizontal="left" vertical="top" wrapText="1" indent="2"/>
    </xf>
    <xf numFmtId="0" fontId="77" fillId="0" borderId="106" xfId="0" applyFont="1" applyBorder="1" applyAlignment="1">
      <alignment horizontal="left" vertical="top" wrapText="1"/>
    </xf>
    <xf numFmtId="0" fontId="77" fillId="0" borderId="105" xfId="0" applyFont="1" applyBorder="1" applyAlignment="1">
      <alignment horizontal="left" vertical="top" wrapText="1" indent="3"/>
    </xf>
    <xf numFmtId="0" fontId="0" fillId="0" borderId="106" xfId="0" applyBorder="1" applyAlignment="1">
      <alignment horizontal="left" vertical="top" wrapText="1"/>
    </xf>
    <xf numFmtId="4" fontId="81" fillId="0" borderId="29" xfId="0" applyNumberFormat="1" applyFont="1" applyBorder="1" applyAlignment="1">
      <alignment horizontal="right" vertical="top" shrinkToFit="1"/>
    </xf>
    <xf numFmtId="0" fontId="77" fillId="0" borderId="29" xfId="0" applyFont="1" applyBorder="1" applyAlignment="1">
      <alignment horizontal="center" vertical="top" wrapText="1"/>
    </xf>
    <xf numFmtId="2" fontId="81" fillId="0" borderId="29" xfId="0" applyNumberFormat="1" applyFont="1" applyBorder="1" applyAlignment="1">
      <alignment horizontal="right" vertical="top" shrinkToFit="1"/>
    </xf>
    <xf numFmtId="0" fontId="77" fillId="0" borderId="107" xfId="0" applyFont="1" applyBorder="1" applyAlignment="1">
      <alignment horizontal="left" vertical="top" wrapText="1" indent="3"/>
    </xf>
    <xf numFmtId="0" fontId="81" fillId="0" borderId="0" xfId="0" applyFont="1" applyAlignment="1">
      <alignment wrapText="1"/>
    </xf>
    <xf numFmtId="167" fontId="43" fillId="28" borderId="68" xfId="2" applyNumberFormat="1" applyFont="1" applyFill="1" applyBorder="1" applyAlignment="1">
      <alignment horizontal="left"/>
    </xf>
    <xf numFmtId="167" fontId="43" fillId="28" borderId="72" xfId="2" applyNumberFormat="1" applyFont="1" applyFill="1" applyBorder="1" applyAlignment="1">
      <alignment horizontal="left"/>
    </xf>
    <xf numFmtId="167" fontId="43" fillId="28" borderId="69" xfId="2" applyNumberFormat="1" applyFont="1" applyFill="1" applyBorder="1" applyAlignment="1">
      <alignment horizontal="left"/>
    </xf>
    <xf numFmtId="0" fontId="43" fillId="0" borderId="62" xfId="0" applyFont="1" applyBorder="1"/>
    <xf numFmtId="42" fontId="46" fillId="16" borderId="62" xfId="0" applyNumberFormat="1" applyFont="1" applyFill="1" applyBorder="1" applyAlignment="1">
      <alignment horizontal="center" vertical="center"/>
    </xf>
    <xf numFmtId="42" fontId="43" fillId="0" borderId="62" xfId="0" applyNumberFormat="1" applyFont="1" applyBorder="1"/>
    <xf numFmtId="42" fontId="46" fillId="16" borderId="108" xfId="0" applyNumberFormat="1" applyFont="1" applyFill="1" applyBorder="1" applyAlignment="1">
      <alignment horizontal="center" vertical="center"/>
    </xf>
    <xf numFmtId="166" fontId="63" fillId="0" borderId="72" xfId="0" applyNumberFormat="1" applyFont="1" applyBorder="1" applyAlignment="1">
      <alignment vertical="top"/>
    </xf>
    <xf numFmtId="172" fontId="63" fillId="0" borderId="80" xfId="0" applyNumberFormat="1" applyFont="1" applyBorder="1" applyAlignment="1">
      <alignment vertical="top"/>
    </xf>
    <xf numFmtId="0" fontId="0" fillId="0" borderId="0" xfId="0" applyAlignment="1">
      <alignment horizontal="left" vertical="top"/>
    </xf>
    <xf numFmtId="43" fontId="1" fillId="0" borderId="87" xfId="1" applyFont="1" applyBorder="1" applyAlignment="1">
      <alignment horizontal="center" vertical="top"/>
    </xf>
    <xf numFmtId="43" fontId="1" fillId="0" borderId="40" xfId="1" applyFont="1" applyBorder="1" applyAlignment="1">
      <alignment horizontal="center" vertical="top"/>
    </xf>
    <xf numFmtId="43" fontId="0" fillId="0" borderId="40" xfId="0" applyNumberFormat="1" applyBorder="1" applyAlignment="1">
      <alignment vertical="top"/>
    </xf>
    <xf numFmtId="43" fontId="0" fillId="0" borderId="66" xfId="0" applyNumberFormat="1" applyBorder="1" applyAlignment="1">
      <alignment vertical="top"/>
    </xf>
    <xf numFmtId="43" fontId="0" fillId="0" borderId="0" xfId="0" applyNumberFormat="1"/>
    <xf numFmtId="43" fontId="0" fillId="2" borderId="7" xfId="1" applyFont="1" applyFill="1" applyBorder="1" applyAlignment="1" applyProtection="1">
      <alignment horizontal="center" vertical="top"/>
      <protection locked="0"/>
    </xf>
    <xf numFmtId="0" fontId="0" fillId="2" borderId="7" xfId="0" applyFill="1" applyBorder="1" applyAlignment="1" applyProtection="1">
      <alignment horizontal="center" vertical="top"/>
      <protection locked="0"/>
    </xf>
    <xf numFmtId="43" fontId="0" fillId="0" borderId="0" xfId="1" applyFont="1" applyAlignment="1" applyProtection="1">
      <alignment horizontal="center" vertical="top"/>
      <protection locked="0"/>
    </xf>
    <xf numFmtId="43" fontId="0" fillId="0" borderId="3" xfId="1" applyFont="1" applyBorder="1" applyAlignment="1" applyProtection="1">
      <alignment horizontal="center" vertical="top"/>
      <protection locked="0"/>
    </xf>
    <xf numFmtId="43" fontId="0" fillId="4" borderId="3" xfId="1" applyFont="1" applyFill="1" applyBorder="1" applyAlignment="1" applyProtection="1">
      <alignment horizontal="center" vertical="top"/>
      <protection locked="0"/>
    </xf>
    <xf numFmtId="0" fontId="0" fillId="0" borderId="0" xfId="0" applyAlignment="1" applyProtection="1">
      <alignment horizontal="center" vertical="top"/>
      <protection locked="0"/>
    </xf>
    <xf numFmtId="0" fontId="0" fillId="0" borderId="3" xfId="0" applyBorder="1" applyAlignment="1" applyProtection="1">
      <alignment horizontal="center" vertical="top"/>
      <protection locked="0"/>
    </xf>
    <xf numFmtId="0" fontId="0" fillId="4" borderId="3" xfId="0" applyFill="1" applyBorder="1" applyAlignment="1" applyProtection="1">
      <alignment horizontal="center" vertical="top"/>
      <protection locked="0"/>
    </xf>
    <xf numFmtId="0" fontId="0" fillId="0" borderId="0" xfId="0" applyAlignment="1">
      <alignment horizontal="left" vertical="top" indent="3"/>
    </xf>
    <xf numFmtId="43" fontId="0" fillId="0" borderId="0" xfId="1" applyFont="1" applyAlignment="1">
      <alignment horizontal="left" vertical="top" indent="3"/>
    </xf>
    <xf numFmtId="43" fontId="0" fillId="0" borderId="0" xfId="0" applyNumberFormat="1" applyAlignment="1">
      <alignment vertical="top"/>
    </xf>
    <xf numFmtId="0" fontId="6" fillId="7" borderId="77" xfId="0" applyFont="1" applyFill="1" applyBorder="1" applyAlignment="1">
      <alignment horizontal="left" indent="3"/>
    </xf>
    <xf numFmtId="0" fontId="77" fillId="0" borderId="109" xfId="0" applyFont="1" applyBorder="1" applyAlignment="1">
      <alignment horizontal="left" vertical="top" wrapText="1"/>
    </xf>
    <xf numFmtId="0" fontId="96" fillId="0" borderId="110" xfId="0" applyFont="1" applyBorder="1" applyAlignment="1">
      <alignment horizontal="left" vertical="top" wrapText="1"/>
    </xf>
    <xf numFmtId="0" fontId="93" fillId="0" borderId="100" xfId="0" applyFont="1" applyBorder="1" applyAlignment="1">
      <alignment wrapText="1"/>
    </xf>
    <xf numFmtId="42" fontId="43" fillId="0" borderId="62" xfId="1" applyNumberFormat="1" applyFont="1" applyBorder="1"/>
    <xf numFmtId="0" fontId="0" fillId="0" borderId="29" xfId="0" applyBorder="1" applyAlignment="1">
      <alignment horizontal="center" wrapText="1"/>
    </xf>
    <xf numFmtId="167" fontId="0" fillId="0" borderId="0" xfId="2" applyNumberFormat="1" applyFont="1" applyProtection="1">
      <protection locked="0"/>
    </xf>
    <xf numFmtId="167" fontId="0" fillId="2" borderId="1" xfId="2" applyNumberFormat="1" applyFont="1" applyFill="1" applyBorder="1" applyAlignment="1" applyProtection="1">
      <alignment horizontal="center" vertical="top"/>
      <protection locked="0"/>
    </xf>
    <xf numFmtId="167" fontId="38" fillId="0" borderId="29" xfId="2" applyNumberFormat="1" applyFont="1" applyBorder="1" applyAlignment="1">
      <alignment horizontal="left" vertical="top" shrinkToFit="1"/>
    </xf>
    <xf numFmtId="167" fontId="0" fillId="21" borderId="5" xfId="2" applyNumberFormat="1" applyFont="1" applyFill="1" applyBorder="1" applyAlignment="1" applyProtection="1">
      <alignment horizontal="left"/>
      <protection locked="0"/>
    </xf>
    <xf numFmtId="167" fontId="0" fillId="4" borderId="5" xfId="2" applyNumberFormat="1" applyFont="1" applyFill="1" applyBorder="1" applyProtection="1">
      <protection locked="0"/>
    </xf>
    <xf numFmtId="167" fontId="0" fillId="2" borderId="1" xfId="2" applyNumberFormat="1" applyFont="1" applyFill="1" applyBorder="1" applyProtection="1">
      <protection locked="0"/>
    </xf>
    <xf numFmtId="167" fontId="6" fillId="0" borderId="0" xfId="2" applyNumberFormat="1" applyFont="1"/>
    <xf numFmtId="167" fontId="0" fillId="0" borderId="4" xfId="2" applyNumberFormat="1" applyFont="1" applyBorder="1" applyAlignment="1" applyProtection="1">
      <alignment horizontal="right"/>
      <protection locked="0"/>
    </xf>
    <xf numFmtId="167" fontId="0" fillId="2" borderId="8" xfId="2" applyNumberFormat="1" applyFont="1" applyFill="1" applyBorder="1" applyAlignment="1" applyProtection="1">
      <alignment horizontal="center" vertical="top" wrapText="1"/>
      <protection locked="0"/>
    </xf>
    <xf numFmtId="167" fontId="0" fillId="4" borderId="4" xfId="2" applyNumberFormat="1" applyFont="1" applyFill="1" applyBorder="1" applyAlignment="1" applyProtection="1">
      <alignment horizontal="right"/>
      <protection locked="0"/>
    </xf>
    <xf numFmtId="167" fontId="0" fillId="2" borderId="61" xfId="2" applyNumberFormat="1" applyFont="1" applyFill="1" applyBorder="1" applyProtection="1">
      <protection locked="0"/>
    </xf>
    <xf numFmtId="0" fontId="6" fillId="7" borderId="77" xfId="0" applyFont="1" applyFill="1" applyBorder="1" applyAlignment="1">
      <alignment horizontal="left" indent="2"/>
    </xf>
    <xf numFmtId="0" fontId="0" fillId="0" borderId="100" xfId="0" applyBorder="1" applyAlignment="1" applyProtection="1">
      <alignment horizontal="left" wrapText="1" indent="2"/>
      <protection locked="0"/>
    </xf>
    <xf numFmtId="0" fontId="2" fillId="7" borderId="11" xfId="0" applyFont="1" applyFill="1" applyBorder="1"/>
    <xf numFmtId="0" fontId="2" fillId="7" borderId="30" xfId="0" applyFont="1" applyFill="1" applyBorder="1"/>
    <xf numFmtId="0" fontId="98" fillId="0" borderId="77" xfId="0" applyFont="1" applyBorder="1" applyAlignment="1">
      <alignment horizontal="left" indent="2"/>
    </xf>
    <xf numFmtId="44" fontId="0" fillId="5" borderId="0" xfId="2" applyFont="1" applyFill="1" applyProtection="1">
      <protection locked="0"/>
    </xf>
    <xf numFmtId="44" fontId="0" fillId="11" borderId="0" xfId="2" applyFont="1" applyFill="1" applyProtection="1">
      <protection locked="0"/>
    </xf>
    <xf numFmtId="44" fontId="0" fillId="27" borderId="0" xfId="2" applyFont="1" applyFill="1" applyProtection="1">
      <protection locked="0"/>
    </xf>
    <xf numFmtId="167" fontId="43" fillId="28" borderId="72" xfId="2" applyNumberFormat="1" applyFont="1" applyFill="1" applyBorder="1" applyAlignment="1">
      <alignment horizontal="center"/>
    </xf>
    <xf numFmtId="0" fontId="96" fillId="0" borderId="109" xfId="0" applyFont="1" applyBorder="1" applyAlignment="1">
      <alignment horizontal="left" vertical="top" wrapText="1"/>
    </xf>
    <xf numFmtId="0" fontId="0" fillId="0" borderId="0" xfId="0" applyAlignment="1" applyProtection="1">
      <alignment horizontal="right" indent="1"/>
      <protection locked="0"/>
    </xf>
    <xf numFmtId="44" fontId="0" fillId="0" borderId="0" xfId="2" applyFont="1" applyAlignment="1" applyProtection="1">
      <alignment horizontal="right" indent="1"/>
      <protection locked="0"/>
    </xf>
    <xf numFmtId="44" fontId="0" fillId="0" borderId="0" xfId="2" applyFont="1" applyAlignment="1" applyProtection="1">
      <alignment horizontal="right"/>
      <protection locked="0"/>
    </xf>
    <xf numFmtId="0" fontId="0" fillId="0" borderId="0" xfId="0" applyAlignment="1" applyProtection="1">
      <alignment horizontal="center" wrapText="1"/>
      <protection locked="0"/>
    </xf>
    <xf numFmtId="44" fontId="0" fillId="0" borderId="0" xfId="0" applyNumberFormat="1" applyAlignment="1" applyProtection="1">
      <alignment horizontal="center"/>
      <protection locked="0"/>
    </xf>
    <xf numFmtId="44" fontId="76" fillId="0" borderId="0" xfId="0" applyNumberFormat="1" applyFont="1" applyProtection="1">
      <protection locked="0"/>
    </xf>
    <xf numFmtId="44" fontId="76" fillId="0" borderId="0" xfId="0" applyNumberFormat="1" applyFont="1" applyAlignment="1" applyProtection="1">
      <alignment horizontal="center"/>
      <protection locked="0"/>
    </xf>
    <xf numFmtId="43" fontId="0" fillId="0" borderId="0" xfId="1" applyFont="1" applyFill="1"/>
    <xf numFmtId="167" fontId="0" fillId="0" borderId="60" xfId="2" applyNumberFormat="1" applyFont="1" applyBorder="1" applyAlignment="1" applyProtection="1">
      <alignment horizontal="right"/>
      <protection locked="0"/>
    </xf>
    <xf numFmtId="167" fontId="0" fillId="2" borderId="61" xfId="2" applyNumberFormat="1" applyFont="1" applyFill="1" applyBorder="1" applyAlignment="1" applyProtection="1">
      <alignment horizontal="center" vertical="top" wrapText="1"/>
      <protection locked="0"/>
    </xf>
    <xf numFmtId="167" fontId="0" fillId="4" borderId="60" xfId="2" applyNumberFormat="1" applyFont="1" applyFill="1" applyBorder="1" applyAlignment="1" applyProtection="1">
      <alignment horizontal="right"/>
      <protection locked="0"/>
    </xf>
    <xf numFmtId="0" fontId="6" fillId="18" borderId="48" xfId="0" applyFont="1" applyFill="1" applyBorder="1" applyAlignment="1">
      <alignment horizontal="left" vertical="center" wrapText="1" indent="2"/>
    </xf>
    <xf numFmtId="43" fontId="1" fillId="0" borderId="34" xfId="1" applyFont="1" applyBorder="1" applyAlignment="1">
      <alignment horizontal="center" vertical="top"/>
    </xf>
    <xf numFmtId="43" fontId="1" fillId="0" borderId="54" xfId="1" applyFont="1" applyBorder="1" applyAlignment="1">
      <alignment horizontal="center" vertical="top"/>
    </xf>
    <xf numFmtId="0" fontId="0" fillId="0" borderId="83" xfId="0" applyBorder="1" applyAlignment="1">
      <alignment vertical="top"/>
    </xf>
    <xf numFmtId="0" fontId="0" fillId="0" borderId="35" xfId="0" applyBorder="1" applyAlignment="1">
      <alignment vertical="top"/>
    </xf>
    <xf numFmtId="167" fontId="0" fillId="0" borderId="0" xfId="0" applyNumberFormat="1" applyProtection="1">
      <protection locked="0"/>
    </xf>
    <xf numFmtId="167" fontId="0" fillId="27" borderId="0" xfId="2" applyNumberFormat="1" applyFont="1" applyFill="1" applyProtection="1">
      <protection locked="0"/>
    </xf>
    <xf numFmtId="167" fontId="0" fillId="5" borderId="0" xfId="2" applyNumberFormat="1" applyFont="1" applyFill="1" applyProtection="1">
      <protection locked="0"/>
    </xf>
    <xf numFmtId="167" fontId="0" fillId="11" borderId="0" xfId="2" applyNumberFormat="1" applyFont="1" applyFill="1" applyProtection="1">
      <protection locked="0"/>
    </xf>
    <xf numFmtId="44" fontId="0" fillId="2" borderId="1" xfId="2" applyFont="1" applyFill="1" applyBorder="1" applyAlignment="1" applyProtection="1">
      <alignment horizontal="center" vertical="top"/>
      <protection locked="0"/>
    </xf>
    <xf numFmtId="44" fontId="0" fillId="2" borderId="1" xfId="2" applyFont="1" applyFill="1" applyBorder="1" applyProtection="1">
      <protection locked="0"/>
    </xf>
    <xf numFmtId="44" fontId="38" fillId="0" borderId="29" xfId="2" applyFont="1" applyBorder="1" applyAlignment="1">
      <alignment horizontal="left" vertical="top" shrinkToFit="1"/>
    </xf>
    <xf numFmtId="43" fontId="0" fillId="0" borderId="96" xfId="1" applyFont="1" applyBorder="1" applyAlignment="1">
      <alignment horizontal="center"/>
    </xf>
    <xf numFmtId="43" fontId="0" fillId="0" borderId="97" xfId="1" applyFont="1" applyBorder="1" applyAlignment="1">
      <alignment horizontal="center"/>
    </xf>
    <xf numFmtId="43" fontId="0" fillId="0" borderId="0" xfId="1" applyFont="1" applyBorder="1" applyAlignment="1">
      <alignment horizontal="center"/>
    </xf>
    <xf numFmtId="0" fontId="77" fillId="0" borderId="105" xfId="0" applyFont="1" applyBorder="1" applyAlignment="1">
      <alignment vertical="top" wrapText="1"/>
    </xf>
    <xf numFmtId="0" fontId="77" fillId="0" borderId="105" xfId="0" applyFont="1" applyBorder="1" applyAlignment="1">
      <alignment horizontal="right" vertical="top" indent="7"/>
    </xf>
    <xf numFmtId="44" fontId="0" fillId="0" borderId="0" xfId="2" applyFont="1" applyAlignment="1">
      <alignment vertical="top"/>
    </xf>
    <xf numFmtId="43" fontId="0" fillId="0" borderId="0" xfId="1" applyFont="1" applyAlignment="1">
      <alignment horizontal="right"/>
    </xf>
    <xf numFmtId="0" fontId="77" fillId="0" borderId="105" xfId="0" applyFont="1" applyBorder="1" applyAlignment="1">
      <alignment horizontal="right" vertical="top" wrapText="1" indent="7"/>
    </xf>
    <xf numFmtId="178" fontId="0" fillId="0" borderId="0" xfId="1" applyNumberFormat="1" applyFont="1" applyProtection="1">
      <protection locked="0"/>
    </xf>
    <xf numFmtId="0" fontId="97" fillId="7" borderId="77" xfId="0" applyFont="1" applyFill="1" applyBorder="1" applyAlignment="1">
      <alignment horizontal="left" vertical="top" wrapText="1"/>
    </xf>
    <xf numFmtId="0" fontId="0" fillId="0" borderId="116" xfId="0" applyBorder="1" applyProtection="1">
      <protection locked="0"/>
    </xf>
    <xf numFmtId="5" fontId="0" fillId="2" borderId="122" xfId="2" applyNumberFormat="1" applyFont="1" applyFill="1" applyBorder="1" applyAlignment="1" applyProtection="1">
      <alignment horizontal="center" vertical="top"/>
      <protection locked="0"/>
    </xf>
    <xf numFmtId="0" fontId="70" fillId="7" borderId="0" xfId="0" applyFont="1" applyFill="1" applyAlignment="1">
      <alignment horizontal="left"/>
    </xf>
    <xf numFmtId="0" fontId="93" fillId="0" borderId="100" xfId="0" applyFont="1" applyBorder="1"/>
    <xf numFmtId="0" fontId="77" fillId="0" borderId="105" xfId="0" applyFont="1" applyBorder="1" applyAlignment="1">
      <alignment horizontal="left" vertical="top" wrapText="1" indent="4"/>
    </xf>
    <xf numFmtId="0" fontId="0" fillId="0" borderId="0" xfId="0" applyAlignment="1">
      <alignment horizontal="right" vertical="top"/>
    </xf>
    <xf numFmtId="43" fontId="1" fillId="0" borderId="0" xfId="1" applyFont="1" applyBorder="1" applyAlignment="1">
      <alignment horizontal="center"/>
    </xf>
    <xf numFmtId="44" fontId="0" fillId="0" borderId="0" xfId="2" applyFont="1" applyAlignment="1">
      <alignment wrapText="1"/>
    </xf>
    <xf numFmtId="0" fontId="77" fillId="0" borderId="110" xfId="0" applyFont="1" applyBorder="1" applyAlignment="1">
      <alignment horizontal="left" vertical="top" wrapText="1"/>
    </xf>
    <xf numFmtId="172" fontId="43" fillId="0" borderId="37" xfId="0" applyNumberFormat="1" applyFont="1" applyBorder="1" applyAlignment="1">
      <alignment horizontal="center" vertical="top"/>
    </xf>
    <xf numFmtId="0" fontId="43" fillId="0" borderId="40" xfId="0" applyFont="1" applyBorder="1" applyAlignment="1">
      <alignment horizontal="left" vertical="top" wrapText="1"/>
    </xf>
    <xf numFmtId="44" fontId="43" fillId="0" borderId="38" xfId="2" applyFont="1" applyBorder="1" applyAlignment="1">
      <alignment horizontal="left" vertical="top"/>
    </xf>
    <xf numFmtId="172" fontId="43" fillId="0" borderId="39" xfId="0" applyNumberFormat="1" applyFont="1" applyBorder="1" applyAlignment="1">
      <alignment horizontal="center" vertical="top"/>
    </xf>
    <xf numFmtId="44" fontId="43" fillId="0" borderId="41" xfId="2" applyFont="1" applyBorder="1" applyAlignment="1">
      <alignment horizontal="left" vertical="top"/>
    </xf>
    <xf numFmtId="174" fontId="0" fillId="5" borderId="50" xfId="1" applyNumberFormat="1" applyFont="1" applyFill="1" applyBorder="1"/>
    <xf numFmtId="167" fontId="43" fillId="0" borderId="68" xfId="2" applyNumberFormat="1" applyFont="1" applyBorder="1" applyAlignment="1">
      <alignment horizontal="left" wrapText="1"/>
    </xf>
    <xf numFmtId="165" fontId="0" fillId="0" borderId="0" xfId="1" applyNumberFormat="1" applyFont="1" applyProtection="1">
      <protection locked="0"/>
    </xf>
    <xf numFmtId="44" fontId="0" fillId="5" borderId="0" xfId="0" applyNumberFormat="1" applyFill="1" applyProtection="1">
      <protection locked="0"/>
    </xf>
    <xf numFmtId="44" fontId="3" fillId="0" borderId="0" xfId="2" applyFont="1" applyProtection="1">
      <protection locked="0"/>
    </xf>
    <xf numFmtId="0" fontId="3" fillId="0" borderId="0" xfId="0" applyFont="1" applyProtection="1">
      <protection locked="0"/>
    </xf>
    <xf numFmtId="44" fontId="3" fillId="0" borderId="0" xfId="0" applyNumberFormat="1" applyFont="1" applyProtection="1">
      <protection locked="0"/>
    </xf>
    <xf numFmtId="10" fontId="0" fillId="0" borderId="0" xfId="3" applyNumberFormat="1" applyFont="1" applyFill="1"/>
    <xf numFmtId="172" fontId="43" fillId="0" borderId="125" xfId="0" applyNumberFormat="1" applyFont="1" applyBorder="1" applyAlignment="1">
      <alignment horizontal="center" vertical="top"/>
    </xf>
    <xf numFmtId="172" fontId="43" fillId="0" borderId="126" xfId="0" applyNumberFormat="1" applyFont="1" applyBorder="1" applyAlignment="1">
      <alignment horizontal="center" vertical="center"/>
    </xf>
    <xf numFmtId="172" fontId="43" fillId="0" borderId="126" xfId="0" applyNumberFormat="1" applyFont="1" applyBorder="1" applyAlignment="1">
      <alignment horizontal="center" vertical="top"/>
    </xf>
    <xf numFmtId="172" fontId="43" fillId="0" borderId="127" xfId="0" applyNumberFormat="1" applyFont="1" applyBorder="1" applyAlignment="1">
      <alignment horizontal="center" vertical="center"/>
    </xf>
    <xf numFmtId="172" fontId="43" fillId="0" borderId="44" xfId="0" applyNumberFormat="1" applyFont="1" applyBorder="1" applyAlignment="1">
      <alignment horizontal="center" vertical="center"/>
    </xf>
    <xf numFmtId="0" fontId="0" fillId="0" borderId="0" xfId="0" applyAlignment="1">
      <alignment vertical="top" wrapText="1"/>
    </xf>
    <xf numFmtId="172" fontId="43" fillId="0" borderId="128" xfId="0" applyNumberFormat="1" applyFont="1" applyBorder="1" applyAlignment="1">
      <alignment horizontal="center" vertical="center"/>
    </xf>
    <xf numFmtId="0" fontId="105" fillId="0" borderId="40" xfId="0" applyFont="1" applyBorder="1" applyAlignment="1">
      <alignment horizontal="left" vertical="center" wrapText="1"/>
    </xf>
    <xf numFmtId="9" fontId="0" fillId="0" borderId="0" xfId="3" applyFont="1" applyProtection="1">
      <protection locked="0"/>
    </xf>
    <xf numFmtId="0" fontId="105" fillId="0" borderId="40" xfId="0" applyFont="1" applyBorder="1" applyAlignment="1">
      <alignment horizontal="left" vertical="center"/>
    </xf>
    <xf numFmtId="0" fontId="0" fillId="0" borderId="105" xfId="0" applyBorder="1" applyAlignment="1">
      <alignment horizontal="left" wrapText="1" indent="2"/>
    </xf>
    <xf numFmtId="43" fontId="0" fillId="0" borderId="29" xfId="1" applyFont="1" applyBorder="1" applyAlignment="1">
      <alignment horizontal="left" wrapText="1"/>
    </xf>
    <xf numFmtId="0" fontId="2" fillId="0" borderId="0" xfId="0" applyFont="1" applyProtection="1">
      <protection locked="0"/>
    </xf>
    <xf numFmtId="0" fontId="6" fillId="7" borderId="0" xfId="0" applyFont="1" applyFill="1" applyAlignment="1">
      <alignment horizontal="left" indent="1"/>
    </xf>
    <xf numFmtId="172" fontId="43" fillId="0" borderId="125" xfId="0" applyNumberFormat="1" applyFont="1" applyBorder="1" applyAlignment="1">
      <alignment horizontal="left" vertical="top"/>
    </xf>
    <xf numFmtId="172" fontId="43" fillId="0" borderId="44" xfId="0" applyNumberFormat="1" applyFont="1" applyBorder="1" applyAlignment="1">
      <alignment horizontal="left" vertical="center"/>
    </xf>
    <xf numFmtId="0" fontId="45" fillId="0" borderId="0" xfId="0" applyFont="1" applyAlignment="1">
      <alignment horizontal="center"/>
    </xf>
    <xf numFmtId="0" fontId="43" fillId="0" borderId="40" xfId="0" applyFont="1" applyBorder="1" applyAlignment="1">
      <alignment horizontal="center" vertical="top" wrapText="1"/>
    </xf>
    <xf numFmtId="0" fontId="43" fillId="0" borderId="40" xfId="0" applyFont="1" applyBorder="1" applyAlignment="1">
      <alignment horizontal="center" vertical="center" wrapText="1"/>
    </xf>
    <xf numFmtId="0" fontId="43" fillId="0" borderId="44" xfId="0" applyFont="1" applyBorder="1" applyAlignment="1">
      <alignment horizontal="center" vertical="center" wrapText="1"/>
    </xf>
    <xf numFmtId="0" fontId="43" fillId="0" borderId="0" xfId="0" applyFont="1" applyAlignment="1">
      <alignment horizontal="center" vertical="center" wrapText="1"/>
    </xf>
    <xf numFmtId="0" fontId="57" fillId="0" borderId="0" xfId="0" applyFont="1" applyAlignment="1">
      <alignment horizontal="center" wrapText="1"/>
    </xf>
    <xf numFmtId="0" fontId="43" fillId="0" borderId="0" xfId="0" applyFont="1" applyAlignment="1">
      <alignment horizontal="center"/>
    </xf>
    <xf numFmtId="44" fontId="43" fillId="0" borderId="62" xfId="2" applyFont="1" applyFill="1" applyBorder="1" applyAlignment="1"/>
    <xf numFmtId="43" fontId="0" fillId="0" borderId="0" xfId="0" applyNumberFormat="1" applyAlignment="1">
      <alignment horizontal="right"/>
    </xf>
    <xf numFmtId="164" fontId="17" fillId="6" borderId="131" xfId="1" applyNumberFormat="1" applyFont="1" applyFill="1" applyBorder="1" applyAlignment="1">
      <alignment horizontal="center" vertical="center"/>
    </xf>
    <xf numFmtId="0" fontId="0" fillId="0" borderId="132" xfId="0" applyBorder="1" applyAlignment="1">
      <alignment horizontal="center"/>
    </xf>
    <xf numFmtId="9" fontId="0" fillId="0" borderId="133" xfId="3" applyFont="1" applyFill="1" applyBorder="1" applyAlignment="1">
      <alignment horizontal="left"/>
    </xf>
    <xf numFmtId="0" fontId="0" fillId="0" borderId="131" xfId="0" applyBorder="1" applyAlignment="1">
      <alignment horizontal="center"/>
    </xf>
    <xf numFmtId="0" fontId="0" fillId="0" borderId="134" xfId="0" applyBorder="1" applyProtection="1">
      <protection locked="0"/>
    </xf>
    <xf numFmtId="43" fontId="0" fillId="0" borderId="134" xfId="1" applyFont="1" applyBorder="1" applyAlignment="1" applyProtection="1">
      <alignment horizontal="center"/>
      <protection locked="0"/>
    </xf>
    <xf numFmtId="44" fontId="0" fillId="4" borderId="135" xfId="2" applyFont="1" applyFill="1" applyBorder="1" applyAlignment="1" applyProtection="1">
      <alignment horizontal="left"/>
      <protection locked="0"/>
    </xf>
    <xf numFmtId="0" fontId="0" fillId="0" borderId="134" xfId="0" applyBorder="1" applyAlignment="1">
      <alignment wrapText="1"/>
    </xf>
    <xf numFmtId="0" fontId="0" fillId="0" borderId="135" xfId="0" applyBorder="1" applyProtection="1">
      <protection locked="0"/>
    </xf>
    <xf numFmtId="43" fontId="0" fillId="0" borderId="134" xfId="1" applyFont="1" applyBorder="1" applyProtection="1">
      <protection locked="0"/>
    </xf>
    <xf numFmtId="0" fontId="0" fillId="0" borderId="134" xfId="0" applyBorder="1" applyAlignment="1" applyProtection="1">
      <alignment horizontal="center"/>
      <protection locked="0"/>
    </xf>
    <xf numFmtId="44" fontId="0" fillId="0" borderId="134" xfId="2" applyFont="1" applyBorder="1" applyProtection="1">
      <protection locked="0"/>
    </xf>
    <xf numFmtId="43" fontId="0" fillId="0" borderId="134" xfId="1" applyFont="1" applyBorder="1" applyAlignment="1" applyProtection="1">
      <alignment horizontal="center" vertical="top"/>
      <protection locked="0"/>
    </xf>
    <xf numFmtId="0" fontId="0" fillId="0" borderId="134" xfId="0" applyBorder="1" applyAlignment="1" applyProtection="1">
      <alignment horizontal="center" vertical="top"/>
      <protection locked="0"/>
    </xf>
    <xf numFmtId="43" fontId="0" fillId="0" borderId="134" xfId="1" applyFont="1" applyBorder="1" applyAlignment="1" applyProtection="1">
      <alignment horizontal="right"/>
      <protection locked="0"/>
    </xf>
    <xf numFmtId="44" fontId="0" fillId="0" borderId="135" xfId="2" applyFont="1" applyBorder="1" applyProtection="1">
      <protection locked="0"/>
    </xf>
    <xf numFmtId="164" fontId="0" fillId="0" borderId="134" xfId="1" applyNumberFormat="1" applyFont="1" applyBorder="1" applyProtection="1">
      <protection locked="0"/>
    </xf>
    <xf numFmtId="0" fontId="0" fillId="0" borderId="137" xfId="0" applyBorder="1" applyProtection="1">
      <protection locked="0"/>
    </xf>
    <xf numFmtId="165" fontId="0" fillId="0" borderId="136" xfId="0" applyNumberFormat="1" applyBorder="1" applyProtection="1">
      <protection locked="0"/>
    </xf>
    <xf numFmtId="0" fontId="0" fillId="0" borderId="136" xfId="0" applyBorder="1" applyProtection="1">
      <protection locked="0"/>
    </xf>
    <xf numFmtId="0" fontId="76" fillId="0" borderId="134" xfId="0" applyFont="1" applyBorder="1" applyProtection="1">
      <protection locked="0"/>
    </xf>
    <xf numFmtId="43" fontId="76" fillId="0" borderId="134" xfId="1" applyFont="1" applyBorder="1" applyProtection="1">
      <protection locked="0"/>
    </xf>
    <xf numFmtId="0" fontId="76" fillId="0" borderId="134" xfId="0" applyFont="1" applyBorder="1" applyAlignment="1" applyProtection="1">
      <alignment horizontal="center"/>
      <protection locked="0"/>
    </xf>
    <xf numFmtId="0" fontId="76" fillId="0" borderId="134" xfId="0" applyFont="1" applyBorder="1" applyAlignment="1">
      <alignment wrapText="1"/>
    </xf>
    <xf numFmtId="0" fontId="76" fillId="0" borderId="135" xfId="0" applyFont="1" applyBorder="1" applyProtection="1">
      <protection locked="0"/>
    </xf>
    <xf numFmtId="165" fontId="76" fillId="0" borderId="136" xfId="0" applyNumberFormat="1" applyFont="1" applyBorder="1" applyProtection="1">
      <protection locked="0"/>
    </xf>
    <xf numFmtId="167" fontId="0" fillId="0" borderId="135" xfId="2" applyNumberFormat="1" applyFont="1" applyBorder="1" applyProtection="1">
      <protection locked="0"/>
    </xf>
    <xf numFmtId="164" fontId="0" fillId="0" borderId="134" xfId="1" applyNumberFormat="1" applyFont="1" applyBorder="1" applyAlignment="1" applyProtection="1">
      <alignment horizontal="center"/>
      <protection locked="0"/>
    </xf>
    <xf numFmtId="0" fontId="0" fillId="0" borderId="138" xfId="0" applyBorder="1" applyAlignment="1">
      <alignment horizontal="center"/>
    </xf>
    <xf numFmtId="167" fontId="0" fillId="0" borderId="138" xfId="2" applyNumberFormat="1" applyFont="1" applyBorder="1"/>
    <xf numFmtId="0" fontId="6" fillId="0" borderId="140" xfId="0" applyFont="1" applyBorder="1" applyAlignment="1">
      <alignment horizontal="left" vertical="top" wrapText="1" indent="4"/>
    </xf>
    <xf numFmtId="0" fontId="6" fillId="0" borderId="140" xfId="0" applyFont="1" applyBorder="1" applyAlignment="1">
      <alignment horizontal="left" vertical="top" wrapText="1" indent="2"/>
    </xf>
    <xf numFmtId="0" fontId="6" fillId="0" borderId="140" xfId="0" applyFont="1" applyBorder="1" applyAlignment="1">
      <alignment vertical="center" wrapText="1"/>
    </xf>
    <xf numFmtId="44" fontId="0" fillId="4" borderId="141" xfId="2" applyFont="1" applyFill="1" applyBorder="1" applyAlignment="1" applyProtection="1">
      <alignment horizontal="left"/>
      <protection locked="0"/>
    </xf>
    <xf numFmtId="0" fontId="0" fillId="0" borderId="142" xfId="0" applyBorder="1"/>
    <xf numFmtId="165" fontId="0" fillId="0" borderId="141" xfId="0" applyNumberFormat="1" applyBorder="1" applyProtection="1">
      <protection locked="0"/>
    </xf>
    <xf numFmtId="0" fontId="0" fillId="0" borderId="140" xfId="0" applyBorder="1"/>
    <xf numFmtId="44" fontId="0" fillId="0" borderId="140" xfId="2" applyFont="1" applyFill="1" applyBorder="1"/>
    <xf numFmtId="167" fontId="0" fillId="7" borderId="140" xfId="2" applyNumberFormat="1" applyFont="1" applyFill="1" applyBorder="1"/>
    <xf numFmtId="167" fontId="0" fillId="0" borderId="140" xfId="2" applyNumberFormat="1" applyFont="1" applyBorder="1"/>
    <xf numFmtId="0" fontId="6" fillId="0" borderId="140" xfId="0" applyFont="1" applyBorder="1" applyAlignment="1">
      <alignment horizontal="left" vertical="center" wrapText="1" indent="2"/>
    </xf>
    <xf numFmtId="44" fontId="0" fillId="27" borderId="144" xfId="2" applyFont="1" applyFill="1" applyBorder="1" applyAlignment="1" applyProtection="1">
      <alignment vertical="top"/>
      <protection locked="0"/>
    </xf>
    <xf numFmtId="44" fontId="0" fillId="4" borderId="144" xfId="2" applyFont="1" applyFill="1" applyBorder="1" applyAlignment="1" applyProtection="1">
      <alignment horizontal="right"/>
      <protection locked="0"/>
    </xf>
    <xf numFmtId="164" fontId="8" fillId="4" borderId="144" xfId="1" applyNumberFormat="1" applyFont="1" applyFill="1" applyBorder="1" applyAlignment="1" applyProtection="1">
      <alignment horizontal="right"/>
      <protection locked="0"/>
    </xf>
    <xf numFmtId="0" fontId="0" fillId="4" borderId="144" xfId="0" applyFill="1" applyBorder="1" applyAlignment="1" applyProtection="1">
      <alignment horizontal="right"/>
      <protection locked="0"/>
    </xf>
    <xf numFmtId="0" fontId="0" fillId="0" borderId="144" xfId="0" applyBorder="1" applyAlignment="1" applyProtection="1">
      <alignment horizontal="right"/>
      <protection locked="0"/>
    </xf>
    <xf numFmtId="0" fontId="4" fillId="0" borderId="145" xfId="4" applyBorder="1" applyAlignment="1" applyProtection="1">
      <alignment horizontal="left" vertical="center"/>
      <protection locked="0"/>
    </xf>
    <xf numFmtId="0" fontId="0" fillId="0" borderId="146" xfId="0" applyBorder="1" applyProtection="1">
      <protection locked="0"/>
    </xf>
    <xf numFmtId="0" fontId="0" fillId="0" borderId="144" xfId="0" applyBorder="1" applyProtection="1">
      <protection locked="0"/>
    </xf>
    <xf numFmtId="0" fontId="0" fillId="19" borderId="144" xfId="0" applyFill="1" applyBorder="1" applyProtection="1">
      <protection locked="0"/>
    </xf>
    <xf numFmtId="44" fontId="0" fillId="0" borderId="144" xfId="2" applyFont="1" applyBorder="1" applyProtection="1">
      <protection locked="0"/>
    </xf>
    <xf numFmtId="44" fontId="0" fillId="0" borderId="144" xfId="2" applyFont="1" applyBorder="1" applyAlignment="1" applyProtection="1">
      <alignment horizontal="right"/>
      <protection locked="0"/>
    </xf>
    <xf numFmtId="43" fontId="0" fillId="0" borderId="146" xfId="1" applyFont="1" applyBorder="1" applyAlignment="1" applyProtection="1">
      <alignment horizontal="right"/>
      <protection locked="0"/>
    </xf>
    <xf numFmtId="44" fontId="0" fillId="19" borderId="144" xfId="2" applyFont="1" applyFill="1" applyBorder="1" applyProtection="1">
      <protection locked="0"/>
    </xf>
    <xf numFmtId="0" fontId="86" fillId="0" borderId="140" xfId="0" applyFont="1" applyBorder="1" applyAlignment="1">
      <alignment vertical="center" wrapText="1"/>
    </xf>
    <xf numFmtId="0" fontId="6" fillId="0" borderId="140" xfId="0" applyFont="1" applyBorder="1" applyAlignment="1">
      <alignment horizontal="left" vertical="center" wrapText="1" indent="4"/>
    </xf>
    <xf numFmtId="44" fontId="0" fillId="0" borderId="144" xfId="2" applyFont="1" applyBorder="1" applyAlignment="1" applyProtection="1">
      <alignment vertical="top"/>
      <protection locked="0"/>
    </xf>
    <xf numFmtId="44" fontId="0" fillId="0" borderId="144" xfId="2" applyFont="1" applyFill="1" applyBorder="1" applyProtection="1">
      <protection locked="0"/>
    </xf>
    <xf numFmtId="44" fontId="0" fillId="27" borderId="144" xfId="2" applyFont="1" applyFill="1" applyBorder="1" applyProtection="1">
      <protection locked="0"/>
    </xf>
    <xf numFmtId="0" fontId="6" fillId="0" borderId="140" xfId="0" applyFont="1" applyBorder="1" applyAlignment="1">
      <alignment horizontal="left" vertical="center" wrapText="1"/>
    </xf>
    <xf numFmtId="0" fontId="6" fillId="18" borderId="140" xfId="0" applyFont="1" applyFill="1" applyBorder="1" applyAlignment="1">
      <alignment horizontal="left" vertical="center" wrapText="1" indent="2"/>
    </xf>
    <xf numFmtId="0" fontId="68" fillId="0" borderId="140" xfId="0" applyFont="1" applyBorder="1" applyAlignment="1">
      <alignment vertical="center" wrapText="1"/>
    </xf>
    <xf numFmtId="0" fontId="68" fillId="0" borderId="140" xfId="0" applyFont="1" applyBorder="1" applyAlignment="1">
      <alignment horizontal="left" vertical="top" wrapText="1"/>
    </xf>
    <xf numFmtId="0" fontId="6" fillId="27" borderId="140" xfId="0" applyFont="1" applyFill="1" applyBorder="1" applyAlignment="1">
      <alignment horizontal="left" vertical="top" wrapText="1"/>
    </xf>
    <xf numFmtId="0" fontId="6" fillId="27" borderId="140" xfId="0" applyFont="1" applyFill="1" applyBorder="1" applyAlignment="1">
      <alignment horizontal="left" vertical="center" wrapText="1"/>
    </xf>
    <xf numFmtId="0" fontId="37" fillId="5" borderId="140" xfId="0" applyFont="1" applyFill="1" applyBorder="1" applyAlignment="1">
      <alignment vertical="top" wrapText="1"/>
    </xf>
    <xf numFmtId="44" fontId="8" fillId="4" borderId="144" xfId="2" applyFont="1" applyFill="1" applyBorder="1" applyAlignment="1" applyProtection="1">
      <alignment horizontal="right"/>
      <protection locked="0"/>
    </xf>
    <xf numFmtId="0" fontId="86" fillId="18" borderId="140" xfId="0" applyFont="1" applyFill="1" applyBorder="1" applyAlignment="1">
      <alignment vertical="center" wrapText="1"/>
    </xf>
    <xf numFmtId="0" fontId="6" fillId="0" borderId="140" xfId="0" applyFont="1" applyBorder="1" applyAlignment="1">
      <alignment horizontal="left" vertical="top" wrapText="1"/>
    </xf>
    <xf numFmtId="0" fontId="6" fillId="0" borderId="140" xfId="0" applyFont="1" applyBorder="1" applyAlignment="1">
      <alignment vertical="top" wrapText="1"/>
    </xf>
    <xf numFmtId="0" fontId="0" fillId="0" borderId="144" xfId="0" applyBorder="1" applyAlignment="1" applyProtection="1">
      <alignment vertical="center"/>
      <protection locked="0"/>
    </xf>
    <xf numFmtId="44" fontId="0" fillId="0" borderId="144" xfId="2" applyFont="1" applyBorder="1" applyAlignment="1" applyProtection="1">
      <alignment vertical="center"/>
      <protection locked="0"/>
    </xf>
    <xf numFmtId="0" fontId="6" fillId="0" borderId="146" xfId="0" applyFont="1" applyBorder="1" applyAlignment="1">
      <alignment horizontal="left" vertical="center" wrapText="1"/>
    </xf>
    <xf numFmtId="0" fontId="6" fillId="0" borderId="148" xfId="0" applyFont="1" applyBorder="1" applyAlignment="1" applyProtection="1">
      <alignment horizontal="right"/>
      <protection locked="0"/>
    </xf>
    <xf numFmtId="0" fontId="8" fillId="4" borderId="144" xfId="0" applyFont="1" applyFill="1" applyBorder="1" applyAlignment="1" applyProtection="1">
      <alignment horizontal="right"/>
      <protection locked="0"/>
    </xf>
    <xf numFmtId="10" fontId="0" fillId="4" borderId="144" xfId="0" applyNumberFormat="1" applyFill="1" applyBorder="1" applyAlignment="1" applyProtection="1">
      <alignment horizontal="right"/>
      <protection locked="0"/>
    </xf>
    <xf numFmtId="165" fontId="0" fillId="0" borderId="145" xfId="0" applyNumberFormat="1" applyBorder="1" applyAlignment="1" applyProtection="1">
      <alignment horizontal="right"/>
      <protection locked="0"/>
    </xf>
    <xf numFmtId="44" fontId="0" fillId="0" borderId="145" xfId="0" applyNumberFormat="1" applyBorder="1" applyProtection="1">
      <protection locked="0"/>
    </xf>
    <xf numFmtId="165" fontId="0" fillId="0" borderId="145" xfId="0" applyNumberFormat="1" applyBorder="1" applyProtection="1">
      <protection locked="0"/>
    </xf>
    <xf numFmtId="0" fontId="0" fillId="0" borderId="145" xfId="0" applyBorder="1" applyProtection="1">
      <protection locked="0"/>
    </xf>
    <xf numFmtId="0" fontId="76" fillId="0" borderId="144" xfId="0" applyFont="1" applyBorder="1" applyAlignment="1" applyProtection="1">
      <alignment horizontal="right"/>
      <protection locked="0"/>
    </xf>
    <xf numFmtId="0" fontId="76" fillId="0" borderId="146" xfId="0" applyFont="1" applyBorder="1" applyProtection="1">
      <protection locked="0"/>
    </xf>
    <xf numFmtId="0" fontId="76" fillId="0" borderId="144" xfId="0" applyFont="1" applyBorder="1" applyProtection="1">
      <protection locked="0"/>
    </xf>
    <xf numFmtId="0" fontId="76" fillId="19" borderId="144" xfId="0" applyFont="1" applyFill="1" applyBorder="1" applyProtection="1">
      <protection locked="0"/>
    </xf>
    <xf numFmtId="44" fontId="76" fillId="0" borderId="144" xfId="2" applyFont="1" applyBorder="1" applyProtection="1">
      <protection locked="0"/>
    </xf>
    <xf numFmtId="165" fontId="76" fillId="0" borderId="144" xfId="2" applyNumberFormat="1" applyFont="1" applyBorder="1" applyProtection="1">
      <protection locked="0"/>
    </xf>
    <xf numFmtId="44" fontId="76" fillId="4" borderId="144" xfId="2" applyFont="1" applyFill="1" applyBorder="1" applyAlignment="1" applyProtection="1">
      <alignment horizontal="right"/>
      <protection locked="0"/>
    </xf>
    <xf numFmtId="164" fontId="84" fillId="4" borderId="144" xfId="1" applyNumberFormat="1" applyFont="1" applyFill="1" applyBorder="1" applyAlignment="1" applyProtection="1">
      <alignment horizontal="right"/>
      <protection locked="0"/>
    </xf>
    <xf numFmtId="0" fontId="76" fillId="4" borderId="144" xfId="0" applyFont="1" applyFill="1" applyBorder="1" applyAlignment="1" applyProtection="1">
      <alignment horizontal="right"/>
      <protection locked="0"/>
    </xf>
    <xf numFmtId="165" fontId="76" fillId="0" borderId="145" xfId="0" applyNumberFormat="1" applyFont="1" applyBorder="1" applyAlignment="1" applyProtection="1">
      <alignment horizontal="right"/>
      <protection locked="0"/>
    </xf>
    <xf numFmtId="44" fontId="76" fillId="0" borderId="145" xfId="0" applyNumberFormat="1" applyFont="1" applyBorder="1" applyProtection="1">
      <protection locked="0"/>
    </xf>
    <xf numFmtId="165" fontId="76" fillId="0" borderId="145" xfId="0" applyNumberFormat="1" applyFont="1" applyBorder="1" applyProtection="1">
      <protection locked="0"/>
    </xf>
    <xf numFmtId="0" fontId="76" fillId="0" borderId="145" xfId="0" applyFont="1" applyBorder="1" applyProtection="1">
      <protection locked="0"/>
    </xf>
    <xf numFmtId="165" fontId="0" fillId="0" borderId="144" xfId="2" applyNumberFormat="1" applyFont="1" applyBorder="1" applyProtection="1">
      <protection locked="0"/>
    </xf>
    <xf numFmtId="44" fontId="0" fillId="0" borderId="144" xfId="0" applyNumberFormat="1" applyBorder="1" applyProtection="1">
      <protection locked="0"/>
    </xf>
    <xf numFmtId="0" fontId="5" fillId="0" borderId="144" xfId="0" applyFont="1" applyBorder="1" applyProtection="1">
      <protection locked="0"/>
    </xf>
    <xf numFmtId="44" fontId="0" fillId="0" borderId="147" xfId="2" applyFont="1" applyBorder="1" applyProtection="1">
      <protection locked="0"/>
    </xf>
    <xf numFmtId="0" fontId="23" fillId="7" borderId="146" xfId="0" applyFont="1" applyFill="1" applyBorder="1" applyAlignment="1">
      <alignment horizontal="center" vertical="center"/>
    </xf>
    <xf numFmtId="44" fontId="0" fillId="0" borderId="144" xfId="2" applyFont="1" applyBorder="1" applyAlignment="1" applyProtection="1">
      <alignment horizontal="left" vertical="top"/>
      <protection locked="0"/>
    </xf>
    <xf numFmtId="0" fontId="0" fillId="0" borderId="146" xfId="0" applyBorder="1" applyAlignment="1" applyProtection="1">
      <alignment vertical="top"/>
      <protection locked="0"/>
    </xf>
    <xf numFmtId="167" fontId="0" fillId="0" borderId="144" xfId="2" applyNumberFormat="1" applyFont="1" applyBorder="1" applyAlignment="1" applyProtection="1">
      <alignment horizontal="right"/>
      <protection locked="0"/>
    </xf>
    <xf numFmtId="167" fontId="0" fillId="0" borderId="144" xfId="2" applyNumberFormat="1" applyFont="1" applyBorder="1" applyProtection="1">
      <protection locked="0"/>
    </xf>
    <xf numFmtId="167" fontId="0" fillId="19" borderId="144" xfId="2" applyNumberFormat="1" applyFont="1" applyFill="1" applyBorder="1" applyProtection="1">
      <protection locked="0"/>
    </xf>
    <xf numFmtId="167" fontId="0" fillId="0" borderId="144" xfId="2" applyNumberFormat="1" applyFont="1" applyBorder="1" applyAlignment="1" applyProtection="1">
      <alignment vertical="top"/>
      <protection locked="0"/>
    </xf>
    <xf numFmtId="0" fontId="0" fillId="0" borderId="146" xfId="0" applyBorder="1" applyAlignment="1" applyProtection="1">
      <alignment horizontal="center"/>
      <protection locked="0"/>
    </xf>
    <xf numFmtId="167" fontId="0" fillId="27" borderId="144" xfId="2" applyNumberFormat="1" applyFont="1" applyFill="1" applyBorder="1" applyProtection="1">
      <protection locked="0"/>
    </xf>
    <xf numFmtId="167" fontId="0" fillId="4" borderId="144" xfId="2" applyNumberFormat="1" applyFont="1" applyFill="1" applyBorder="1" applyAlignment="1" applyProtection="1">
      <alignment horizontal="right"/>
      <protection locked="0"/>
    </xf>
    <xf numFmtId="167" fontId="8" fillId="4" borderId="144" xfId="2" applyNumberFormat="1" applyFont="1" applyFill="1" applyBorder="1" applyAlignment="1" applyProtection="1">
      <alignment horizontal="right"/>
      <protection locked="0"/>
    </xf>
    <xf numFmtId="3" fontId="0" fillId="0" borderId="145" xfId="0" applyNumberFormat="1" applyBorder="1" applyAlignment="1" applyProtection="1">
      <alignment horizontal="left"/>
      <protection locked="0"/>
    </xf>
    <xf numFmtId="44" fontId="0" fillId="19" borderId="145" xfId="2" applyFont="1" applyFill="1" applyBorder="1" applyAlignment="1" applyProtection="1">
      <alignment horizontal="left"/>
      <protection locked="0"/>
    </xf>
    <xf numFmtId="44" fontId="0" fillId="19" borderId="145" xfId="2" applyFont="1" applyFill="1" applyBorder="1" applyProtection="1">
      <protection locked="0"/>
    </xf>
    <xf numFmtId="44" fontId="0" fillId="0" borderId="144" xfId="2" quotePrefix="1" applyFont="1" applyBorder="1" applyProtection="1">
      <protection locked="0"/>
    </xf>
    <xf numFmtId="0" fontId="5" fillId="0" borderId="146" xfId="0" applyFont="1" applyBorder="1" applyProtection="1">
      <protection locked="0"/>
    </xf>
    <xf numFmtId="164" fontId="14" fillId="9" borderId="147" xfId="1" applyNumberFormat="1" applyFont="1" applyFill="1" applyBorder="1" applyAlignment="1">
      <alignment horizontal="right"/>
    </xf>
    <xf numFmtId="164" fontId="10" fillId="9" borderId="147" xfId="1" applyNumberFormat="1" applyFont="1" applyFill="1" applyBorder="1" applyAlignment="1">
      <alignment horizontal="right"/>
    </xf>
    <xf numFmtId="164" fontId="10" fillId="9" borderId="149" xfId="1" applyNumberFormat="1" applyFont="1" applyFill="1" applyBorder="1" applyAlignment="1">
      <alignment horizontal="right"/>
    </xf>
    <xf numFmtId="164" fontId="14" fillId="9" borderId="144" xfId="1" applyNumberFormat="1" applyFont="1" applyFill="1" applyBorder="1"/>
    <xf numFmtId="164" fontId="14" fillId="9" borderId="147" xfId="1" applyNumberFormat="1" applyFont="1" applyFill="1" applyBorder="1" applyAlignment="1">
      <alignment horizontal="center"/>
    </xf>
    <xf numFmtId="164" fontId="10" fillId="9" borderId="147" xfId="1" applyNumberFormat="1" applyFont="1" applyFill="1" applyBorder="1" applyAlignment="1">
      <alignment horizontal="center"/>
    </xf>
    <xf numFmtId="164" fontId="10" fillId="9" borderId="146" xfId="1" applyNumberFormat="1" applyFont="1" applyFill="1" applyBorder="1" applyAlignment="1">
      <alignment horizontal="center"/>
    </xf>
    <xf numFmtId="0" fontId="63" fillId="12" borderId="144" xfId="0" applyFont="1" applyFill="1" applyBorder="1"/>
    <xf numFmtId="0" fontId="63" fillId="12" borderId="147" xfId="0" applyFont="1" applyFill="1" applyBorder="1"/>
    <xf numFmtId="166" fontId="63" fillId="12" borderId="147" xfId="0" applyNumberFormat="1" applyFont="1" applyFill="1" applyBorder="1"/>
    <xf numFmtId="166" fontId="63" fillId="12" borderId="146" xfId="0" applyNumberFormat="1" applyFont="1" applyFill="1" applyBorder="1"/>
    <xf numFmtId="0" fontId="43" fillId="12" borderId="147" xfId="0" applyFont="1" applyFill="1" applyBorder="1"/>
    <xf numFmtId="0" fontId="43" fillId="12" borderId="147" xfId="0" applyFont="1" applyFill="1" applyBorder="1" applyAlignment="1">
      <alignment horizontal="center"/>
    </xf>
    <xf numFmtId="167" fontId="43" fillId="12" borderId="147" xfId="0" applyNumberFormat="1" applyFont="1" applyFill="1" applyBorder="1"/>
    <xf numFmtId="0" fontId="46" fillId="16" borderId="150" xfId="0" applyFont="1" applyFill="1" applyBorder="1" applyAlignment="1">
      <alignment horizontal="left" vertical="top"/>
    </xf>
    <xf numFmtId="0" fontId="46" fillId="16" borderId="151" xfId="0" applyFont="1" applyFill="1" applyBorder="1" applyAlignment="1">
      <alignment horizontal="left" vertical="top"/>
    </xf>
    <xf numFmtId="167" fontId="46" fillId="16" borderId="152" xfId="2" applyNumberFormat="1" applyFont="1" applyFill="1" applyBorder="1" applyAlignment="1">
      <alignment horizontal="left" vertical="top"/>
    </xf>
    <xf numFmtId="0" fontId="46" fillId="16" borderId="152" xfId="2" applyNumberFormat="1" applyFont="1" applyFill="1" applyBorder="1" applyAlignment="1">
      <alignment horizontal="left" vertical="top" wrapText="1"/>
    </xf>
    <xf numFmtId="0" fontId="46" fillId="16" borderId="153" xfId="0" applyFont="1" applyFill="1" applyBorder="1" applyAlignment="1">
      <alignment horizontal="center" vertical="top" wrapText="1"/>
    </xf>
    <xf numFmtId="0" fontId="37" fillId="7" borderId="155" xfId="0" applyFont="1" applyFill="1" applyBorder="1" applyAlignment="1">
      <alignment vertical="center"/>
    </xf>
    <xf numFmtId="167" fontId="3" fillId="14" borderId="156" xfId="2" applyNumberFormat="1" applyFont="1" applyFill="1" applyBorder="1" applyAlignment="1">
      <alignment horizontal="center" vertical="center"/>
    </xf>
    <xf numFmtId="167" fontId="3" fillId="14" borderId="157" xfId="2" applyNumberFormat="1" applyFont="1" applyFill="1" applyBorder="1" applyAlignment="1">
      <alignment horizontal="center" vertical="center"/>
    </xf>
    <xf numFmtId="43" fontId="52" fillId="14" borderId="149" xfId="1" applyFont="1" applyFill="1" applyBorder="1" applyAlignment="1">
      <alignment horizontal="center" vertical="center"/>
    </xf>
    <xf numFmtId="0" fontId="0" fillId="0" borderId="160" xfId="0" applyBorder="1" applyAlignment="1">
      <alignment horizontal="center"/>
    </xf>
    <xf numFmtId="0" fontId="0" fillId="0" borderId="153" xfId="0" applyBorder="1" applyAlignment="1">
      <alignment horizontal="center"/>
    </xf>
    <xf numFmtId="167" fontId="0" fillId="0" borderId="160" xfId="2" applyNumberFormat="1" applyFont="1" applyFill="1" applyBorder="1"/>
    <xf numFmtId="167" fontId="3" fillId="0" borderId="153" xfId="2" applyNumberFormat="1" applyFont="1" applyFill="1" applyBorder="1"/>
    <xf numFmtId="167" fontId="3" fillId="10" borderId="157" xfId="2" applyNumberFormat="1" applyFont="1" applyFill="1" applyBorder="1"/>
    <xf numFmtId="44" fontId="0" fillId="0" borderId="157" xfId="2" applyFont="1" applyFill="1" applyBorder="1"/>
    <xf numFmtId="167" fontId="3" fillId="14" borderId="149" xfId="2" applyNumberFormat="1" applyFont="1" applyFill="1" applyBorder="1" applyAlignment="1">
      <alignment vertical="center"/>
    </xf>
    <xf numFmtId="43" fontId="3" fillId="14" borderId="149" xfId="1" applyFont="1" applyFill="1" applyBorder="1" applyAlignment="1">
      <alignment horizontal="center" vertical="center"/>
    </xf>
    <xf numFmtId="167" fontId="0" fillId="0" borderId="146" xfId="2" applyNumberFormat="1" applyFont="1" applyFill="1" applyBorder="1"/>
    <xf numFmtId="9" fontId="0" fillId="0" borderId="149" xfId="3" applyFont="1" applyFill="1" applyBorder="1" applyAlignment="1">
      <alignment horizontal="left"/>
    </xf>
    <xf numFmtId="167" fontId="0" fillId="0" borderId="146" xfId="2" applyNumberFormat="1" applyFont="1" applyBorder="1"/>
    <xf numFmtId="9" fontId="0" fillId="0" borderId="149" xfId="3" applyFont="1" applyBorder="1" applyAlignment="1">
      <alignment horizontal="left"/>
    </xf>
    <xf numFmtId="0" fontId="0" fillId="0" borderId="157" xfId="0" applyBorder="1"/>
    <xf numFmtId="174" fontId="0" fillId="0" borderId="160" xfId="1" applyNumberFormat="1" applyFont="1" applyBorder="1"/>
    <xf numFmtId="167" fontId="0" fillId="0" borderId="160" xfId="2" applyNumberFormat="1" applyFont="1" applyBorder="1"/>
    <xf numFmtId="167" fontId="3" fillId="0" borderId="153" xfId="2" applyNumberFormat="1" applyFont="1" applyBorder="1"/>
    <xf numFmtId="167" fontId="3" fillId="0" borderId="157" xfId="2" applyNumberFormat="1" applyFont="1" applyBorder="1"/>
    <xf numFmtId="9" fontId="0" fillId="0" borderId="156" xfId="3" applyFont="1" applyBorder="1" applyAlignment="1">
      <alignment horizontal="left"/>
    </xf>
    <xf numFmtId="44" fontId="0" fillId="0" borderId="157" xfId="0" applyNumberFormat="1" applyBorder="1"/>
    <xf numFmtId="167" fontId="0" fillId="0" borderId="157" xfId="2" applyNumberFormat="1" applyFont="1" applyBorder="1"/>
    <xf numFmtId="0" fontId="0" fillId="0" borderId="159" xfId="0" applyBorder="1" applyAlignment="1">
      <alignment horizontal="center"/>
    </xf>
    <xf numFmtId="0" fontId="0" fillId="0" borderId="154" xfId="0" applyBorder="1" applyAlignment="1">
      <alignment horizontal="center"/>
    </xf>
    <xf numFmtId="0" fontId="0" fillId="0" borderId="158" xfId="0" applyBorder="1"/>
    <xf numFmtId="167" fontId="0" fillId="0" borderId="154" xfId="2" applyNumberFormat="1" applyFont="1" applyBorder="1"/>
    <xf numFmtId="167" fontId="3" fillId="0" borderId="159" xfId="2" applyNumberFormat="1" applyFont="1" applyBorder="1"/>
    <xf numFmtId="167" fontId="3" fillId="0" borderId="158" xfId="2" applyNumberFormat="1" applyFont="1" applyBorder="1"/>
    <xf numFmtId="167" fontId="0" fillId="7" borderId="158" xfId="2" applyNumberFormat="1" applyFont="1" applyFill="1" applyBorder="1"/>
    <xf numFmtId="167" fontId="53" fillId="7" borderId="157" xfId="2" applyNumberFormat="1" applyFont="1" applyFill="1" applyBorder="1"/>
    <xf numFmtId="174" fontId="0" fillId="7" borderId="160" xfId="1" applyNumberFormat="1" applyFont="1" applyFill="1" applyBorder="1"/>
    <xf numFmtId="167" fontId="0" fillId="7" borderId="157" xfId="2" applyNumberFormat="1" applyFont="1" applyFill="1" applyBorder="1"/>
    <xf numFmtId="0" fontId="6" fillId="18" borderId="140" xfId="0" applyFont="1" applyFill="1" applyBorder="1" applyAlignment="1">
      <alignment vertical="center" wrapText="1"/>
    </xf>
    <xf numFmtId="0" fontId="6" fillId="5" borderId="140" xfId="0" applyFont="1" applyFill="1" applyBorder="1" applyAlignment="1">
      <alignment vertical="top" wrapText="1"/>
    </xf>
    <xf numFmtId="0" fontId="0" fillId="0" borderId="162" xfId="0" applyBorder="1" applyProtection="1">
      <protection locked="0"/>
    </xf>
    <xf numFmtId="165" fontId="0" fillId="0" borderId="163" xfId="0" applyNumberFormat="1" applyBorder="1" applyProtection="1">
      <protection locked="0"/>
    </xf>
    <xf numFmtId="44" fontId="0" fillId="0" borderId="164" xfId="2" applyFont="1" applyFill="1" applyBorder="1" applyProtection="1">
      <protection locked="0"/>
    </xf>
    <xf numFmtId="44" fontId="0" fillId="27" borderId="164" xfId="2" applyFont="1" applyFill="1" applyBorder="1" applyAlignment="1" applyProtection="1">
      <alignment horizontal="left"/>
      <protection locked="0"/>
    </xf>
    <xf numFmtId="44" fontId="0" fillId="0" borderId="164" xfId="2" applyFont="1" applyBorder="1" applyAlignment="1" applyProtection="1">
      <alignment horizontal="left" vertical="top"/>
      <protection locked="0"/>
    </xf>
    <xf numFmtId="44" fontId="0" fillId="0" borderId="164" xfId="2" applyFont="1" applyBorder="1" applyAlignment="1" applyProtection="1">
      <alignment vertical="top"/>
      <protection locked="0"/>
    </xf>
    <xf numFmtId="0" fontId="86" fillId="0" borderId="165" xfId="0" applyFont="1" applyBorder="1" applyAlignment="1">
      <alignment vertical="center" wrapText="1"/>
    </xf>
    <xf numFmtId="3" fontId="0" fillId="0" borderId="141" xfId="0" applyNumberFormat="1" applyBorder="1" applyProtection="1">
      <protection locked="0"/>
    </xf>
    <xf numFmtId="165" fontId="0" fillId="0" borderId="164" xfId="0" applyNumberFormat="1" applyBorder="1" applyProtection="1">
      <protection locked="0"/>
    </xf>
    <xf numFmtId="43" fontId="0" fillId="0" borderId="142" xfId="1" applyFont="1" applyBorder="1"/>
    <xf numFmtId="44" fontId="6" fillId="0" borderId="141" xfId="2" applyFont="1" applyBorder="1" applyAlignment="1">
      <alignment horizontal="center" vertical="center"/>
    </xf>
    <xf numFmtId="44" fontId="76" fillId="4" borderId="141" xfId="2" applyFont="1" applyFill="1" applyBorder="1" applyAlignment="1" applyProtection="1">
      <alignment horizontal="left"/>
      <protection locked="0"/>
    </xf>
    <xf numFmtId="0" fontId="76" fillId="0" borderId="142" xfId="0" applyFont="1" applyBorder="1"/>
    <xf numFmtId="165" fontId="76" fillId="0" borderId="141" xfId="0" applyNumberFormat="1" applyFont="1" applyBorder="1" applyProtection="1">
      <protection locked="0"/>
    </xf>
    <xf numFmtId="0" fontId="6" fillId="17" borderId="166" xfId="0" applyFont="1" applyFill="1" applyBorder="1" applyAlignment="1">
      <alignment horizontal="center" vertical="center"/>
    </xf>
    <xf numFmtId="44" fontId="0" fillId="0" borderId="141" xfId="2" applyFont="1" applyBorder="1" applyProtection="1">
      <protection locked="0"/>
    </xf>
    <xf numFmtId="167" fontId="0" fillId="4" borderId="141" xfId="2" applyNumberFormat="1" applyFont="1" applyFill="1" applyBorder="1" applyAlignment="1" applyProtection="1">
      <alignment horizontal="left"/>
      <protection locked="0"/>
    </xf>
    <xf numFmtId="167" fontId="0" fillId="0" borderId="141" xfId="2" applyNumberFormat="1" applyFont="1" applyBorder="1" applyProtection="1">
      <protection locked="0"/>
    </xf>
    <xf numFmtId="0" fontId="0" fillId="0" borderId="169" xfId="0" applyBorder="1" applyAlignment="1" applyProtection="1">
      <alignment horizontal="center"/>
      <protection locked="0"/>
    </xf>
    <xf numFmtId="44" fontId="0" fillId="0" borderId="169" xfId="2" applyFont="1" applyBorder="1" applyProtection="1">
      <protection locked="0"/>
    </xf>
    <xf numFmtId="0" fontId="0" fillId="0" borderId="168" xfId="0" applyBorder="1"/>
    <xf numFmtId="43" fontId="0" fillId="0" borderId="169" xfId="1" applyFont="1" applyBorder="1" applyProtection="1">
      <protection locked="0"/>
    </xf>
    <xf numFmtId="0" fontId="0" fillId="0" borderId="173" xfId="0" applyBorder="1" applyProtection="1">
      <protection locked="0"/>
    </xf>
    <xf numFmtId="0" fontId="0" fillId="0" borderId="170" xfId="0" applyBorder="1" applyProtection="1">
      <protection locked="0"/>
    </xf>
    <xf numFmtId="0" fontId="3" fillId="0" borderId="168" xfId="0" applyFont="1" applyBorder="1" applyAlignment="1" applyProtection="1">
      <alignment horizontal="right"/>
      <protection locked="0"/>
    </xf>
    <xf numFmtId="44" fontId="0" fillId="0" borderId="170" xfId="2" applyFont="1" applyBorder="1" applyAlignment="1" applyProtection="1">
      <alignment horizontal="center"/>
      <protection locked="0"/>
    </xf>
    <xf numFmtId="0" fontId="0" fillId="0" borderId="167" xfId="0" applyBorder="1" applyAlignment="1">
      <alignment wrapText="1"/>
    </xf>
    <xf numFmtId="0" fontId="0" fillId="0" borderId="167" xfId="0" applyBorder="1" applyProtection="1">
      <protection locked="0"/>
    </xf>
    <xf numFmtId="0" fontId="0" fillId="0" borderId="167" xfId="0" applyBorder="1" applyAlignment="1">
      <alignment horizontal="left" wrapText="1"/>
    </xf>
    <xf numFmtId="0" fontId="0" fillId="0" borderId="172" xfId="0" applyBorder="1" applyAlignment="1" applyProtection="1">
      <alignment horizontal="right"/>
      <protection locked="0"/>
    </xf>
    <xf numFmtId="14" fontId="0" fillId="0" borderId="167" xfId="0" applyNumberFormat="1" applyBorder="1" applyAlignment="1">
      <alignment horizontal="left" wrapText="1"/>
    </xf>
    <xf numFmtId="0" fontId="6" fillId="0" borderId="168" xfId="0" applyFont="1" applyBorder="1" applyAlignment="1" applyProtection="1">
      <alignment horizontal="right"/>
      <protection locked="0"/>
    </xf>
    <xf numFmtId="0" fontId="0" fillId="0" borderId="169" xfId="0" applyBorder="1" applyAlignment="1">
      <alignment wrapText="1"/>
    </xf>
    <xf numFmtId="0" fontId="0" fillId="0" borderId="169" xfId="0" applyBorder="1" applyProtection="1">
      <protection locked="0"/>
    </xf>
    <xf numFmtId="0" fontId="6" fillId="0" borderId="173" xfId="0" applyFont="1" applyBorder="1" applyAlignment="1" applyProtection="1">
      <alignment horizontal="right"/>
      <protection locked="0"/>
    </xf>
    <xf numFmtId="0" fontId="0" fillId="19" borderId="167" xfId="0" applyFill="1" applyBorder="1" applyProtection="1">
      <protection locked="0"/>
    </xf>
    <xf numFmtId="165" fontId="0" fillId="19" borderId="167" xfId="0" applyNumberFormat="1" applyFill="1" applyBorder="1" applyProtection="1">
      <protection locked="0"/>
    </xf>
    <xf numFmtId="165" fontId="0" fillId="0" borderId="167" xfId="0" applyNumberFormat="1" applyBorder="1" applyProtection="1">
      <protection locked="0"/>
    </xf>
    <xf numFmtId="0" fontId="0" fillId="0" borderId="175" xfId="0" applyBorder="1" applyAlignment="1">
      <alignment horizontal="right"/>
    </xf>
    <xf numFmtId="44" fontId="6" fillId="0" borderId="176" xfId="2" applyFont="1" applyBorder="1" applyAlignment="1">
      <alignment horizontal="center" vertical="center"/>
    </xf>
    <xf numFmtId="0" fontId="0" fillId="0" borderId="175" xfId="0" applyBorder="1" applyAlignment="1">
      <alignment vertical="top"/>
    </xf>
    <xf numFmtId="0" fontId="0" fillId="19" borderId="176" xfId="0" applyFill="1" applyBorder="1" applyProtection="1">
      <protection locked="0"/>
    </xf>
    <xf numFmtId="9" fontId="0" fillId="4" borderId="141" xfId="3" applyFont="1" applyFill="1" applyBorder="1" applyAlignment="1" applyProtection="1">
      <alignment horizontal="left"/>
      <protection locked="0"/>
    </xf>
    <xf numFmtId="0" fontId="0" fillId="0" borderId="182" xfId="0" applyBorder="1"/>
    <xf numFmtId="0" fontId="0" fillId="0" borderId="183" xfId="0" applyBorder="1" applyProtection="1">
      <protection locked="0"/>
    </xf>
    <xf numFmtId="165" fontId="0" fillId="0" borderId="184" xfId="0" applyNumberFormat="1" applyBorder="1" applyProtection="1">
      <protection locked="0"/>
    </xf>
    <xf numFmtId="0" fontId="0" fillId="0" borderId="182" xfId="0" applyBorder="1" applyProtection="1">
      <protection locked="0"/>
    </xf>
    <xf numFmtId="0" fontId="0" fillId="0" borderId="183" xfId="0" applyBorder="1" applyAlignment="1" applyProtection="1">
      <alignment wrapText="1"/>
      <protection locked="0"/>
    </xf>
    <xf numFmtId="0" fontId="0" fillId="0" borderId="183" xfId="0" applyBorder="1" applyAlignment="1">
      <alignment wrapText="1"/>
    </xf>
    <xf numFmtId="0" fontId="0" fillId="0" borderId="184" xfId="0" applyBorder="1" applyProtection="1">
      <protection locked="0"/>
    </xf>
    <xf numFmtId="0" fontId="3" fillId="2" borderId="55" xfId="0" applyFont="1" applyFill="1" applyBorder="1" applyAlignment="1">
      <alignment horizontal="left"/>
    </xf>
    <xf numFmtId="0" fontId="3" fillId="2" borderId="56" xfId="0" applyFont="1" applyFill="1" applyBorder="1" applyAlignment="1">
      <alignment horizontal="left"/>
    </xf>
    <xf numFmtId="0" fontId="0" fillId="5" borderId="20" xfId="0" applyFill="1" applyBorder="1" applyAlignment="1" applyProtection="1">
      <alignment horizontal="left"/>
      <protection locked="0"/>
    </xf>
    <xf numFmtId="0" fontId="0" fillId="5" borderId="21" xfId="0" applyFill="1" applyBorder="1" applyAlignment="1" applyProtection="1">
      <alignment horizontal="left"/>
      <protection locked="0"/>
    </xf>
    <xf numFmtId="0" fontId="0" fillId="5" borderId="145" xfId="0" applyFill="1" applyBorder="1" applyAlignment="1" applyProtection="1">
      <alignment horizontal="left"/>
      <protection locked="0"/>
    </xf>
    <xf numFmtId="169" fontId="0" fillId="5" borderId="145" xfId="0" applyNumberFormat="1" applyFill="1" applyBorder="1" applyAlignment="1" applyProtection="1">
      <alignment horizontal="left"/>
      <protection locked="0"/>
    </xf>
    <xf numFmtId="0" fontId="4" fillId="0" borderId="145" xfId="4" applyBorder="1" applyAlignment="1" applyProtection="1">
      <alignment horizontal="left" vertical="center"/>
      <protection locked="0"/>
    </xf>
    <xf numFmtId="0" fontId="0" fillId="0" borderId="20" xfId="0" applyBorder="1" applyAlignment="1" applyProtection="1">
      <alignment horizontal="left"/>
      <protection locked="0"/>
    </xf>
    <xf numFmtId="0" fontId="0" fillId="0" borderId="21" xfId="0" applyBorder="1" applyAlignment="1" applyProtection="1">
      <alignment horizontal="left"/>
      <protection locked="0"/>
    </xf>
    <xf numFmtId="0" fontId="0" fillId="0" borderId="145" xfId="0" applyBorder="1" applyAlignment="1" applyProtection="1">
      <alignment horizontal="left"/>
      <protection locked="0"/>
    </xf>
    <xf numFmtId="169" fontId="0" fillId="0" borderId="145" xfId="0" applyNumberFormat="1" applyBorder="1" applyAlignment="1" applyProtection="1">
      <alignment horizontal="left"/>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45" xfId="0" applyBorder="1" applyAlignment="1" applyProtection="1">
      <alignment horizontal="center"/>
      <protection locked="0"/>
    </xf>
    <xf numFmtId="169" fontId="0" fillId="0" borderId="145" xfId="0" applyNumberFormat="1" applyBorder="1" applyAlignment="1" applyProtection="1">
      <alignment horizontal="center"/>
      <protection locked="0"/>
    </xf>
    <xf numFmtId="0" fontId="4" fillId="0" borderId="145" xfId="4" applyBorder="1" applyAlignment="1" applyProtection="1">
      <alignment horizontal="center" vertical="center"/>
      <protection locked="0"/>
    </xf>
    <xf numFmtId="0" fontId="44" fillId="0" borderId="0" xfId="10" applyFont="1" applyBorder="1" applyAlignment="1">
      <alignment horizontal="left" vertical="center"/>
    </xf>
    <xf numFmtId="0" fontId="50" fillId="0" borderId="0" xfId="10" applyFont="1" applyBorder="1" applyAlignment="1">
      <alignment horizontal="left" vertical="center" wrapText="1"/>
    </xf>
    <xf numFmtId="0" fontId="58" fillId="0" borderId="15" xfId="10" applyFont="1" applyBorder="1" applyAlignment="1">
      <alignment horizontal="left" vertical="center"/>
    </xf>
    <xf numFmtId="0" fontId="66" fillId="0" borderId="0" xfId="0" applyFont="1" applyAlignment="1">
      <alignment horizontal="left"/>
    </xf>
    <xf numFmtId="173" fontId="63" fillId="0" borderId="0" xfId="0" quotePrefix="1" applyNumberFormat="1" applyFont="1" applyAlignment="1">
      <alignment horizontal="left"/>
    </xf>
    <xf numFmtId="0" fontId="56" fillId="0" borderId="0" xfId="0" applyFont="1" applyAlignment="1">
      <alignment horizontal="left"/>
    </xf>
    <xf numFmtId="173" fontId="45" fillId="0" borderId="0" xfId="0" quotePrefix="1" applyNumberFormat="1" applyFont="1" applyAlignment="1">
      <alignment horizontal="left"/>
    </xf>
    <xf numFmtId="0" fontId="45" fillId="12" borderId="0" xfId="0" applyFont="1" applyFill="1" applyAlignment="1">
      <alignment horizontal="center"/>
    </xf>
    <xf numFmtId="0" fontId="58" fillId="0" borderId="0" xfId="10" applyFont="1" applyBorder="1" applyAlignment="1">
      <alignment horizontal="left" vertical="center" wrapText="1"/>
    </xf>
    <xf numFmtId="0" fontId="58" fillId="0" borderId="15" xfId="10" applyFont="1" applyBorder="1" applyAlignment="1">
      <alignment horizontal="left" vertical="center" wrapText="1"/>
    </xf>
    <xf numFmtId="173" fontId="45" fillId="0" borderId="17" xfId="0" applyNumberFormat="1" applyFont="1" applyBorder="1" applyAlignment="1">
      <alignment horizontal="left"/>
    </xf>
    <xf numFmtId="167" fontId="3" fillId="3" borderId="158" xfId="2" applyNumberFormat="1" applyFont="1" applyFill="1" applyBorder="1" applyAlignment="1">
      <alignment horizontal="center"/>
    </xf>
    <xf numFmtId="167" fontId="3" fillId="3" borderId="48" xfId="2" applyNumberFormat="1" applyFont="1" applyFill="1" applyBorder="1" applyAlignment="1">
      <alignment horizontal="center"/>
    </xf>
    <xf numFmtId="167" fontId="3" fillId="3" borderId="52" xfId="2" applyNumberFormat="1" applyFont="1" applyFill="1" applyBorder="1" applyAlignment="1">
      <alignment horizontal="center"/>
    </xf>
    <xf numFmtId="0" fontId="0" fillId="15" borderId="32" xfId="0" applyFill="1" applyBorder="1" applyAlignment="1">
      <alignment horizontal="center"/>
    </xf>
    <xf numFmtId="0" fontId="0" fillId="15" borderId="49" xfId="0" applyFill="1" applyBorder="1" applyAlignment="1">
      <alignment horizontal="center"/>
    </xf>
    <xf numFmtId="167" fontId="3" fillId="15" borderId="34" xfId="2" applyNumberFormat="1" applyFont="1" applyFill="1" applyBorder="1" applyAlignment="1">
      <alignment horizontal="right"/>
    </xf>
    <xf numFmtId="167" fontId="3" fillId="15" borderId="54" xfId="2" applyNumberFormat="1" applyFont="1" applyFill="1" applyBorder="1" applyAlignment="1">
      <alignment horizontal="right"/>
    </xf>
    <xf numFmtId="167" fontId="3" fillId="0" borderId="34" xfId="2" applyNumberFormat="1" applyFont="1" applyBorder="1" applyAlignment="1">
      <alignment horizontal="right"/>
    </xf>
    <xf numFmtId="167" fontId="3" fillId="0" borderId="54" xfId="2" applyNumberFormat="1" applyFont="1" applyBorder="1" applyAlignment="1">
      <alignment horizontal="right"/>
    </xf>
    <xf numFmtId="167" fontId="0" fillId="3" borderId="12" xfId="2" applyNumberFormat="1" applyFont="1" applyFill="1" applyBorder="1" applyAlignment="1">
      <alignment horizontal="center"/>
    </xf>
    <xf numFmtId="167" fontId="0" fillId="3" borderId="13" xfId="2" applyNumberFormat="1" applyFont="1" applyFill="1" applyBorder="1" applyAlignment="1">
      <alignment horizontal="center"/>
    </xf>
    <xf numFmtId="167" fontId="0" fillId="3" borderId="14" xfId="2" applyNumberFormat="1" applyFont="1" applyFill="1" applyBorder="1" applyAlignment="1">
      <alignment horizontal="center"/>
    </xf>
    <xf numFmtId="0" fontId="0" fillId="7" borderId="32" xfId="0" applyFill="1" applyBorder="1" applyAlignment="1">
      <alignment horizontal="center"/>
    </xf>
    <xf numFmtId="0" fontId="0" fillId="7" borderId="49" xfId="0" applyFill="1" applyBorder="1" applyAlignment="1">
      <alignment horizontal="center"/>
    </xf>
    <xf numFmtId="167" fontId="3" fillId="11" borderId="34" xfId="2" applyNumberFormat="1" applyFont="1" applyFill="1" applyBorder="1" applyAlignment="1">
      <alignment horizontal="right"/>
    </xf>
    <xf numFmtId="167" fontId="3" fillId="11" borderId="54" xfId="2" applyNumberFormat="1" applyFont="1" applyFill="1" applyBorder="1" applyAlignment="1">
      <alignment horizontal="right"/>
    </xf>
    <xf numFmtId="167" fontId="0" fillId="3" borderId="30" xfId="2" applyNumberFormat="1" applyFont="1" applyFill="1" applyBorder="1" applyAlignment="1">
      <alignment horizontal="center"/>
    </xf>
    <xf numFmtId="167" fontId="0" fillId="3" borderId="31" xfId="2" applyNumberFormat="1" applyFont="1" applyFill="1" applyBorder="1" applyAlignment="1">
      <alignment horizontal="center"/>
    </xf>
    <xf numFmtId="167" fontId="0" fillId="3" borderId="139" xfId="2" applyNumberFormat="1" applyFont="1" applyFill="1" applyBorder="1" applyAlignment="1">
      <alignment horizontal="center"/>
    </xf>
    <xf numFmtId="167" fontId="0" fillId="3" borderId="133" xfId="2" applyNumberFormat="1" applyFont="1" applyFill="1" applyBorder="1" applyAlignment="1">
      <alignment horizontal="center"/>
    </xf>
    <xf numFmtId="164" fontId="0" fillId="15" borderId="32" xfId="1" applyNumberFormat="1" applyFont="1" applyFill="1" applyBorder="1" applyAlignment="1">
      <alignment horizontal="center"/>
    </xf>
    <xf numFmtId="164" fontId="0" fillId="15" borderId="53" xfId="1" applyNumberFormat="1" applyFont="1" applyFill="1" applyBorder="1" applyAlignment="1">
      <alignment horizontal="center"/>
    </xf>
    <xf numFmtId="164" fontId="0" fillId="15" borderId="49" xfId="1" applyNumberFormat="1" applyFont="1" applyFill="1" applyBorder="1" applyAlignment="1">
      <alignment horizontal="center"/>
    </xf>
    <xf numFmtId="0" fontId="3" fillId="14" borderId="159" xfId="0" applyFont="1" applyFill="1" applyBorder="1" applyAlignment="1">
      <alignment horizontal="center" vertical="center"/>
    </xf>
    <xf numFmtId="0" fontId="3" fillId="14" borderId="51" xfId="0" applyFont="1" applyFill="1" applyBorder="1" applyAlignment="1">
      <alignment horizontal="center" vertical="center"/>
    </xf>
    <xf numFmtId="0" fontId="0" fillId="11" borderId="32" xfId="0" applyFill="1" applyBorder="1" applyAlignment="1">
      <alignment horizontal="center"/>
    </xf>
    <xf numFmtId="0" fontId="0" fillId="11" borderId="49" xfId="0" applyFill="1" applyBorder="1" applyAlignment="1">
      <alignment horizontal="center"/>
    </xf>
    <xf numFmtId="0" fontId="3" fillId="0" borderId="154" xfId="0" applyFont="1" applyBorder="1" applyAlignment="1">
      <alignment horizontal="center" vertical="center" textRotation="90"/>
    </xf>
    <xf numFmtId="0" fontId="3" fillId="0" borderId="46" xfId="0" applyFont="1" applyBorder="1" applyAlignment="1">
      <alignment horizontal="center" vertical="center" textRotation="90"/>
    </xf>
    <xf numFmtId="0" fontId="3" fillId="0" borderId="50" xfId="0" applyFont="1" applyBorder="1" applyAlignment="1">
      <alignment horizontal="center" vertical="center" textRotation="90"/>
    </xf>
    <xf numFmtId="0" fontId="3" fillId="0" borderId="47" xfId="0" applyFont="1" applyBorder="1" applyAlignment="1">
      <alignment horizontal="center" vertical="center" textRotation="90"/>
    </xf>
    <xf numFmtId="0" fontId="3" fillId="0" borderId="51" xfId="0" applyFont="1" applyBorder="1" applyAlignment="1">
      <alignment horizontal="center" vertical="center" textRotation="90"/>
    </xf>
    <xf numFmtId="0" fontId="3" fillId="0" borderId="155"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30" xfId="0" applyFont="1" applyBorder="1" applyAlignment="1">
      <alignment horizontal="center" vertical="center"/>
    </xf>
    <xf numFmtId="0" fontId="3" fillId="0" borderId="17" xfId="0" applyFont="1" applyBorder="1" applyAlignment="1">
      <alignment horizontal="center" vertical="center"/>
    </xf>
    <xf numFmtId="0" fontId="3" fillId="0" borderId="31" xfId="0" applyFont="1" applyBorder="1" applyAlignment="1">
      <alignment horizontal="center" vertical="center"/>
    </xf>
    <xf numFmtId="0" fontId="3" fillId="14" borderId="155" xfId="0" applyFont="1" applyFill="1" applyBorder="1" applyAlignment="1">
      <alignment horizontal="center" vertical="center"/>
    </xf>
    <xf numFmtId="0" fontId="3" fillId="14" borderId="11" xfId="0" applyFont="1" applyFill="1" applyBorder="1" applyAlignment="1">
      <alignment horizontal="center" vertical="center"/>
    </xf>
    <xf numFmtId="0" fontId="3" fillId="14" borderId="12" xfId="0" applyFont="1" applyFill="1" applyBorder="1" applyAlignment="1">
      <alignment horizontal="center" vertical="center"/>
    </xf>
    <xf numFmtId="0" fontId="3" fillId="14" borderId="13" xfId="0" applyFont="1" applyFill="1" applyBorder="1" applyAlignment="1">
      <alignment horizontal="center" vertical="center"/>
    </xf>
    <xf numFmtId="0" fontId="3" fillId="14" borderId="0" xfId="0" applyFont="1" applyFill="1" applyAlignment="1">
      <alignment horizontal="center" vertical="center"/>
    </xf>
    <xf numFmtId="0" fontId="3" fillId="14" borderId="14" xfId="0" applyFont="1" applyFill="1" applyBorder="1" applyAlignment="1">
      <alignment horizontal="center" vertical="center"/>
    </xf>
    <xf numFmtId="0" fontId="3" fillId="14" borderId="30" xfId="0" applyFont="1" applyFill="1" applyBorder="1" applyAlignment="1">
      <alignment horizontal="center" vertical="center"/>
    </xf>
    <xf numFmtId="0" fontId="3" fillId="14" borderId="17" xfId="0" applyFont="1" applyFill="1" applyBorder="1" applyAlignment="1">
      <alignment horizontal="center" vertical="center"/>
    </xf>
    <xf numFmtId="0" fontId="3" fillId="14" borderId="31" xfId="0" applyFont="1" applyFill="1" applyBorder="1" applyAlignment="1">
      <alignment horizontal="center" vertical="center"/>
    </xf>
    <xf numFmtId="167" fontId="3" fillId="14" borderId="150" xfId="2" applyNumberFormat="1" applyFont="1" applyFill="1" applyBorder="1" applyAlignment="1">
      <alignment horizontal="center" vertical="center"/>
    </xf>
    <xf numFmtId="167" fontId="3" fillId="14" borderId="156" xfId="2" applyNumberFormat="1" applyFont="1" applyFill="1" applyBorder="1" applyAlignment="1">
      <alignment horizontal="center" vertical="center"/>
    </xf>
    <xf numFmtId="0" fontId="3" fillId="14" borderId="158" xfId="0" applyFont="1" applyFill="1" applyBorder="1" applyAlignment="1">
      <alignment horizontal="center" vertical="top"/>
    </xf>
    <xf numFmtId="0" fontId="3" fillId="14" borderId="52" xfId="0" applyFont="1" applyFill="1" applyBorder="1" applyAlignment="1">
      <alignment horizontal="center" vertical="top"/>
    </xf>
    <xf numFmtId="174" fontId="3" fillId="14" borderId="154" xfId="1" applyNumberFormat="1" applyFont="1" applyFill="1" applyBorder="1" applyAlignment="1">
      <alignment horizontal="center" vertical="center"/>
    </xf>
    <xf numFmtId="174" fontId="3" fillId="14" borderId="50" xfId="1" applyNumberFormat="1" applyFont="1" applyFill="1" applyBorder="1" applyAlignment="1">
      <alignment horizontal="center" vertical="center"/>
    </xf>
    <xf numFmtId="167" fontId="6" fillId="3" borderId="12" xfId="2" applyNumberFormat="1" applyFont="1" applyFill="1" applyBorder="1" applyAlignment="1">
      <alignment horizontal="center"/>
    </xf>
    <xf numFmtId="167" fontId="6" fillId="3" borderId="13" xfId="2" applyNumberFormat="1" applyFont="1" applyFill="1" applyBorder="1" applyAlignment="1">
      <alignment horizontal="center"/>
    </xf>
    <xf numFmtId="167" fontId="6" fillId="3" borderId="14" xfId="2" applyNumberFormat="1" applyFont="1" applyFill="1" applyBorder="1" applyAlignment="1">
      <alignment horizontal="center"/>
    </xf>
    <xf numFmtId="167" fontId="6" fillId="3" borderId="30" xfId="2" applyNumberFormat="1" applyFont="1" applyFill="1" applyBorder="1" applyAlignment="1">
      <alignment horizontal="center"/>
    </xf>
    <xf numFmtId="167" fontId="6" fillId="3" borderId="31" xfId="2" applyNumberFormat="1" applyFont="1" applyFill="1" applyBorder="1" applyAlignment="1">
      <alignment horizontal="center"/>
    </xf>
    <xf numFmtId="167" fontId="3" fillId="14" borderId="158" xfId="2" applyNumberFormat="1" applyFont="1" applyFill="1" applyBorder="1" applyAlignment="1">
      <alignment horizontal="center" vertical="center"/>
    </xf>
    <xf numFmtId="167" fontId="3" fillId="14" borderId="48" xfId="2" applyNumberFormat="1" applyFont="1" applyFill="1" applyBorder="1" applyAlignment="1">
      <alignment horizontal="center" vertical="center"/>
    </xf>
    <xf numFmtId="167" fontId="3" fillId="14" borderId="52" xfId="2" applyNumberFormat="1" applyFont="1" applyFill="1" applyBorder="1" applyAlignment="1">
      <alignment horizontal="center" vertical="center"/>
    </xf>
    <xf numFmtId="167" fontId="3" fillId="14" borderId="149" xfId="2" applyNumberFormat="1" applyFont="1" applyFill="1" applyBorder="1" applyAlignment="1">
      <alignment horizontal="center" vertical="center"/>
    </xf>
    <xf numFmtId="167" fontId="3" fillId="14" borderId="32" xfId="2" applyNumberFormat="1" applyFont="1" applyFill="1" applyBorder="1" applyAlignment="1">
      <alignment horizontal="center" vertical="center"/>
    </xf>
    <xf numFmtId="167" fontId="3" fillId="14" borderId="49" xfId="2" applyNumberFormat="1" applyFont="1" applyFill="1" applyBorder="1" applyAlignment="1">
      <alignment horizontal="center" vertical="center"/>
    </xf>
    <xf numFmtId="167" fontId="3" fillId="14" borderId="158" xfId="2" applyNumberFormat="1" applyFont="1" applyFill="1" applyBorder="1" applyAlignment="1">
      <alignment horizontal="center" vertical="center" wrapText="1"/>
    </xf>
    <xf numFmtId="167" fontId="3" fillId="14" borderId="48" xfId="2" applyNumberFormat="1" applyFont="1" applyFill="1" applyBorder="1" applyAlignment="1">
      <alignment horizontal="center" vertical="center" wrapText="1"/>
    </xf>
    <xf numFmtId="167" fontId="3" fillId="14" borderId="52" xfId="2" applyNumberFormat="1" applyFont="1" applyFill="1" applyBorder="1" applyAlignment="1">
      <alignment horizontal="center" vertical="center" wrapText="1"/>
    </xf>
    <xf numFmtId="43" fontId="0" fillId="0" borderId="99" xfId="1" applyFont="1" applyBorder="1" applyAlignment="1" applyProtection="1">
      <alignment horizontal="right"/>
      <protection locked="0"/>
    </xf>
    <xf numFmtId="0" fontId="0" fillId="0" borderId="99" xfId="0" applyBorder="1" applyAlignment="1">
      <alignment horizontal="right"/>
    </xf>
    <xf numFmtId="0" fontId="0" fillId="0" borderId="130" xfId="0" applyBorder="1" applyAlignment="1">
      <alignment horizontal="right"/>
    </xf>
    <xf numFmtId="0" fontId="6" fillId="26" borderId="34" xfId="0" applyFont="1" applyFill="1" applyBorder="1" applyAlignment="1" applyProtection="1">
      <alignment horizontal="center"/>
      <protection locked="0"/>
    </xf>
    <xf numFmtId="0" fontId="6" fillId="26" borderId="35" xfId="0" applyFont="1" applyFill="1" applyBorder="1" applyAlignment="1">
      <alignment horizontal="center"/>
    </xf>
    <xf numFmtId="0" fontId="0" fillId="10" borderId="54" xfId="0" applyFill="1" applyBorder="1" applyAlignment="1" applyProtection="1">
      <alignment horizontal="center"/>
      <protection locked="0"/>
    </xf>
    <xf numFmtId="0" fontId="0" fillId="10" borderId="35" xfId="0" applyFill="1" applyBorder="1" applyAlignment="1">
      <alignment horizontal="center"/>
    </xf>
    <xf numFmtId="0" fontId="0" fillId="10" borderId="32" xfId="0" applyFill="1" applyBorder="1" applyAlignment="1" applyProtection="1">
      <alignment horizontal="center"/>
      <protection locked="0"/>
    </xf>
    <xf numFmtId="0" fontId="0" fillId="10" borderId="49" xfId="0" applyFill="1" applyBorder="1" applyAlignment="1" applyProtection="1">
      <alignment horizontal="center"/>
      <protection locked="0"/>
    </xf>
    <xf numFmtId="0" fontId="0" fillId="26" borderId="32" xfId="0" applyFill="1" applyBorder="1" applyAlignment="1" applyProtection="1">
      <alignment horizontal="center"/>
      <protection locked="0"/>
    </xf>
    <xf numFmtId="0" fontId="0" fillId="26" borderId="49" xfId="0" applyFill="1" applyBorder="1" applyAlignment="1" applyProtection="1">
      <alignment horizontal="center"/>
      <protection locked="0"/>
    </xf>
    <xf numFmtId="0" fontId="0" fillId="26" borderId="34" xfId="0" applyFill="1" applyBorder="1" applyAlignment="1" applyProtection="1">
      <alignment horizontal="center"/>
      <protection locked="0"/>
    </xf>
    <xf numFmtId="0" fontId="0" fillId="26" borderId="35" xfId="0" applyFill="1" applyBorder="1" applyAlignment="1">
      <alignment horizontal="center"/>
    </xf>
    <xf numFmtId="0" fontId="0" fillId="10" borderId="34" xfId="0" applyFill="1" applyBorder="1" applyAlignment="1" applyProtection="1">
      <alignment horizontal="center"/>
      <protection locked="0"/>
    </xf>
    <xf numFmtId="0" fontId="0" fillId="0" borderId="123" xfId="0" applyBorder="1" applyAlignment="1" applyProtection="1">
      <alignment horizontal="center"/>
      <protection locked="0"/>
    </xf>
    <xf numFmtId="5" fontId="0" fillId="0" borderId="112" xfId="2" applyNumberFormat="1" applyFont="1" applyBorder="1" applyAlignment="1" applyProtection="1">
      <alignment horizontal="center" vertical="top"/>
      <protection locked="0"/>
    </xf>
    <xf numFmtId="5" fontId="0" fillId="0" borderId="113" xfId="2" applyNumberFormat="1" applyFont="1" applyBorder="1" applyAlignment="1" applyProtection="1">
      <alignment horizontal="center" vertical="top"/>
      <protection locked="0"/>
    </xf>
    <xf numFmtId="5" fontId="0" fillId="0" borderId="119" xfId="2" applyNumberFormat="1" applyFont="1" applyBorder="1" applyAlignment="1" applyProtection="1">
      <alignment horizontal="center" vertical="top"/>
      <protection locked="0"/>
    </xf>
    <xf numFmtId="5" fontId="0" fillId="0" borderId="120" xfId="2" applyNumberFormat="1" applyFont="1" applyBorder="1" applyAlignment="1" applyProtection="1">
      <alignment horizontal="center" vertical="top"/>
      <protection locked="0"/>
    </xf>
    <xf numFmtId="5" fontId="0" fillId="0" borderId="102" xfId="2" applyNumberFormat="1" applyFont="1" applyBorder="1" applyAlignment="1" applyProtection="1">
      <alignment horizontal="center" vertical="top"/>
      <protection locked="0"/>
    </xf>
    <xf numFmtId="5" fontId="0" fillId="0" borderId="116" xfId="2" applyNumberFormat="1" applyFont="1" applyBorder="1" applyAlignment="1" applyProtection="1">
      <alignment horizontal="center" vertical="top"/>
      <protection locked="0"/>
    </xf>
    <xf numFmtId="5" fontId="4" fillId="0" borderId="117" xfId="4" applyNumberFormat="1" applyBorder="1" applyAlignment="1" applyProtection="1">
      <alignment horizontal="center" vertical="top"/>
      <protection locked="0"/>
    </xf>
    <xf numFmtId="5" fontId="4" fillId="0" borderId="118" xfId="4" applyNumberFormat="1" applyBorder="1" applyAlignment="1" applyProtection="1">
      <alignment horizontal="center" vertical="top"/>
      <protection locked="0"/>
    </xf>
    <xf numFmtId="44" fontId="0" fillId="0" borderId="114" xfId="2" applyFont="1" applyBorder="1" applyAlignment="1" applyProtection="1">
      <alignment horizontal="center" vertical="center"/>
      <protection locked="0"/>
    </xf>
    <xf numFmtId="5" fontId="0" fillId="0" borderId="115" xfId="2" applyNumberFormat="1" applyFont="1" applyBorder="1" applyAlignment="1" applyProtection="1">
      <alignment horizontal="center" vertical="center"/>
      <protection locked="0"/>
    </xf>
    <xf numFmtId="5" fontId="0" fillId="0" borderId="55" xfId="2" applyNumberFormat="1" applyFont="1" applyFill="1" applyBorder="1" applyAlignment="1" applyProtection="1">
      <alignment horizontal="center" vertical="top"/>
      <protection locked="0"/>
    </xf>
    <xf numFmtId="5" fontId="0" fillId="0" borderId="23" xfId="2" applyNumberFormat="1" applyFont="1" applyFill="1" applyBorder="1" applyAlignment="1" applyProtection="1">
      <alignment horizontal="center" vertical="top"/>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169" fontId="0" fillId="0" borderId="147" xfId="0" applyNumberFormat="1" applyBorder="1" applyAlignment="1" applyProtection="1">
      <alignment horizontal="center"/>
      <protection locked="0"/>
    </xf>
    <xf numFmtId="0" fontId="4" fillId="0" borderId="143" xfId="4" applyBorder="1" applyAlignment="1" applyProtection="1">
      <alignment horizontal="center" vertical="center"/>
      <protection locked="0"/>
    </xf>
    <xf numFmtId="0" fontId="4" fillId="0" borderId="136" xfId="4" applyBorder="1" applyAlignment="1" applyProtection="1">
      <alignment horizontal="center" vertical="center"/>
      <protection locked="0"/>
    </xf>
    <xf numFmtId="3" fontId="0" fillId="0" borderId="141" xfId="0" applyNumberFormat="1" applyBorder="1" applyAlignment="1" applyProtection="1">
      <alignment horizontal="center"/>
      <protection locked="0"/>
    </xf>
    <xf numFmtId="0" fontId="4" fillId="0" borderId="145" xfId="4" applyBorder="1" applyAlignment="1" applyProtection="1">
      <alignment vertical="center"/>
      <protection locked="0"/>
    </xf>
    <xf numFmtId="0" fontId="0" fillId="0" borderId="0" xfId="0" applyAlignment="1" applyProtection="1">
      <alignment horizontal="center"/>
      <protection locked="0"/>
    </xf>
    <xf numFmtId="0" fontId="4" fillId="0" borderId="147" xfId="4" applyBorder="1" applyAlignment="1" applyProtection="1">
      <alignment horizontal="center"/>
      <protection locked="0"/>
    </xf>
    <xf numFmtId="0" fontId="12" fillId="0" borderId="0" xfId="0" applyFont="1" applyAlignment="1" applyProtection="1">
      <alignment horizontal="center"/>
      <protection locked="0"/>
    </xf>
    <xf numFmtId="0" fontId="0" fillId="0" borderId="147" xfId="0" applyBorder="1" applyAlignment="1" applyProtection="1">
      <alignment horizontal="center"/>
      <protection locked="0"/>
    </xf>
    <xf numFmtId="0" fontId="0" fillId="0" borderId="129" xfId="0" applyBorder="1" applyAlignment="1" applyProtection="1">
      <alignment horizontal="center"/>
      <protection locked="0"/>
    </xf>
    <xf numFmtId="0" fontId="0" fillId="0" borderId="121" xfId="0" applyBorder="1" applyAlignment="1" applyProtection="1">
      <alignment horizontal="center"/>
      <protection locked="0"/>
    </xf>
    <xf numFmtId="0" fontId="0" fillId="0" borderId="111" xfId="0" applyBorder="1" applyAlignment="1" applyProtection="1">
      <alignment horizontal="center"/>
      <protection locked="0"/>
    </xf>
    <xf numFmtId="0" fontId="0" fillId="0" borderId="5" xfId="0" applyBorder="1" applyAlignment="1" applyProtection="1">
      <alignment horizontal="center"/>
      <protection locked="0"/>
    </xf>
    <xf numFmtId="0" fontId="4" fillId="0" borderId="145" xfId="4" applyBorder="1" applyAlignment="1" applyProtection="1">
      <alignment horizontal="center"/>
      <protection locked="0"/>
    </xf>
    <xf numFmtId="0" fontId="0" fillId="0" borderId="99" xfId="0" applyBorder="1" applyAlignment="1" applyProtection="1">
      <alignment horizontal="center"/>
      <protection locked="0"/>
    </xf>
    <xf numFmtId="0" fontId="0" fillId="0" borderId="124" xfId="0" applyBorder="1" applyAlignment="1" applyProtection="1">
      <alignment horizontal="center"/>
      <protection locked="0"/>
    </xf>
    <xf numFmtId="0" fontId="76" fillId="0" borderId="111" xfId="0" applyFont="1" applyBorder="1" applyAlignment="1" applyProtection="1">
      <alignment horizontal="center"/>
      <protection locked="0"/>
    </xf>
    <xf numFmtId="0" fontId="76" fillId="0" borderId="76" xfId="0" applyFont="1" applyBorder="1" applyAlignment="1" applyProtection="1">
      <alignment horizontal="center"/>
      <protection locked="0"/>
    </xf>
    <xf numFmtId="0" fontId="76" fillId="0" borderId="75" xfId="0" applyFont="1" applyBorder="1" applyAlignment="1" applyProtection="1">
      <alignment horizontal="center"/>
      <protection locked="0"/>
    </xf>
    <xf numFmtId="169" fontId="76" fillId="0" borderId="145" xfId="0" applyNumberFormat="1" applyFont="1" applyBorder="1" applyAlignment="1" applyProtection="1">
      <alignment horizontal="center"/>
      <protection locked="0"/>
    </xf>
    <xf numFmtId="0" fontId="80" fillId="2" borderId="55" xfId="0" applyFont="1" applyFill="1" applyBorder="1" applyAlignment="1">
      <alignment horizontal="left"/>
    </xf>
    <xf numFmtId="0" fontId="80" fillId="2" borderId="56" xfId="0" applyFont="1" applyFill="1" applyBorder="1" applyAlignment="1">
      <alignment horizontal="left"/>
    </xf>
    <xf numFmtId="0" fontId="76" fillId="20" borderId="76" xfId="0" applyFont="1" applyFill="1" applyBorder="1" applyAlignment="1" applyProtection="1">
      <alignment horizontal="center"/>
      <protection locked="0"/>
    </xf>
    <xf numFmtId="0" fontId="76" fillId="20" borderId="75" xfId="0" applyFont="1" applyFill="1" applyBorder="1" applyAlignment="1" applyProtection="1">
      <alignment horizontal="center"/>
      <protection locked="0"/>
    </xf>
    <xf numFmtId="0" fontId="76" fillId="19" borderId="145" xfId="0" applyFont="1" applyFill="1" applyBorder="1" applyAlignment="1" applyProtection="1">
      <alignment horizontal="center"/>
      <protection locked="0"/>
    </xf>
    <xf numFmtId="44" fontId="76" fillId="19" borderId="145" xfId="2" applyFont="1" applyFill="1" applyBorder="1" applyAlignment="1" applyProtection="1">
      <alignment horizontal="center"/>
      <protection locked="0"/>
    </xf>
    <xf numFmtId="0" fontId="79" fillId="0" borderId="145" xfId="4" applyFont="1" applyBorder="1" applyAlignment="1" applyProtection="1">
      <alignment horizontal="center" vertical="center"/>
      <protection locked="0"/>
    </xf>
    <xf numFmtId="0" fontId="0" fillId="0" borderId="76" xfId="0" applyBorder="1" applyAlignment="1" applyProtection="1">
      <alignment horizontal="center"/>
      <protection locked="0"/>
    </xf>
    <xf numFmtId="0" fontId="0" fillId="23" borderId="20" xfId="0" applyFill="1" applyBorder="1" applyAlignment="1" applyProtection="1">
      <alignment horizontal="center"/>
      <protection locked="0"/>
    </xf>
    <xf numFmtId="0" fontId="0" fillId="23" borderId="21" xfId="0" applyFill="1" applyBorder="1" applyAlignment="1" applyProtection="1">
      <alignment horizontal="center"/>
      <protection locked="0"/>
    </xf>
    <xf numFmtId="0" fontId="0" fillId="0" borderId="99" xfId="0" applyBorder="1" applyAlignment="1">
      <alignment horizontal="center"/>
    </xf>
    <xf numFmtId="0" fontId="0" fillId="26" borderId="20" xfId="0" applyFill="1" applyBorder="1" applyAlignment="1" applyProtection="1">
      <alignment horizontal="center"/>
      <protection locked="0"/>
    </xf>
    <xf numFmtId="0" fontId="0" fillId="26" borderId="21" xfId="0" applyFill="1" applyBorder="1" applyAlignment="1" applyProtection="1">
      <alignment horizontal="center"/>
      <protection locked="0"/>
    </xf>
    <xf numFmtId="0" fontId="3" fillId="0" borderId="99" xfId="0" applyFont="1" applyBorder="1" applyAlignment="1" applyProtection="1">
      <alignment horizontal="center"/>
      <protection locked="0"/>
    </xf>
    <xf numFmtId="0" fontId="2" fillId="0" borderId="99" xfId="0" applyFont="1" applyBorder="1" applyAlignment="1" applyProtection="1">
      <alignment horizontal="center"/>
      <protection locked="0"/>
    </xf>
    <xf numFmtId="0" fontId="0" fillId="0" borderId="27" xfId="0" applyBorder="1" applyAlignment="1" applyProtection="1">
      <alignment horizontal="center"/>
      <protection locked="0"/>
    </xf>
    <xf numFmtId="167" fontId="0" fillId="0" borderId="20" xfId="2" applyNumberFormat="1" applyFont="1" applyBorder="1" applyAlignment="1" applyProtection="1">
      <alignment horizontal="left"/>
      <protection locked="0"/>
    </xf>
    <xf numFmtId="167" fontId="0" fillId="0" borderId="21" xfId="2" applyNumberFormat="1" applyFont="1" applyBorder="1" applyAlignment="1" applyProtection="1">
      <alignment horizontal="left"/>
      <protection locked="0"/>
    </xf>
    <xf numFmtId="167" fontId="0" fillId="0" borderId="145" xfId="2" applyNumberFormat="1" applyFont="1" applyBorder="1" applyAlignment="1" applyProtection="1">
      <alignment horizontal="left"/>
      <protection locked="0"/>
    </xf>
    <xf numFmtId="167" fontId="4" fillId="0" borderId="145" xfId="2" applyNumberFormat="1" applyFont="1" applyBorder="1" applyAlignment="1" applyProtection="1">
      <alignment horizontal="left" vertical="center"/>
      <protection locked="0"/>
    </xf>
    <xf numFmtId="167" fontId="4" fillId="0" borderId="145" xfId="2" applyNumberFormat="1" applyFont="1" applyBorder="1" applyAlignment="1" applyProtection="1">
      <alignment horizontal="center" vertical="center"/>
      <protection locked="0"/>
    </xf>
    <xf numFmtId="44" fontId="0" fillId="0" borderId="174" xfId="2" applyFont="1" applyBorder="1" applyAlignment="1" applyProtection="1">
      <alignment horizontal="center"/>
      <protection locked="0"/>
    </xf>
    <xf numFmtId="44" fontId="0" fillId="0" borderId="171" xfId="2" applyFont="1" applyBorder="1" applyAlignment="1" applyProtection="1">
      <alignment horizontal="center"/>
      <protection locked="0"/>
    </xf>
    <xf numFmtId="44" fontId="0" fillId="0" borderId="170" xfId="2" applyFont="1" applyBorder="1" applyAlignment="1" applyProtection="1">
      <alignment horizontal="center"/>
      <protection locked="0"/>
    </xf>
    <xf numFmtId="5" fontId="0" fillId="0" borderId="170" xfId="2" applyNumberFormat="1" applyFont="1" applyBorder="1" applyAlignment="1" applyProtection="1">
      <alignment horizontal="center"/>
      <protection locked="0"/>
    </xf>
    <xf numFmtId="0" fontId="4" fillId="0" borderId="177" xfId="4" applyBorder="1" applyAlignment="1" applyProtection="1">
      <alignment horizontal="left" vertical="center"/>
      <protection locked="0"/>
    </xf>
    <xf numFmtId="169" fontId="0" fillId="0" borderId="177" xfId="0" applyNumberFormat="1" applyBorder="1" applyAlignment="1" applyProtection="1">
      <alignment horizontal="left"/>
      <protection locked="0"/>
    </xf>
    <xf numFmtId="0" fontId="0" fillId="0" borderId="177" xfId="0" applyBorder="1" applyAlignment="1" applyProtection="1">
      <alignment horizontal="left"/>
      <protection locked="0"/>
    </xf>
    <xf numFmtId="169" fontId="0" fillId="0" borderId="177" xfId="0" applyNumberFormat="1" applyBorder="1" applyAlignment="1" applyProtection="1">
      <alignment horizontal="center"/>
      <protection locked="0"/>
    </xf>
    <xf numFmtId="0" fontId="0" fillId="0" borderId="177" xfId="0" applyBorder="1" applyAlignment="1" applyProtection="1">
      <alignment horizontal="center"/>
      <protection locked="0"/>
    </xf>
    <xf numFmtId="0" fontId="4" fillId="0" borderId="177" xfId="4" applyBorder="1" applyAlignment="1" applyProtection="1">
      <alignment horizontal="center" vertical="center"/>
      <protection locked="0"/>
    </xf>
    <xf numFmtId="164" fontId="40" fillId="0" borderId="179" xfId="1" applyNumberFormat="1" applyFont="1" applyBorder="1" applyAlignment="1">
      <alignment horizontal="right"/>
    </xf>
    <xf numFmtId="39" fontId="40" fillId="0" borderId="179" xfId="1" applyNumberFormat="1" applyFont="1" applyBorder="1" applyAlignment="1">
      <alignment horizontal="right"/>
    </xf>
    <xf numFmtId="164" fontId="40" fillId="0" borderId="179" xfId="0" applyNumberFormat="1" applyFont="1" applyBorder="1" applyAlignment="1">
      <alignment horizontal="right"/>
    </xf>
    <xf numFmtId="164" fontId="17" fillId="6" borderId="155" xfId="1" applyNumberFormat="1" applyFont="1" applyFill="1" applyBorder="1" applyAlignment="1">
      <alignment horizontal="left" vertical="center"/>
    </xf>
    <xf numFmtId="0" fontId="11" fillId="8" borderId="185" xfId="0" applyFont="1" applyFill="1" applyBorder="1" applyAlignment="1">
      <alignment horizontal="right"/>
    </xf>
    <xf numFmtId="164" fontId="22" fillId="8" borderId="186" xfId="1" applyNumberFormat="1" applyFont="1" applyFill="1" applyBorder="1" applyAlignment="1">
      <alignment horizontal="right"/>
    </xf>
    <xf numFmtId="2" fontId="22" fillId="8" borderId="186" xfId="0" applyNumberFormat="1" applyFont="1" applyFill="1" applyBorder="1" applyAlignment="1">
      <alignment horizontal="right"/>
    </xf>
    <xf numFmtId="10" fontId="22" fillId="8" borderId="187" xfId="0" applyNumberFormat="1" applyFont="1" applyFill="1" applyBorder="1" applyAlignment="1">
      <alignment horizontal="right"/>
    </xf>
    <xf numFmtId="164" fontId="17" fillId="6" borderId="155" xfId="1" applyNumberFormat="1" applyFont="1" applyFill="1" applyBorder="1" applyAlignment="1">
      <alignment horizontal="right" vertical="center"/>
    </xf>
    <xf numFmtId="164" fontId="14" fillId="9" borderId="188" xfId="1" applyNumberFormat="1" applyFont="1" applyFill="1" applyBorder="1" applyAlignment="1">
      <alignment horizontal="right"/>
    </xf>
    <xf numFmtId="164" fontId="11" fillId="8" borderId="186" xfId="0" applyNumberFormat="1" applyFont="1" applyFill="1" applyBorder="1" applyAlignment="1">
      <alignment horizontal="right"/>
    </xf>
    <xf numFmtId="39" fontId="11" fillId="8" borderId="186" xfId="1" applyNumberFormat="1" applyFont="1" applyFill="1" applyBorder="1" applyAlignment="1">
      <alignment horizontal="right"/>
    </xf>
    <xf numFmtId="10" fontId="22" fillId="8" borderId="186" xfId="0" applyNumberFormat="1" applyFont="1" applyFill="1" applyBorder="1" applyAlignment="1">
      <alignment horizontal="right"/>
    </xf>
    <xf numFmtId="164" fontId="17" fillId="6" borderId="155" xfId="1" applyNumberFormat="1" applyFont="1" applyFill="1" applyBorder="1" applyAlignment="1">
      <alignment horizontal="center" vertical="center"/>
    </xf>
    <xf numFmtId="0" fontId="11" fillId="8" borderId="185" xfId="0" applyFont="1" applyFill="1" applyBorder="1" applyAlignment="1">
      <alignment horizontal="right"/>
    </xf>
    <xf numFmtId="0" fontId="11" fillId="8" borderId="186" xfId="0" applyFont="1" applyFill="1" applyBorder="1" applyAlignment="1">
      <alignment horizontal="right"/>
    </xf>
    <xf numFmtId="164" fontId="11" fillId="8" borderId="186" xfId="1" applyNumberFormat="1" applyFont="1" applyFill="1" applyBorder="1"/>
    <xf numFmtId="10" fontId="22" fillId="8" borderId="186" xfId="0" applyNumberFormat="1" applyFont="1" applyFill="1" applyBorder="1"/>
    <xf numFmtId="10" fontId="22" fillId="8" borderId="187" xfId="0" applyNumberFormat="1" applyFont="1" applyFill="1" applyBorder="1"/>
    <xf numFmtId="0" fontId="46" fillId="13" borderId="167" xfId="0" quotePrefix="1" applyFont="1" applyFill="1" applyBorder="1" applyAlignment="1">
      <alignment horizontal="center" vertical="top"/>
    </xf>
    <xf numFmtId="0" fontId="46" fillId="13" borderId="167" xfId="0" applyFont="1" applyFill="1" applyBorder="1" applyAlignment="1">
      <alignment horizontal="center" vertical="top"/>
    </xf>
    <xf numFmtId="166" fontId="46" fillId="13" borderId="167" xfId="0" applyNumberFormat="1" applyFont="1" applyFill="1" applyBorder="1" applyAlignment="1">
      <alignment horizontal="center" vertical="top" wrapText="1"/>
    </xf>
    <xf numFmtId="166" fontId="46" fillId="13" borderId="167" xfId="2" applyNumberFormat="1" applyFont="1" applyFill="1" applyBorder="1" applyAlignment="1">
      <alignment horizontal="center" vertical="top" wrapText="1"/>
    </xf>
    <xf numFmtId="0" fontId="46" fillId="13" borderId="167" xfId="0" quotePrefix="1" applyFont="1" applyFill="1" applyBorder="1" applyAlignment="1">
      <alignment vertical="center"/>
    </xf>
    <xf numFmtId="172" fontId="60" fillId="0" borderId="167" xfId="0" applyNumberFormat="1" applyFont="1" applyBorder="1" applyAlignment="1">
      <alignment horizontal="center" vertical="top"/>
    </xf>
    <xf numFmtId="0" fontId="60" fillId="0" borderId="167" xfId="0" applyFont="1" applyBorder="1" applyAlignment="1">
      <alignment horizontal="center" vertical="top" wrapText="1"/>
    </xf>
    <xf numFmtId="166" fontId="60" fillId="0" borderId="167" xfId="2" applyNumberFormat="1" applyFont="1" applyFill="1" applyBorder="1" applyAlignment="1">
      <alignment horizontal="center" vertical="top"/>
    </xf>
    <xf numFmtId="172" fontId="38" fillId="0" borderId="167" xfId="0" applyNumberFormat="1" applyFont="1" applyBorder="1" applyAlignment="1">
      <alignment horizontal="center" vertical="top"/>
    </xf>
    <xf numFmtId="0" fontId="60" fillId="0" borderId="167" xfId="0" applyFont="1" applyBorder="1" applyAlignment="1">
      <alignment horizontal="center" wrapText="1"/>
    </xf>
    <xf numFmtId="166" fontId="38" fillId="0" borderId="167" xfId="2" applyNumberFormat="1" applyFont="1" applyFill="1" applyBorder="1" applyAlignment="1">
      <alignment horizontal="center" vertical="top"/>
    </xf>
    <xf numFmtId="0" fontId="38" fillId="0" borderId="167" xfId="0" applyFont="1" applyBorder="1" applyAlignment="1">
      <alignment horizontal="left" vertical="top" wrapText="1"/>
    </xf>
    <xf numFmtId="166" fontId="38" fillId="0" borderId="167" xfId="0" applyNumberFormat="1" applyFont="1" applyBorder="1" applyAlignment="1">
      <alignment horizontal="right" vertical="top" wrapText="1"/>
    </xf>
    <xf numFmtId="166" fontId="38" fillId="0" borderId="167" xfId="2" applyNumberFormat="1" applyFont="1" applyFill="1" applyBorder="1" applyAlignment="1">
      <alignment horizontal="right" vertical="top"/>
    </xf>
    <xf numFmtId="166" fontId="0" fillId="0" borderId="167" xfId="0" applyNumberFormat="1" applyBorder="1"/>
    <xf numFmtId="0" fontId="38" fillId="0" borderId="167" xfId="0" applyFont="1" applyBorder="1" applyAlignment="1">
      <alignment horizontal="center" vertical="top"/>
    </xf>
    <xf numFmtId="0" fontId="38" fillId="0" borderId="167" xfId="0" applyFont="1" applyBorder="1" applyAlignment="1">
      <alignment horizontal="left" vertical="top"/>
    </xf>
    <xf numFmtId="0" fontId="61" fillId="0" borderId="167" xfId="0" applyFont="1" applyBorder="1" applyAlignment="1">
      <alignment horizontal="left" vertical="top" wrapText="1"/>
    </xf>
    <xf numFmtId="0" fontId="0" fillId="0" borderId="167" xfId="0" applyBorder="1"/>
    <xf numFmtId="0" fontId="60" fillId="0" borderId="167" xfId="0" applyFont="1" applyBorder="1" applyAlignment="1">
      <alignment horizontal="center" vertical="top"/>
    </xf>
    <xf numFmtId="166" fontId="38" fillId="0" borderId="167" xfId="0" applyNumberFormat="1" applyFont="1" applyBorder="1" applyAlignment="1">
      <alignment horizontal="right" vertical="top"/>
    </xf>
    <xf numFmtId="14" fontId="0" fillId="0" borderId="167" xfId="0" applyNumberFormat="1" applyBorder="1"/>
    <xf numFmtId="0" fontId="60" fillId="0" borderId="167" xfId="0" applyFont="1" applyBorder="1" applyAlignment="1">
      <alignment horizontal="left" vertical="top"/>
    </xf>
    <xf numFmtId="14" fontId="38" fillId="0" borderId="167" xfId="0" applyNumberFormat="1" applyFont="1" applyBorder="1" applyAlignment="1">
      <alignment horizontal="right" vertical="top"/>
    </xf>
    <xf numFmtId="0" fontId="38" fillId="0" borderId="167" xfId="0" applyFont="1" applyBorder="1" applyAlignment="1">
      <alignment horizontal="right" vertical="top"/>
    </xf>
    <xf numFmtId="166" fontId="0" fillId="0" borderId="167" xfId="0" applyNumberFormat="1" applyBorder="1" applyAlignment="1">
      <alignment horizontal="right"/>
    </xf>
    <xf numFmtId="166" fontId="38" fillId="0" borderId="167" xfId="0" applyNumberFormat="1" applyFont="1" applyBorder="1" applyAlignment="1">
      <alignment vertical="top" wrapText="1"/>
    </xf>
    <xf numFmtId="166" fontId="38" fillId="0" borderId="167" xfId="2" applyNumberFormat="1" applyFont="1" applyFill="1" applyBorder="1" applyAlignment="1">
      <alignment vertical="top"/>
    </xf>
    <xf numFmtId="0" fontId="38" fillId="0" borderId="167" xfId="0" applyFont="1" applyBorder="1" applyAlignment="1">
      <alignment vertical="top"/>
    </xf>
    <xf numFmtId="0" fontId="59" fillId="0" borderId="167" xfId="0" applyFont="1" applyBorder="1" applyAlignment="1">
      <alignment horizontal="center" vertical="top"/>
    </xf>
    <xf numFmtId="0" fontId="59" fillId="0" borderId="167" xfId="0" applyFont="1" applyBorder="1" applyAlignment="1">
      <alignment horizontal="left" vertical="top"/>
    </xf>
    <xf numFmtId="166" fontId="59" fillId="0" borderId="167" xfId="2" applyNumberFormat="1" applyFont="1" applyFill="1" applyBorder="1" applyAlignment="1">
      <alignment horizontal="center" vertical="top"/>
    </xf>
    <xf numFmtId="0" fontId="81" fillId="0" borderId="167" xfId="0" applyFont="1" applyBorder="1" applyAlignment="1">
      <alignment horizontal="center" vertical="top"/>
    </xf>
    <xf numFmtId="0" fontId="106" fillId="0" borderId="167" xfId="0" applyFont="1" applyBorder="1" applyAlignment="1">
      <alignment horizontal="center" vertical="top"/>
    </xf>
    <xf numFmtId="166" fontId="81" fillId="0" borderId="167" xfId="0" applyNumberFormat="1" applyFont="1" applyBorder="1" applyAlignment="1">
      <alignment horizontal="right" vertical="top"/>
    </xf>
    <xf numFmtId="166" fontId="81" fillId="0" borderId="167" xfId="2" applyNumberFormat="1" applyFont="1" applyFill="1" applyBorder="1" applyAlignment="1">
      <alignment horizontal="right" vertical="top"/>
    </xf>
    <xf numFmtId="166" fontId="76" fillId="0" borderId="167" xfId="0" applyNumberFormat="1" applyFont="1" applyBorder="1" applyAlignment="1">
      <alignment horizontal="right"/>
    </xf>
    <xf numFmtId="0" fontId="81" fillId="0" borderId="167" xfId="0" applyFont="1" applyBorder="1" applyAlignment="1">
      <alignment horizontal="left" vertical="top"/>
    </xf>
    <xf numFmtId="14" fontId="81" fillId="0" borderId="167" xfId="0" applyNumberFormat="1" applyFont="1" applyBorder="1" applyAlignment="1">
      <alignment horizontal="center" vertical="top"/>
    </xf>
    <xf numFmtId="0" fontId="46" fillId="13" borderId="167" xfId="0" quotePrefix="1" applyFont="1" applyFill="1" applyBorder="1" applyAlignment="1">
      <alignment horizontal="center" vertical="center"/>
    </xf>
    <xf numFmtId="0" fontId="46" fillId="13" borderId="167" xfId="0" applyFont="1" applyFill="1" applyBorder="1" applyAlignment="1">
      <alignment vertical="center"/>
    </xf>
    <xf numFmtId="0" fontId="46" fillId="13" borderId="167" xfId="0" applyFont="1" applyFill="1" applyBorder="1" applyAlignment="1">
      <alignment horizontal="center" vertical="center"/>
    </xf>
    <xf numFmtId="167" fontId="46" fillId="13" borderId="167" xfId="2" applyNumberFormat="1" applyFont="1" applyFill="1" applyBorder="1" applyAlignment="1">
      <alignment horizontal="center" vertical="center" wrapText="1"/>
    </xf>
    <xf numFmtId="0" fontId="43" fillId="12" borderId="189" xfId="0" applyFont="1" applyFill="1" applyBorder="1"/>
    <xf numFmtId="0" fontId="43" fillId="12" borderId="179" xfId="0" applyFont="1" applyFill="1" applyBorder="1"/>
    <xf numFmtId="0" fontId="3" fillId="0" borderId="159" xfId="0" applyFont="1" applyBorder="1" applyAlignment="1">
      <alignment horizontal="center" vertical="center" textRotation="90"/>
    </xf>
    <xf numFmtId="167" fontId="3" fillId="14" borderId="188" xfId="2" applyNumberFormat="1" applyFont="1" applyFill="1" applyBorder="1" applyAlignment="1">
      <alignment horizontal="center" vertical="center"/>
    </xf>
    <xf numFmtId="166" fontId="3" fillId="14" borderId="178" xfId="1" applyNumberFormat="1" applyFont="1" applyFill="1" applyBorder="1" applyAlignment="1">
      <alignment horizontal="center" vertical="center"/>
    </xf>
    <xf numFmtId="43" fontId="52" fillId="14" borderId="178" xfId="1" applyFont="1" applyFill="1" applyBorder="1" applyAlignment="1">
      <alignment horizontal="center" vertical="center"/>
    </xf>
    <xf numFmtId="167" fontId="3" fillId="14" borderId="185" xfId="2" applyNumberFormat="1" applyFont="1" applyFill="1" applyBorder="1" applyAlignment="1">
      <alignment horizontal="center" vertical="center"/>
    </xf>
    <xf numFmtId="167" fontId="3" fillId="14" borderId="187" xfId="2" applyNumberFormat="1" applyFont="1" applyFill="1" applyBorder="1" applyAlignment="1">
      <alignment horizontal="center" vertical="center"/>
    </xf>
    <xf numFmtId="166" fontId="3" fillId="14" borderId="190" xfId="1" applyNumberFormat="1" applyFont="1" applyFill="1" applyBorder="1" applyAlignment="1">
      <alignment horizontal="center" vertical="center"/>
    </xf>
    <xf numFmtId="0" fontId="0" fillId="10" borderId="191" xfId="0" applyFill="1" applyBorder="1"/>
    <xf numFmtId="174" fontId="0" fillId="0" borderId="192" xfId="1" applyNumberFormat="1" applyFont="1" applyFill="1" applyBorder="1"/>
    <xf numFmtId="0" fontId="0" fillId="0" borderId="193" xfId="0" applyBorder="1" applyAlignment="1">
      <alignment horizontal="center"/>
    </xf>
    <xf numFmtId="167" fontId="6" fillId="3" borderId="155" xfId="2" applyNumberFormat="1" applyFont="1" applyFill="1" applyBorder="1" applyAlignment="1">
      <alignment horizontal="center"/>
    </xf>
    <xf numFmtId="9" fontId="0" fillId="0" borderId="194" xfId="3" applyFont="1" applyFill="1" applyBorder="1" applyAlignment="1">
      <alignment horizontal="left"/>
    </xf>
    <xf numFmtId="167" fontId="0" fillId="0" borderId="191" xfId="2" applyNumberFormat="1" applyFont="1" applyFill="1" applyBorder="1"/>
    <xf numFmtId="167" fontId="3" fillId="14" borderId="188" xfId="2" applyNumberFormat="1" applyFont="1" applyFill="1" applyBorder="1" applyAlignment="1">
      <alignment vertical="center"/>
    </xf>
    <xf numFmtId="43" fontId="3" fillId="14" borderId="178" xfId="1" applyFont="1" applyFill="1" applyBorder="1" applyAlignment="1">
      <alignment horizontal="center" vertical="center"/>
    </xf>
    <xf numFmtId="0" fontId="0" fillId="0" borderId="192" xfId="0" applyBorder="1" applyAlignment="1">
      <alignment horizontal="center"/>
    </xf>
    <xf numFmtId="0" fontId="0" fillId="0" borderId="195" xfId="0" applyBorder="1" applyAlignment="1">
      <alignment horizontal="center"/>
    </xf>
    <xf numFmtId="0" fontId="0" fillId="0" borderId="191" xfId="0" applyBorder="1"/>
    <xf numFmtId="167" fontId="0" fillId="0" borderId="196" xfId="2" applyNumberFormat="1" applyFont="1" applyFill="1" applyBorder="1"/>
    <xf numFmtId="167" fontId="3" fillId="0" borderId="197" xfId="2" applyNumberFormat="1" applyFont="1" applyFill="1" applyBorder="1"/>
    <xf numFmtId="167" fontId="3" fillId="0" borderId="178" xfId="2" applyNumberFormat="1" applyFont="1" applyFill="1" applyBorder="1"/>
    <xf numFmtId="44" fontId="0" fillId="0" borderId="191" xfId="2" applyFont="1" applyFill="1" applyBorder="1"/>
    <xf numFmtId="167" fontId="3" fillId="10" borderId="178" xfId="2" applyNumberFormat="1" applyFont="1" applyFill="1" applyBorder="1"/>
    <xf numFmtId="167" fontId="3" fillId="0" borderId="195" xfId="2" applyNumberFormat="1" applyFont="1" applyFill="1" applyBorder="1"/>
    <xf numFmtId="0" fontId="0" fillId="0" borderId="196" xfId="0" applyBorder="1" applyAlignment="1">
      <alignment horizontal="center"/>
    </xf>
    <xf numFmtId="0" fontId="0" fillId="0" borderId="197" xfId="0" applyBorder="1" applyAlignment="1">
      <alignment horizontal="center"/>
    </xf>
    <xf numFmtId="0" fontId="0" fillId="10" borderId="178" xfId="0" applyFill="1" applyBorder="1"/>
    <xf numFmtId="167" fontId="0" fillId="0" borderId="178" xfId="2" applyNumberFormat="1" applyFont="1" applyFill="1" applyBorder="1"/>
    <xf numFmtId="44" fontId="0" fillId="0" borderId="178" xfId="2" applyFont="1" applyFill="1" applyBorder="1"/>
    <xf numFmtId="0" fontId="0" fillId="0" borderId="178" xfId="0" applyBorder="1"/>
    <xf numFmtId="167" fontId="3" fillId="0" borderId="191" xfId="2" applyNumberFormat="1" applyFont="1" applyFill="1" applyBorder="1"/>
    <xf numFmtId="167" fontId="3" fillId="10" borderId="191" xfId="2" applyNumberFormat="1" applyFont="1" applyFill="1" applyBorder="1"/>
    <xf numFmtId="174" fontId="0" fillId="0" borderId="192" xfId="1" applyNumberFormat="1" applyFont="1" applyBorder="1"/>
    <xf numFmtId="167" fontId="3" fillId="0" borderId="195" xfId="2" applyNumberFormat="1" applyFont="1" applyBorder="1"/>
    <xf numFmtId="167" fontId="0" fillId="0" borderId="191" xfId="2" applyNumberFormat="1" applyFont="1" applyBorder="1"/>
    <xf numFmtId="9" fontId="0" fillId="0" borderId="178" xfId="3" applyFont="1" applyFill="1" applyBorder="1" applyAlignment="1">
      <alignment horizontal="left"/>
    </xf>
    <xf numFmtId="167" fontId="0" fillId="0" borderId="192" xfId="2" applyNumberFormat="1" applyFont="1" applyFill="1" applyBorder="1"/>
    <xf numFmtId="167" fontId="3" fillId="0" borderId="198" xfId="2" applyNumberFormat="1" applyFont="1" applyFill="1" applyBorder="1"/>
    <xf numFmtId="167" fontId="3" fillId="0" borderId="190" xfId="2" applyNumberFormat="1" applyFont="1" applyFill="1" applyBorder="1"/>
    <xf numFmtId="167" fontId="0" fillId="3" borderId="155" xfId="2" applyNumberFormat="1" applyFont="1" applyFill="1" applyBorder="1" applyAlignment="1">
      <alignment horizontal="center"/>
    </xf>
    <xf numFmtId="167" fontId="0" fillId="0" borderId="196" xfId="2" applyNumberFormat="1" applyFont="1" applyBorder="1"/>
    <xf numFmtId="167" fontId="3" fillId="0" borderId="191" xfId="2" applyNumberFormat="1" applyFont="1" applyBorder="1"/>
    <xf numFmtId="9" fontId="0" fillId="0" borderId="178" xfId="3" applyFont="1" applyBorder="1" applyAlignment="1">
      <alignment horizontal="left"/>
    </xf>
    <xf numFmtId="167" fontId="0" fillId="0" borderId="178" xfId="2" applyNumberFormat="1" applyFont="1" applyBorder="1"/>
    <xf numFmtId="44" fontId="0" fillId="0" borderId="178" xfId="0" applyNumberFormat="1" applyBorder="1"/>
    <xf numFmtId="0" fontId="0" fillId="0" borderId="199" xfId="0" applyBorder="1" applyAlignment="1">
      <alignment horizontal="center"/>
    </xf>
    <xf numFmtId="0" fontId="0" fillId="0" borderId="198" xfId="0" applyBorder="1" applyAlignment="1">
      <alignment horizontal="center"/>
    </xf>
    <xf numFmtId="0" fontId="0" fillId="7" borderId="190" xfId="0" applyFill="1" applyBorder="1"/>
    <xf numFmtId="0" fontId="0" fillId="7" borderId="198" xfId="0" applyFill="1" applyBorder="1" applyAlignment="1">
      <alignment horizontal="center"/>
    </xf>
    <xf numFmtId="167" fontId="0" fillId="0" borderId="199" xfId="2" applyNumberFormat="1" applyFont="1" applyBorder="1"/>
    <xf numFmtId="167" fontId="3" fillId="0" borderId="190" xfId="2" applyNumberFormat="1" applyFont="1" applyBorder="1"/>
    <xf numFmtId="9" fontId="0" fillId="7" borderId="187" xfId="3" applyFont="1" applyFill="1" applyBorder="1" applyAlignment="1">
      <alignment horizontal="left"/>
    </xf>
    <xf numFmtId="44" fontId="0" fillId="0" borderId="190" xfId="0" applyNumberFormat="1" applyBorder="1"/>
    <xf numFmtId="167" fontId="0" fillId="0" borderId="192" xfId="2" applyNumberFormat="1" applyFont="1" applyBorder="1"/>
    <xf numFmtId="174" fontId="0" fillId="0" borderId="196" xfId="1" applyNumberFormat="1" applyFont="1" applyFill="1" applyBorder="1"/>
    <xf numFmtId="167" fontId="3" fillId="0" borderId="197" xfId="2" applyNumberFormat="1" applyFont="1" applyBorder="1"/>
    <xf numFmtId="167" fontId="3" fillId="0" borderId="178" xfId="2" applyNumberFormat="1" applyFont="1" applyBorder="1"/>
    <xf numFmtId="174" fontId="0" fillId="7" borderId="192" xfId="1" applyNumberFormat="1" applyFont="1" applyFill="1" applyBorder="1"/>
    <xf numFmtId="0" fontId="0" fillId="0" borderId="190" xfId="0" applyBorder="1"/>
    <xf numFmtId="167" fontId="0" fillId="7" borderId="191" xfId="2" applyNumberFormat="1" applyFont="1" applyFill="1" applyBorder="1"/>
    <xf numFmtId="167" fontId="0" fillId="7" borderId="178" xfId="2" applyNumberFormat="1" applyFont="1" applyFill="1" applyBorder="1"/>
    <xf numFmtId="167" fontId="53" fillId="0" borderId="192" xfId="2" applyNumberFormat="1" applyFont="1" applyBorder="1"/>
    <xf numFmtId="167" fontId="53" fillId="7" borderId="178" xfId="2" applyNumberFormat="1" applyFont="1" applyFill="1" applyBorder="1"/>
    <xf numFmtId="174" fontId="0" fillId="0" borderId="199" xfId="1" applyNumberFormat="1" applyFont="1" applyBorder="1"/>
    <xf numFmtId="167" fontId="3" fillId="0" borderId="198" xfId="2" applyNumberFormat="1" applyFont="1" applyBorder="1"/>
    <xf numFmtId="167" fontId="0" fillId="0" borderId="190" xfId="2" applyNumberFormat="1" applyFont="1" applyBorder="1"/>
    <xf numFmtId="174" fontId="0" fillId="5" borderId="192" xfId="1" applyNumberFormat="1" applyFont="1" applyFill="1" applyBorder="1"/>
    <xf numFmtId="174" fontId="0" fillId="7" borderId="199" xfId="1" applyNumberFormat="1" applyFont="1" applyFill="1" applyBorder="1"/>
    <xf numFmtId="174" fontId="0" fillId="0" borderId="196" xfId="1" applyNumberFormat="1" applyFont="1" applyBorder="1"/>
    <xf numFmtId="44" fontId="0" fillId="0" borderId="199" xfId="2" applyFont="1" applyBorder="1"/>
    <xf numFmtId="167" fontId="0" fillId="7" borderId="190" xfId="2" applyNumberFormat="1" applyFont="1" applyFill="1" applyBorder="1"/>
    <xf numFmtId="167" fontId="0" fillId="0" borderId="178" xfId="2" applyNumberFormat="1" applyFont="1" applyFill="1" applyBorder="1" applyAlignment="1">
      <alignment wrapText="1"/>
    </xf>
    <xf numFmtId="176" fontId="3" fillId="0" borderId="195" xfId="2" applyNumberFormat="1" applyFont="1" applyFill="1" applyBorder="1"/>
    <xf numFmtId="167" fontId="0" fillId="3" borderId="200" xfId="2" applyNumberFormat="1" applyFont="1" applyFill="1" applyBorder="1" applyAlignment="1">
      <alignment horizontal="center"/>
    </xf>
    <xf numFmtId="167" fontId="0" fillId="3" borderId="194" xfId="2" applyNumberFormat="1" applyFont="1" applyFill="1" applyBorder="1" applyAlignment="1">
      <alignment horizontal="center"/>
    </xf>
    <xf numFmtId="174" fontId="0" fillId="7" borderId="196" xfId="1" applyNumberFormat="1" applyFont="1" applyFill="1" applyBorder="1"/>
    <xf numFmtId="43" fontId="0" fillId="0" borderId="167" xfId="1" applyFont="1" applyBorder="1" applyAlignment="1" applyProtection="1">
      <alignment horizontal="center"/>
      <protection locked="0"/>
    </xf>
    <xf numFmtId="44" fontId="0" fillId="0" borderId="170" xfId="2" applyFont="1" applyBorder="1" applyAlignment="1" applyProtection="1">
      <alignment horizontal="right"/>
      <protection locked="0"/>
    </xf>
    <xf numFmtId="0" fontId="0" fillId="0" borderId="201" xfId="0" applyBorder="1" applyAlignment="1">
      <alignment vertical="top"/>
    </xf>
    <xf numFmtId="3" fontId="0" fillId="0" borderId="180" xfId="0" applyNumberFormat="1" applyBorder="1" applyAlignment="1" applyProtection="1">
      <alignment horizontal="left"/>
      <protection locked="0"/>
    </xf>
    <xf numFmtId="0" fontId="0" fillId="0" borderId="180" xfId="0" applyBorder="1" applyProtection="1">
      <protection locked="0"/>
    </xf>
    <xf numFmtId="0" fontId="0" fillId="0" borderId="182" xfId="0" applyBorder="1" applyAlignment="1">
      <alignment vertical="top"/>
    </xf>
    <xf numFmtId="0" fontId="6" fillId="0" borderId="202" xfId="0" applyFont="1" applyBorder="1" applyAlignment="1">
      <alignment vertical="center"/>
    </xf>
    <xf numFmtId="0" fontId="6" fillId="0" borderId="181" xfId="0" applyFont="1" applyBorder="1" applyAlignment="1">
      <alignment vertical="center"/>
    </xf>
    <xf numFmtId="0" fontId="6" fillId="0" borderId="181" xfId="0" quotePrefix="1" applyFont="1" applyBorder="1"/>
    <xf numFmtId="0" fontId="6" fillId="17" borderId="181" xfId="0" applyFont="1" applyFill="1" applyBorder="1" applyAlignment="1">
      <alignment horizontal="center"/>
    </xf>
    <xf numFmtId="0" fontId="6" fillId="19" borderId="181" xfId="0" applyFont="1" applyFill="1" applyBorder="1" applyAlignment="1">
      <alignment horizontal="left"/>
    </xf>
    <xf numFmtId="43" fontId="0" fillId="19" borderId="167" xfId="1" applyFont="1" applyFill="1" applyBorder="1" applyAlignment="1" applyProtection="1">
      <alignment horizontal="center"/>
      <protection locked="0"/>
    </xf>
    <xf numFmtId="44" fontId="0" fillId="19" borderId="180" xfId="2" applyFont="1" applyFill="1" applyBorder="1" applyAlignment="1" applyProtection="1">
      <alignment horizontal="left"/>
      <protection locked="0"/>
    </xf>
    <xf numFmtId="44" fontId="0" fillId="19" borderId="180" xfId="2" applyFont="1" applyFill="1" applyBorder="1" applyProtection="1">
      <protection locked="0"/>
    </xf>
    <xf numFmtId="0" fontId="6" fillId="7" borderId="181" xfId="0" applyFont="1" applyFill="1" applyBorder="1" applyAlignment="1">
      <alignment horizontal="left"/>
    </xf>
    <xf numFmtId="44" fontId="0" fillId="0" borderId="180" xfId="2" applyFont="1" applyBorder="1" applyAlignment="1" applyProtection="1">
      <alignment horizontal="left"/>
      <protection locked="0"/>
    </xf>
    <xf numFmtId="44" fontId="0" fillId="0" borderId="180" xfId="2" applyFont="1" applyBorder="1" applyProtection="1">
      <protection locked="0"/>
    </xf>
    <xf numFmtId="43" fontId="0" fillId="0" borderId="175" xfId="1" applyFont="1" applyBorder="1" applyAlignment="1">
      <alignment vertical="top"/>
    </xf>
    <xf numFmtId="0" fontId="86" fillId="0" borderId="203" xfId="0" applyFont="1" applyBorder="1" applyAlignment="1">
      <alignment vertical="center" wrapText="1"/>
    </xf>
    <xf numFmtId="43" fontId="0" fillId="0" borderId="204" xfId="1" applyFont="1" applyBorder="1" applyProtection="1">
      <protection locked="0"/>
    </xf>
    <xf numFmtId="0" fontId="0" fillId="0" borderId="204" xfId="0" applyBorder="1" applyAlignment="1" applyProtection="1">
      <alignment horizontal="center"/>
      <protection locked="0"/>
    </xf>
    <xf numFmtId="44" fontId="0" fillId="21" borderId="180" xfId="2" applyFont="1" applyFill="1" applyBorder="1" applyAlignment="1" applyProtection="1">
      <alignment horizontal="left"/>
      <protection locked="0"/>
    </xf>
    <xf numFmtId="0" fontId="6" fillId="18" borderId="205" xfId="0" applyFont="1" applyFill="1" applyBorder="1" applyAlignment="1">
      <alignment horizontal="left" vertical="center" wrapText="1" indent="2"/>
    </xf>
    <xf numFmtId="0" fontId="6" fillId="0" borderId="204" xfId="0" applyFont="1" applyBorder="1" applyAlignment="1">
      <alignment horizontal="left" vertical="center" wrapText="1"/>
    </xf>
    <xf numFmtId="43" fontId="6" fillId="0" borderId="204" xfId="1" applyFont="1" applyBorder="1" applyAlignment="1">
      <alignment horizontal="center" vertical="center" wrapText="1"/>
    </xf>
    <xf numFmtId="44" fontId="0" fillId="0" borderId="204" xfId="2" applyFont="1" applyBorder="1" applyProtection="1">
      <protection locked="0"/>
    </xf>
    <xf numFmtId="0" fontId="86" fillId="18" borderId="205" xfId="0" applyFont="1" applyFill="1" applyBorder="1" applyAlignment="1">
      <alignment vertical="center" wrapText="1"/>
    </xf>
    <xf numFmtId="0" fontId="99" fillId="0" borderId="205" xfId="0" applyFont="1" applyBorder="1"/>
    <xf numFmtId="0" fontId="86" fillId="18" borderId="205" xfId="0" applyFont="1" applyFill="1" applyBorder="1" applyAlignment="1">
      <alignment horizontal="left" vertical="center" wrapText="1"/>
    </xf>
    <xf numFmtId="0" fontId="86" fillId="0" borderId="205" xfId="0" applyFont="1" applyBorder="1" applyAlignment="1">
      <alignment horizontal="left" vertical="center" wrapText="1"/>
    </xf>
    <xf numFmtId="0" fontId="0" fillId="4" borderId="206" xfId="0" applyFill="1" applyBorder="1"/>
    <xf numFmtId="0" fontId="0" fillId="4" borderId="204" xfId="0" applyFill="1" applyBorder="1" applyAlignment="1" applyProtection="1">
      <alignment horizontal="right" vertical="center"/>
      <protection locked="0"/>
    </xf>
    <xf numFmtId="0" fontId="0" fillId="4" borderId="204" xfId="0" applyFill="1" applyBorder="1" applyProtection="1">
      <protection locked="0"/>
    </xf>
    <xf numFmtId="43" fontId="0" fillId="4" borderId="204" xfId="1" applyFont="1" applyFill="1" applyBorder="1" applyAlignment="1" applyProtection="1">
      <alignment horizontal="center"/>
      <protection locked="0"/>
    </xf>
    <xf numFmtId="0" fontId="0" fillId="4" borderId="204" xfId="0" applyFill="1" applyBorder="1" applyAlignment="1" applyProtection="1">
      <alignment vertical="center"/>
      <protection locked="0"/>
    </xf>
    <xf numFmtId="9" fontId="0" fillId="4" borderId="207" xfId="3" applyFont="1" applyFill="1" applyBorder="1" applyProtection="1">
      <protection locked="0"/>
    </xf>
    <xf numFmtId="44" fontId="0" fillId="4" borderId="208" xfId="2" applyFont="1" applyFill="1" applyBorder="1" applyAlignment="1" applyProtection="1">
      <alignment horizontal="left"/>
      <protection locked="0"/>
    </xf>
    <xf numFmtId="44" fontId="0" fillId="4" borderId="207" xfId="2" applyFont="1" applyFill="1" applyBorder="1" applyProtection="1">
      <protection locked="0"/>
    </xf>
    <xf numFmtId="44" fontId="0" fillId="4" borderId="207" xfId="2" applyFont="1" applyFill="1" applyBorder="1" applyAlignment="1" applyProtection="1">
      <alignment horizontal="left"/>
      <protection locked="0"/>
    </xf>
    <xf numFmtId="44" fontId="0" fillId="4" borderId="207" xfId="0" applyNumberFormat="1" applyFill="1" applyBorder="1" applyProtection="1">
      <protection locked="0"/>
    </xf>
    <xf numFmtId="0" fontId="8" fillId="4" borderId="204" xfId="0" applyFont="1" applyFill="1" applyBorder="1" applyAlignment="1" applyProtection="1">
      <alignment horizontal="right" vertical="center"/>
      <protection locked="0"/>
    </xf>
    <xf numFmtId="44" fontId="9" fillId="4" borderId="208" xfId="2" applyFont="1" applyFill="1" applyBorder="1" applyAlignment="1" applyProtection="1">
      <alignment horizontal="left"/>
      <protection locked="0"/>
    </xf>
    <xf numFmtId="165" fontId="9" fillId="4" borderId="207" xfId="0" applyNumberFormat="1" applyFont="1" applyFill="1" applyBorder="1" applyAlignment="1" applyProtection="1">
      <alignment horizontal="center"/>
      <protection locked="0"/>
    </xf>
    <xf numFmtId="44" fontId="9" fillId="4" borderId="207" xfId="2" applyFont="1" applyFill="1" applyBorder="1" applyAlignment="1" applyProtection="1">
      <alignment horizontal="left"/>
      <protection locked="0"/>
    </xf>
    <xf numFmtId="165" fontId="9" fillId="4" borderId="207" xfId="0" applyNumberFormat="1" applyFont="1" applyFill="1" applyBorder="1" applyAlignment="1" applyProtection="1">
      <alignment horizontal="left"/>
      <protection locked="0"/>
    </xf>
    <xf numFmtId="0" fontId="0" fillId="4" borderId="204" xfId="0" applyFill="1" applyBorder="1" applyAlignment="1">
      <alignment wrapText="1"/>
    </xf>
    <xf numFmtId="0" fontId="0" fillId="4" borderId="207" xfId="0" applyFill="1" applyBorder="1" applyAlignment="1" applyProtection="1">
      <alignment horizontal="center"/>
      <protection locked="0"/>
    </xf>
    <xf numFmtId="44" fontId="0" fillId="4" borderId="207" xfId="2" applyFont="1" applyFill="1" applyBorder="1" applyAlignment="1" applyProtection="1">
      <alignment horizontal="center"/>
      <protection locked="0"/>
    </xf>
    <xf numFmtId="43" fontId="0" fillId="0" borderId="183" xfId="1" applyFont="1" applyBorder="1" applyAlignment="1" applyProtection="1">
      <alignment horizontal="center"/>
      <protection locked="0"/>
    </xf>
    <xf numFmtId="0" fontId="0" fillId="0" borderId="209" xfId="0" applyBorder="1" applyProtection="1">
      <protection locked="0"/>
    </xf>
    <xf numFmtId="0" fontId="0" fillId="0" borderId="206" xfId="0" applyBorder="1"/>
    <xf numFmtId="0" fontId="0" fillId="0" borderId="208" xfId="0" applyBorder="1" applyProtection="1">
      <protection locked="0"/>
    </xf>
    <xf numFmtId="165" fontId="0" fillId="0" borderId="207" xfId="0" applyNumberFormat="1" applyBorder="1" applyAlignment="1" applyProtection="1">
      <alignment horizontal="right"/>
      <protection locked="0"/>
    </xf>
    <xf numFmtId="0" fontId="0" fillId="0" borderId="206" xfId="0" applyBorder="1" applyProtection="1">
      <protection locked="0"/>
    </xf>
    <xf numFmtId="0" fontId="0" fillId="0" borderId="204" xfId="0" applyBorder="1" applyAlignment="1" applyProtection="1">
      <alignment wrapText="1"/>
      <protection locked="0"/>
    </xf>
    <xf numFmtId="44" fontId="0" fillId="0" borderId="207" xfId="0" applyNumberFormat="1" applyBorder="1" applyProtection="1">
      <protection locked="0"/>
    </xf>
    <xf numFmtId="165" fontId="0" fillId="0" borderId="207" xfId="0" applyNumberFormat="1" applyBorder="1" applyProtection="1">
      <protection locked="0"/>
    </xf>
    <xf numFmtId="0" fontId="0" fillId="0" borderId="207" xfId="0" applyBorder="1" applyProtection="1">
      <protection locked="0"/>
    </xf>
    <xf numFmtId="43" fontId="0" fillId="0" borderId="169" xfId="1" applyFont="1" applyBorder="1" applyAlignment="1" applyProtection="1">
      <alignment horizontal="center"/>
      <protection locked="0"/>
    </xf>
    <xf numFmtId="0" fontId="0" fillId="0" borderId="207" xfId="0" applyBorder="1" applyAlignment="1" applyProtection="1">
      <alignment horizontal="center"/>
      <protection locked="0"/>
    </xf>
    <xf numFmtId="0" fontId="3" fillId="0" borderId="210" xfId="0" applyFont="1" applyBorder="1" applyAlignment="1" applyProtection="1">
      <alignment horizontal="right"/>
      <protection locked="0"/>
    </xf>
    <xf numFmtId="0" fontId="3" fillId="0" borderId="207" xfId="0" applyFont="1" applyBorder="1" applyAlignment="1" applyProtection="1">
      <alignment horizontal="right"/>
      <protection locked="0"/>
    </xf>
    <xf numFmtId="169" fontId="0" fillId="0" borderId="207" xfId="0" applyNumberFormat="1" applyBorder="1" applyAlignment="1" applyProtection="1">
      <alignment horizontal="center"/>
      <protection locked="0"/>
    </xf>
    <xf numFmtId="0" fontId="4" fillId="0" borderId="207" xfId="4" applyBorder="1" applyAlignment="1" applyProtection="1">
      <alignment horizontal="center" vertical="center"/>
      <protection locked="0"/>
    </xf>
    <xf numFmtId="0" fontId="0" fillId="0" borderId="201" xfId="0" applyBorder="1" applyAlignment="1" applyProtection="1">
      <alignment horizontal="center"/>
      <protection locked="0"/>
    </xf>
    <xf numFmtId="0" fontId="0" fillId="0" borderId="180" xfId="0" applyBorder="1" applyAlignment="1" applyProtection="1">
      <alignment horizontal="center"/>
      <protection locked="0"/>
    </xf>
    <xf numFmtId="0" fontId="0" fillId="0" borderId="206" xfId="0" applyBorder="1" applyAlignment="1">
      <alignment horizontal="right"/>
    </xf>
    <xf numFmtId="0" fontId="0" fillId="0" borderId="204" xfId="0" applyBorder="1" applyAlignment="1">
      <alignment wrapText="1"/>
    </xf>
    <xf numFmtId="0" fontId="0" fillId="0" borderId="204" xfId="0" applyBorder="1" applyProtection="1">
      <protection locked="0"/>
    </xf>
    <xf numFmtId="43" fontId="0" fillId="0" borderId="204" xfId="1" applyFont="1" applyBorder="1" applyAlignment="1" applyProtection="1">
      <alignment horizontal="center"/>
      <protection locked="0"/>
    </xf>
    <xf numFmtId="0" fontId="0" fillId="0" borderId="210" xfId="0" applyBorder="1" applyAlignment="1" applyProtection="1">
      <alignment horizontal="center"/>
      <protection locked="0"/>
    </xf>
    <xf numFmtId="0" fontId="0" fillId="0" borderId="204" xfId="0" applyBorder="1" applyAlignment="1">
      <alignment horizontal="left" wrapText="1"/>
    </xf>
    <xf numFmtId="0" fontId="0" fillId="0" borderId="208" xfId="0" applyBorder="1" applyAlignment="1" applyProtection="1">
      <alignment horizontal="right"/>
      <protection locked="0"/>
    </xf>
    <xf numFmtId="169" fontId="0" fillId="0" borderId="210" xfId="0" applyNumberFormat="1" applyBorder="1" applyAlignment="1" applyProtection="1">
      <alignment horizontal="center"/>
      <protection locked="0"/>
    </xf>
    <xf numFmtId="14" fontId="0" fillId="0" borderId="204" xfId="0" applyNumberFormat="1" applyBorder="1" applyAlignment="1">
      <alignment horizontal="left" wrapText="1"/>
    </xf>
    <xf numFmtId="0" fontId="4" fillId="0" borderId="210" xfId="4" applyBorder="1" applyAlignment="1" applyProtection="1">
      <alignment horizontal="center" vertical="center"/>
      <protection locked="0"/>
    </xf>
    <xf numFmtId="44" fontId="6" fillId="0" borderId="207" xfId="2" applyFont="1" applyBorder="1" applyAlignment="1">
      <alignment horizontal="center" vertical="center"/>
    </xf>
    <xf numFmtId="44" fontId="0" fillId="0" borderId="180" xfId="0" applyNumberFormat="1" applyBorder="1" applyProtection="1">
      <protection locked="0"/>
    </xf>
    <xf numFmtId="0" fontId="0" fillId="0" borderId="206" xfId="0" applyBorder="1" applyAlignment="1">
      <alignment vertical="top"/>
    </xf>
    <xf numFmtId="0" fontId="0" fillId="19" borderId="204" xfId="0" applyFill="1" applyBorder="1" applyProtection="1">
      <protection locked="0"/>
    </xf>
    <xf numFmtId="43" fontId="0" fillId="19" borderId="204" xfId="1" applyFont="1" applyFill="1" applyBorder="1" applyAlignment="1" applyProtection="1">
      <alignment horizontal="center"/>
      <protection locked="0"/>
    </xf>
    <xf numFmtId="165" fontId="0" fillId="19" borderId="204" xfId="0" applyNumberFormat="1" applyFill="1" applyBorder="1" applyProtection="1">
      <protection locked="0"/>
    </xf>
    <xf numFmtId="0" fontId="0" fillId="19" borderId="207" xfId="0" applyFill="1" applyBorder="1" applyProtection="1">
      <protection locked="0"/>
    </xf>
    <xf numFmtId="43" fontId="0" fillId="0" borderId="206" xfId="1" applyFont="1" applyBorder="1" applyAlignment="1">
      <alignment vertical="top"/>
    </xf>
    <xf numFmtId="0" fontId="6" fillId="7" borderId="181" xfId="0" applyFont="1" applyFill="1" applyBorder="1" applyAlignment="1">
      <alignment horizontal="left" indent="2"/>
    </xf>
    <xf numFmtId="0" fontId="0" fillId="0" borderId="204" xfId="0" applyBorder="1" applyAlignment="1" applyProtection="1">
      <alignment horizontal="center" vertical="top"/>
      <protection locked="0"/>
    </xf>
    <xf numFmtId="0" fontId="0" fillId="0" borderId="204" xfId="0" applyBorder="1" applyAlignment="1" applyProtection="1">
      <alignment vertical="top"/>
      <protection locked="0"/>
    </xf>
    <xf numFmtId="43" fontId="0" fillId="0" borderId="204" xfId="1" applyFont="1" applyBorder="1" applyAlignment="1" applyProtection="1">
      <alignment vertical="top"/>
      <protection locked="0"/>
    </xf>
    <xf numFmtId="44" fontId="0" fillId="0" borderId="204" xfId="2" applyFont="1" applyBorder="1" applyAlignment="1" applyProtection="1">
      <alignment vertical="top"/>
      <protection locked="0"/>
    </xf>
    <xf numFmtId="44" fontId="6" fillId="0" borderId="207" xfId="2" applyFont="1" applyBorder="1" applyAlignment="1">
      <alignment horizontal="center" vertical="top"/>
    </xf>
    <xf numFmtId="44" fontId="0" fillId="0" borderId="180" xfId="2" applyFont="1" applyBorder="1" applyAlignment="1" applyProtection="1">
      <alignment vertical="top"/>
      <protection locked="0"/>
    </xf>
    <xf numFmtId="44" fontId="0" fillId="0" borderId="180" xfId="2" applyFont="1" applyBorder="1" applyAlignment="1" applyProtection="1">
      <alignment horizontal="left" vertical="top"/>
      <protection locked="0"/>
    </xf>
    <xf numFmtId="0" fontId="6" fillId="18" borderId="205" xfId="0" applyFont="1" applyFill="1" applyBorder="1" applyAlignment="1">
      <alignment horizontal="left" vertical="center" wrapText="1" indent="4"/>
    </xf>
    <xf numFmtId="43" fontId="6" fillId="0" borderId="204" xfId="1" applyFont="1" applyBorder="1" applyAlignment="1">
      <alignment horizontal="left" vertical="center" wrapText="1"/>
    </xf>
    <xf numFmtId="0" fontId="6" fillId="18" borderId="205" xfId="0" applyFont="1" applyFill="1" applyBorder="1" applyAlignment="1">
      <alignment vertical="center" wrapText="1"/>
    </xf>
    <xf numFmtId="0" fontId="6" fillId="18" borderId="205" xfId="0" applyFont="1" applyFill="1" applyBorder="1" applyAlignment="1">
      <alignment horizontal="left" vertical="top" wrapText="1" indent="4"/>
    </xf>
    <xf numFmtId="0" fontId="6" fillId="0" borderId="204" xfId="0" applyFont="1" applyBorder="1" applyAlignment="1">
      <alignment horizontal="left" vertical="top" wrapText="1"/>
    </xf>
    <xf numFmtId="43" fontId="6" fillId="0" borderId="204" xfId="1" applyFont="1" applyBorder="1" applyAlignment="1">
      <alignment horizontal="left" vertical="top" wrapText="1"/>
    </xf>
    <xf numFmtId="44" fontId="0" fillId="5" borderId="180" xfId="2" applyFont="1" applyFill="1" applyBorder="1" applyProtection="1">
      <protection locked="0"/>
    </xf>
    <xf numFmtId="0" fontId="6" fillId="18" borderId="205" xfId="0" applyFont="1" applyFill="1" applyBorder="1" applyAlignment="1">
      <alignment horizontal="left" vertical="center" wrapText="1" indent="6"/>
    </xf>
    <xf numFmtId="0" fontId="6" fillId="18" borderId="205" xfId="0" applyFont="1" applyFill="1" applyBorder="1" applyAlignment="1">
      <alignment horizontal="left" vertical="center" wrapText="1" indent="5"/>
    </xf>
    <xf numFmtId="0" fontId="6" fillId="18" borderId="205" xfId="0" applyFont="1" applyFill="1" applyBorder="1" applyAlignment="1">
      <alignment horizontal="left" vertical="center" wrapText="1" indent="1"/>
    </xf>
    <xf numFmtId="0" fontId="6" fillId="18" borderId="205" xfId="0" applyFont="1" applyFill="1" applyBorder="1" applyAlignment="1">
      <alignment horizontal="left" vertical="center" wrapText="1" indent="3"/>
    </xf>
    <xf numFmtId="43" fontId="0" fillId="0" borderId="179" xfId="1" applyFont="1" applyBorder="1"/>
    <xf numFmtId="0" fontId="6" fillId="18" borderId="205" xfId="0" applyFont="1" applyFill="1" applyBorder="1" applyAlignment="1">
      <alignment horizontal="left" vertical="center" wrapText="1" indent="7"/>
    </xf>
    <xf numFmtId="0" fontId="6" fillId="18" borderId="205" xfId="0" applyFont="1" applyFill="1" applyBorder="1" applyAlignment="1">
      <alignment horizontal="left" vertical="center" wrapText="1"/>
    </xf>
    <xf numFmtId="44" fontId="0" fillId="7" borderId="180" xfId="2" applyFont="1" applyFill="1" applyBorder="1" applyProtection="1">
      <protection locked="0"/>
    </xf>
    <xf numFmtId="44" fontId="0" fillId="7" borderId="180" xfId="2" applyFont="1" applyFill="1" applyBorder="1" applyAlignment="1" applyProtection="1">
      <alignment horizontal="left"/>
      <protection locked="0"/>
    </xf>
    <xf numFmtId="44" fontId="6" fillId="7" borderId="207" xfId="2" applyFont="1" applyFill="1" applyBorder="1" applyAlignment="1">
      <alignment horizontal="center" vertical="center"/>
    </xf>
    <xf numFmtId="0" fontId="6" fillId="0" borderId="205" xfId="0" applyFont="1" applyBorder="1" applyAlignment="1">
      <alignment horizontal="left" vertical="center" wrapText="1" indent="2"/>
    </xf>
    <xf numFmtId="0" fontId="6" fillId="0" borderId="205" xfId="0" applyFont="1" applyBorder="1" applyAlignment="1">
      <alignment vertical="center" wrapText="1"/>
    </xf>
    <xf numFmtId="44" fontId="0" fillId="5" borderId="180" xfId="2" applyFont="1" applyFill="1" applyBorder="1" applyAlignment="1" applyProtection="1">
      <alignment horizontal="left"/>
      <protection locked="0"/>
    </xf>
    <xf numFmtId="0" fontId="6" fillId="29" borderId="205" xfId="0" applyFont="1" applyFill="1" applyBorder="1" applyAlignment="1">
      <alignment vertical="top" wrapText="1"/>
    </xf>
    <xf numFmtId="0" fontId="6" fillId="0" borderId="205" xfId="0" applyFont="1" applyBorder="1" applyAlignment="1">
      <alignment vertical="top" wrapText="1"/>
    </xf>
    <xf numFmtId="0" fontId="0" fillId="27" borderId="206" xfId="0" applyFill="1" applyBorder="1" applyAlignment="1">
      <alignment vertical="top"/>
    </xf>
    <xf numFmtId="0" fontId="6" fillId="32" borderId="205" xfId="0" applyFont="1" applyFill="1" applyBorder="1" applyAlignment="1">
      <alignment vertical="top" wrapText="1"/>
    </xf>
    <xf numFmtId="44" fontId="0" fillId="5" borderId="204" xfId="2" applyFont="1" applyFill="1" applyBorder="1" applyAlignment="1" applyProtection="1">
      <alignment vertical="top"/>
      <protection locked="0"/>
    </xf>
    <xf numFmtId="44" fontId="0" fillId="27" borderId="180" xfId="2" applyFont="1" applyFill="1" applyBorder="1" applyAlignment="1" applyProtection="1">
      <alignment horizontal="left" vertical="top"/>
      <protection locked="0"/>
    </xf>
    <xf numFmtId="44" fontId="0" fillId="0" borderId="180" xfId="2" applyFont="1" applyFill="1" applyBorder="1" applyProtection="1">
      <protection locked="0"/>
    </xf>
    <xf numFmtId="44" fontId="0" fillId="11" borderId="180" xfId="2" applyFont="1" applyFill="1" applyBorder="1" applyProtection="1">
      <protection locked="0"/>
    </xf>
    <xf numFmtId="0" fontId="0" fillId="4" borderId="204" xfId="0" applyFill="1" applyBorder="1" applyAlignment="1">
      <alignment horizontal="right" wrapText="1"/>
    </xf>
    <xf numFmtId="43" fontId="0" fillId="4" borderId="204" xfId="1" applyFont="1" applyFill="1" applyBorder="1" applyProtection="1">
      <protection locked="0"/>
    </xf>
    <xf numFmtId="0" fontId="0" fillId="4" borderId="204" xfId="0" applyFill="1" applyBorder="1" applyAlignment="1" applyProtection="1">
      <alignment horizontal="center" vertical="center"/>
      <protection locked="0"/>
    </xf>
    <xf numFmtId="44" fontId="0" fillId="4" borderId="204" xfId="2" applyFont="1" applyFill="1" applyBorder="1" applyAlignment="1" applyProtection="1">
      <alignment horizontal="right" vertical="center"/>
      <protection locked="0"/>
    </xf>
    <xf numFmtId="44" fontId="8" fillId="4" borderId="204" xfId="2" applyFont="1" applyFill="1" applyBorder="1" applyAlignment="1" applyProtection="1">
      <alignment horizontal="right" vertical="center"/>
      <protection locked="0"/>
    </xf>
    <xf numFmtId="43" fontId="0" fillId="0" borderId="183" xfId="1" applyFont="1" applyBorder="1" applyProtection="1">
      <protection locked="0"/>
    </xf>
    <xf numFmtId="0" fontId="0" fillId="0" borderId="183" xfId="0" applyBorder="1" applyAlignment="1" applyProtection="1">
      <alignment horizontal="center"/>
      <protection locked="0"/>
    </xf>
    <xf numFmtId="44" fontId="0" fillId="0" borderId="183" xfId="2" applyFont="1" applyBorder="1" applyProtection="1">
      <protection locked="0"/>
    </xf>
    <xf numFmtId="0" fontId="0" fillId="0" borderId="210" xfId="0" applyBorder="1" applyAlignment="1" applyProtection="1">
      <alignment horizontal="left"/>
      <protection locked="0"/>
    </xf>
    <xf numFmtId="169" fontId="0" fillId="0" borderId="210" xfId="0" applyNumberFormat="1" applyBorder="1" applyAlignment="1" applyProtection="1">
      <alignment horizontal="left"/>
      <protection locked="0"/>
    </xf>
    <xf numFmtId="0" fontId="4" fillId="0" borderId="210" xfId="4" applyBorder="1" applyAlignment="1" applyProtection="1">
      <alignment horizontal="left" vertical="center"/>
      <protection locked="0"/>
    </xf>
    <xf numFmtId="43" fontId="0" fillId="19" borderId="204" xfId="1" applyFont="1" applyFill="1" applyBorder="1" applyProtection="1">
      <protection locked="0"/>
    </xf>
    <xf numFmtId="0" fontId="0" fillId="19" borderId="204" xfId="0" applyFill="1" applyBorder="1" applyAlignment="1" applyProtection="1">
      <alignment horizontal="center"/>
      <protection locked="0"/>
    </xf>
    <xf numFmtId="0" fontId="6" fillId="0" borderId="181" xfId="0" applyFont="1" applyBorder="1" applyAlignment="1">
      <alignment horizontal="left"/>
    </xf>
    <xf numFmtId="43" fontId="0" fillId="0" borderId="204" xfId="1" applyFont="1" applyFill="1" applyBorder="1" applyProtection="1">
      <protection locked="0"/>
    </xf>
    <xf numFmtId="165" fontId="0" fillId="0" borderId="204" xfId="0" applyNumberFormat="1" applyBorder="1" applyProtection="1">
      <protection locked="0"/>
    </xf>
    <xf numFmtId="44" fontId="0" fillId="0" borderId="180" xfId="2" applyFont="1" applyFill="1" applyBorder="1" applyAlignment="1" applyProtection="1">
      <alignment horizontal="left"/>
      <protection locked="0"/>
    </xf>
    <xf numFmtId="0" fontId="86" fillId="7" borderId="181" xfId="0" applyFont="1" applyFill="1" applyBorder="1" applyAlignment="1">
      <alignment horizontal="left"/>
    </xf>
    <xf numFmtId="0" fontId="6" fillId="0" borderId="165" xfId="0" applyFont="1" applyBorder="1" applyAlignment="1">
      <alignment vertical="center" wrapText="1"/>
    </xf>
    <xf numFmtId="44" fontId="0" fillId="0" borderId="211" xfId="2" applyFont="1" applyBorder="1" applyProtection="1">
      <protection locked="0"/>
    </xf>
    <xf numFmtId="0" fontId="0" fillId="0" borderId="212" xfId="0" applyBorder="1" applyAlignment="1">
      <alignment vertical="top"/>
    </xf>
    <xf numFmtId="0" fontId="6" fillId="7" borderId="213" xfId="0" applyFont="1" applyFill="1" applyBorder="1" applyAlignment="1">
      <alignment horizontal="left"/>
    </xf>
    <xf numFmtId="0" fontId="6" fillId="18" borderId="213" xfId="0" applyFont="1" applyFill="1" applyBorder="1" applyAlignment="1">
      <alignment horizontal="left" vertical="center" wrapText="1" indent="2"/>
    </xf>
    <xf numFmtId="0" fontId="6" fillId="0" borderId="211" xfId="0" applyFont="1" applyBorder="1" applyAlignment="1">
      <alignment horizontal="left" vertical="center" wrapText="1"/>
    </xf>
    <xf numFmtId="43" fontId="6" fillId="0" borderId="211" xfId="1" applyFont="1" applyBorder="1" applyAlignment="1">
      <alignment horizontal="left" vertical="center" wrapText="1"/>
    </xf>
    <xf numFmtId="0" fontId="6" fillId="18" borderId="213" xfId="0" applyFont="1" applyFill="1" applyBorder="1" applyAlignment="1">
      <alignment vertical="center" wrapText="1"/>
    </xf>
    <xf numFmtId="0" fontId="6" fillId="0" borderId="213" xfId="0" applyFont="1" applyBorder="1" applyAlignment="1">
      <alignment horizontal="left" vertical="center" wrapText="1" indent="2"/>
    </xf>
    <xf numFmtId="0" fontId="86" fillId="18" borderId="213" xfId="0" applyFont="1" applyFill="1" applyBorder="1" applyAlignment="1">
      <alignment vertical="center" wrapText="1"/>
    </xf>
    <xf numFmtId="0" fontId="0" fillId="4" borderId="214" xfId="0" applyFill="1" applyBorder="1"/>
    <xf numFmtId="0" fontId="0" fillId="4" borderId="211" xfId="0" applyFill="1" applyBorder="1" applyAlignment="1">
      <alignment horizontal="right" wrapText="1"/>
    </xf>
    <xf numFmtId="0" fontId="0" fillId="4" borderId="211" xfId="0" applyFill="1" applyBorder="1" applyProtection="1">
      <protection locked="0"/>
    </xf>
    <xf numFmtId="43" fontId="0" fillId="4" borderId="211" xfId="1" applyFont="1" applyFill="1" applyBorder="1" applyProtection="1">
      <protection locked="0"/>
    </xf>
    <xf numFmtId="0" fontId="0" fillId="4" borderId="211" xfId="0" applyFill="1" applyBorder="1" applyAlignment="1" applyProtection="1">
      <alignment horizontal="center" vertical="center"/>
      <protection locked="0"/>
    </xf>
    <xf numFmtId="0" fontId="0" fillId="4" borderId="211" xfId="0" applyFill="1" applyBorder="1" applyAlignment="1" applyProtection="1">
      <alignment horizontal="right" vertical="center"/>
      <protection locked="0"/>
    </xf>
    <xf numFmtId="9" fontId="0" fillId="4" borderId="215" xfId="3" applyFont="1" applyFill="1" applyBorder="1" applyProtection="1">
      <protection locked="0"/>
    </xf>
    <xf numFmtId="44" fontId="0" fillId="4" borderId="215" xfId="2" applyFont="1" applyFill="1" applyBorder="1" applyProtection="1">
      <protection locked="0"/>
    </xf>
    <xf numFmtId="44" fontId="0" fillId="4" borderId="215" xfId="2" applyFont="1" applyFill="1" applyBorder="1" applyAlignment="1" applyProtection="1">
      <alignment horizontal="left"/>
      <protection locked="0"/>
    </xf>
    <xf numFmtId="44" fontId="0" fillId="4" borderId="215" xfId="0" applyNumberFormat="1" applyFill="1" applyBorder="1" applyProtection="1">
      <protection locked="0"/>
    </xf>
    <xf numFmtId="0" fontId="8" fillId="4" borderId="211" xfId="0" applyFont="1" applyFill="1" applyBorder="1" applyAlignment="1" applyProtection="1">
      <alignment horizontal="right" vertical="center"/>
      <protection locked="0"/>
    </xf>
    <xf numFmtId="165" fontId="9" fillId="4" borderId="215" xfId="0" applyNumberFormat="1" applyFont="1" applyFill="1" applyBorder="1" applyAlignment="1" applyProtection="1">
      <alignment horizontal="center"/>
      <protection locked="0"/>
    </xf>
    <xf numFmtId="44" fontId="9" fillId="4" borderId="215" xfId="2" applyFont="1" applyFill="1" applyBorder="1" applyAlignment="1" applyProtection="1">
      <alignment horizontal="left"/>
      <protection locked="0"/>
    </xf>
    <xf numFmtId="165" fontId="9" fillId="4" borderId="215" xfId="0" applyNumberFormat="1" applyFont="1" applyFill="1" applyBorder="1" applyAlignment="1" applyProtection="1">
      <alignment horizontal="left"/>
      <protection locked="0"/>
    </xf>
    <xf numFmtId="0" fontId="0" fillId="4" borderId="211" xfId="0" applyFill="1" applyBorder="1" applyAlignment="1">
      <alignment wrapText="1"/>
    </xf>
    <xf numFmtId="0" fontId="0" fillId="4" borderId="215" xfId="0" applyFill="1" applyBorder="1" applyAlignment="1" applyProtection="1">
      <alignment horizontal="center"/>
      <protection locked="0"/>
    </xf>
    <xf numFmtId="44" fontId="0" fillId="4" borderId="215" xfId="2" applyFont="1" applyFill="1" applyBorder="1" applyAlignment="1" applyProtection="1">
      <alignment horizontal="center"/>
      <protection locked="0"/>
    </xf>
    <xf numFmtId="0" fontId="0" fillId="0" borderId="214" xfId="0" applyBorder="1"/>
    <xf numFmtId="0" fontId="0" fillId="0" borderId="216" xfId="0" applyBorder="1" applyProtection="1">
      <protection locked="0"/>
    </xf>
    <xf numFmtId="165" fontId="0" fillId="0" borderId="215" xfId="0" applyNumberFormat="1" applyBorder="1" applyAlignment="1" applyProtection="1">
      <alignment horizontal="right"/>
      <protection locked="0"/>
    </xf>
    <xf numFmtId="0" fontId="0" fillId="0" borderId="214" xfId="0" applyBorder="1" applyProtection="1">
      <protection locked="0"/>
    </xf>
    <xf numFmtId="0" fontId="0" fillId="0" borderId="211" xfId="0" applyBorder="1" applyAlignment="1" applyProtection="1">
      <alignment wrapText="1"/>
      <protection locked="0"/>
    </xf>
    <xf numFmtId="44" fontId="0" fillId="0" borderId="215" xfId="0" applyNumberFormat="1" applyBorder="1" applyProtection="1">
      <protection locked="0"/>
    </xf>
    <xf numFmtId="165" fontId="0" fillId="0" borderId="215" xfId="0" applyNumberFormat="1" applyBorder="1" applyProtection="1">
      <protection locked="0"/>
    </xf>
    <xf numFmtId="0" fontId="0" fillId="0" borderId="217" xfId="0" applyBorder="1"/>
    <xf numFmtId="43" fontId="0" fillId="0" borderId="218" xfId="1" applyFont="1" applyBorder="1" applyProtection="1">
      <protection locked="0"/>
    </xf>
    <xf numFmtId="0" fontId="0" fillId="0" borderId="218" xfId="0" applyBorder="1" applyAlignment="1" applyProtection="1">
      <alignment horizontal="center"/>
      <protection locked="0"/>
    </xf>
    <xf numFmtId="0" fontId="0" fillId="0" borderId="219" xfId="0" applyBorder="1" applyProtection="1">
      <protection locked="0"/>
    </xf>
    <xf numFmtId="0" fontId="0" fillId="0" borderId="220" xfId="0" applyBorder="1" applyProtection="1">
      <protection locked="0"/>
    </xf>
    <xf numFmtId="0" fontId="0" fillId="0" borderId="215" xfId="0" applyBorder="1" applyAlignment="1" applyProtection="1">
      <alignment horizontal="center"/>
      <protection locked="0"/>
    </xf>
    <xf numFmtId="0" fontId="3" fillId="0" borderId="212" xfId="0" applyFont="1" applyBorder="1" applyAlignment="1" applyProtection="1">
      <alignment horizontal="right"/>
      <protection locked="0"/>
    </xf>
    <xf numFmtId="0" fontId="3" fillId="0" borderId="215" xfId="0" applyFont="1" applyBorder="1" applyAlignment="1" applyProtection="1">
      <alignment horizontal="right"/>
      <protection locked="0"/>
    </xf>
    <xf numFmtId="169" fontId="0" fillId="0" borderId="215" xfId="0" applyNumberFormat="1" applyBorder="1" applyAlignment="1" applyProtection="1">
      <alignment horizontal="center"/>
      <protection locked="0"/>
    </xf>
    <xf numFmtId="0" fontId="4" fillId="0" borderId="215" xfId="4" applyBorder="1" applyAlignment="1" applyProtection="1">
      <alignment horizontal="center" vertical="center"/>
      <protection locked="0"/>
    </xf>
    <xf numFmtId="0" fontId="3" fillId="0" borderId="217" xfId="0" applyFont="1" applyBorder="1" applyAlignment="1" applyProtection="1">
      <alignment horizontal="right"/>
      <protection locked="0"/>
    </xf>
    <xf numFmtId="44" fontId="0" fillId="0" borderId="220" xfId="2" applyFont="1" applyBorder="1" applyAlignment="1" applyProtection="1">
      <alignment horizontal="center"/>
      <protection locked="0"/>
    </xf>
    <xf numFmtId="0" fontId="0" fillId="0" borderId="214" xfId="0" applyBorder="1" applyAlignment="1">
      <alignment horizontal="right"/>
    </xf>
    <xf numFmtId="0" fontId="0" fillId="0" borderId="211" xfId="0" applyBorder="1" applyAlignment="1">
      <alignment wrapText="1"/>
    </xf>
    <xf numFmtId="43" fontId="0" fillId="0" borderId="211" xfId="1" applyFont="1" applyBorder="1" applyAlignment="1" applyProtection="1">
      <alignment horizontal="center" vertical="top"/>
      <protection locked="0"/>
    </xf>
    <xf numFmtId="0" fontId="0" fillId="0" borderId="211" xfId="0" applyBorder="1" applyAlignment="1" applyProtection="1">
      <alignment horizontal="center" vertical="top"/>
      <protection locked="0"/>
    </xf>
    <xf numFmtId="43" fontId="0" fillId="0" borderId="211" xfId="1" applyFont="1" applyBorder="1" applyAlignment="1" applyProtection="1">
      <alignment horizontal="right"/>
      <protection locked="0"/>
    </xf>
    <xf numFmtId="43" fontId="0" fillId="0" borderId="211" xfId="1" applyFont="1" applyBorder="1" applyAlignment="1" applyProtection="1">
      <alignment horizontal="center"/>
      <protection locked="0"/>
    </xf>
    <xf numFmtId="0" fontId="0" fillId="0" borderId="211" xfId="0" applyBorder="1" applyAlignment="1" applyProtection="1">
      <alignment horizontal="center"/>
      <protection locked="0"/>
    </xf>
    <xf numFmtId="0" fontId="0" fillId="0" borderId="211" xfId="0" applyBorder="1" applyProtection="1">
      <protection locked="0"/>
    </xf>
    <xf numFmtId="0" fontId="0" fillId="0" borderId="212" xfId="0" applyBorder="1" applyAlignment="1" applyProtection="1">
      <alignment horizontal="left"/>
      <protection locked="0"/>
    </xf>
    <xf numFmtId="0" fontId="0" fillId="0" borderId="212" xfId="0" applyBorder="1" applyAlignment="1" applyProtection="1">
      <alignment horizontal="center"/>
      <protection locked="0"/>
    </xf>
    <xf numFmtId="0" fontId="0" fillId="0" borderId="211" xfId="0" applyBorder="1" applyAlignment="1">
      <alignment horizontal="left" wrapText="1"/>
    </xf>
    <xf numFmtId="44" fontId="0" fillId="0" borderId="216" xfId="2" applyFont="1" applyBorder="1" applyAlignment="1" applyProtection="1">
      <alignment horizontal="right"/>
      <protection locked="0"/>
    </xf>
    <xf numFmtId="169" fontId="0" fillId="0" borderId="212" xfId="0" applyNumberFormat="1" applyBorder="1" applyAlignment="1" applyProtection="1">
      <alignment horizontal="left"/>
      <protection locked="0"/>
    </xf>
    <xf numFmtId="169" fontId="0" fillId="0" borderId="212" xfId="0" applyNumberFormat="1" applyBorder="1" applyAlignment="1" applyProtection="1">
      <alignment horizontal="center"/>
      <protection locked="0"/>
    </xf>
    <xf numFmtId="14" fontId="0" fillId="0" borderId="211" xfId="0" applyNumberFormat="1" applyBorder="1" applyAlignment="1">
      <alignment horizontal="left" wrapText="1"/>
    </xf>
    <xf numFmtId="0" fontId="4" fillId="0" borderId="212" xfId="4" applyBorder="1" applyAlignment="1" applyProtection="1">
      <alignment horizontal="left" vertical="center"/>
      <protection locked="0"/>
    </xf>
    <xf numFmtId="0" fontId="4" fillId="0" borderId="212" xfId="4" applyBorder="1" applyAlignment="1" applyProtection="1">
      <alignment horizontal="center" vertical="center"/>
      <protection locked="0"/>
    </xf>
    <xf numFmtId="0" fontId="6" fillId="0" borderId="217" xfId="0" applyFont="1" applyBorder="1" applyAlignment="1" applyProtection="1">
      <alignment horizontal="right"/>
      <protection locked="0"/>
    </xf>
    <xf numFmtId="0" fontId="0" fillId="0" borderId="218" xfId="0" applyBorder="1" applyAlignment="1">
      <alignment wrapText="1"/>
    </xf>
    <xf numFmtId="0" fontId="0" fillId="0" borderId="218" xfId="0" applyBorder="1" applyProtection="1">
      <protection locked="0"/>
    </xf>
    <xf numFmtId="44" fontId="6" fillId="0" borderId="219" xfId="2" applyFont="1" applyBorder="1" applyAlignment="1" applyProtection="1">
      <alignment horizontal="right"/>
      <protection locked="0"/>
    </xf>
    <xf numFmtId="44" fontId="0" fillId="0" borderId="221" xfId="2" applyFont="1" applyBorder="1" applyAlignment="1" applyProtection="1">
      <alignment horizontal="center"/>
      <protection locked="0"/>
    </xf>
    <xf numFmtId="44" fontId="0" fillId="0" borderId="222" xfId="2" applyFont="1" applyBorder="1" applyAlignment="1" applyProtection="1">
      <alignment horizontal="center"/>
      <protection locked="0"/>
    </xf>
    <xf numFmtId="44" fontId="0" fillId="0" borderId="220" xfId="2" applyFont="1" applyBorder="1" applyAlignment="1" applyProtection="1">
      <alignment horizontal="center"/>
      <protection locked="0"/>
    </xf>
    <xf numFmtId="5" fontId="0" fillId="0" borderId="220" xfId="2" applyNumberFormat="1" applyFont="1" applyBorder="1" applyAlignment="1" applyProtection="1">
      <alignment horizontal="center"/>
      <protection locked="0"/>
    </xf>
    <xf numFmtId="44" fontId="6" fillId="0" borderId="215" xfId="2" applyFont="1" applyBorder="1" applyAlignment="1">
      <alignment horizontal="center" vertical="center"/>
    </xf>
    <xf numFmtId="0" fontId="0" fillId="0" borderId="214" xfId="0" applyBorder="1" applyAlignment="1">
      <alignment vertical="top"/>
    </xf>
    <xf numFmtId="43" fontId="0" fillId="19" borderId="211" xfId="1" applyFont="1" applyFill="1" applyBorder="1" applyAlignment="1" applyProtection="1">
      <alignment horizontal="center" vertical="top"/>
      <protection locked="0"/>
    </xf>
    <xf numFmtId="0" fontId="0" fillId="19" borderId="211" xfId="0" applyFill="1" applyBorder="1" applyAlignment="1" applyProtection="1">
      <alignment horizontal="center" vertical="top"/>
      <protection locked="0"/>
    </xf>
    <xf numFmtId="43" fontId="0" fillId="19" borderId="211" xfId="1" applyFont="1" applyFill="1" applyBorder="1" applyAlignment="1" applyProtection="1">
      <alignment horizontal="right"/>
      <protection locked="0"/>
    </xf>
    <xf numFmtId="43" fontId="0" fillId="19" borderId="211" xfId="1" applyFont="1" applyFill="1" applyBorder="1" applyAlignment="1" applyProtection="1">
      <alignment horizontal="center"/>
      <protection locked="0"/>
    </xf>
    <xf numFmtId="0" fontId="0" fillId="19" borderId="211" xfId="0" applyFill="1" applyBorder="1" applyAlignment="1" applyProtection="1">
      <alignment horizontal="center"/>
      <protection locked="0"/>
    </xf>
    <xf numFmtId="165" fontId="0" fillId="19" borderId="211" xfId="0" applyNumberFormat="1" applyFill="1" applyBorder="1" applyProtection="1">
      <protection locked="0"/>
    </xf>
    <xf numFmtId="0" fontId="0" fillId="19" borderId="215" xfId="0" applyFill="1" applyBorder="1" applyProtection="1">
      <protection locked="0"/>
    </xf>
    <xf numFmtId="165" fontId="0" fillId="0" borderId="211" xfId="0" applyNumberFormat="1" applyBorder="1" applyProtection="1">
      <protection locked="0"/>
    </xf>
    <xf numFmtId="164" fontId="0" fillId="0" borderId="211" xfId="1" applyNumberFormat="1" applyFont="1" applyBorder="1" applyAlignment="1" applyProtection="1">
      <alignment horizontal="right"/>
      <protection locked="0"/>
    </xf>
    <xf numFmtId="0" fontId="6" fillId="0" borderId="213" xfId="0" applyFont="1" applyBorder="1" applyAlignment="1">
      <alignment horizontal="left" vertical="center" wrapText="1" indent="4"/>
    </xf>
    <xf numFmtId="43" fontId="0" fillId="0" borderId="211" xfId="1" applyFont="1" applyFill="1" applyBorder="1" applyAlignment="1" applyProtection="1">
      <alignment horizontal="center" vertical="top"/>
      <protection locked="0"/>
    </xf>
    <xf numFmtId="44" fontId="0" fillId="20" borderId="180" xfId="2" applyFont="1" applyFill="1" applyBorder="1" applyAlignment="1" applyProtection="1">
      <alignment horizontal="left"/>
      <protection locked="0"/>
    </xf>
    <xf numFmtId="0" fontId="0" fillId="0" borderId="214" xfId="0" applyBorder="1" applyAlignment="1">
      <alignment horizontal="left" vertical="top" indent="3"/>
    </xf>
    <xf numFmtId="43" fontId="0" fillId="0" borderId="211" xfId="1" applyFont="1" applyBorder="1" applyAlignment="1" applyProtection="1">
      <alignment horizontal="left" vertical="top" indent="3"/>
      <protection locked="0"/>
    </xf>
    <xf numFmtId="165" fontId="0" fillId="0" borderId="211" xfId="0" applyNumberFormat="1" applyBorder="1" applyAlignment="1" applyProtection="1">
      <alignment horizontal="left" vertical="top" indent="3"/>
      <protection locked="0"/>
    </xf>
    <xf numFmtId="44" fontId="6" fillId="0" borderId="215" xfId="2" applyFont="1" applyBorder="1" applyAlignment="1">
      <alignment horizontal="left" vertical="top" indent="3"/>
    </xf>
    <xf numFmtId="44" fontId="0" fillId="0" borderId="180" xfId="2" applyFont="1" applyBorder="1" applyAlignment="1" applyProtection="1">
      <alignment horizontal="left" vertical="top" indent="3"/>
      <protection locked="0"/>
    </xf>
    <xf numFmtId="43" fontId="0" fillId="0" borderId="211" xfId="1" applyFont="1" applyBorder="1" applyAlignment="1" applyProtection="1">
      <alignment horizontal="right" vertical="top"/>
      <protection locked="0"/>
    </xf>
    <xf numFmtId="44" fontId="6" fillId="0" borderId="215" xfId="2" applyFont="1" applyBorder="1" applyAlignment="1">
      <alignment horizontal="center" vertical="top"/>
    </xf>
    <xf numFmtId="44" fontId="0" fillId="0" borderId="180" xfId="2" quotePrefix="1" applyFont="1" applyBorder="1" applyAlignment="1" applyProtection="1">
      <alignment horizontal="center"/>
      <protection locked="0"/>
    </xf>
    <xf numFmtId="0" fontId="0" fillId="27" borderId="214" xfId="0" applyFill="1" applyBorder="1" applyAlignment="1">
      <alignment vertical="top"/>
    </xf>
    <xf numFmtId="43" fontId="0" fillId="4" borderId="211" xfId="1" applyFont="1" applyFill="1" applyBorder="1" applyAlignment="1" applyProtection="1">
      <alignment horizontal="center"/>
      <protection locked="0"/>
    </xf>
    <xf numFmtId="44" fontId="0" fillId="27" borderId="180" xfId="2" applyFont="1" applyFill="1" applyBorder="1" applyAlignment="1" applyProtection="1">
      <alignment horizontal="left"/>
      <protection locked="0"/>
    </xf>
    <xf numFmtId="43" fontId="0" fillId="4" borderId="211" xfId="1" applyFont="1" applyFill="1" applyBorder="1" applyAlignment="1" applyProtection="1">
      <alignment horizontal="right"/>
      <protection locked="0"/>
    </xf>
    <xf numFmtId="0" fontId="6" fillId="0" borderId="213" xfId="0" applyFont="1" applyBorder="1" applyAlignment="1">
      <alignment horizontal="left" vertical="top" wrapText="1"/>
    </xf>
    <xf numFmtId="43" fontId="0" fillId="4" borderId="211" xfId="1" applyFont="1" applyFill="1" applyBorder="1" applyAlignment="1" applyProtection="1">
      <alignment horizontal="center" vertical="top"/>
      <protection locked="0"/>
    </xf>
    <xf numFmtId="165" fontId="0" fillId="0" borderId="211" xfId="0" applyNumberFormat="1" applyBorder="1" applyAlignment="1" applyProtection="1">
      <alignment vertical="top"/>
      <protection locked="0"/>
    </xf>
    <xf numFmtId="43" fontId="0" fillId="0" borderId="211" xfId="1" applyFont="1" applyFill="1" applyBorder="1" applyAlignment="1" applyProtection="1">
      <alignment horizontal="left" vertical="top" indent="3"/>
      <protection locked="0"/>
    </xf>
    <xf numFmtId="43" fontId="0" fillId="0" borderId="211" xfId="1" applyFont="1" applyFill="1" applyBorder="1" applyAlignment="1" applyProtection="1">
      <alignment horizontal="right"/>
      <protection locked="0"/>
    </xf>
    <xf numFmtId="0" fontId="6" fillId="18" borderId="213" xfId="0" applyFont="1" applyFill="1" applyBorder="1" applyAlignment="1">
      <alignment horizontal="left" vertical="center" wrapText="1" indent="4"/>
    </xf>
    <xf numFmtId="180" fontId="0" fillId="0" borderId="211" xfId="3" applyNumberFormat="1" applyFont="1" applyBorder="1" applyAlignment="1" applyProtection="1">
      <alignment horizontal="right" vertical="top"/>
      <protection locked="0"/>
    </xf>
    <xf numFmtId="44" fontId="0" fillId="0" borderId="211" xfId="2" applyFont="1" applyFill="1" applyBorder="1" applyAlignment="1" applyProtection="1">
      <alignment horizontal="left"/>
      <protection locked="0"/>
    </xf>
    <xf numFmtId="44" fontId="0" fillId="0" borderId="216" xfId="2" applyFont="1" applyBorder="1" applyProtection="1">
      <protection locked="0"/>
    </xf>
    <xf numFmtId="44" fontId="0" fillId="0" borderId="223" xfId="2" applyFont="1" applyFill="1" applyBorder="1" applyAlignment="1" applyProtection="1">
      <alignment horizontal="left"/>
      <protection locked="0"/>
    </xf>
    <xf numFmtId="44" fontId="0" fillId="11" borderId="180" xfId="2" applyFont="1" applyFill="1" applyBorder="1" applyAlignment="1" applyProtection="1">
      <alignment horizontal="left"/>
      <protection locked="0"/>
    </xf>
    <xf numFmtId="0" fontId="6" fillId="0" borderId="213" xfId="0" applyFont="1" applyBorder="1" applyAlignment="1">
      <alignment horizontal="left" vertical="center" wrapText="1"/>
    </xf>
    <xf numFmtId="44" fontId="0" fillId="0" borderId="211" xfId="2" applyFont="1" applyFill="1" applyBorder="1" applyProtection="1">
      <protection locked="0"/>
    </xf>
    <xf numFmtId="43" fontId="6" fillId="0" borderId="211" xfId="1" applyFont="1" applyBorder="1" applyAlignment="1">
      <alignment horizontal="center" vertical="top"/>
    </xf>
    <xf numFmtId="43" fontId="6" fillId="0" borderId="211" xfId="1" applyFont="1" applyBorder="1" applyAlignment="1">
      <alignment horizontal="right" vertical="center" wrapText="1"/>
    </xf>
    <xf numFmtId="43" fontId="6" fillId="0" borderId="211" xfId="1" applyFont="1" applyBorder="1" applyAlignment="1">
      <alignment horizontal="center" vertical="center" wrapText="1"/>
    </xf>
    <xf numFmtId="44" fontId="0" fillId="0" borderId="179" xfId="2" applyFont="1" applyBorder="1" applyProtection="1">
      <protection locked="0"/>
    </xf>
    <xf numFmtId="43" fontId="0" fillId="0" borderId="211" xfId="1" applyFont="1" applyFill="1" applyBorder="1" applyAlignment="1" applyProtection="1">
      <alignment horizontal="center"/>
      <protection locked="0"/>
    </xf>
    <xf numFmtId="44" fontId="6" fillId="0" borderId="215" xfId="2" applyFont="1" applyFill="1" applyBorder="1" applyAlignment="1">
      <alignment horizontal="center" vertical="top"/>
    </xf>
    <xf numFmtId="44" fontId="0" fillId="0" borderId="180" xfId="2" applyFont="1" applyFill="1" applyBorder="1" applyAlignment="1" applyProtection="1">
      <alignment horizontal="left" vertical="top"/>
      <protection locked="0"/>
    </xf>
    <xf numFmtId="44" fontId="6" fillId="0" borderId="215" xfId="2" applyFont="1" applyFill="1" applyBorder="1" applyAlignment="1">
      <alignment horizontal="center" vertical="center"/>
    </xf>
    <xf numFmtId="0" fontId="0" fillId="4" borderId="211" xfId="0" applyFill="1" applyBorder="1" applyAlignment="1" applyProtection="1">
      <alignment horizontal="center" vertical="top"/>
      <protection locked="0"/>
    </xf>
    <xf numFmtId="43" fontId="0" fillId="0" borderId="183" xfId="1" applyFont="1" applyBorder="1" applyAlignment="1" applyProtection="1">
      <alignment horizontal="center" vertical="top"/>
      <protection locked="0"/>
    </xf>
    <xf numFmtId="0" fontId="0" fillId="0" borderId="183" xfId="0" applyBorder="1" applyAlignment="1" applyProtection="1">
      <alignment horizontal="center" vertical="top"/>
      <protection locked="0"/>
    </xf>
    <xf numFmtId="43" fontId="0" fillId="0" borderId="183" xfId="1" applyFont="1" applyBorder="1" applyAlignment="1" applyProtection="1">
      <alignment horizontal="right"/>
      <protection locked="0"/>
    </xf>
    <xf numFmtId="44" fontId="0" fillId="0" borderId="209" xfId="2" applyFont="1" applyBorder="1" applyProtection="1">
      <protection locked="0"/>
    </xf>
    <xf numFmtId="0" fontId="0" fillId="0" borderId="215" xfId="0" applyBorder="1" applyProtection="1">
      <protection locked="0"/>
    </xf>
    <xf numFmtId="43" fontId="0" fillId="0" borderId="218" xfId="1" applyFont="1" applyBorder="1" applyAlignment="1" applyProtection="1">
      <alignment horizontal="center" vertical="top"/>
      <protection locked="0"/>
    </xf>
    <xf numFmtId="0" fontId="0" fillId="0" borderId="218" xfId="0" applyBorder="1" applyAlignment="1" applyProtection="1">
      <alignment horizontal="center" vertical="top"/>
      <protection locked="0"/>
    </xf>
    <xf numFmtId="43" fontId="0" fillId="0" borderId="218" xfId="1" applyFont="1" applyBorder="1" applyAlignment="1" applyProtection="1">
      <alignment horizontal="right"/>
      <protection locked="0"/>
    </xf>
    <xf numFmtId="43" fontId="0" fillId="0" borderId="218" xfId="1" applyFont="1" applyBorder="1" applyAlignment="1" applyProtection="1">
      <alignment horizontal="center"/>
      <protection locked="0"/>
    </xf>
    <xf numFmtId="44" fontId="0" fillId="0" borderId="219" xfId="2" applyFont="1" applyBorder="1" applyProtection="1">
      <protection locked="0"/>
    </xf>
    <xf numFmtId="44" fontId="0" fillId="20" borderId="179" xfId="2" applyFont="1" applyFill="1" applyBorder="1" applyProtection="1">
      <protection locked="0"/>
    </xf>
    <xf numFmtId="0" fontId="0" fillId="0" borderId="216" xfId="0" applyBorder="1" applyAlignment="1" applyProtection="1">
      <alignment horizontal="right"/>
      <protection locked="0"/>
    </xf>
    <xf numFmtId="0" fontId="6" fillId="0" borderId="219" xfId="0" applyFont="1" applyBorder="1" applyAlignment="1" applyProtection="1">
      <alignment horizontal="right"/>
      <protection locked="0"/>
    </xf>
    <xf numFmtId="0" fontId="0" fillId="19" borderId="211" xfId="0" applyFill="1" applyBorder="1" applyProtection="1">
      <protection locked="0"/>
    </xf>
    <xf numFmtId="43" fontId="0" fillId="0" borderId="214" xfId="1" applyFont="1" applyBorder="1" applyAlignment="1">
      <alignment vertical="top"/>
    </xf>
    <xf numFmtId="0" fontId="86" fillId="0" borderId="224" xfId="0" applyFont="1" applyBorder="1" applyAlignment="1">
      <alignment vertical="center" wrapText="1"/>
    </xf>
    <xf numFmtId="43" fontId="0" fillId="0" borderId="225" xfId="1" applyFont="1" applyBorder="1" applyProtection="1">
      <protection locked="0"/>
    </xf>
    <xf numFmtId="44" fontId="0" fillId="0" borderId="225" xfId="2" applyFont="1" applyBorder="1" applyProtection="1">
      <protection locked="0"/>
    </xf>
    <xf numFmtId="0" fontId="86" fillId="18" borderId="226" xfId="0" applyFont="1" applyFill="1" applyBorder="1" applyAlignment="1">
      <alignment vertical="center" wrapText="1"/>
    </xf>
    <xf numFmtId="0" fontId="6" fillId="18" borderId="226" xfId="0" applyFont="1" applyFill="1" applyBorder="1" applyAlignment="1">
      <alignment horizontal="left" vertical="center" wrapText="1" indent="2"/>
    </xf>
    <xf numFmtId="0" fontId="0" fillId="4" borderId="227" xfId="0" applyFill="1" applyBorder="1"/>
    <xf numFmtId="0" fontId="0" fillId="4" borderId="225" xfId="0" applyFill="1" applyBorder="1" applyAlignment="1">
      <alignment horizontal="right" wrapText="1"/>
    </xf>
    <xf numFmtId="0" fontId="0" fillId="4" borderId="225" xfId="0" applyFill="1" applyBorder="1" applyProtection="1">
      <protection locked="0"/>
    </xf>
    <xf numFmtId="43" fontId="0" fillId="4" borderId="225" xfId="1" applyFont="1" applyFill="1" applyBorder="1" applyAlignment="1" applyProtection="1">
      <alignment horizontal="center"/>
      <protection locked="0"/>
    </xf>
    <xf numFmtId="0" fontId="0" fillId="4" borderId="225" xfId="0" applyFill="1" applyBorder="1" applyAlignment="1" applyProtection="1">
      <alignment horizontal="center" vertical="center"/>
      <protection locked="0"/>
    </xf>
    <xf numFmtId="0" fontId="0" fillId="4" borderId="225" xfId="0" applyFill="1" applyBorder="1" applyAlignment="1" applyProtection="1">
      <alignment horizontal="right" vertical="center"/>
      <protection locked="0"/>
    </xf>
    <xf numFmtId="9" fontId="0" fillId="4" borderId="228" xfId="3" applyFont="1" applyFill="1" applyBorder="1" applyProtection="1">
      <protection locked="0"/>
    </xf>
    <xf numFmtId="44" fontId="0" fillId="4" borderId="228" xfId="2" applyFont="1" applyFill="1" applyBorder="1" applyProtection="1">
      <protection locked="0"/>
    </xf>
    <xf numFmtId="44" fontId="0" fillId="4" borderId="228" xfId="2" applyFont="1" applyFill="1" applyBorder="1" applyAlignment="1" applyProtection="1">
      <alignment horizontal="left"/>
      <protection locked="0"/>
    </xf>
    <xf numFmtId="44" fontId="0" fillId="4" borderId="228" xfId="0" applyNumberFormat="1" applyFill="1" applyBorder="1" applyProtection="1">
      <protection locked="0"/>
    </xf>
    <xf numFmtId="0" fontId="8" fillId="4" borderId="225" xfId="0" applyFont="1" applyFill="1" applyBorder="1" applyAlignment="1" applyProtection="1">
      <alignment horizontal="right" vertical="center"/>
      <protection locked="0"/>
    </xf>
    <xf numFmtId="165" fontId="9" fillId="4" borderId="228" xfId="0" applyNumberFormat="1" applyFont="1" applyFill="1" applyBorder="1" applyAlignment="1" applyProtection="1">
      <alignment horizontal="center"/>
      <protection locked="0"/>
    </xf>
    <xf numFmtId="44" fontId="9" fillId="4" borderId="228" xfId="2" applyFont="1" applyFill="1" applyBorder="1" applyAlignment="1" applyProtection="1">
      <alignment horizontal="left"/>
      <protection locked="0"/>
    </xf>
    <xf numFmtId="165" fontId="9" fillId="4" borderId="228" xfId="0" applyNumberFormat="1" applyFont="1" applyFill="1" applyBorder="1" applyAlignment="1" applyProtection="1">
      <alignment horizontal="left"/>
      <protection locked="0"/>
    </xf>
    <xf numFmtId="0" fontId="0" fillId="4" borderId="225" xfId="0" applyFill="1" applyBorder="1" applyAlignment="1">
      <alignment wrapText="1"/>
    </xf>
    <xf numFmtId="0" fontId="0" fillId="4" borderId="228" xfId="0" applyFill="1" applyBorder="1" applyAlignment="1" applyProtection="1">
      <alignment horizontal="center"/>
      <protection locked="0"/>
    </xf>
    <xf numFmtId="44" fontId="0" fillId="4" borderId="228" xfId="2" applyFont="1" applyFill="1" applyBorder="1" applyAlignment="1" applyProtection="1">
      <alignment horizontal="center"/>
      <protection locked="0"/>
    </xf>
    <xf numFmtId="0" fontId="0" fillId="0" borderId="227" xfId="0" applyBorder="1"/>
    <xf numFmtId="0" fontId="0" fillId="0" borderId="229" xfId="0" applyBorder="1" applyProtection="1">
      <protection locked="0"/>
    </xf>
    <xf numFmtId="165" fontId="0" fillId="0" borderId="228" xfId="0" applyNumberFormat="1" applyBorder="1" applyAlignment="1" applyProtection="1">
      <alignment horizontal="right"/>
      <protection locked="0"/>
    </xf>
    <xf numFmtId="0" fontId="0" fillId="0" borderId="227" xfId="0" applyBorder="1" applyProtection="1">
      <protection locked="0"/>
    </xf>
    <xf numFmtId="0" fontId="0" fillId="0" borderId="225" xfId="0" applyBorder="1" applyAlignment="1" applyProtection="1">
      <alignment wrapText="1"/>
      <protection locked="0"/>
    </xf>
    <xf numFmtId="44" fontId="0" fillId="0" borderId="228" xfId="0" applyNumberFormat="1" applyBorder="1" applyProtection="1">
      <protection locked="0"/>
    </xf>
    <xf numFmtId="165" fontId="0" fillId="0" borderId="228" xfId="0" applyNumberFormat="1" applyBorder="1" applyProtection="1">
      <protection locked="0"/>
    </xf>
    <xf numFmtId="0" fontId="0" fillId="0" borderId="228" xfId="0" applyBorder="1" applyProtection="1">
      <protection locked="0"/>
    </xf>
    <xf numFmtId="0" fontId="0" fillId="0" borderId="230" xfId="0" applyBorder="1"/>
    <xf numFmtId="43" fontId="0" fillId="0" borderId="231" xfId="1" applyFont="1" applyBorder="1" applyAlignment="1" applyProtection="1">
      <alignment horizontal="center"/>
      <protection locked="0"/>
    </xf>
    <xf numFmtId="0" fontId="0" fillId="0" borderId="231" xfId="0" applyBorder="1" applyAlignment="1" applyProtection="1">
      <alignment horizontal="center"/>
      <protection locked="0"/>
    </xf>
    <xf numFmtId="0" fontId="0" fillId="0" borderId="232" xfId="0" applyBorder="1" applyProtection="1">
      <protection locked="0"/>
    </xf>
    <xf numFmtId="0" fontId="0" fillId="0" borderId="233" xfId="0" applyBorder="1" applyProtection="1">
      <protection locked="0"/>
    </xf>
    <xf numFmtId="0" fontId="0" fillId="0" borderId="228" xfId="0" applyBorder="1" applyAlignment="1" applyProtection="1">
      <alignment horizontal="center"/>
      <protection locked="0"/>
    </xf>
    <xf numFmtId="0" fontId="3" fillId="0" borderId="234" xfId="0" applyFont="1" applyBorder="1" applyAlignment="1" applyProtection="1">
      <alignment horizontal="right"/>
      <protection locked="0"/>
    </xf>
    <xf numFmtId="0" fontId="3" fillId="0" borderId="228" xfId="0" applyFont="1" applyBorder="1" applyAlignment="1" applyProtection="1">
      <alignment horizontal="right"/>
      <protection locked="0"/>
    </xf>
    <xf numFmtId="169" fontId="0" fillId="0" borderId="228" xfId="0" applyNumberFormat="1" applyBorder="1" applyAlignment="1" applyProtection="1">
      <alignment horizontal="center"/>
      <protection locked="0"/>
    </xf>
    <xf numFmtId="0" fontId="4" fillId="0" borderId="228" xfId="4" applyBorder="1" applyAlignment="1" applyProtection="1">
      <alignment horizontal="center" vertical="center"/>
      <protection locked="0"/>
    </xf>
    <xf numFmtId="0" fontId="3" fillId="0" borderId="230" xfId="0" applyFont="1" applyBorder="1" applyAlignment="1" applyProtection="1">
      <alignment horizontal="right"/>
      <protection locked="0"/>
    </xf>
    <xf numFmtId="44" fontId="0" fillId="0" borderId="233" xfId="2" applyFont="1" applyBorder="1" applyAlignment="1" applyProtection="1">
      <alignment horizontal="center"/>
      <protection locked="0"/>
    </xf>
    <xf numFmtId="0" fontId="0" fillId="0" borderId="227" xfId="0" applyBorder="1" applyAlignment="1">
      <alignment horizontal="right"/>
    </xf>
    <xf numFmtId="0" fontId="0" fillId="0" borderId="225" xfId="0" applyBorder="1" applyAlignment="1">
      <alignment wrapText="1"/>
    </xf>
    <xf numFmtId="0" fontId="0" fillId="0" borderId="225" xfId="0" applyBorder="1" applyProtection="1">
      <protection locked="0"/>
    </xf>
    <xf numFmtId="43" fontId="0" fillId="0" borderId="225" xfId="1" applyFont="1" applyBorder="1" applyAlignment="1" applyProtection="1">
      <alignment horizontal="center"/>
      <protection locked="0"/>
    </xf>
    <xf numFmtId="0" fontId="0" fillId="0" borderId="234" xfId="0" applyBorder="1" applyAlignment="1" applyProtection="1">
      <alignment horizontal="left"/>
      <protection locked="0"/>
    </xf>
    <xf numFmtId="0" fontId="0" fillId="0" borderId="234" xfId="0" applyBorder="1" applyAlignment="1" applyProtection="1">
      <alignment horizontal="center"/>
      <protection locked="0"/>
    </xf>
    <xf numFmtId="0" fontId="0" fillId="0" borderId="225" xfId="0" applyBorder="1" applyAlignment="1">
      <alignment horizontal="left" wrapText="1"/>
    </xf>
    <xf numFmtId="0" fontId="0" fillId="0" borderId="229" xfId="0" applyBorder="1" applyAlignment="1" applyProtection="1">
      <alignment horizontal="right"/>
      <protection locked="0"/>
    </xf>
    <xf numFmtId="169" fontId="0" fillId="0" borderId="234" xfId="0" applyNumberFormat="1" applyBorder="1" applyAlignment="1" applyProtection="1">
      <alignment horizontal="left"/>
      <protection locked="0"/>
    </xf>
    <xf numFmtId="169" fontId="0" fillId="0" borderId="234" xfId="0" applyNumberFormat="1" applyBorder="1" applyAlignment="1" applyProtection="1">
      <alignment horizontal="center"/>
      <protection locked="0"/>
    </xf>
    <xf numFmtId="14" fontId="0" fillId="0" borderId="225" xfId="0" applyNumberFormat="1" applyBorder="1" applyAlignment="1">
      <alignment horizontal="left" wrapText="1"/>
    </xf>
    <xf numFmtId="0" fontId="4" fillId="0" borderId="234" xfId="4" applyBorder="1" applyAlignment="1" applyProtection="1">
      <alignment horizontal="left" vertical="center"/>
      <protection locked="0"/>
    </xf>
    <xf numFmtId="0" fontId="4" fillId="0" borderId="234" xfId="4" applyBorder="1" applyAlignment="1" applyProtection="1">
      <alignment horizontal="center" vertical="center"/>
      <protection locked="0"/>
    </xf>
    <xf numFmtId="0" fontId="6" fillId="0" borderId="230" xfId="0" applyFont="1" applyBorder="1" applyAlignment="1" applyProtection="1">
      <alignment horizontal="right"/>
      <protection locked="0"/>
    </xf>
    <xf numFmtId="0" fontId="0" fillId="0" borderId="231" xfId="0" applyBorder="1" applyAlignment="1">
      <alignment wrapText="1"/>
    </xf>
    <xf numFmtId="0" fontId="0" fillId="0" borderId="231" xfId="0" applyBorder="1" applyProtection="1">
      <protection locked="0"/>
    </xf>
    <xf numFmtId="0" fontId="6" fillId="0" borderId="232" xfId="0" applyFont="1" applyBorder="1" applyAlignment="1" applyProtection="1">
      <alignment horizontal="right"/>
      <protection locked="0"/>
    </xf>
    <xf numFmtId="44" fontId="0" fillId="0" borderId="233" xfId="2" applyFont="1" applyBorder="1" applyAlignment="1" applyProtection="1">
      <alignment horizontal="right"/>
      <protection locked="0"/>
    </xf>
    <xf numFmtId="44" fontId="0" fillId="0" borderId="235" xfId="2" applyFont="1" applyBorder="1" applyAlignment="1" applyProtection="1">
      <alignment horizontal="center"/>
      <protection locked="0"/>
    </xf>
    <xf numFmtId="44" fontId="0" fillId="0" borderId="236" xfId="2" applyFont="1" applyBorder="1" applyAlignment="1" applyProtection="1">
      <alignment horizontal="center"/>
      <protection locked="0"/>
    </xf>
    <xf numFmtId="44" fontId="6" fillId="0" borderId="228" xfId="2" applyFont="1" applyBorder="1" applyAlignment="1">
      <alignment horizontal="center" vertical="center"/>
    </xf>
    <xf numFmtId="0" fontId="0" fillId="0" borderId="227" xfId="0" applyBorder="1" applyAlignment="1">
      <alignment vertical="top"/>
    </xf>
    <xf numFmtId="0" fontId="0" fillId="19" borderId="225" xfId="0" applyFill="1" applyBorder="1" applyProtection="1">
      <protection locked="0"/>
    </xf>
    <xf numFmtId="43" fontId="0" fillId="19" borderId="225" xfId="1" applyFont="1" applyFill="1" applyBorder="1" applyAlignment="1" applyProtection="1">
      <alignment horizontal="center"/>
      <protection locked="0"/>
    </xf>
    <xf numFmtId="165" fontId="0" fillId="19" borderId="225" xfId="0" applyNumberFormat="1" applyFill="1" applyBorder="1" applyProtection="1">
      <protection locked="0"/>
    </xf>
    <xf numFmtId="0" fontId="0" fillId="19" borderId="228" xfId="0" applyFill="1" applyBorder="1" applyProtection="1">
      <protection locked="0"/>
    </xf>
    <xf numFmtId="0" fontId="0" fillId="0" borderId="225" xfId="0" applyBorder="1" applyAlignment="1" applyProtection="1">
      <alignment horizontal="center"/>
      <protection locked="0"/>
    </xf>
    <xf numFmtId="165" fontId="0" fillId="0" borderId="225" xfId="0" applyNumberFormat="1" applyBorder="1" applyProtection="1">
      <protection locked="0"/>
    </xf>
    <xf numFmtId="43" fontId="0" fillId="0" borderId="227" xfId="1" applyFont="1" applyBorder="1" applyAlignment="1">
      <alignment vertical="top"/>
    </xf>
    <xf numFmtId="0" fontId="86" fillId="0" borderId="237" xfId="0" applyFont="1" applyBorder="1" applyAlignment="1">
      <alignment vertical="center" wrapText="1"/>
    </xf>
    <xf numFmtId="43" fontId="0" fillId="0" borderId="238" xfId="1" applyFont="1" applyBorder="1" applyProtection="1">
      <protection locked="0"/>
    </xf>
    <xf numFmtId="44" fontId="0" fillId="0" borderId="238" xfId="2" applyFont="1" applyBorder="1" applyProtection="1">
      <protection locked="0"/>
    </xf>
    <xf numFmtId="0" fontId="0" fillId="27" borderId="227" xfId="0" applyFill="1" applyBorder="1" applyAlignment="1">
      <alignment vertical="top"/>
    </xf>
    <xf numFmtId="0" fontId="0" fillId="0" borderId="225" xfId="0" applyBorder="1" applyAlignment="1" applyProtection="1">
      <alignment vertical="top"/>
      <protection locked="0"/>
    </xf>
    <xf numFmtId="43" fontId="0" fillId="0" borderId="225" xfId="1" applyFont="1" applyBorder="1" applyAlignment="1" applyProtection="1">
      <alignment horizontal="center" vertical="top"/>
      <protection locked="0"/>
    </xf>
    <xf numFmtId="0" fontId="0" fillId="0" borderId="225" xfId="0" applyBorder="1" applyAlignment="1" applyProtection="1">
      <alignment horizontal="center" vertical="top"/>
      <protection locked="0"/>
    </xf>
    <xf numFmtId="44" fontId="0" fillId="0" borderId="225" xfId="2" applyFont="1" applyBorder="1" applyAlignment="1" applyProtection="1">
      <alignment vertical="top"/>
      <protection locked="0"/>
    </xf>
    <xf numFmtId="44" fontId="6" fillId="0" borderId="228" xfId="2" applyFont="1" applyBorder="1" applyAlignment="1">
      <alignment horizontal="center" vertical="top"/>
    </xf>
    <xf numFmtId="0" fontId="6" fillId="0" borderId="226" xfId="0" applyFont="1" applyBorder="1" applyAlignment="1">
      <alignment horizontal="left" vertical="center" wrapText="1" indent="4"/>
    </xf>
    <xf numFmtId="0" fontId="6" fillId="18" borderId="226" xfId="0" applyFont="1" applyFill="1" applyBorder="1" applyAlignment="1">
      <alignment horizontal="left" vertical="center" wrapText="1" indent="4"/>
    </xf>
    <xf numFmtId="44" fontId="0" fillId="0" borderId="180" xfId="2" applyFont="1" applyBorder="1" applyAlignment="1" applyProtection="1">
      <alignment horizontal="center" vertical="center"/>
      <protection locked="0"/>
    </xf>
    <xf numFmtId="0" fontId="6" fillId="0" borderId="226" xfId="0" applyFont="1" applyBorder="1" applyAlignment="1">
      <alignment vertical="center" wrapText="1"/>
    </xf>
    <xf numFmtId="0" fontId="6" fillId="0" borderId="226" xfId="0" applyFont="1" applyBorder="1" applyAlignment="1">
      <alignment horizontal="left" vertical="center" wrapText="1" indent="2"/>
    </xf>
    <xf numFmtId="0" fontId="6" fillId="18" borderId="226" xfId="0" applyFont="1" applyFill="1" applyBorder="1" applyAlignment="1">
      <alignment vertical="center" wrapText="1"/>
    </xf>
    <xf numFmtId="0" fontId="6" fillId="0" borderId="225" xfId="0" applyFont="1" applyBorder="1" applyAlignment="1">
      <alignment horizontal="left" vertical="center" wrapText="1"/>
    </xf>
    <xf numFmtId="43" fontId="6" fillId="0" borderId="225" xfId="1" applyFont="1" applyBorder="1" applyAlignment="1">
      <alignment horizontal="center" vertical="center" wrapText="1"/>
    </xf>
    <xf numFmtId="44" fontId="0" fillId="0" borderId="231" xfId="2" applyFont="1" applyBorder="1" applyProtection="1">
      <protection locked="0"/>
    </xf>
    <xf numFmtId="44" fontId="0" fillId="0" borderId="233" xfId="2" applyFont="1" applyBorder="1" applyAlignment="1" applyProtection="1">
      <alignment horizontal="center"/>
      <protection locked="0"/>
    </xf>
    <xf numFmtId="5" fontId="0" fillId="0" borderId="233" xfId="2" applyNumberFormat="1" applyFont="1" applyBorder="1" applyAlignment="1" applyProtection="1">
      <alignment horizontal="center"/>
      <protection locked="0"/>
    </xf>
    <xf numFmtId="43" fontId="0" fillId="19" borderId="225" xfId="1" applyFont="1" applyFill="1" applyBorder="1" applyProtection="1">
      <protection locked="0"/>
    </xf>
    <xf numFmtId="0" fontId="0" fillId="19" borderId="225" xfId="0" applyFill="1" applyBorder="1" applyAlignment="1" applyProtection="1">
      <alignment horizontal="center"/>
      <protection locked="0"/>
    </xf>
    <xf numFmtId="44" fontId="0" fillId="19" borderId="225" xfId="2" applyFont="1" applyFill="1" applyBorder="1" applyProtection="1">
      <protection locked="0"/>
    </xf>
    <xf numFmtId="0" fontId="6" fillId="18" borderId="239" xfId="0" applyFont="1" applyFill="1" applyBorder="1" applyAlignment="1">
      <alignment horizontal="left" vertical="center" wrapText="1" indent="2"/>
    </xf>
    <xf numFmtId="0" fontId="6" fillId="18" borderId="239" xfId="0" applyFont="1" applyFill="1" applyBorder="1" applyAlignment="1">
      <alignment horizontal="left" vertical="top" wrapText="1" indent="4"/>
    </xf>
    <xf numFmtId="0" fontId="0" fillId="0" borderId="238" xfId="0" applyBorder="1" applyAlignment="1" applyProtection="1">
      <alignment wrapText="1"/>
      <protection locked="0"/>
    </xf>
    <xf numFmtId="43" fontId="0" fillId="0" borderId="238" xfId="1" applyFont="1" applyBorder="1" applyAlignment="1" applyProtection="1">
      <alignment vertical="top"/>
      <protection locked="0"/>
    </xf>
    <xf numFmtId="0" fontId="0" fillId="0" borderId="238" xfId="0" applyBorder="1" applyAlignment="1" applyProtection="1">
      <alignment horizontal="center" vertical="top"/>
      <protection locked="0"/>
    </xf>
    <xf numFmtId="44" fontId="0" fillId="0" borderId="238" xfId="2" applyFont="1" applyBorder="1" applyAlignment="1" applyProtection="1">
      <alignment vertical="top"/>
      <protection locked="0"/>
    </xf>
    <xf numFmtId="44" fontId="6" fillId="0" borderId="240" xfId="2" applyFont="1" applyBorder="1" applyAlignment="1">
      <alignment horizontal="center" vertical="top"/>
    </xf>
    <xf numFmtId="0" fontId="0" fillId="0" borderId="238" xfId="0" applyBorder="1" applyAlignment="1" applyProtection="1">
      <alignment vertical="top" wrapText="1"/>
      <protection locked="0"/>
    </xf>
    <xf numFmtId="0" fontId="0" fillId="0" borderId="238" xfId="0" applyBorder="1" applyAlignment="1" applyProtection="1">
      <alignment vertical="top"/>
      <protection locked="0"/>
    </xf>
    <xf numFmtId="0" fontId="6" fillId="18" borderId="239" xfId="0" applyFont="1" applyFill="1" applyBorder="1" applyAlignment="1">
      <alignment horizontal="left" vertical="center" wrapText="1" indent="4"/>
    </xf>
    <xf numFmtId="0" fontId="86" fillId="18" borderId="239" xfId="0" applyFont="1" applyFill="1" applyBorder="1" applyAlignment="1">
      <alignment vertical="center" wrapText="1"/>
    </xf>
    <xf numFmtId="0" fontId="6" fillId="0" borderId="238" xfId="0" applyFont="1" applyBorder="1" applyAlignment="1">
      <alignment horizontal="left" vertical="center" wrapText="1"/>
    </xf>
    <xf numFmtId="43" fontId="6" fillId="0" borderId="238" xfId="1" applyFont="1" applyBorder="1" applyAlignment="1">
      <alignment horizontal="left" vertical="center" wrapText="1"/>
    </xf>
    <xf numFmtId="44" fontId="6" fillId="0" borderId="240" xfId="2" applyFont="1" applyFill="1" applyBorder="1" applyAlignment="1">
      <alignment horizontal="center" vertical="center"/>
    </xf>
    <xf numFmtId="0" fontId="6" fillId="18" borderId="239" xfId="0" applyFont="1" applyFill="1" applyBorder="1" applyAlignment="1">
      <alignment horizontal="left" vertical="center" wrapText="1"/>
    </xf>
    <xf numFmtId="0" fontId="0" fillId="4" borderId="241" xfId="0" applyFill="1" applyBorder="1"/>
    <xf numFmtId="0" fontId="0" fillId="4" borderId="238" xfId="0" applyFill="1" applyBorder="1" applyAlignment="1">
      <alignment horizontal="right" wrapText="1"/>
    </xf>
    <xf numFmtId="0" fontId="0" fillId="4" borderId="238" xfId="0" applyFill="1" applyBorder="1" applyProtection="1">
      <protection locked="0"/>
    </xf>
    <xf numFmtId="43" fontId="0" fillId="4" borderId="238" xfId="1" applyFont="1" applyFill="1" applyBorder="1" applyProtection="1">
      <protection locked="0"/>
    </xf>
    <xf numFmtId="0" fontId="0" fillId="4" borderId="238" xfId="0" applyFill="1" applyBorder="1" applyAlignment="1" applyProtection="1">
      <alignment horizontal="center" vertical="center"/>
      <protection locked="0"/>
    </xf>
    <xf numFmtId="44" fontId="0" fillId="4" borderId="238" xfId="2" applyFont="1" applyFill="1" applyBorder="1" applyAlignment="1" applyProtection="1">
      <alignment horizontal="right" vertical="center"/>
      <protection locked="0"/>
    </xf>
    <xf numFmtId="9" fontId="0" fillId="4" borderId="240" xfId="3" applyFont="1" applyFill="1" applyBorder="1" applyProtection="1">
      <protection locked="0"/>
    </xf>
    <xf numFmtId="44" fontId="0" fillId="4" borderId="240" xfId="2" applyFont="1" applyFill="1" applyBorder="1" applyProtection="1">
      <protection locked="0"/>
    </xf>
    <xf numFmtId="44" fontId="0" fillId="4" borderId="240" xfId="2" applyFont="1" applyFill="1" applyBorder="1" applyAlignment="1" applyProtection="1">
      <alignment horizontal="left"/>
      <protection locked="0"/>
    </xf>
    <xf numFmtId="44" fontId="0" fillId="4" borderId="240" xfId="0" applyNumberFormat="1" applyFill="1" applyBorder="1" applyProtection="1">
      <protection locked="0"/>
    </xf>
    <xf numFmtId="0" fontId="8" fillId="4" borderId="238" xfId="0" applyFont="1" applyFill="1" applyBorder="1" applyAlignment="1" applyProtection="1">
      <alignment horizontal="right" vertical="center"/>
      <protection locked="0"/>
    </xf>
    <xf numFmtId="44" fontId="8" fillId="4" borderId="238" xfId="2" applyFont="1" applyFill="1" applyBorder="1" applyAlignment="1" applyProtection="1">
      <alignment horizontal="right" vertical="center"/>
      <protection locked="0"/>
    </xf>
    <xf numFmtId="165" fontId="9" fillId="4" borderId="240" xfId="0" applyNumberFormat="1" applyFont="1" applyFill="1" applyBorder="1" applyAlignment="1" applyProtection="1">
      <alignment horizontal="center"/>
      <protection locked="0"/>
    </xf>
    <xf numFmtId="44" fontId="9" fillId="4" borderId="240" xfId="2" applyFont="1" applyFill="1" applyBorder="1" applyAlignment="1" applyProtection="1">
      <alignment horizontal="left"/>
      <protection locked="0"/>
    </xf>
    <xf numFmtId="165" fontId="9" fillId="4" borderId="240" xfId="0" applyNumberFormat="1" applyFont="1" applyFill="1" applyBorder="1" applyAlignment="1" applyProtection="1">
      <alignment horizontal="left"/>
      <protection locked="0"/>
    </xf>
    <xf numFmtId="0" fontId="0" fillId="4" borderId="238" xfId="0" applyFill="1" applyBorder="1" applyAlignment="1">
      <alignment wrapText="1"/>
    </xf>
    <xf numFmtId="0" fontId="0" fillId="4" borderId="240" xfId="0" applyFill="1" applyBorder="1" applyAlignment="1" applyProtection="1">
      <alignment horizontal="center"/>
      <protection locked="0"/>
    </xf>
    <xf numFmtId="44" fontId="0" fillId="4" borderId="240" xfId="2" applyFont="1" applyFill="1" applyBorder="1" applyAlignment="1" applyProtection="1">
      <alignment horizontal="center"/>
      <protection locked="0"/>
    </xf>
    <xf numFmtId="0" fontId="0" fillId="0" borderId="241" xfId="0" applyBorder="1"/>
    <xf numFmtId="0" fontId="0" fillId="0" borderId="242" xfId="0" applyBorder="1" applyProtection="1">
      <protection locked="0"/>
    </xf>
    <xf numFmtId="165" fontId="0" fillId="0" borderId="240" xfId="0" applyNumberFormat="1" applyBorder="1" applyAlignment="1" applyProtection="1">
      <alignment horizontal="right"/>
      <protection locked="0"/>
    </xf>
    <xf numFmtId="0" fontId="0" fillId="0" borderId="241" xfId="0" applyBorder="1" applyProtection="1">
      <protection locked="0"/>
    </xf>
    <xf numFmtId="44" fontId="0" fillId="0" borderId="240" xfId="0" applyNumberFormat="1" applyBorder="1" applyProtection="1">
      <protection locked="0"/>
    </xf>
    <xf numFmtId="165" fontId="0" fillId="0" borderId="240" xfId="0" applyNumberFormat="1" applyBorder="1" applyProtection="1">
      <protection locked="0"/>
    </xf>
    <xf numFmtId="0" fontId="0" fillId="0" borderId="240" xfId="0" applyBorder="1" applyProtection="1">
      <protection locked="0"/>
    </xf>
    <xf numFmtId="0" fontId="0" fillId="0" borderId="243" xfId="0" applyBorder="1"/>
    <xf numFmtId="0" fontId="0" fillId="0" borderId="244" xfId="0" applyBorder="1" applyProtection="1">
      <protection locked="0"/>
    </xf>
    <xf numFmtId="43" fontId="0" fillId="0" borderId="244" xfId="1" applyFont="1" applyBorder="1" applyProtection="1">
      <protection locked="0"/>
    </xf>
    <xf numFmtId="0" fontId="0" fillId="0" borderId="244" xfId="0" applyBorder="1" applyAlignment="1" applyProtection="1">
      <alignment horizontal="center"/>
      <protection locked="0"/>
    </xf>
    <xf numFmtId="0" fontId="0" fillId="0" borderId="245" xfId="0" applyBorder="1" applyProtection="1">
      <protection locked="0"/>
    </xf>
    <xf numFmtId="0" fontId="0" fillId="0" borderId="246" xfId="0" applyBorder="1" applyProtection="1">
      <protection locked="0"/>
    </xf>
    <xf numFmtId="0" fontId="0" fillId="0" borderId="240" xfId="0" applyBorder="1" applyAlignment="1" applyProtection="1">
      <alignment horizontal="center"/>
      <protection locked="0"/>
    </xf>
    <xf numFmtId="0" fontId="3" fillId="0" borderId="247" xfId="0" applyFont="1" applyBorder="1" applyAlignment="1" applyProtection="1">
      <alignment horizontal="right"/>
      <protection locked="0"/>
    </xf>
    <xf numFmtId="0" fontId="3" fillId="0" borderId="240" xfId="0" applyFont="1" applyBorder="1" applyAlignment="1" applyProtection="1">
      <alignment horizontal="right"/>
      <protection locked="0"/>
    </xf>
    <xf numFmtId="169" fontId="0" fillId="0" borderId="240" xfId="0" applyNumberFormat="1" applyBorder="1" applyAlignment="1" applyProtection="1">
      <alignment horizontal="center"/>
      <protection locked="0"/>
    </xf>
    <xf numFmtId="0" fontId="4" fillId="0" borderId="240" xfId="4" applyBorder="1" applyAlignment="1" applyProtection="1">
      <alignment horizontal="center" vertical="center"/>
      <protection locked="0"/>
    </xf>
    <xf numFmtId="0" fontId="3" fillId="0" borderId="243" xfId="0" applyFont="1" applyBorder="1" applyAlignment="1" applyProtection="1">
      <alignment horizontal="right"/>
      <protection locked="0"/>
    </xf>
    <xf numFmtId="44" fontId="0" fillId="0" borderId="246" xfId="2" applyFont="1" applyBorder="1" applyAlignment="1" applyProtection="1">
      <alignment horizontal="center"/>
      <protection locked="0"/>
    </xf>
    <xf numFmtId="0" fontId="0" fillId="0" borderId="241" xfId="0" applyBorder="1" applyAlignment="1">
      <alignment horizontal="right"/>
    </xf>
    <xf numFmtId="0" fontId="6" fillId="0" borderId="238" xfId="0" applyFont="1" applyBorder="1" applyAlignment="1">
      <alignment wrapText="1"/>
    </xf>
    <xf numFmtId="0" fontId="0" fillId="0" borderId="238" xfId="0" applyBorder="1" applyProtection="1">
      <protection locked="0"/>
    </xf>
    <xf numFmtId="0" fontId="0" fillId="0" borderId="238" xfId="0" applyBorder="1" applyAlignment="1" applyProtection="1">
      <alignment horizontal="center"/>
      <protection locked="0"/>
    </xf>
    <xf numFmtId="0" fontId="0" fillId="0" borderId="247" xfId="0" applyBorder="1" applyAlignment="1" applyProtection="1">
      <alignment horizontal="left"/>
      <protection locked="0"/>
    </xf>
    <xf numFmtId="0" fontId="0" fillId="0" borderId="247" xfId="0" applyBorder="1" applyAlignment="1" applyProtection="1">
      <alignment horizontal="center"/>
      <protection locked="0"/>
    </xf>
    <xf numFmtId="0" fontId="6" fillId="0" borderId="238" xfId="0" applyFont="1" applyBorder="1" applyAlignment="1">
      <alignment horizontal="left" wrapText="1"/>
    </xf>
    <xf numFmtId="0" fontId="0" fillId="0" borderId="242" xfId="0" applyBorder="1" applyAlignment="1" applyProtection="1">
      <alignment horizontal="right"/>
      <protection locked="0"/>
    </xf>
    <xf numFmtId="169" fontId="0" fillId="0" borderId="247" xfId="0" applyNumberFormat="1" applyBorder="1" applyAlignment="1" applyProtection="1">
      <alignment horizontal="left"/>
      <protection locked="0"/>
    </xf>
    <xf numFmtId="169" fontId="0" fillId="0" borderId="247" xfId="0" applyNumberFormat="1" applyBorder="1" applyAlignment="1" applyProtection="1">
      <alignment horizontal="center"/>
      <protection locked="0"/>
    </xf>
    <xf numFmtId="14" fontId="0" fillId="0" borderId="238" xfId="0" applyNumberFormat="1" applyBorder="1" applyAlignment="1">
      <alignment horizontal="left" wrapText="1"/>
    </xf>
    <xf numFmtId="0" fontId="4" fillId="0" borderId="247" xfId="4" applyBorder="1" applyAlignment="1" applyProtection="1">
      <alignment horizontal="left" vertical="center"/>
      <protection locked="0"/>
    </xf>
    <xf numFmtId="0" fontId="4" fillId="0" borderId="247" xfId="4" applyBorder="1" applyAlignment="1" applyProtection="1">
      <alignment horizontal="center" vertical="center"/>
      <protection locked="0"/>
    </xf>
    <xf numFmtId="0" fontId="6" fillId="0" borderId="243" xfId="0" applyFont="1" applyBorder="1" applyAlignment="1" applyProtection="1">
      <alignment horizontal="right"/>
      <protection locked="0"/>
    </xf>
    <xf numFmtId="0" fontId="0" fillId="0" borderId="244" xfId="0" applyBorder="1" applyAlignment="1">
      <alignment wrapText="1"/>
    </xf>
    <xf numFmtId="0" fontId="6" fillId="0" borderId="245" xfId="0" applyFont="1" applyBorder="1" applyAlignment="1" applyProtection="1">
      <alignment horizontal="right"/>
      <protection locked="0"/>
    </xf>
    <xf numFmtId="44" fontId="0" fillId="0" borderId="246" xfId="2" applyFont="1" applyBorder="1" applyAlignment="1" applyProtection="1">
      <alignment horizontal="center"/>
      <protection locked="0"/>
    </xf>
    <xf numFmtId="5" fontId="0" fillId="0" borderId="246" xfId="2" applyNumberFormat="1" applyFont="1" applyBorder="1" applyAlignment="1" applyProtection="1">
      <alignment horizontal="center"/>
      <protection locked="0"/>
    </xf>
    <xf numFmtId="44" fontId="0" fillId="0" borderId="248" xfId="2" applyFont="1" applyBorder="1" applyAlignment="1" applyProtection="1">
      <alignment horizontal="center"/>
      <protection locked="0"/>
    </xf>
    <xf numFmtId="44" fontId="0" fillId="0" borderId="249" xfId="2" applyFont="1" applyBorder="1" applyAlignment="1" applyProtection="1">
      <alignment horizontal="center"/>
      <protection locked="0"/>
    </xf>
    <xf numFmtId="44" fontId="6" fillId="0" borderId="240" xfId="2" applyFont="1" applyBorder="1" applyAlignment="1">
      <alignment horizontal="center" vertical="center"/>
    </xf>
    <xf numFmtId="0" fontId="0" fillId="0" borderId="241" xfId="0" applyBorder="1" applyAlignment="1">
      <alignment vertical="top"/>
    </xf>
    <xf numFmtId="0" fontId="0" fillId="19" borderId="238" xfId="0" applyFill="1" applyBorder="1" applyProtection="1">
      <protection locked="0"/>
    </xf>
    <xf numFmtId="43" fontId="0" fillId="19" borderId="238" xfId="1" applyFont="1" applyFill="1" applyBorder="1" applyProtection="1">
      <protection locked="0"/>
    </xf>
    <xf numFmtId="0" fontId="0" fillId="19" borderId="238" xfId="0" applyFill="1" applyBorder="1" applyAlignment="1" applyProtection="1">
      <alignment horizontal="center"/>
      <protection locked="0"/>
    </xf>
    <xf numFmtId="165" fontId="0" fillId="19" borderId="238" xfId="0" applyNumberFormat="1" applyFill="1" applyBorder="1" applyProtection="1">
      <protection locked="0"/>
    </xf>
    <xf numFmtId="0" fontId="0" fillId="19" borderId="240" xfId="0" applyFill="1" applyBorder="1" applyProtection="1">
      <protection locked="0"/>
    </xf>
    <xf numFmtId="0" fontId="0" fillId="0" borderId="247" xfId="0" applyBorder="1" applyAlignment="1">
      <alignment vertical="top"/>
    </xf>
    <xf numFmtId="0" fontId="6" fillId="7" borderId="250" xfId="0" applyFont="1" applyFill="1" applyBorder="1" applyAlignment="1">
      <alignment horizontal="left"/>
    </xf>
    <xf numFmtId="165" fontId="0" fillId="0" borderId="238" xfId="0" applyNumberFormat="1" applyBorder="1" applyProtection="1">
      <protection locked="0"/>
    </xf>
    <xf numFmtId="165" fontId="0" fillId="0" borderId="238" xfId="0" applyNumberFormat="1" applyBorder="1" applyAlignment="1" applyProtection="1">
      <alignment vertical="top"/>
      <protection locked="0"/>
    </xf>
    <xf numFmtId="0" fontId="0" fillId="27" borderId="247" xfId="0" applyFill="1" applyBorder="1" applyAlignment="1">
      <alignment vertical="top"/>
    </xf>
    <xf numFmtId="0" fontId="6" fillId="7" borderId="251" xfId="0" applyFont="1" applyFill="1" applyBorder="1" applyAlignment="1">
      <alignment horizontal="left"/>
    </xf>
    <xf numFmtId="0" fontId="6" fillId="0" borderId="252" xfId="0" applyFont="1" applyBorder="1" applyAlignment="1">
      <alignment horizontal="left"/>
    </xf>
    <xf numFmtId="0" fontId="0" fillId="4" borderId="223" xfId="0" applyFill="1" applyBorder="1" applyAlignment="1">
      <alignment horizontal="right" wrapText="1"/>
    </xf>
    <xf numFmtId="0" fontId="0" fillId="4" borderId="238" xfId="0" applyFill="1" applyBorder="1" applyAlignment="1" applyProtection="1">
      <alignment horizontal="right" vertical="center"/>
      <protection locked="0"/>
    </xf>
    <xf numFmtId="0" fontId="0" fillId="0" borderId="253" xfId="0" applyBorder="1"/>
    <xf numFmtId="0" fontId="0" fillId="0" borderId="238" xfId="0" applyBorder="1" applyAlignment="1">
      <alignment wrapText="1"/>
    </xf>
    <xf numFmtId="0" fontId="0" fillId="0" borderId="223" xfId="0" applyBorder="1" applyProtection="1">
      <protection locked="0"/>
    </xf>
    <xf numFmtId="43" fontId="0" fillId="0" borderId="223" xfId="1" applyFont="1" applyBorder="1" applyProtection="1">
      <protection locked="0"/>
    </xf>
    <xf numFmtId="0" fontId="0" fillId="0" borderId="223" xfId="0" applyBorder="1" applyAlignment="1" applyProtection="1">
      <alignment horizontal="center"/>
      <protection locked="0"/>
    </xf>
    <xf numFmtId="0" fontId="0" fillId="0" borderId="254" xfId="0" applyBorder="1" applyProtection="1">
      <protection locked="0"/>
    </xf>
    <xf numFmtId="165" fontId="0" fillId="0" borderId="255" xfId="0" applyNumberFormat="1" applyBorder="1" applyProtection="1">
      <protection locked="0"/>
    </xf>
    <xf numFmtId="0" fontId="0" fillId="0" borderId="253" xfId="0" applyBorder="1" applyProtection="1">
      <protection locked="0"/>
    </xf>
    <xf numFmtId="0" fontId="0" fillId="0" borderId="223" xfId="0" applyBorder="1" applyAlignment="1" applyProtection="1">
      <alignment wrapText="1"/>
      <protection locked="0"/>
    </xf>
    <xf numFmtId="0" fontId="0" fillId="0" borderId="223" xfId="0" applyBorder="1" applyAlignment="1">
      <alignment wrapText="1"/>
    </xf>
    <xf numFmtId="0" fontId="0" fillId="0" borderId="255" xfId="0" applyBorder="1" applyProtection="1">
      <protection locked="0"/>
    </xf>
    <xf numFmtId="0" fontId="3" fillId="0" borderId="256" xfId="0" applyFont="1" applyBorder="1" applyAlignment="1" applyProtection="1">
      <alignment horizontal="right"/>
      <protection locked="0"/>
    </xf>
    <xf numFmtId="167" fontId="0" fillId="20" borderId="257" xfId="2" applyNumberFormat="1" applyFont="1" applyFill="1" applyBorder="1" applyProtection="1">
      <protection locked="0"/>
    </xf>
    <xf numFmtId="167" fontId="0" fillId="0" borderId="257" xfId="2" applyNumberFormat="1" applyFont="1" applyBorder="1" applyProtection="1">
      <protection locked="0"/>
    </xf>
    <xf numFmtId="44" fontId="0" fillId="0" borderId="246" xfId="2" applyFont="1" applyBorder="1" applyAlignment="1" applyProtection="1">
      <alignment horizontal="center" vertical="center"/>
      <protection locked="0"/>
    </xf>
    <xf numFmtId="44" fontId="0" fillId="0" borderId="258" xfId="2" applyFont="1" applyBorder="1" applyAlignment="1" applyProtection="1">
      <alignment horizontal="center" vertical="center"/>
      <protection locked="0"/>
    </xf>
    <xf numFmtId="44" fontId="0" fillId="0" borderId="248" xfId="2" applyFont="1" applyBorder="1" applyAlignment="1" applyProtection="1">
      <alignment horizontal="center" vertical="center"/>
      <protection locked="0"/>
    </xf>
    <xf numFmtId="0" fontId="0" fillId="0" borderId="256" xfId="0" applyBorder="1" applyAlignment="1">
      <alignment vertical="top"/>
    </xf>
    <xf numFmtId="0" fontId="6" fillId="17" borderId="259" xfId="0" applyFont="1" applyFill="1" applyBorder="1" applyAlignment="1">
      <alignment horizontal="center" vertical="center"/>
    </xf>
    <xf numFmtId="3" fontId="0" fillId="0" borderId="260" xfId="0" applyNumberFormat="1" applyBorder="1" applyAlignment="1" applyProtection="1">
      <alignment horizontal="left"/>
      <protection locked="0"/>
    </xf>
    <xf numFmtId="0" fontId="0" fillId="0" borderId="260" xfId="0" applyBorder="1" applyProtection="1">
      <protection locked="0"/>
    </xf>
    <xf numFmtId="0" fontId="0" fillId="0" borderId="253" xfId="0" applyBorder="1" applyAlignment="1">
      <alignment vertical="top"/>
    </xf>
    <xf numFmtId="0" fontId="6" fillId="0" borderId="261" xfId="0" applyFont="1" applyBorder="1" applyAlignment="1">
      <alignment vertical="center"/>
    </xf>
    <xf numFmtId="3" fontId="0" fillId="10" borderId="260" xfId="0" applyNumberFormat="1" applyFill="1" applyBorder="1" applyAlignment="1" applyProtection="1">
      <alignment horizontal="left"/>
      <protection locked="0"/>
    </xf>
    <xf numFmtId="0" fontId="6" fillId="0" borderId="262" xfId="0" applyFont="1" applyBorder="1" applyAlignment="1">
      <alignment vertical="center"/>
    </xf>
    <xf numFmtId="0" fontId="6" fillId="0" borderId="262" xfId="0" quotePrefix="1" applyFont="1" applyBorder="1"/>
    <xf numFmtId="3" fontId="0" fillId="11" borderId="260" xfId="0" applyNumberFormat="1" applyFill="1" applyBorder="1" applyAlignment="1" applyProtection="1">
      <alignment horizontal="left"/>
      <protection locked="0"/>
    </xf>
    <xf numFmtId="0" fontId="6" fillId="17" borderId="262" xfId="0" applyFont="1" applyFill="1" applyBorder="1" applyAlignment="1">
      <alignment horizontal="center"/>
    </xf>
    <xf numFmtId="0" fontId="6" fillId="19" borderId="262" xfId="0" applyFont="1" applyFill="1" applyBorder="1" applyAlignment="1">
      <alignment horizontal="left"/>
    </xf>
    <xf numFmtId="44" fontId="0" fillId="19" borderId="260" xfId="2" applyFont="1" applyFill="1" applyBorder="1" applyAlignment="1" applyProtection="1">
      <alignment horizontal="left"/>
      <protection locked="0"/>
    </xf>
    <xf numFmtId="44" fontId="0" fillId="19" borderId="260" xfId="2" applyFont="1" applyFill="1" applyBorder="1" applyProtection="1">
      <protection locked="0"/>
    </xf>
    <xf numFmtId="0" fontId="70" fillId="7" borderId="262" xfId="0" applyFont="1" applyFill="1" applyBorder="1" applyAlignment="1">
      <alignment horizontal="left"/>
    </xf>
    <xf numFmtId="0" fontId="69" fillId="7" borderId="262" xfId="0" applyFont="1" applyFill="1" applyBorder="1" applyAlignment="1">
      <alignment horizontal="left" wrapText="1"/>
    </xf>
    <xf numFmtId="44" fontId="0" fillId="0" borderId="260" xfId="2" applyFont="1" applyBorder="1" applyProtection="1">
      <protection locked="0"/>
    </xf>
    <xf numFmtId="44" fontId="0" fillId="0" borderId="260" xfId="2" applyFont="1" applyBorder="1" applyAlignment="1" applyProtection="1">
      <alignment horizontal="left"/>
      <protection locked="0"/>
    </xf>
    <xf numFmtId="0" fontId="38" fillId="7" borderId="262" xfId="0" applyFont="1" applyFill="1" applyBorder="1" applyAlignment="1">
      <alignment horizontal="left" wrapText="1"/>
    </xf>
    <xf numFmtId="44" fontId="0" fillId="10" borderId="260" xfId="2" applyFont="1" applyFill="1" applyBorder="1" applyProtection="1">
      <protection locked="0"/>
    </xf>
    <xf numFmtId="44" fontId="0" fillId="0" borderId="260" xfId="2" applyFont="1" applyFill="1" applyBorder="1" applyProtection="1">
      <protection locked="0"/>
    </xf>
    <xf numFmtId="44" fontId="0" fillId="0" borderId="260" xfId="2" applyFont="1" applyFill="1" applyBorder="1" applyAlignment="1" applyProtection="1">
      <alignment horizontal="left"/>
      <protection locked="0"/>
    </xf>
    <xf numFmtId="44" fontId="0" fillId="0" borderId="260" xfId="2" applyFont="1" applyBorder="1" applyAlignment="1" applyProtection="1">
      <alignment wrapText="1"/>
      <protection locked="0"/>
    </xf>
    <xf numFmtId="0" fontId="0" fillId="19" borderId="241" xfId="0" applyFill="1" applyBorder="1" applyAlignment="1">
      <alignment vertical="top"/>
    </xf>
    <xf numFmtId="0" fontId="38" fillId="19" borderId="262" xfId="0" applyFont="1" applyFill="1" applyBorder="1" applyAlignment="1">
      <alignment horizontal="left" wrapText="1"/>
    </xf>
    <xf numFmtId="44" fontId="0" fillId="5" borderId="260" xfId="2" applyFont="1" applyFill="1" applyBorder="1" applyProtection="1">
      <protection locked="0"/>
    </xf>
    <xf numFmtId="44" fontId="0" fillId="5" borderId="260" xfId="2" applyFont="1" applyFill="1" applyBorder="1" applyAlignment="1" applyProtection="1">
      <alignment horizontal="left"/>
      <protection locked="0"/>
    </xf>
    <xf numFmtId="0" fontId="89" fillId="7" borderId="262" xfId="0" applyFont="1" applyFill="1" applyBorder="1" applyAlignment="1">
      <alignment horizontal="center" vertical="center" wrapText="1"/>
    </xf>
    <xf numFmtId="44" fontId="6" fillId="11" borderId="240" xfId="2" applyFont="1" applyFill="1" applyBorder="1" applyAlignment="1">
      <alignment horizontal="center" vertical="center"/>
    </xf>
    <xf numFmtId="0" fontId="90" fillId="7" borderId="262" xfId="0" applyFont="1" applyFill="1" applyBorder="1" applyAlignment="1">
      <alignment horizontal="left" wrapText="1" indent="10"/>
    </xf>
    <xf numFmtId="44" fontId="0" fillId="10" borderId="260" xfId="2" applyFont="1" applyFill="1" applyBorder="1" applyAlignment="1" applyProtection="1">
      <alignment horizontal="left"/>
      <protection locked="0"/>
    </xf>
    <xf numFmtId="0" fontId="91" fillId="7" borderId="262" xfId="0" applyFont="1" applyFill="1" applyBorder="1" applyAlignment="1">
      <alignment horizontal="left" wrapText="1"/>
    </xf>
    <xf numFmtId="0" fontId="0" fillId="0" borderId="241" xfId="0" applyBorder="1" applyAlignment="1">
      <alignment vertical="center"/>
    </xf>
    <xf numFmtId="0" fontId="70" fillId="7" borderId="262" xfId="0" applyFont="1" applyFill="1" applyBorder="1" applyAlignment="1">
      <alignment horizontal="left" vertical="center" wrapText="1"/>
    </xf>
    <xf numFmtId="0" fontId="0" fillId="0" borderId="238" xfId="0" applyBorder="1" applyAlignment="1" applyProtection="1">
      <alignment vertical="center" wrapText="1"/>
      <protection locked="0"/>
    </xf>
    <xf numFmtId="43" fontId="0" fillId="0" borderId="238" xfId="1" applyFont="1" applyBorder="1" applyAlignment="1" applyProtection="1">
      <alignment vertical="center"/>
      <protection locked="0"/>
    </xf>
    <xf numFmtId="0" fontId="0" fillId="0" borderId="238" xfId="0" applyBorder="1" applyAlignment="1" applyProtection="1">
      <alignment horizontal="center" vertical="center"/>
      <protection locked="0"/>
    </xf>
    <xf numFmtId="165" fontId="0" fillId="0" borderId="238" xfId="0" applyNumberFormat="1" applyBorder="1" applyAlignment="1" applyProtection="1">
      <alignment vertical="center"/>
      <protection locked="0"/>
    </xf>
    <xf numFmtId="44" fontId="0" fillId="0" borderId="260" xfId="2" applyFont="1" applyBorder="1" applyAlignment="1" applyProtection="1">
      <alignment vertical="center"/>
      <protection locked="0"/>
    </xf>
    <xf numFmtId="44" fontId="0" fillId="0" borderId="260" xfId="2" applyFont="1" applyBorder="1" applyAlignment="1" applyProtection="1">
      <alignment horizontal="left" vertical="center"/>
      <protection locked="0"/>
    </xf>
    <xf numFmtId="0" fontId="0" fillId="30" borderId="241" xfId="0" applyFill="1" applyBorder="1" applyAlignment="1">
      <alignment vertical="center"/>
    </xf>
    <xf numFmtId="0" fontId="38" fillId="24" borderId="262" xfId="0" applyFont="1" applyFill="1" applyBorder="1" applyAlignment="1">
      <alignment horizontal="left" wrapText="1" indent="2"/>
    </xf>
    <xf numFmtId="44" fontId="0" fillId="24" borderId="260" xfId="2" applyFont="1" applyFill="1" applyBorder="1" applyAlignment="1" applyProtection="1">
      <alignment wrapText="1"/>
      <protection locked="0"/>
    </xf>
    <xf numFmtId="44" fontId="0" fillId="24" borderId="260" xfId="2" applyFont="1" applyFill="1" applyBorder="1" applyProtection="1">
      <protection locked="0"/>
    </xf>
    <xf numFmtId="0" fontId="2" fillId="0" borderId="262" xfId="0" applyFont="1" applyBorder="1" applyAlignment="1">
      <alignment horizontal="left" vertical="center" wrapText="1" indent="2"/>
    </xf>
    <xf numFmtId="44" fontId="2" fillId="0" borderId="260" xfId="2" applyFont="1" applyFill="1" applyBorder="1" applyAlignment="1" applyProtection="1">
      <alignment vertical="center"/>
      <protection locked="0"/>
    </xf>
    <xf numFmtId="0" fontId="81" fillId="0" borderId="262" xfId="0" applyFont="1" applyBorder="1" applyAlignment="1">
      <alignment horizontal="left" vertical="center" wrapText="1"/>
    </xf>
    <xf numFmtId="44" fontId="2" fillId="0" borderId="260" xfId="2" applyFont="1" applyBorder="1" applyAlignment="1" applyProtection="1">
      <alignment vertical="center"/>
      <protection locked="0"/>
    </xf>
    <xf numFmtId="0" fontId="70" fillId="7" borderId="262" xfId="0" applyFont="1" applyFill="1" applyBorder="1" applyAlignment="1">
      <alignment horizontal="left" wrapText="1"/>
    </xf>
    <xf numFmtId="0" fontId="38" fillId="0" borderId="262" xfId="0" applyFont="1" applyBorder="1" applyAlignment="1">
      <alignment horizontal="left" wrapText="1" indent="2"/>
    </xf>
    <xf numFmtId="44" fontId="0" fillId="5" borderId="260" xfId="2" applyFont="1" applyFill="1" applyBorder="1" applyAlignment="1" applyProtection="1">
      <alignment vertical="center"/>
      <protection locked="0"/>
    </xf>
    <xf numFmtId="44" fontId="2" fillId="0" borderId="260" xfId="2" applyFont="1" applyBorder="1" applyAlignment="1" applyProtection="1">
      <alignment horizontal="left" vertical="center"/>
      <protection locked="0"/>
    </xf>
    <xf numFmtId="0" fontId="2" fillId="0" borderId="262" xfId="0" applyFont="1" applyBorder="1" applyAlignment="1">
      <alignment horizontal="left" wrapText="1" indent="2"/>
    </xf>
    <xf numFmtId="0" fontId="94" fillId="7" borderId="262" xfId="0" applyFont="1" applyFill="1" applyBorder="1" applyAlignment="1">
      <alignment horizontal="left" vertical="center" wrapText="1"/>
    </xf>
    <xf numFmtId="0" fontId="81" fillId="7" borderId="262" xfId="0" applyFont="1" applyFill="1" applyBorder="1" applyAlignment="1">
      <alignment horizontal="left" vertical="center" wrapText="1"/>
    </xf>
    <xf numFmtId="0" fontId="60" fillId="7" borderId="262" xfId="0" applyFont="1" applyFill="1" applyBorder="1" applyAlignment="1">
      <alignment horizontal="left" wrapText="1"/>
    </xf>
    <xf numFmtId="0" fontId="2" fillId="0" borderId="262" xfId="0" applyFont="1" applyBorder="1" applyAlignment="1">
      <alignment horizontal="left" wrapText="1"/>
    </xf>
    <xf numFmtId="0" fontId="38" fillId="7" borderId="262" xfId="0" applyFont="1" applyFill="1" applyBorder="1" applyAlignment="1">
      <alignment horizontal="left" vertical="center" wrapText="1" indent="2"/>
    </xf>
    <xf numFmtId="0" fontId="0" fillId="0" borderId="241" xfId="0" applyBorder="1" applyAlignment="1">
      <alignment vertical="center" wrapText="1"/>
    </xf>
    <xf numFmtId="0" fontId="38" fillId="0" borderId="262" xfId="0" applyFont="1" applyBorder="1" applyAlignment="1">
      <alignment horizontal="left" vertical="center" wrapText="1" indent="2"/>
    </xf>
    <xf numFmtId="44" fontId="0" fillId="10" borderId="260" xfId="2" applyFont="1" applyFill="1" applyBorder="1" applyAlignment="1" applyProtection="1">
      <alignment horizontal="left" vertical="center"/>
      <protection locked="0"/>
    </xf>
    <xf numFmtId="0" fontId="91" fillId="7" borderId="262" xfId="0" applyFont="1" applyFill="1" applyBorder="1" applyAlignment="1">
      <alignment horizontal="left" vertical="center" wrapText="1"/>
    </xf>
    <xf numFmtId="0" fontId="70" fillId="0" borderId="262" xfId="0" applyFont="1" applyBorder="1" applyAlignment="1">
      <alignment horizontal="left" wrapText="1"/>
    </xf>
    <xf numFmtId="0" fontId="81" fillId="7" borderId="262" xfId="0" applyFont="1" applyFill="1" applyBorder="1" applyAlignment="1">
      <alignment horizontal="left" vertical="center" wrapText="1" indent="2"/>
    </xf>
    <xf numFmtId="0" fontId="0" fillId="30" borderId="241" xfId="0" applyFill="1" applyBorder="1" applyAlignment="1">
      <alignment vertical="top"/>
    </xf>
    <xf numFmtId="44" fontId="2" fillId="0" borderId="260" xfId="2" applyFont="1" applyBorder="1" applyProtection="1">
      <protection locked="0"/>
    </xf>
    <xf numFmtId="0" fontId="0" fillId="0" borderId="241" xfId="0" applyBorder="1" applyAlignment="1">
      <alignment vertical="top" wrapText="1"/>
    </xf>
    <xf numFmtId="0" fontId="81" fillId="0" borderId="262" xfId="0" applyFont="1" applyBorder="1" applyAlignment="1">
      <alignment horizontal="left" vertical="center" wrapText="1" indent="2"/>
    </xf>
    <xf numFmtId="43" fontId="0" fillId="0" borderId="238" xfId="1" applyFont="1" applyFill="1" applyBorder="1" applyProtection="1">
      <protection locked="0"/>
    </xf>
    <xf numFmtId="0" fontId="37" fillId="0" borderId="241" xfId="0" applyFont="1" applyBorder="1" applyAlignment="1">
      <alignment vertical="top" wrapText="1"/>
    </xf>
    <xf numFmtId="0" fontId="2" fillId="7" borderId="262" xfId="0" applyFont="1" applyFill="1" applyBorder="1" applyAlignment="1">
      <alignment horizontal="left" vertical="center" wrapText="1" indent="2"/>
    </xf>
    <xf numFmtId="44" fontId="6" fillId="26" borderId="240" xfId="2" applyFont="1" applyFill="1" applyBorder="1" applyAlignment="1">
      <alignment horizontal="center" vertical="center"/>
    </xf>
    <xf numFmtId="44" fontId="0" fillId="26" borderId="260" xfId="2" applyFont="1" applyFill="1" applyBorder="1" applyProtection="1">
      <protection locked="0"/>
    </xf>
    <xf numFmtId="0" fontId="2" fillId="0" borderId="241" xfId="0" applyFont="1" applyBorder="1" applyAlignment="1">
      <alignment vertical="top" wrapText="1"/>
    </xf>
    <xf numFmtId="44" fontId="2" fillId="0" borderId="260" xfId="2" applyFont="1" applyBorder="1" applyAlignment="1" applyProtection="1">
      <alignment horizontal="left"/>
      <protection locked="0"/>
    </xf>
    <xf numFmtId="0" fontId="91" fillId="0" borderId="262" xfId="0" applyFont="1" applyBorder="1" applyAlignment="1">
      <alignment horizontal="left" wrapText="1"/>
    </xf>
    <xf numFmtId="0" fontId="38" fillId="0" borderId="241" xfId="0" applyFont="1" applyBorder="1" applyAlignment="1">
      <alignment vertical="top" wrapText="1"/>
    </xf>
    <xf numFmtId="0" fontId="2" fillId="7" borderId="262" xfId="0" applyFont="1" applyFill="1" applyBorder="1" applyAlignment="1">
      <alignment horizontal="left" wrapText="1"/>
    </xf>
    <xf numFmtId="44" fontId="0" fillId="5" borderId="260" xfId="2" applyFont="1" applyFill="1" applyBorder="1" applyAlignment="1" applyProtection="1">
      <alignment wrapText="1"/>
      <protection locked="0"/>
    </xf>
    <xf numFmtId="0" fontId="70" fillId="0" borderId="262" xfId="0" applyFont="1" applyBorder="1" applyAlignment="1">
      <alignment horizontal="left" vertical="center" wrapText="1"/>
    </xf>
    <xf numFmtId="44" fontId="0" fillId="0" borderId="260" xfId="2" applyFont="1" applyFill="1" applyBorder="1" applyAlignment="1" applyProtection="1">
      <alignment horizontal="left" vertical="center"/>
      <protection locked="0"/>
    </xf>
    <xf numFmtId="0" fontId="38" fillId="0" borderId="262" xfId="0" applyFont="1" applyBorder="1" applyAlignment="1">
      <alignment horizontal="left" vertical="center" wrapText="1"/>
    </xf>
    <xf numFmtId="0" fontId="0" fillId="0" borderId="238" xfId="0" applyBorder="1" applyAlignment="1" applyProtection="1">
      <alignment vertical="center"/>
      <protection locked="0"/>
    </xf>
    <xf numFmtId="0" fontId="38" fillId="7" borderId="262" xfId="0" applyFont="1" applyFill="1" applyBorder="1" applyAlignment="1">
      <alignment horizontal="left" vertical="center" wrapText="1"/>
    </xf>
    <xf numFmtId="44" fontId="0" fillId="0" borderId="260" xfId="2" applyFont="1" applyFill="1" applyBorder="1" applyAlignment="1" applyProtection="1">
      <alignment vertical="center"/>
      <protection locked="0"/>
    </xf>
    <xf numFmtId="0" fontId="38" fillId="0" borderId="262" xfId="0" applyFont="1" applyBorder="1" applyAlignment="1">
      <alignment horizontal="center" vertical="center" wrapText="1" indent="2"/>
    </xf>
    <xf numFmtId="0" fontId="38" fillId="0" borderId="238" xfId="0" applyFont="1" applyBorder="1" applyAlignment="1" applyProtection="1">
      <alignment wrapText="1"/>
      <protection locked="0"/>
    </xf>
    <xf numFmtId="0" fontId="38" fillId="7" borderId="262" xfId="0" applyFont="1" applyFill="1" applyBorder="1" applyAlignment="1">
      <alignment horizontal="left" wrapText="1" indent="2"/>
    </xf>
    <xf numFmtId="0" fontId="38" fillId="7" borderId="262" xfId="0" applyFont="1" applyFill="1" applyBorder="1" applyAlignment="1">
      <alignment horizontal="left" wrapText="1" indent="1"/>
    </xf>
    <xf numFmtId="0" fontId="0" fillId="0" borderId="238" xfId="0" applyBorder="1" applyAlignment="1" applyProtection="1">
      <alignment horizontal="left" vertical="center" wrapText="1" indent="2"/>
      <protection locked="0"/>
    </xf>
    <xf numFmtId="0" fontId="38" fillId="0" borderId="262" xfId="0" applyFont="1" applyBorder="1" applyAlignment="1">
      <alignment horizontal="left" wrapText="1"/>
    </xf>
    <xf numFmtId="44" fontId="0" fillId="10" borderId="260" xfId="2" applyFont="1" applyFill="1" applyBorder="1" applyAlignment="1" applyProtection="1">
      <alignment vertical="center"/>
      <protection locked="0"/>
    </xf>
    <xf numFmtId="0" fontId="69" fillId="7" borderId="262" xfId="0" applyFont="1" applyFill="1" applyBorder="1" applyAlignment="1">
      <alignment horizontal="left" vertical="center" wrapText="1" indent="2"/>
    </xf>
    <xf numFmtId="0" fontId="90" fillId="7" borderId="262" xfId="0" applyFont="1" applyFill="1" applyBorder="1" applyAlignment="1">
      <alignment horizontal="left" vertical="center" wrapText="1" indent="10"/>
    </xf>
    <xf numFmtId="0" fontId="74" fillId="0" borderId="241" xfId="0" applyFont="1" applyBorder="1" applyAlignment="1">
      <alignment vertical="top"/>
    </xf>
    <xf numFmtId="0" fontId="89" fillId="0" borderId="262" xfId="0" applyFont="1" applyBorder="1" applyAlignment="1">
      <alignment horizontal="center" vertical="center" wrapText="1"/>
    </xf>
    <xf numFmtId="44" fontId="0" fillId="5" borderId="260" xfId="2" applyFont="1" applyFill="1" applyBorder="1" applyAlignment="1" applyProtection="1">
      <alignment horizontal="left" vertical="center"/>
      <protection locked="0"/>
    </xf>
    <xf numFmtId="0" fontId="6" fillId="7" borderId="262" xfId="0" applyFont="1" applyFill="1" applyBorder="1" applyAlignment="1">
      <alignment horizontal="left" wrapText="1"/>
    </xf>
    <xf numFmtId="0" fontId="6" fillId="7" borderId="262" xfId="0" applyFont="1" applyFill="1" applyBorder="1" applyAlignment="1">
      <alignment horizontal="left"/>
    </xf>
    <xf numFmtId="180" fontId="0" fillId="4" borderId="240" xfId="3" applyNumberFormat="1" applyFont="1" applyFill="1" applyBorder="1" applyProtection="1">
      <protection locked="0"/>
    </xf>
    <xf numFmtId="44" fontId="0" fillId="0" borderId="246" xfId="2" applyFont="1" applyBorder="1" applyAlignment="1" applyProtection="1">
      <alignment horizontal="left" vertical="center"/>
      <protection locked="0"/>
    </xf>
    <xf numFmtId="0" fontId="0" fillId="5" borderId="247" xfId="0" applyFill="1" applyBorder="1" applyAlignment="1" applyProtection="1">
      <alignment horizontal="left"/>
      <protection locked="0"/>
    </xf>
    <xf numFmtId="0" fontId="0" fillId="0" borderId="238" xfId="0" applyBorder="1" applyAlignment="1">
      <alignment horizontal="left" wrapText="1"/>
    </xf>
    <xf numFmtId="169" fontId="0" fillId="5" borderId="247" xfId="0" applyNumberFormat="1" applyFill="1" applyBorder="1" applyAlignment="1" applyProtection="1">
      <alignment horizontal="left"/>
      <protection locked="0"/>
    </xf>
    <xf numFmtId="44" fontId="0" fillId="0" borderId="244" xfId="2" applyFont="1" applyBorder="1" applyProtection="1">
      <protection locked="0"/>
    </xf>
    <xf numFmtId="44" fontId="0" fillId="19" borderId="238" xfId="2" applyFont="1" applyFill="1" applyBorder="1" applyProtection="1">
      <protection locked="0"/>
    </xf>
    <xf numFmtId="0" fontId="6" fillId="7" borderId="262" xfId="0" applyFont="1" applyFill="1" applyBorder="1" applyAlignment="1">
      <alignment horizontal="left" indent="2"/>
    </xf>
    <xf numFmtId="0" fontId="6" fillId="7" borderId="262" xfId="0" applyFont="1" applyFill="1" applyBorder="1" applyAlignment="1">
      <alignment horizontal="left" wrapText="1" indent="4"/>
    </xf>
    <xf numFmtId="0" fontId="6" fillId="7" borderId="262" xfId="0" applyFont="1" applyFill="1" applyBorder="1" applyAlignment="1">
      <alignment horizontal="left" wrapText="1" indent="2"/>
    </xf>
    <xf numFmtId="0" fontId="6" fillId="7" borderId="262" xfId="0" applyFont="1" applyFill="1" applyBorder="1" applyAlignment="1">
      <alignment horizontal="left" vertical="center" wrapText="1" indent="4"/>
    </xf>
    <xf numFmtId="0" fontId="6" fillId="7" borderId="262" xfId="0" applyFont="1" applyFill="1" applyBorder="1" applyAlignment="1">
      <alignment horizontal="left" vertical="center" wrapText="1" indent="2"/>
    </xf>
    <xf numFmtId="0" fontId="86" fillId="0" borderId="263" xfId="0" applyFont="1" applyBorder="1" applyAlignment="1">
      <alignment vertical="center" wrapText="1"/>
    </xf>
    <xf numFmtId="44" fontId="0" fillId="21" borderId="260" xfId="2" applyFont="1" applyFill="1" applyBorder="1" applyAlignment="1" applyProtection="1">
      <alignment horizontal="left"/>
      <protection locked="0"/>
    </xf>
    <xf numFmtId="0" fontId="6" fillId="7" borderId="264" xfId="0" applyFont="1" applyFill="1" applyBorder="1" applyAlignment="1">
      <alignment horizontal="left" indent="4"/>
    </xf>
    <xf numFmtId="0" fontId="6" fillId="7" borderId="265" xfId="0" applyFont="1" applyFill="1" applyBorder="1" applyAlignment="1">
      <alignment horizontal="left" indent="6"/>
    </xf>
    <xf numFmtId="0" fontId="6" fillId="18" borderId="239" xfId="0" applyFont="1" applyFill="1" applyBorder="1" applyAlignment="1">
      <alignment horizontal="left" vertical="center" wrapText="1" indent="6"/>
    </xf>
    <xf numFmtId="0" fontId="6" fillId="0" borderId="239" xfId="0" applyFont="1" applyBorder="1" applyAlignment="1">
      <alignment horizontal="left" vertical="center" wrapText="1" indent="6"/>
    </xf>
    <xf numFmtId="0" fontId="6" fillId="7" borderId="265" xfId="0" applyFont="1" applyFill="1" applyBorder="1" applyAlignment="1">
      <alignment horizontal="left" vertical="center" wrapText="1" indent="6"/>
    </xf>
    <xf numFmtId="0" fontId="6" fillId="7" borderId="266" xfId="0" applyFont="1" applyFill="1" applyBorder="1" applyAlignment="1">
      <alignment horizontal="left" vertical="center" wrapText="1" indent="4"/>
    </xf>
    <xf numFmtId="0" fontId="0" fillId="0" borderId="267" xfId="0" applyBorder="1" applyProtection="1">
      <protection locked="0"/>
    </xf>
    <xf numFmtId="43" fontId="6" fillId="0" borderId="267" xfId="1" applyFont="1" applyBorder="1" applyAlignment="1">
      <alignment horizontal="left" vertical="center" wrapText="1"/>
    </xf>
    <xf numFmtId="0" fontId="0" fillId="0" borderId="267" xfId="0" applyBorder="1" applyAlignment="1" applyProtection="1">
      <alignment horizontal="center"/>
      <protection locked="0"/>
    </xf>
    <xf numFmtId="0" fontId="6" fillId="7" borderId="262" xfId="0" applyFont="1" applyFill="1" applyBorder="1" applyAlignment="1">
      <alignment horizontal="left" indent="6"/>
    </xf>
    <xf numFmtId="0" fontId="6" fillId="7" borderId="262" xfId="0" applyFont="1" applyFill="1" applyBorder="1" applyAlignment="1">
      <alignment horizontal="left" vertical="center" wrapText="1" indent="6"/>
    </xf>
    <xf numFmtId="0" fontId="6" fillId="0" borderId="262" xfId="0" applyFont="1" applyBorder="1" applyAlignment="1">
      <alignment horizontal="left" vertical="center" wrapText="1" indent="6"/>
    </xf>
    <xf numFmtId="0" fontId="6" fillId="0" borderId="262" xfId="0" applyFont="1" applyBorder="1" applyAlignment="1">
      <alignment horizontal="left" vertical="center" wrapText="1" indent="4"/>
    </xf>
    <xf numFmtId="0" fontId="6" fillId="7" borderId="262" xfId="0" applyFont="1" applyFill="1" applyBorder="1"/>
    <xf numFmtId="43" fontId="0" fillId="0" borderId="267" xfId="1" applyFont="1" applyBorder="1" applyProtection="1">
      <protection locked="0"/>
    </xf>
    <xf numFmtId="44" fontId="0" fillId="0" borderId="267" xfId="2" applyFont="1" applyBorder="1" applyProtection="1">
      <protection locked="0"/>
    </xf>
    <xf numFmtId="0" fontId="6" fillId="7" borderId="264" xfId="0" applyFont="1" applyFill="1" applyBorder="1" applyAlignment="1">
      <alignment horizontal="left" vertical="center" wrapText="1" indent="6"/>
    </xf>
    <xf numFmtId="0" fontId="6" fillId="7" borderId="266" xfId="0" applyFont="1" applyFill="1" applyBorder="1" applyAlignment="1">
      <alignment horizontal="left" vertical="center" wrapText="1" indent="6"/>
    </xf>
    <xf numFmtId="0" fontId="6" fillId="7" borderId="262" xfId="0" applyFont="1" applyFill="1" applyBorder="1" applyAlignment="1">
      <alignment vertical="center" wrapText="1"/>
    </xf>
    <xf numFmtId="0" fontId="6" fillId="7" borderId="262" xfId="0" applyFont="1" applyFill="1" applyBorder="1" applyAlignment="1">
      <alignment horizontal="left" indent="4"/>
    </xf>
    <xf numFmtId="0" fontId="6" fillId="0" borderId="262" xfId="0" applyFont="1" applyBorder="1" applyAlignment="1">
      <alignment horizontal="left" indent="2"/>
    </xf>
    <xf numFmtId="0" fontId="6" fillId="0" borderId="262" xfId="0" applyFont="1" applyBorder="1" applyAlignment="1">
      <alignment horizontal="left"/>
    </xf>
    <xf numFmtId="0" fontId="6" fillId="7" borderId="264" xfId="0" applyFont="1" applyFill="1" applyBorder="1"/>
    <xf numFmtId="0" fontId="6" fillId="7" borderId="266" xfId="0" applyFont="1" applyFill="1" applyBorder="1" applyAlignment="1">
      <alignment horizontal="left" indent="2"/>
    </xf>
    <xf numFmtId="0" fontId="6" fillId="7" borderId="264" xfId="0" applyFont="1" applyFill="1" applyBorder="1" applyAlignment="1">
      <alignment horizontal="left" vertical="center" wrapText="1" indent="4"/>
    </xf>
    <xf numFmtId="0" fontId="6" fillId="7" borderId="266" xfId="0" applyFont="1" applyFill="1" applyBorder="1"/>
    <xf numFmtId="43" fontId="0" fillId="0" borderId="267" xfId="1" applyFont="1" applyFill="1" applyBorder="1" applyProtection="1">
      <protection locked="0"/>
    </xf>
    <xf numFmtId="0" fontId="86" fillId="7" borderId="262" xfId="0" applyFont="1" applyFill="1" applyBorder="1" applyAlignment="1">
      <alignment horizontal="left"/>
    </xf>
    <xf numFmtId="0" fontId="6" fillId="18" borderId="239" xfId="0" applyFont="1" applyFill="1" applyBorder="1" applyAlignment="1">
      <alignment vertical="center" wrapText="1"/>
    </xf>
    <xf numFmtId="0" fontId="6" fillId="0" borderId="267" xfId="0" applyFont="1" applyBorder="1" applyAlignment="1">
      <alignment horizontal="left" vertical="center" wrapText="1"/>
    </xf>
    <xf numFmtId="0" fontId="0" fillId="4" borderId="267" xfId="0" applyFill="1" applyBorder="1" applyAlignment="1">
      <alignment horizontal="right" wrapText="1"/>
    </xf>
    <xf numFmtId="0" fontId="0" fillId="4" borderId="267" xfId="0" applyFill="1" applyBorder="1" applyProtection="1">
      <protection locked="0"/>
    </xf>
    <xf numFmtId="43" fontId="0" fillId="4" borderId="267" xfId="1" applyFont="1" applyFill="1" applyBorder="1" applyProtection="1">
      <protection locked="0"/>
    </xf>
    <xf numFmtId="0" fontId="0" fillId="4" borderId="267" xfId="0" applyFill="1" applyBorder="1" applyAlignment="1" applyProtection="1">
      <alignment horizontal="center" vertical="center"/>
      <protection locked="0"/>
    </xf>
    <xf numFmtId="44" fontId="0" fillId="4" borderId="267" xfId="2" applyFont="1" applyFill="1" applyBorder="1" applyAlignment="1" applyProtection="1">
      <alignment horizontal="right" vertical="center"/>
      <protection locked="0"/>
    </xf>
    <xf numFmtId="0" fontId="8" fillId="4" borderId="267" xfId="0" applyFont="1" applyFill="1" applyBorder="1" applyAlignment="1" applyProtection="1">
      <alignment horizontal="right" vertical="center"/>
      <protection locked="0"/>
    </xf>
    <xf numFmtId="44" fontId="8" fillId="4" borderId="267" xfId="2" applyFont="1" applyFill="1" applyBorder="1" applyAlignment="1" applyProtection="1">
      <alignment horizontal="right" vertical="center"/>
      <protection locked="0"/>
    </xf>
    <xf numFmtId="0" fontId="0" fillId="4" borderId="267" xfId="0" applyFill="1" applyBorder="1" applyAlignment="1">
      <alignment wrapText="1"/>
    </xf>
    <xf numFmtId="0" fontId="0" fillId="0" borderId="268" xfId="0" applyBorder="1"/>
    <xf numFmtId="0" fontId="0" fillId="0" borderId="269" xfId="0" applyBorder="1" applyProtection="1">
      <protection locked="0"/>
    </xf>
    <xf numFmtId="43" fontId="0" fillId="0" borderId="269" xfId="1" applyFont="1" applyBorder="1" applyProtection="1">
      <protection locked="0"/>
    </xf>
    <xf numFmtId="0" fontId="0" fillId="0" borderId="269" xfId="0" applyBorder="1" applyAlignment="1" applyProtection="1">
      <alignment horizontal="center"/>
      <protection locked="0"/>
    </xf>
    <xf numFmtId="44" fontId="0" fillId="0" borderId="269" xfId="2" applyFont="1" applyBorder="1" applyProtection="1">
      <protection locked="0"/>
    </xf>
    <xf numFmtId="0" fontId="0" fillId="0" borderId="270" xfId="0" applyBorder="1" applyProtection="1">
      <protection locked="0"/>
    </xf>
    <xf numFmtId="165" fontId="0" fillId="0" borderId="271" xfId="0" applyNumberFormat="1" applyBorder="1" applyProtection="1">
      <protection locked="0"/>
    </xf>
    <xf numFmtId="0" fontId="0" fillId="0" borderId="272" xfId="0" applyBorder="1" applyProtection="1">
      <protection locked="0"/>
    </xf>
    <xf numFmtId="0" fontId="0" fillId="0" borderId="267" xfId="0" applyBorder="1" applyAlignment="1" applyProtection="1">
      <alignment wrapText="1"/>
      <protection locked="0"/>
    </xf>
    <xf numFmtId="0" fontId="0" fillId="0" borderId="268" xfId="0" applyBorder="1" applyProtection="1">
      <protection locked="0"/>
    </xf>
    <xf numFmtId="0" fontId="0" fillId="0" borderId="269" xfId="0" applyBorder="1" applyAlignment="1" applyProtection="1">
      <alignment wrapText="1"/>
      <protection locked="0"/>
    </xf>
    <xf numFmtId="0" fontId="0" fillId="0" borderId="269" xfId="0" applyBorder="1" applyAlignment="1">
      <alignment wrapText="1"/>
    </xf>
    <xf numFmtId="0" fontId="0" fillId="0" borderId="271" xfId="0" applyBorder="1" applyProtection="1">
      <protection locked="0"/>
    </xf>
    <xf numFmtId="0" fontId="0" fillId="0" borderId="267" xfId="0" applyBorder="1" applyAlignment="1">
      <alignment wrapText="1"/>
    </xf>
    <xf numFmtId="0" fontId="0" fillId="0" borderId="267" xfId="0" applyBorder="1" applyAlignment="1">
      <alignment horizontal="left" wrapText="1"/>
    </xf>
    <xf numFmtId="0" fontId="0" fillId="0" borderId="272" xfId="0" applyBorder="1" applyAlignment="1" applyProtection="1">
      <alignment horizontal="right"/>
      <protection locked="0"/>
    </xf>
    <xf numFmtId="14" fontId="0" fillId="0" borderId="267" xfId="0" applyNumberFormat="1" applyBorder="1" applyAlignment="1">
      <alignment horizontal="left" wrapText="1"/>
    </xf>
    <xf numFmtId="169" fontId="4" fillId="0" borderId="247" xfId="4" applyNumberFormat="1" applyBorder="1" applyAlignment="1" applyProtection="1">
      <alignment horizontal="left"/>
      <protection locked="0"/>
    </xf>
    <xf numFmtId="0" fontId="0" fillId="0" borderId="273" xfId="0" applyBorder="1" applyAlignment="1">
      <alignment vertical="top"/>
    </xf>
    <xf numFmtId="0" fontId="0" fillId="0" borderId="268" xfId="0" applyBorder="1" applyAlignment="1">
      <alignment vertical="top"/>
    </xf>
    <xf numFmtId="0" fontId="6" fillId="0" borderId="274" xfId="0" applyFont="1" applyBorder="1" applyAlignment="1">
      <alignment vertical="center"/>
    </xf>
    <xf numFmtId="0" fontId="6" fillId="0" borderId="274" xfId="0" quotePrefix="1" applyFont="1" applyBorder="1"/>
    <xf numFmtId="0" fontId="6" fillId="17" borderId="274" xfId="0" applyFont="1" applyFill="1" applyBorder="1" applyAlignment="1">
      <alignment horizontal="center"/>
    </xf>
    <xf numFmtId="0" fontId="6" fillId="19" borderId="274" xfId="0" applyFont="1" applyFill="1" applyBorder="1" applyAlignment="1">
      <alignment horizontal="left"/>
    </xf>
    <xf numFmtId="0" fontId="0" fillId="19" borderId="267" xfId="0" applyFill="1" applyBorder="1" applyProtection="1">
      <protection locked="0"/>
    </xf>
    <xf numFmtId="43" fontId="0" fillId="19" borderId="267" xfId="1" applyFont="1" applyFill="1" applyBorder="1" applyProtection="1">
      <protection locked="0"/>
    </xf>
    <xf numFmtId="0" fontId="0" fillId="19" borderId="267" xfId="0" applyFill="1" applyBorder="1" applyAlignment="1" applyProtection="1">
      <alignment horizontal="center"/>
      <protection locked="0"/>
    </xf>
    <xf numFmtId="165" fontId="0" fillId="19" borderId="267" xfId="0" applyNumberFormat="1" applyFill="1" applyBorder="1" applyProtection="1">
      <protection locked="0"/>
    </xf>
    <xf numFmtId="0" fontId="6" fillId="7" borderId="274" xfId="0" applyFont="1" applyFill="1" applyBorder="1" applyAlignment="1">
      <alignment horizontal="left"/>
    </xf>
    <xf numFmtId="165" fontId="0" fillId="0" borderId="267" xfId="0" applyNumberFormat="1" applyBorder="1" applyProtection="1">
      <protection locked="0"/>
    </xf>
    <xf numFmtId="43" fontId="0" fillId="0" borderId="241" xfId="1" applyFont="1" applyBorder="1" applyAlignment="1">
      <alignment vertical="top"/>
    </xf>
    <xf numFmtId="44" fontId="0" fillId="0" borderId="275" xfId="2" applyFont="1" applyBorder="1" applyProtection="1">
      <protection locked="0"/>
    </xf>
    <xf numFmtId="0" fontId="6" fillId="7" borderId="274" xfId="0" applyFont="1" applyFill="1" applyBorder="1" applyAlignment="1">
      <alignment horizontal="left" indent="2"/>
    </xf>
    <xf numFmtId="0" fontId="86" fillId="18" borderId="276" xfId="0" applyFont="1" applyFill="1" applyBorder="1" applyAlignment="1">
      <alignment vertical="center" wrapText="1"/>
    </xf>
    <xf numFmtId="0" fontId="0" fillId="0" borderId="277" xfId="0" applyBorder="1" applyAlignment="1">
      <alignment vertical="top"/>
    </xf>
    <xf numFmtId="0" fontId="6" fillId="18" borderId="276" xfId="0" applyFont="1" applyFill="1" applyBorder="1" applyAlignment="1">
      <alignment vertical="center" wrapText="1"/>
    </xf>
    <xf numFmtId="0" fontId="0" fillId="0" borderId="275" xfId="0" applyBorder="1" applyProtection="1">
      <protection locked="0"/>
    </xf>
    <xf numFmtId="43" fontId="0" fillId="0" borderId="275" xfId="1" applyFont="1" applyBorder="1" applyProtection="1">
      <protection locked="0"/>
    </xf>
    <xf numFmtId="0" fontId="0" fillId="0" borderId="275" xfId="0" applyBorder="1" applyAlignment="1" applyProtection="1">
      <alignment horizontal="center"/>
      <protection locked="0"/>
    </xf>
    <xf numFmtId="165" fontId="0" fillId="0" borderId="275" xfId="0" applyNumberFormat="1" applyBorder="1" applyProtection="1">
      <protection locked="0"/>
    </xf>
    <xf numFmtId="44" fontId="6" fillId="0" borderId="278" xfId="2" applyFont="1" applyBorder="1" applyAlignment="1">
      <alignment horizontal="center" vertical="center"/>
    </xf>
    <xf numFmtId="44" fontId="6" fillId="0" borderId="278" xfId="2" applyFont="1" applyFill="1" applyBorder="1" applyAlignment="1">
      <alignment horizontal="center" vertical="center"/>
    </xf>
    <xf numFmtId="0" fontId="6" fillId="0" borderId="276" xfId="0" applyFont="1" applyBorder="1" applyAlignment="1">
      <alignment horizontal="left" vertical="center" wrapText="1" indent="2"/>
    </xf>
    <xf numFmtId="43" fontId="6" fillId="0" borderId="275" xfId="1" applyFont="1" applyBorder="1" applyAlignment="1">
      <alignment horizontal="left" vertical="center" wrapText="1"/>
    </xf>
    <xf numFmtId="0" fontId="6" fillId="0" borderId="279" xfId="0" applyFont="1" applyBorder="1" applyAlignment="1">
      <alignment horizontal="left" vertical="center" wrapText="1" indent="2"/>
    </xf>
    <xf numFmtId="0" fontId="6" fillId="0" borderId="263" xfId="0" applyFont="1" applyBorder="1" applyAlignment="1">
      <alignment horizontal="left" vertical="center" wrapText="1" indent="2"/>
    </xf>
    <xf numFmtId="0" fontId="6" fillId="7" borderId="274" xfId="0" applyFont="1" applyFill="1" applyBorder="1" applyAlignment="1">
      <alignment horizontal="left" vertical="center" wrapText="1" indent="2"/>
    </xf>
    <xf numFmtId="0" fontId="6" fillId="18" borderId="276" xfId="0" applyFont="1" applyFill="1" applyBorder="1" applyAlignment="1">
      <alignment horizontal="left" vertical="center" wrapText="1" indent="2"/>
    </xf>
    <xf numFmtId="0" fontId="0" fillId="4" borderId="277" xfId="0" applyFill="1" applyBorder="1"/>
    <xf numFmtId="0" fontId="0" fillId="4" borderId="275" xfId="0" applyFill="1" applyBorder="1" applyAlignment="1">
      <alignment horizontal="right" wrapText="1"/>
    </xf>
    <xf numFmtId="0" fontId="0" fillId="4" borderId="275" xfId="0" applyFill="1" applyBorder="1" applyProtection="1">
      <protection locked="0"/>
    </xf>
    <xf numFmtId="43" fontId="0" fillId="4" borderId="275" xfId="1" applyFont="1" applyFill="1" applyBorder="1" applyProtection="1">
      <protection locked="0"/>
    </xf>
    <xf numFmtId="0" fontId="0" fillId="4" borderId="275" xfId="0" applyFill="1" applyBorder="1" applyAlignment="1" applyProtection="1">
      <alignment horizontal="center" vertical="center"/>
      <protection locked="0"/>
    </xf>
    <xf numFmtId="0" fontId="0" fillId="4" borderId="275" xfId="0" applyFill="1" applyBorder="1" applyAlignment="1" applyProtection="1">
      <alignment horizontal="right" vertical="center"/>
      <protection locked="0"/>
    </xf>
    <xf numFmtId="9" fontId="0" fillId="4" borderId="278" xfId="3" applyFont="1" applyFill="1" applyBorder="1" applyProtection="1">
      <protection locked="0"/>
    </xf>
    <xf numFmtId="44" fontId="0" fillId="4" borderId="278" xfId="2" applyFont="1" applyFill="1" applyBorder="1" applyProtection="1">
      <protection locked="0"/>
    </xf>
    <xf numFmtId="44" fontId="0" fillId="4" borderId="278" xfId="2" applyFont="1" applyFill="1" applyBorder="1" applyAlignment="1" applyProtection="1">
      <alignment horizontal="left"/>
      <protection locked="0"/>
    </xf>
    <xf numFmtId="44" fontId="0" fillId="4" borderId="278" xfId="0" applyNumberFormat="1" applyFill="1" applyBorder="1" applyProtection="1">
      <protection locked="0"/>
    </xf>
    <xf numFmtId="0" fontId="8" fillId="4" borderId="275" xfId="0" applyFont="1" applyFill="1" applyBorder="1" applyAlignment="1" applyProtection="1">
      <alignment horizontal="right" vertical="center"/>
      <protection locked="0"/>
    </xf>
    <xf numFmtId="165" fontId="9" fillId="4" borderId="278" xfId="0" applyNumberFormat="1" applyFont="1" applyFill="1" applyBorder="1" applyAlignment="1" applyProtection="1">
      <alignment horizontal="center"/>
      <protection locked="0"/>
    </xf>
    <xf numFmtId="44" fontId="9" fillId="4" borderId="278" xfId="2" applyFont="1" applyFill="1" applyBorder="1" applyAlignment="1" applyProtection="1">
      <alignment horizontal="left"/>
      <protection locked="0"/>
    </xf>
    <xf numFmtId="165" fontId="9" fillId="4" borderId="278" xfId="0" applyNumberFormat="1" applyFont="1" applyFill="1" applyBorder="1" applyAlignment="1" applyProtection="1">
      <alignment horizontal="left"/>
      <protection locked="0"/>
    </xf>
    <xf numFmtId="0" fontId="0" fillId="4" borderId="275" xfId="0" applyFill="1" applyBorder="1" applyAlignment="1">
      <alignment wrapText="1"/>
    </xf>
    <xf numFmtId="0" fontId="0" fillId="4" borderId="278" xfId="0" applyFill="1" applyBorder="1" applyAlignment="1" applyProtection="1">
      <alignment horizontal="center"/>
      <protection locked="0"/>
    </xf>
    <xf numFmtId="44" fontId="0" fillId="4" borderId="278" xfId="2" applyFont="1" applyFill="1" applyBorder="1" applyAlignment="1" applyProtection="1">
      <alignment horizontal="center"/>
      <protection locked="0"/>
    </xf>
    <xf numFmtId="0" fontId="0" fillId="0" borderId="277" xfId="0" applyBorder="1"/>
    <xf numFmtId="0" fontId="0" fillId="0" borderId="280" xfId="0" applyBorder="1" applyProtection="1">
      <protection locked="0"/>
    </xf>
    <xf numFmtId="165" fontId="0" fillId="0" borderId="278" xfId="0" applyNumberFormat="1" applyBorder="1" applyAlignment="1" applyProtection="1">
      <alignment horizontal="right"/>
      <protection locked="0"/>
    </xf>
    <xf numFmtId="0" fontId="0" fillId="0" borderId="277" xfId="0" applyBorder="1" applyProtection="1">
      <protection locked="0"/>
    </xf>
    <xf numFmtId="0" fontId="0" fillId="0" borderId="275" xfId="0" applyBorder="1" applyAlignment="1" applyProtection="1">
      <alignment wrapText="1"/>
      <protection locked="0"/>
    </xf>
    <xf numFmtId="44" fontId="0" fillId="0" borderId="278" xfId="0" applyNumberFormat="1" applyBorder="1" applyProtection="1">
      <protection locked="0"/>
    </xf>
    <xf numFmtId="165" fontId="0" fillId="0" borderId="278" xfId="0" applyNumberFormat="1" applyBorder="1" applyProtection="1">
      <protection locked="0"/>
    </xf>
    <xf numFmtId="0" fontId="0" fillId="0" borderId="278" xfId="0" applyBorder="1" applyProtection="1">
      <protection locked="0"/>
    </xf>
    <xf numFmtId="0" fontId="0" fillId="0" borderId="281" xfId="0" applyBorder="1"/>
    <xf numFmtId="43" fontId="0" fillId="0" borderId="282" xfId="1" applyFont="1" applyBorder="1" applyProtection="1">
      <protection locked="0"/>
    </xf>
    <xf numFmtId="0" fontId="0" fillId="0" borderId="282" xfId="0" applyBorder="1" applyAlignment="1" applyProtection="1">
      <alignment horizontal="center"/>
      <protection locked="0"/>
    </xf>
    <xf numFmtId="0" fontId="0" fillId="0" borderId="283" xfId="0" applyBorder="1" applyProtection="1">
      <protection locked="0"/>
    </xf>
    <xf numFmtId="0" fontId="0" fillId="0" borderId="284" xfId="0" applyBorder="1" applyProtection="1">
      <protection locked="0"/>
    </xf>
    <xf numFmtId="0" fontId="0" fillId="0" borderId="278" xfId="0" applyBorder="1" applyAlignment="1" applyProtection="1">
      <alignment horizontal="center"/>
      <protection locked="0"/>
    </xf>
    <xf numFmtId="0" fontId="3" fillId="0" borderId="285" xfId="0" applyFont="1" applyBorder="1" applyAlignment="1" applyProtection="1">
      <alignment horizontal="right"/>
      <protection locked="0"/>
    </xf>
    <xf numFmtId="0" fontId="3" fillId="0" borderId="278" xfId="0" applyFont="1" applyBorder="1" applyAlignment="1" applyProtection="1">
      <alignment horizontal="right"/>
      <protection locked="0"/>
    </xf>
    <xf numFmtId="169" fontId="0" fillId="0" borderId="278" xfId="0" applyNumberFormat="1" applyBorder="1" applyAlignment="1" applyProtection="1">
      <alignment horizontal="center"/>
      <protection locked="0"/>
    </xf>
    <xf numFmtId="0" fontId="4" fillId="0" borderId="278" xfId="4" applyBorder="1" applyAlignment="1" applyProtection="1">
      <alignment horizontal="center" vertical="center"/>
      <protection locked="0"/>
    </xf>
    <xf numFmtId="0" fontId="3" fillId="0" borderId="281" xfId="0" applyFont="1" applyBorder="1" applyAlignment="1" applyProtection="1">
      <alignment horizontal="right"/>
      <protection locked="0"/>
    </xf>
    <xf numFmtId="44" fontId="0" fillId="0" borderId="284" xfId="2" applyFont="1" applyBorder="1" applyAlignment="1" applyProtection="1">
      <alignment horizontal="center"/>
      <protection locked="0"/>
    </xf>
    <xf numFmtId="0" fontId="0" fillId="0" borderId="277" xfId="0" applyBorder="1" applyAlignment="1">
      <alignment horizontal="right"/>
    </xf>
    <xf numFmtId="0" fontId="0" fillId="0" borderId="275" xfId="0" applyBorder="1" applyAlignment="1">
      <alignment wrapText="1"/>
    </xf>
    <xf numFmtId="0" fontId="0" fillId="0" borderId="285" xfId="0" applyBorder="1" applyAlignment="1" applyProtection="1">
      <alignment horizontal="left"/>
      <protection locked="0"/>
    </xf>
    <xf numFmtId="0" fontId="0" fillId="0" borderId="275" xfId="0" applyBorder="1" applyAlignment="1">
      <alignment horizontal="left" wrapText="1"/>
    </xf>
    <xf numFmtId="0" fontId="0" fillId="0" borderId="280" xfId="0" applyBorder="1" applyAlignment="1" applyProtection="1">
      <alignment horizontal="right"/>
      <protection locked="0"/>
    </xf>
    <xf numFmtId="169" fontId="0" fillId="0" borderId="285" xfId="0" applyNumberFormat="1" applyBorder="1" applyAlignment="1" applyProtection="1">
      <alignment horizontal="left"/>
      <protection locked="0"/>
    </xf>
    <xf numFmtId="14" fontId="0" fillId="0" borderId="275" xfId="0" applyNumberFormat="1" applyBorder="1" applyAlignment="1">
      <alignment horizontal="left" wrapText="1"/>
    </xf>
    <xf numFmtId="0" fontId="4" fillId="0" borderId="285" xfId="4" applyBorder="1" applyAlignment="1" applyProtection="1">
      <alignment horizontal="left" vertical="center"/>
      <protection locked="0"/>
    </xf>
    <xf numFmtId="0" fontId="6" fillId="0" borderId="281" xfId="0" applyFont="1" applyBorder="1" applyAlignment="1" applyProtection="1">
      <alignment horizontal="right"/>
      <protection locked="0"/>
    </xf>
    <xf numFmtId="0" fontId="0" fillId="0" borderId="282" xfId="0" applyBorder="1" applyAlignment="1">
      <alignment wrapText="1"/>
    </xf>
    <xf numFmtId="0" fontId="0" fillId="0" borderId="282" xfId="0" applyBorder="1" applyProtection="1">
      <protection locked="0"/>
    </xf>
    <xf numFmtId="0" fontId="6" fillId="0" borderId="283" xfId="0" applyFont="1" applyBorder="1" applyAlignment="1" applyProtection="1">
      <alignment horizontal="right"/>
      <protection locked="0"/>
    </xf>
    <xf numFmtId="44" fontId="0" fillId="0" borderId="286" xfId="2" applyFont="1" applyBorder="1" applyAlignment="1" applyProtection="1">
      <alignment horizontal="center"/>
      <protection locked="0"/>
    </xf>
    <xf numFmtId="44" fontId="0" fillId="0" borderId="287" xfId="2" applyFont="1" applyBorder="1" applyAlignment="1" applyProtection="1">
      <alignment horizontal="center"/>
      <protection locked="0"/>
    </xf>
    <xf numFmtId="44" fontId="0" fillId="0" borderId="284" xfId="2" applyFont="1" applyBorder="1" applyAlignment="1" applyProtection="1">
      <alignment horizontal="center"/>
      <protection locked="0"/>
    </xf>
    <xf numFmtId="5" fontId="0" fillId="0" borderId="284" xfId="2" applyNumberFormat="1" applyFont="1" applyBorder="1" applyAlignment="1" applyProtection="1">
      <alignment horizontal="center"/>
      <protection locked="0"/>
    </xf>
    <xf numFmtId="0" fontId="0" fillId="19" borderId="275" xfId="0" applyFill="1" applyBorder="1" applyProtection="1">
      <protection locked="0"/>
    </xf>
    <xf numFmtId="43" fontId="0" fillId="19" borderId="275" xfId="1" applyFont="1" applyFill="1" applyBorder="1" applyProtection="1">
      <protection locked="0"/>
    </xf>
    <xf numFmtId="0" fontId="0" fillId="19" borderId="275" xfId="0" applyFill="1" applyBorder="1" applyAlignment="1" applyProtection="1">
      <alignment horizontal="center"/>
      <protection locked="0"/>
    </xf>
    <xf numFmtId="165" fontId="0" fillId="19" borderId="275" xfId="0" applyNumberFormat="1" applyFill="1" applyBorder="1" applyProtection="1">
      <protection locked="0"/>
    </xf>
    <xf numFmtId="0" fontId="0" fillId="19" borderId="278" xfId="0" applyFill="1" applyBorder="1" applyProtection="1">
      <protection locked="0"/>
    </xf>
    <xf numFmtId="43" fontId="0" fillId="0" borderId="277" xfId="1" applyFont="1" applyBorder="1" applyAlignment="1">
      <alignment vertical="top"/>
    </xf>
    <xf numFmtId="0" fontId="86" fillId="0" borderId="288" xfId="0" applyFont="1" applyBorder="1" applyAlignment="1">
      <alignment vertical="center" wrapText="1"/>
    </xf>
    <xf numFmtId="44" fontId="0" fillId="0" borderId="289" xfId="2" applyFont="1" applyBorder="1" applyProtection="1">
      <protection locked="0"/>
    </xf>
    <xf numFmtId="0" fontId="6" fillId="7" borderId="274" xfId="0" applyFont="1" applyFill="1" applyBorder="1"/>
    <xf numFmtId="0" fontId="6" fillId="7" borderId="274" xfId="0" applyFont="1" applyFill="1" applyBorder="1" applyAlignment="1">
      <alignment horizontal="left" indent="4"/>
    </xf>
    <xf numFmtId="0" fontId="6" fillId="18" borderId="290" xfId="0" applyFont="1" applyFill="1" applyBorder="1" applyAlignment="1">
      <alignment horizontal="left" vertical="top" indent="4"/>
    </xf>
    <xf numFmtId="43" fontId="0" fillId="0" borderId="289" xfId="1" applyFont="1" applyBorder="1" applyAlignment="1" applyProtection="1">
      <alignment vertical="top"/>
      <protection locked="0"/>
    </xf>
    <xf numFmtId="0" fontId="0" fillId="0" borderId="289" xfId="0" applyBorder="1" applyAlignment="1" applyProtection="1">
      <alignment horizontal="center" vertical="top"/>
      <protection locked="0"/>
    </xf>
    <xf numFmtId="44" fontId="0" fillId="0" borderId="260" xfId="2" applyFont="1" applyBorder="1" applyAlignment="1" applyProtection="1">
      <protection locked="0"/>
    </xf>
    <xf numFmtId="0" fontId="0" fillId="0" borderId="289" xfId="0" applyBorder="1" applyAlignment="1" applyProtection="1">
      <alignment vertical="top"/>
      <protection locked="0"/>
    </xf>
    <xf numFmtId="0" fontId="6" fillId="0" borderId="274" xfId="0" applyFont="1" applyBorder="1" applyAlignment="1">
      <alignment horizontal="left" indent="2"/>
    </xf>
    <xf numFmtId="0" fontId="6" fillId="0" borderId="274" xfId="0" applyFont="1" applyBorder="1" applyAlignment="1">
      <alignment horizontal="left" indent="4"/>
    </xf>
    <xf numFmtId="0" fontId="0" fillId="0" borderId="289" xfId="0" applyBorder="1" applyAlignment="1" applyProtection="1">
      <alignment vertical="top" wrapText="1"/>
      <protection locked="0"/>
    </xf>
    <xf numFmtId="0" fontId="6" fillId="0" borderId="274" xfId="0" applyFont="1" applyBorder="1"/>
    <xf numFmtId="0" fontId="0" fillId="27" borderId="291" xfId="0" applyFill="1" applyBorder="1" applyAlignment="1">
      <alignment vertical="top"/>
    </xf>
    <xf numFmtId="44" fontId="0" fillId="27" borderId="260" xfId="2" applyFont="1" applyFill="1" applyBorder="1" applyAlignment="1" applyProtection="1">
      <alignment horizontal="left"/>
      <protection locked="0"/>
    </xf>
    <xf numFmtId="0" fontId="6" fillId="7" borderId="274" xfId="0" applyFont="1" applyFill="1" applyBorder="1" applyAlignment="1">
      <alignment horizontal="left" vertical="top" wrapText="1" indent="2"/>
    </xf>
    <xf numFmtId="165" fontId="0" fillId="0" borderId="289" xfId="0" applyNumberFormat="1" applyBorder="1" applyAlignment="1" applyProtection="1">
      <alignment vertical="top"/>
      <protection locked="0"/>
    </xf>
    <xf numFmtId="44" fontId="6" fillId="0" borderId="292" xfId="2" applyFont="1" applyBorder="1" applyAlignment="1">
      <alignment horizontal="center" vertical="top"/>
    </xf>
    <xf numFmtId="44" fontId="0" fillId="0" borderId="260" xfId="2" applyFont="1" applyBorder="1" applyAlignment="1" applyProtection="1">
      <alignment horizontal="left" vertical="top"/>
      <protection locked="0"/>
    </xf>
    <xf numFmtId="44" fontId="0" fillId="0" borderId="260" xfId="2" applyFont="1" applyBorder="1" applyAlignment="1" applyProtection="1">
      <alignment vertical="top"/>
      <protection locked="0"/>
    </xf>
    <xf numFmtId="0" fontId="6" fillId="7" borderId="274" xfId="0" quotePrefix="1" applyFont="1" applyFill="1" applyBorder="1" applyAlignment="1">
      <alignment horizontal="left" wrapText="1" indent="2"/>
    </xf>
    <xf numFmtId="44" fontId="0" fillId="11" borderId="260" xfId="2" applyFont="1" applyFill="1" applyBorder="1" applyAlignment="1" applyProtection="1">
      <alignment horizontal="left"/>
      <protection locked="0"/>
    </xf>
    <xf numFmtId="44" fontId="0" fillId="20" borderId="260" xfId="2" applyFont="1" applyFill="1" applyBorder="1" applyProtection="1">
      <protection locked="0"/>
    </xf>
    <xf numFmtId="0" fontId="86" fillId="18" borderId="290" xfId="0" applyFont="1" applyFill="1" applyBorder="1" applyAlignment="1">
      <alignment vertical="center" wrapText="1"/>
    </xf>
    <xf numFmtId="0" fontId="6" fillId="0" borderId="290" xfId="0" applyFont="1" applyBorder="1" applyAlignment="1">
      <alignment vertical="center" wrapText="1"/>
    </xf>
    <xf numFmtId="0" fontId="6" fillId="18" borderId="290" xfId="0" applyFont="1" applyFill="1" applyBorder="1" applyAlignment="1">
      <alignment horizontal="left" vertical="center" wrapText="1" indent="2"/>
    </xf>
    <xf numFmtId="0" fontId="0" fillId="0" borderId="293" xfId="0" applyBorder="1" applyAlignment="1">
      <alignment vertical="top"/>
    </xf>
    <xf numFmtId="43" fontId="6" fillId="0" borderId="289" xfId="1" applyFont="1" applyBorder="1" applyAlignment="1">
      <alignment horizontal="left" vertical="center" wrapText="1"/>
    </xf>
    <xf numFmtId="0" fontId="6" fillId="18" borderId="290" xfId="0" applyFont="1" applyFill="1" applyBorder="1" applyAlignment="1">
      <alignment vertical="center" wrapText="1"/>
    </xf>
    <xf numFmtId="0" fontId="6" fillId="0" borderId="289" xfId="0" applyFont="1" applyBorder="1" applyAlignment="1">
      <alignment horizontal="left" vertical="center" wrapText="1"/>
    </xf>
    <xf numFmtId="0" fontId="0" fillId="4" borderId="291" xfId="0" applyFill="1" applyBorder="1"/>
    <xf numFmtId="0" fontId="0" fillId="4" borderId="289" xfId="0" applyFill="1" applyBorder="1" applyAlignment="1">
      <alignment horizontal="right" wrapText="1"/>
    </xf>
    <xf numFmtId="0" fontId="0" fillId="4" borderId="289" xfId="0" applyFill="1" applyBorder="1" applyProtection="1">
      <protection locked="0"/>
    </xf>
    <xf numFmtId="43" fontId="0" fillId="4" borderId="289" xfId="1" applyFont="1" applyFill="1" applyBorder="1" applyProtection="1">
      <protection locked="0"/>
    </xf>
    <xf numFmtId="0" fontId="0" fillId="4" borderId="289" xfId="0" applyFill="1" applyBorder="1" applyAlignment="1" applyProtection="1">
      <alignment horizontal="center" vertical="center"/>
      <protection locked="0"/>
    </xf>
    <xf numFmtId="0" fontId="0" fillId="4" borderId="289" xfId="0" applyFill="1" applyBorder="1" applyAlignment="1" applyProtection="1">
      <alignment horizontal="right" vertical="center"/>
      <protection locked="0"/>
    </xf>
    <xf numFmtId="9" fontId="0" fillId="4" borderId="292" xfId="3" applyFont="1" applyFill="1" applyBorder="1" applyProtection="1">
      <protection locked="0"/>
    </xf>
    <xf numFmtId="44" fontId="0" fillId="4" borderId="292" xfId="2" applyFont="1" applyFill="1" applyBorder="1" applyProtection="1">
      <protection locked="0"/>
    </xf>
    <xf numFmtId="44" fontId="0" fillId="4" borderId="292" xfId="2" applyFont="1" applyFill="1" applyBorder="1" applyAlignment="1" applyProtection="1">
      <alignment horizontal="left"/>
      <protection locked="0"/>
    </xf>
    <xf numFmtId="44" fontId="0" fillId="4" borderId="292" xfId="0" applyNumberFormat="1" applyFill="1" applyBorder="1" applyProtection="1">
      <protection locked="0"/>
    </xf>
    <xf numFmtId="0" fontId="8" fillId="4" borderId="289" xfId="0" applyFont="1" applyFill="1" applyBorder="1" applyAlignment="1" applyProtection="1">
      <alignment horizontal="right" vertical="center"/>
      <protection locked="0"/>
    </xf>
    <xf numFmtId="165" fontId="9" fillId="4" borderId="292" xfId="0" applyNumberFormat="1" applyFont="1" applyFill="1" applyBorder="1" applyAlignment="1" applyProtection="1">
      <alignment horizontal="center"/>
      <protection locked="0"/>
    </xf>
    <xf numFmtId="44" fontId="9" fillId="4" borderId="292" xfId="2" applyFont="1" applyFill="1" applyBorder="1" applyAlignment="1" applyProtection="1">
      <alignment horizontal="left"/>
      <protection locked="0"/>
    </xf>
    <xf numFmtId="165" fontId="9" fillId="4" borderId="292" xfId="0" applyNumberFormat="1" applyFont="1" applyFill="1" applyBorder="1" applyAlignment="1" applyProtection="1">
      <alignment horizontal="left"/>
      <protection locked="0"/>
    </xf>
    <xf numFmtId="0" fontId="0" fillId="4" borderId="289" xfId="0" applyFill="1" applyBorder="1" applyAlignment="1">
      <alignment wrapText="1"/>
    </xf>
    <xf numFmtId="0" fontId="0" fillId="4" borderId="292" xfId="0" applyFill="1" applyBorder="1" applyAlignment="1" applyProtection="1">
      <alignment horizontal="center"/>
      <protection locked="0"/>
    </xf>
    <xf numFmtId="44" fontId="0" fillId="4" borderId="292" xfId="2" applyFont="1" applyFill="1" applyBorder="1" applyAlignment="1" applyProtection="1">
      <alignment horizontal="center"/>
      <protection locked="0"/>
    </xf>
    <xf numFmtId="0" fontId="0" fillId="0" borderId="291" xfId="0" applyBorder="1"/>
    <xf numFmtId="0" fontId="0" fillId="0" borderId="294" xfId="0" applyBorder="1" applyProtection="1">
      <protection locked="0"/>
    </xf>
    <xf numFmtId="165" fontId="0" fillId="0" borderId="292" xfId="0" applyNumberFormat="1" applyBorder="1" applyAlignment="1" applyProtection="1">
      <alignment horizontal="right"/>
      <protection locked="0"/>
    </xf>
    <xf numFmtId="0" fontId="0" fillId="0" borderId="291" xfId="0" applyBorder="1" applyProtection="1">
      <protection locked="0"/>
    </xf>
    <xf numFmtId="0" fontId="0" fillId="0" borderId="289" xfId="0" applyBorder="1" applyAlignment="1" applyProtection="1">
      <alignment wrapText="1"/>
      <protection locked="0"/>
    </xf>
    <xf numFmtId="44" fontId="0" fillId="0" borderId="292" xfId="0" applyNumberFormat="1" applyBorder="1" applyProtection="1">
      <protection locked="0"/>
    </xf>
    <xf numFmtId="165" fontId="0" fillId="0" borderId="292" xfId="0" applyNumberFormat="1" applyBorder="1" applyProtection="1">
      <protection locked="0"/>
    </xf>
    <xf numFmtId="0" fontId="0" fillId="0" borderId="292" xfId="0" applyBorder="1" applyProtection="1">
      <protection locked="0"/>
    </xf>
    <xf numFmtId="0" fontId="0" fillId="0" borderId="295" xfId="0" applyBorder="1"/>
    <xf numFmtId="43" fontId="0" fillId="0" borderId="296" xfId="1" applyFont="1" applyBorder="1" applyProtection="1">
      <protection locked="0"/>
    </xf>
    <xf numFmtId="0" fontId="0" fillId="0" borderId="296" xfId="0" applyBorder="1" applyAlignment="1" applyProtection="1">
      <alignment horizontal="center"/>
      <protection locked="0"/>
    </xf>
    <xf numFmtId="0" fontId="0" fillId="0" borderId="297" xfId="0" applyBorder="1" applyProtection="1">
      <protection locked="0"/>
    </xf>
    <xf numFmtId="0" fontId="0" fillId="0" borderId="298" xfId="0" applyBorder="1" applyProtection="1">
      <protection locked="0"/>
    </xf>
    <xf numFmtId="0" fontId="0" fillId="0" borderId="292" xfId="0" applyBorder="1" applyAlignment="1" applyProtection="1">
      <alignment horizontal="center"/>
      <protection locked="0"/>
    </xf>
    <xf numFmtId="0" fontId="3" fillId="0" borderId="293" xfId="0" applyFont="1" applyBorder="1" applyAlignment="1" applyProtection="1">
      <alignment horizontal="right"/>
      <protection locked="0"/>
    </xf>
    <xf numFmtId="0" fontId="3" fillId="0" borderId="292" xfId="0" applyFont="1" applyBorder="1" applyAlignment="1" applyProtection="1">
      <alignment horizontal="right"/>
      <protection locked="0"/>
    </xf>
    <xf numFmtId="169" fontId="0" fillId="0" borderId="292" xfId="0" applyNumberFormat="1" applyBorder="1" applyAlignment="1" applyProtection="1">
      <alignment horizontal="center"/>
      <protection locked="0"/>
    </xf>
    <xf numFmtId="0" fontId="4" fillId="0" borderId="292" xfId="4" applyBorder="1" applyAlignment="1" applyProtection="1">
      <alignment horizontal="center" vertical="center"/>
      <protection locked="0"/>
    </xf>
    <xf numFmtId="0" fontId="3" fillId="0" borderId="295" xfId="0" applyFont="1" applyBorder="1" applyAlignment="1" applyProtection="1">
      <alignment horizontal="right"/>
      <protection locked="0"/>
    </xf>
    <xf numFmtId="44" fontId="0" fillId="0" borderId="298" xfId="2" applyFont="1" applyBorder="1" applyAlignment="1" applyProtection="1">
      <alignment horizontal="center"/>
      <protection locked="0"/>
    </xf>
    <xf numFmtId="44" fontId="0" fillId="20" borderId="257" xfId="2" applyFont="1" applyFill="1" applyBorder="1" applyProtection="1">
      <protection locked="0"/>
    </xf>
    <xf numFmtId="44" fontId="0" fillId="0" borderId="257" xfId="2" applyFont="1" applyBorder="1" applyProtection="1">
      <protection locked="0"/>
    </xf>
    <xf numFmtId="0" fontId="0" fillId="0" borderId="291" xfId="0" applyBorder="1" applyAlignment="1">
      <alignment horizontal="right"/>
    </xf>
    <xf numFmtId="0" fontId="0" fillId="0" borderId="289" xfId="0" applyBorder="1" applyAlignment="1">
      <alignment wrapText="1"/>
    </xf>
    <xf numFmtId="0" fontId="0" fillId="0" borderId="289" xfId="0" applyBorder="1" applyProtection="1">
      <protection locked="0"/>
    </xf>
    <xf numFmtId="43" fontId="0" fillId="0" borderId="289" xfId="1" applyFont="1" applyBorder="1" applyProtection="1">
      <protection locked="0"/>
    </xf>
    <xf numFmtId="0" fontId="0" fillId="0" borderId="289" xfId="0" applyBorder="1" applyAlignment="1" applyProtection="1">
      <alignment horizontal="center"/>
      <protection locked="0"/>
    </xf>
    <xf numFmtId="0" fontId="0" fillId="0" borderId="293" xfId="0" applyBorder="1" applyAlignment="1" applyProtection="1">
      <alignment horizontal="left"/>
      <protection locked="0"/>
    </xf>
    <xf numFmtId="0" fontId="0" fillId="0" borderId="293" xfId="0" applyBorder="1" applyAlignment="1" applyProtection="1">
      <alignment horizontal="center"/>
      <protection locked="0"/>
    </xf>
    <xf numFmtId="0" fontId="0" fillId="0" borderId="289" xfId="0" applyBorder="1" applyAlignment="1">
      <alignment horizontal="left" wrapText="1"/>
    </xf>
    <xf numFmtId="0" fontId="0" fillId="0" borderId="294" xfId="0" applyBorder="1" applyAlignment="1" applyProtection="1">
      <alignment horizontal="right"/>
      <protection locked="0"/>
    </xf>
    <xf numFmtId="169" fontId="0" fillId="0" borderId="293" xfId="0" applyNumberFormat="1" applyBorder="1" applyAlignment="1" applyProtection="1">
      <alignment horizontal="left"/>
      <protection locked="0"/>
    </xf>
    <xf numFmtId="169" fontId="0" fillId="0" borderId="293" xfId="0" applyNumberFormat="1" applyBorder="1" applyAlignment="1" applyProtection="1">
      <alignment horizontal="center"/>
      <protection locked="0"/>
    </xf>
    <xf numFmtId="14" fontId="0" fillId="0" borderId="289" xfId="0" applyNumberFormat="1" applyBorder="1" applyAlignment="1">
      <alignment horizontal="left" wrapText="1"/>
    </xf>
    <xf numFmtId="0" fontId="4" fillId="0" borderId="293" xfId="4" applyBorder="1" applyAlignment="1" applyProtection="1">
      <alignment horizontal="left" vertical="center"/>
      <protection locked="0"/>
    </xf>
    <xf numFmtId="0" fontId="4" fillId="0" borderId="293" xfId="4" applyBorder="1" applyAlignment="1" applyProtection="1">
      <alignment horizontal="center" vertical="center"/>
      <protection locked="0"/>
    </xf>
    <xf numFmtId="0" fontId="6" fillId="0" borderId="295" xfId="0" applyFont="1" applyBorder="1" applyAlignment="1" applyProtection="1">
      <alignment horizontal="right"/>
      <protection locked="0"/>
    </xf>
    <xf numFmtId="0" fontId="0" fillId="0" borderId="296" xfId="0" applyBorder="1" applyAlignment="1">
      <alignment wrapText="1"/>
    </xf>
    <xf numFmtId="0" fontId="0" fillId="0" borderId="296" xfId="0" applyBorder="1" applyProtection="1">
      <protection locked="0"/>
    </xf>
    <xf numFmtId="0" fontId="6" fillId="0" borderId="297" xfId="0" applyFont="1" applyBorder="1" applyAlignment="1" applyProtection="1">
      <alignment horizontal="right"/>
      <protection locked="0"/>
    </xf>
    <xf numFmtId="44" fontId="0" fillId="0" borderId="298" xfId="2" applyFont="1" applyBorder="1" applyAlignment="1" applyProtection="1">
      <alignment horizontal="center"/>
      <protection locked="0"/>
    </xf>
    <xf numFmtId="5" fontId="0" fillId="0" borderId="298" xfId="2" applyNumberFormat="1" applyFont="1" applyBorder="1" applyAlignment="1" applyProtection="1">
      <alignment horizontal="center"/>
      <protection locked="0"/>
    </xf>
    <xf numFmtId="44" fontId="0" fillId="0" borderId="299" xfId="2" applyFont="1" applyBorder="1" applyAlignment="1" applyProtection="1">
      <alignment horizontal="center"/>
      <protection locked="0"/>
    </xf>
    <xf numFmtId="44" fontId="0" fillId="0" borderId="300" xfId="2" applyFont="1" applyBorder="1" applyAlignment="1" applyProtection="1">
      <alignment horizontal="center"/>
      <protection locked="0"/>
    </xf>
    <xf numFmtId="44" fontId="6" fillId="0" borderId="292" xfId="2" applyFont="1" applyBorder="1" applyAlignment="1">
      <alignment horizontal="center" vertical="center"/>
    </xf>
    <xf numFmtId="0" fontId="0" fillId="0" borderId="291" xfId="0" applyBorder="1" applyAlignment="1">
      <alignment vertical="top"/>
    </xf>
    <xf numFmtId="0" fontId="0" fillId="19" borderId="289" xfId="0" applyFill="1" applyBorder="1" applyProtection="1">
      <protection locked="0"/>
    </xf>
    <xf numFmtId="43" fontId="0" fillId="19" borderId="289" xfId="1" applyFont="1" applyFill="1" applyBorder="1" applyProtection="1">
      <protection locked="0"/>
    </xf>
    <xf numFmtId="0" fontId="0" fillId="19" borderId="289" xfId="0" applyFill="1" applyBorder="1" applyAlignment="1" applyProtection="1">
      <alignment horizontal="center"/>
      <protection locked="0"/>
    </xf>
    <xf numFmtId="165" fontId="0" fillId="19" borderId="289" xfId="0" applyNumberFormat="1" applyFill="1" applyBorder="1" applyProtection="1">
      <protection locked="0"/>
    </xf>
    <xf numFmtId="0" fontId="0" fillId="19" borderId="292" xfId="0" applyFill="1" applyBorder="1" applyProtection="1">
      <protection locked="0"/>
    </xf>
    <xf numFmtId="165" fontId="0" fillId="0" borderId="289" xfId="0" applyNumberFormat="1" applyBorder="1" applyProtection="1">
      <protection locked="0"/>
    </xf>
    <xf numFmtId="43" fontId="0" fillId="0" borderId="291" xfId="1" applyFont="1" applyBorder="1" applyAlignment="1">
      <alignment vertical="top"/>
    </xf>
    <xf numFmtId="0" fontId="86" fillId="0" borderId="301" xfId="0" applyFont="1" applyBorder="1" applyAlignment="1">
      <alignment vertical="center" wrapText="1"/>
    </xf>
    <xf numFmtId="0" fontId="6" fillId="18" borderId="302" xfId="0" applyFont="1" applyFill="1" applyBorder="1" applyAlignment="1">
      <alignment vertical="center" wrapText="1"/>
    </xf>
    <xf numFmtId="0" fontId="6" fillId="0" borderId="303" xfId="0" applyFont="1" applyBorder="1" applyAlignment="1">
      <alignment horizontal="left" vertical="center" wrapText="1"/>
    </xf>
    <xf numFmtId="43" fontId="6" fillId="0" borderId="303" xfId="1" applyFont="1" applyBorder="1" applyAlignment="1">
      <alignment horizontal="left" vertical="center" wrapText="1"/>
    </xf>
    <xf numFmtId="44" fontId="0" fillId="0" borderId="303" xfId="2" applyFont="1" applyBorder="1" applyProtection="1">
      <protection locked="0"/>
    </xf>
    <xf numFmtId="0" fontId="0" fillId="4" borderId="304" xfId="0" applyFill="1" applyBorder="1"/>
    <xf numFmtId="0" fontId="0" fillId="4" borderId="303" xfId="0" applyFill="1" applyBorder="1" applyAlignment="1">
      <alignment horizontal="right" wrapText="1"/>
    </xf>
    <xf numFmtId="0" fontId="0" fillId="4" borderId="303" xfId="0" applyFill="1" applyBorder="1" applyProtection="1">
      <protection locked="0"/>
    </xf>
    <xf numFmtId="43" fontId="0" fillId="4" borderId="303" xfId="1" applyFont="1" applyFill="1" applyBorder="1" applyProtection="1">
      <protection locked="0"/>
    </xf>
    <xf numFmtId="0" fontId="0" fillId="4" borderId="303" xfId="0" applyFill="1" applyBorder="1" applyAlignment="1" applyProtection="1">
      <alignment horizontal="center" vertical="center"/>
      <protection locked="0"/>
    </xf>
    <xf numFmtId="0" fontId="0" fillId="4" borderId="303" xfId="0" applyFill="1" applyBorder="1" applyAlignment="1" applyProtection="1">
      <alignment horizontal="right" vertical="center"/>
      <protection locked="0"/>
    </xf>
    <xf numFmtId="9" fontId="0" fillId="4" borderId="305" xfId="3" applyFont="1" applyFill="1" applyBorder="1" applyProtection="1">
      <protection locked="0"/>
    </xf>
    <xf numFmtId="44" fontId="0" fillId="4" borderId="305" xfId="2" applyFont="1" applyFill="1" applyBorder="1" applyProtection="1">
      <protection locked="0"/>
    </xf>
    <xf numFmtId="44" fontId="0" fillId="4" borderId="305" xfId="2" applyFont="1" applyFill="1" applyBorder="1" applyAlignment="1" applyProtection="1">
      <alignment horizontal="left"/>
      <protection locked="0"/>
    </xf>
    <xf numFmtId="44" fontId="0" fillId="4" borderId="305" xfId="0" applyNumberFormat="1" applyFill="1" applyBorder="1" applyProtection="1">
      <protection locked="0"/>
    </xf>
    <xf numFmtId="0" fontId="8" fillId="4" borderId="303" xfId="0" applyFont="1" applyFill="1" applyBorder="1" applyAlignment="1" applyProtection="1">
      <alignment horizontal="right" vertical="center"/>
      <protection locked="0"/>
    </xf>
    <xf numFmtId="165" fontId="9" fillId="4" borderId="305" xfId="0" applyNumberFormat="1" applyFont="1" applyFill="1" applyBorder="1" applyAlignment="1" applyProtection="1">
      <alignment horizontal="center"/>
      <protection locked="0"/>
    </xf>
    <xf numFmtId="44" fontId="9" fillId="4" borderId="305" xfId="2" applyFont="1" applyFill="1" applyBorder="1" applyAlignment="1" applyProtection="1">
      <alignment horizontal="left"/>
      <protection locked="0"/>
    </xf>
    <xf numFmtId="165" fontId="9" fillId="4" borderId="305" xfId="0" applyNumberFormat="1" applyFont="1" applyFill="1" applyBorder="1" applyAlignment="1" applyProtection="1">
      <alignment horizontal="left"/>
      <protection locked="0"/>
    </xf>
    <xf numFmtId="0" fontId="0" fillId="4" borderId="303" xfId="0" applyFill="1" applyBorder="1" applyAlignment="1">
      <alignment wrapText="1"/>
    </xf>
    <xf numFmtId="0" fontId="0" fillId="4" borderId="305" xfId="0" applyFill="1" applyBorder="1" applyAlignment="1" applyProtection="1">
      <alignment horizontal="center"/>
      <protection locked="0"/>
    </xf>
    <xf numFmtId="44" fontId="0" fillId="4" borderId="305" xfId="2" applyFont="1" applyFill="1" applyBorder="1" applyAlignment="1" applyProtection="1">
      <alignment horizontal="center"/>
      <protection locked="0"/>
    </xf>
    <xf numFmtId="0" fontId="0" fillId="0" borderId="304" xfId="0" applyBorder="1"/>
    <xf numFmtId="0" fontId="0" fillId="0" borderId="306" xfId="0" applyBorder="1" applyProtection="1">
      <protection locked="0"/>
    </xf>
    <xf numFmtId="165" fontId="0" fillId="0" borderId="305" xfId="0" applyNumberFormat="1" applyBorder="1" applyAlignment="1" applyProtection="1">
      <alignment horizontal="right"/>
      <protection locked="0"/>
    </xf>
    <xf numFmtId="0" fontId="0" fillId="0" borderId="304" xfId="0" applyBorder="1" applyProtection="1">
      <protection locked="0"/>
    </xf>
    <xf numFmtId="0" fontId="0" fillId="0" borderId="303" xfId="0" applyBorder="1" applyAlignment="1" applyProtection="1">
      <alignment wrapText="1"/>
      <protection locked="0"/>
    </xf>
    <xf numFmtId="44" fontId="0" fillId="0" borderId="305" xfId="0" applyNumberFormat="1" applyBorder="1" applyProtection="1">
      <protection locked="0"/>
    </xf>
    <xf numFmtId="165" fontId="0" fillId="0" borderId="305" xfId="0" applyNumberFormat="1" applyBorder="1" applyProtection="1">
      <protection locked="0"/>
    </xf>
    <xf numFmtId="0" fontId="0" fillId="0" borderId="305" xfId="0" applyBorder="1" applyProtection="1">
      <protection locked="0"/>
    </xf>
    <xf numFmtId="0" fontId="0" fillId="0" borderId="307" xfId="0" applyBorder="1"/>
    <xf numFmtId="43" fontId="0" fillId="0" borderId="308" xfId="1" applyFont="1" applyBorder="1" applyProtection="1">
      <protection locked="0"/>
    </xf>
    <xf numFmtId="0" fontId="0" fillId="0" borderId="308" xfId="0" applyBorder="1" applyAlignment="1" applyProtection="1">
      <alignment horizontal="center"/>
      <protection locked="0"/>
    </xf>
    <xf numFmtId="0" fontId="0" fillId="0" borderId="309" xfId="0" applyBorder="1" applyProtection="1">
      <protection locked="0"/>
    </xf>
    <xf numFmtId="0" fontId="0" fillId="0" borderId="310" xfId="0" applyBorder="1" applyProtection="1">
      <protection locked="0"/>
    </xf>
    <xf numFmtId="0" fontId="0" fillId="0" borderId="305" xfId="0" applyBorder="1" applyAlignment="1" applyProtection="1">
      <alignment horizontal="center"/>
      <protection locked="0"/>
    </xf>
    <xf numFmtId="0" fontId="3" fillId="0" borderId="311" xfId="0" applyFont="1" applyBorder="1" applyAlignment="1" applyProtection="1">
      <alignment horizontal="right"/>
      <protection locked="0"/>
    </xf>
    <xf numFmtId="0" fontId="3" fillId="0" borderId="305" xfId="0" applyFont="1" applyBorder="1" applyAlignment="1" applyProtection="1">
      <alignment horizontal="right"/>
      <protection locked="0"/>
    </xf>
    <xf numFmtId="169" fontId="0" fillId="0" borderId="305" xfId="0" applyNumberFormat="1" applyBorder="1" applyAlignment="1" applyProtection="1">
      <alignment horizontal="center"/>
      <protection locked="0"/>
    </xf>
    <xf numFmtId="0" fontId="4" fillId="0" borderId="305" xfId="4" applyBorder="1" applyAlignment="1" applyProtection="1">
      <alignment horizontal="center" vertical="center"/>
      <protection locked="0"/>
    </xf>
    <xf numFmtId="0" fontId="3" fillId="0" borderId="307" xfId="0" applyFont="1" applyBorder="1" applyAlignment="1" applyProtection="1">
      <alignment horizontal="right"/>
      <protection locked="0"/>
    </xf>
    <xf numFmtId="44" fontId="0" fillId="0" borderId="310" xfId="2" applyFont="1" applyBorder="1" applyAlignment="1" applyProtection="1">
      <alignment horizontal="center"/>
      <protection locked="0"/>
    </xf>
    <xf numFmtId="0" fontId="0" fillId="0" borderId="304" xfId="0" applyBorder="1" applyAlignment="1">
      <alignment horizontal="right"/>
    </xf>
    <xf numFmtId="0" fontId="0" fillId="0" borderId="303" xfId="0" applyBorder="1" applyAlignment="1">
      <alignment wrapText="1"/>
    </xf>
    <xf numFmtId="0" fontId="0" fillId="0" borderId="303" xfId="0" applyBorder="1" applyProtection="1">
      <protection locked="0"/>
    </xf>
    <xf numFmtId="164" fontId="0" fillId="0" borderId="303" xfId="1" applyNumberFormat="1" applyFont="1" applyBorder="1" applyProtection="1">
      <protection locked="0"/>
    </xf>
    <xf numFmtId="0" fontId="0" fillId="0" borderId="303" xfId="0" applyBorder="1" applyAlignment="1" applyProtection="1">
      <alignment horizontal="center"/>
      <protection locked="0"/>
    </xf>
    <xf numFmtId="0" fontId="0" fillId="0" borderId="311" xfId="0" applyBorder="1" applyAlignment="1" applyProtection="1">
      <alignment horizontal="center"/>
      <protection locked="0"/>
    </xf>
    <xf numFmtId="0" fontId="0" fillId="0" borderId="303" xfId="0" applyBorder="1" applyAlignment="1">
      <alignment horizontal="left" wrapText="1"/>
    </xf>
    <xf numFmtId="0" fontId="0" fillId="0" borderId="306" xfId="0" applyBorder="1" applyAlignment="1" applyProtection="1">
      <alignment horizontal="right"/>
      <protection locked="0"/>
    </xf>
    <xf numFmtId="169" fontId="0" fillId="0" borderId="311" xfId="0" applyNumberFormat="1" applyBorder="1" applyAlignment="1" applyProtection="1">
      <alignment horizontal="center"/>
      <protection locked="0"/>
    </xf>
    <xf numFmtId="14" fontId="0" fillId="0" borderId="303" xfId="0" applyNumberFormat="1" applyBorder="1" applyAlignment="1">
      <alignment horizontal="left" wrapText="1"/>
    </xf>
    <xf numFmtId="0" fontId="4" fillId="0" borderId="311" xfId="4" applyBorder="1" applyAlignment="1" applyProtection="1">
      <alignment horizontal="center" vertical="center"/>
      <protection locked="0"/>
    </xf>
    <xf numFmtId="0" fontId="6" fillId="0" borderId="307" xfId="0" applyFont="1" applyBorder="1" applyAlignment="1" applyProtection="1">
      <alignment horizontal="right"/>
      <protection locked="0"/>
    </xf>
    <xf numFmtId="0" fontId="0" fillId="0" borderId="308" xfId="0" applyBorder="1" applyAlignment="1">
      <alignment wrapText="1"/>
    </xf>
    <xf numFmtId="0" fontId="0" fillId="0" borderId="308" xfId="0" applyBorder="1" applyProtection="1">
      <protection locked="0"/>
    </xf>
    <xf numFmtId="0" fontId="6" fillId="0" borderId="309" xfId="0" applyFont="1" applyBorder="1" applyAlignment="1" applyProtection="1">
      <alignment horizontal="right"/>
      <protection locked="0"/>
    </xf>
    <xf numFmtId="44" fontId="0" fillId="0" borderId="310" xfId="2" applyFont="1" applyBorder="1" applyAlignment="1" applyProtection="1">
      <alignment horizontal="center"/>
      <protection locked="0"/>
    </xf>
    <xf numFmtId="5" fontId="0" fillId="0" borderId="310" xfId="2" applyNumberFormat="1" applyFont="1" applyBorder="1" applyAlignment="1" applyProtection="1">
      <alignment horizontal="center"/>
      <protection locked="0"/>
    </xf>
    <xf numFmtId="44" fontId="0" fillId="0" borderId="312" xfId="2" applyFont="1" applyBorder="1" applyAlignment="1" applyProtection="1">
      <alignment horizontal="center"/>
      <protection locked="0"/>
    </xf>
    <xf numFmtId="44" fontId="0" fillId="0" borderId="313" xfId="2" applyFont="1" applyBorder="1" applyAlignment="1" applyProtection="1">
      <alignment horizontal="center"/>
      <protection locked="0"/>
    </xf>
    <xf numFmtId="44" fontId="6" fillId="0" borderId="305" xfId="2" applyFont="1" applyBorder="1" applyAlignment="1">
      <alignment horizontal="center" vertical="center"/>
    </xf>
    <xf numFmtId="0" fontId="0" fillId="0" borderId="304" xfId="0" applyBorder="1" applyAlignment="1">
      <alignment vertical="top"/>
    </xf>
    <xf numFmtId="0" fontId="0" fillId="19" borderId="303" xfId="0" applyFill="1" applyBorder="1" applyProtection="1">
      <protection locked="0"/>
    </xf>
    <xf numFmtId="164" fontId="0" fillId="19" borderId="303" xfId="1" applyNumberFormat="1" applyFont="1" applyFill="1" applyBorder="1" applyProtection="1">
      <protection locked="0"/>
    </xf>
    <xf numFmtId="0" fontId="0" fillId="19" borderId="303" xfId="0" applyFill="1" applyBorder="1" applyAlignment="1" applyProtection="1">
      <alignment horizontal="center"/>
      <protection locked="0"/>
    </xf>
    <xf numFmtId="165" fontId="0" fillId="19" borderId="303" xfId="0" applyNumberFormat="1" applyFill="1" applyBorder="1" applyProtection="1">
      <protection locked="0"/>
    </xf>
    <xf numFmtId="0" fontId="0" fillId="19" borderId="305" xfId="0" applyFill="1" applyBorder="1" applyProtection="1">
      <protection locked="0"/>
    </xf>
    <xf numFmtId="165" fontId="0" fillId="0" borderId="303" xfId="0" applyNumberFormat="1" applyBorder="1" applyProtection="1">
      <protection locked="0"/>
    </xf>
    <xf numFmtId="43" fontId="0" fillId="0" borderId="303" xfId="1" applyFont="1" applyBorder="1" applyProtection="1">
      <protection locked="0"/>
    </xf>
    <xf numFmtId="0" fontId="6" fillId="0" borderId="303" xfId="0" applyFont="1" applyBorder="1" applyAlignment="1">
      <alignment vertical="center" wrapText="1"/>
    </xf>
    <xf numFmtId="0" fontId="6" fillId="7" borderId="314" xfId="0" applyFont="1" applyFill="1" applyBorder="1" applyAlignment="1">
      <alignment horizontal="left" indent="2"/>
    </xf>
    <xf numFmtId="44" fontId="0" fillId="0" borderId="306" xfId="2" applyFont="1" applyBorder="1" applyProtection="1">
      <protection locked="0"/>
    </xf>
    <xf numFmtId="0" fontId="6" fillId="7" borderId="315" xfId="0" applyFont="1" applyFill="1" applyBorder="1" applyAlignment="1">
      <alignment horizontal="left" indent="2"/>
    </xf>
    <xf numFmtId="0" fontId="0" fillId="0" borderId="316" xfId="0" applyBorder="1" applyProtection="1">
      <protection locked="0"/>
    </xf>
    <xf numFmtId="164" fontId="0" fillId="0" borderId="316" xfId="1" applyNumberFormat="1" applyFont="1" applyBorder="1" applyProtection="1">
      <protection locked="0"/>
    </xf>
    <xf numFmtId="0" fontId="0" fillId="0" borderId="316" xfId="0" applyBorder="1" applyAlignment="1" applyProtection="1">
      <alignment horizontal="center"/>
      <protection locked="0"/>
    </xf>
    <xf numFmtId="165" fontId="0" fillId="0" borderId="316" xfId="0" applyNumberFormat="1" applyBorder="1" applyProtection="1">
      <protection locked="0"/>
    </xf>
    <xf numFmtId="44" fontId="0" fillId="0" borderId="317" xfId="2" applyFont="1" applyBorder="1" applyProtection="1">
      <protection locked="0"/>
    </xf>
    <xf numFmtId="0" fontId="0" fillId="27" borderId="318" xfId="0" applyFill="1" applyBorder="1" applyAlignment="1">
      <alignment vertical="top"/>
    </xf>
    <xf numFmtId="0" fontId="6" fillId="0" borderId="274" xfId="0" quotePrefix="1" applyFont="1" applyBorder="1" applyAlignment="1">
      <alignment vertical="top" wrapText="1"/>
    </xf>
    <xf numFmtId="0" fontId="0" fillId="0" borderId="316" xfId="0" applyBorder="1" applyAlignment="1" applyProtection="1">
      <alignment vertical="top"/>
      <protection locked="0"/>
    </xf>
    <xf numFmtId="164" fontId="0" fillId="27" borderId="316" xfId="1" applyNumberFormat="1" applyFont="1" applyFill="1" applyBorder="1" applyAlignment="1" applyProtection="1">
      <alignment vertical="top"/>
      <protection locked="0"/>
    </xf>
    <xf numFmtId="0" fontId="0" fillId="27" borderId="316" xfId="0" applyFill="1" applyBorder="1" applyAlignment="1" applyProtection="1">
      <alignment horizontal="center" vertical="top"/>
      <protection locked="0"/>
    </xf>
    <xf numFmtId="165" fontId="0" fillId="27" borderId="316" xfId="0" applyNumberFormat="1" applyFill="1" applyBorder="1" applyAlignment="1" applyProtection="1">
      <alignment vertical="top"/>
      <protection locked="0"/>
    </xf>
    <xf numFmtId="44" fontId="6" fillId="0" borderId="319" xfId="2" applyFont="1" applyBorder="1" applyAlignment="1">
      <alignment horizontal="center" vertical="top"/>
    </xf>
    <xf numFmtId="44" fontId="0" fillId="27" borderId="260" xfId="2" applyFont="1" applyFill="1" applyBorder="1" applyAlignment="1" applyProtection="1">
      <alignment horizontal="left" vertical="top"/>
      <protection locked="0"/>
    </xf>
    <xf numFmtId="0" fontId="6" fillId="7" borderId="320" xfId="0" applyFont="1" applyFill="1" applyBorder="1"/>
    <xf numFmtId="0" fontId="0" fillId="0" borderId="321" xfId="0" applyBorder="1" applyAlignment="1">
      <alignment vertical="top"/>
    </xf>
    <xf numFmtId="0" fontId="6" fillId="7" borderId="322" xfId="0" applyFont="1" applyFill="1" applyBorder="1" applyAlignment="1">
      <alignment horizontal="left" indent="2"/>
    </xf>
    <xf numFmtId="0" fontId="86" fillId="18" borderId="322" xfId="0" applyFont="1" applyFill="1" applyBorder="1" applyAlignment="1">
      <alignment vertical="center" wrapText="1"/>
    </xf>
    <xf numFmtId="0" fontId="6" fillId="7" borderId="323" xfId="0" applyFont="1" applyFill="1" applyBorder="1"/>
    <xf numFmtId="0" fontId="0" fillId="4" borderId="324" xfId="0" applyFill="1" applyBorder="1"/>
    <xf numFmtId="0" fontId="0" fillId="4" borderId="325" xfId="0" applyFill="1" applyBorder="1" applyAlignment="1">
      <alignment horizontal="right" wrapText="1"/>
    </xf>
    <xf numFmtId="0" fontId="0" fillId="4" borderId="325" xfId="0" applyFill="1" applyBorder="1" applyProtection="1">
      <protection locked="0"/>
    </xf>
    <xf numFmtId="164" fontId="0" fillId="4" borderId="325" xfId="1" applyNumberFormat="1" applyFont="1" applyFill="1" applyBorder="1" applyProtection="1">
      <protection locked="0"/>
    </xf>
    <xf numFmtId="0" fontId="0" fillId="4" borderId="325" xfId="0" applyFill="1" applyBorder="1" applyAlignment="1" applyProtection="1">
      <alignment horizontal="center" vertical="center"/>
      <protection locked="0"/>
    </xf>
    <xf numFmtId="0" fontId="0" fillId="4" borderId="325" xfId="0" applyFill="1" applyBorder="1" applyAlignment="1" applyProtection="1">
      <alignment horizontal="right" vertical="center"/>
      <protection locked="0"/>
    </xf>
    <xf numFmtId="9" fontId="0" fillId="4" borderId="319" xfId="3" applyFont="1" applyFill="1" applyBorder="1" applyProtection="1">
      <protection locked="0"/>
    </xf>
    <xf numFmtId="44" fontId="0" fillId="4" borderId="319" xfId="2" applyFont="1" applyFill="1" applyBorder="1" applyProtection="1">
      <protection locked="0"/>
    </xf>
    <xf numFmtId="44" fontId="0" fillId="4" borderId="319" xfId="2" applyFont="1" applyFill="1" applyBorder="1" applyAlignment="1" applyProtection="1">
      <alignment horizontal="left"/>
      <protection locked="0"/>
    </xf>
    <xf numFmtId="44" fontId="0" fillId="4" borderId="319" xfId="0" applyNumberFormat="1" applyFill="1" applyBorder="1" applyProtection="1">
      <protection locked="0"/>
    </xf>
    <xf numFmtId="0" fontId="8" fillId="4" borderId="316" xfId="0" applyFont="1" applyFill="1" applyBorder="1" applyAlignment="1" applyProtection="1">
      <alignment horizontal="right" vertical="center"/>
      <protection locked="0"/>
    </xf>
    <xf numFmtId="165" fontId="9" fillId="4" borderId="319" xfId="0" applyNumberFormat="1" applyFont="1" applyFill="1" applyBorder="1" applyAlignment="1" applyProtection="1">
      <alignment horizontal="center"/>
      <protection locked="0"/>
    </xf>
    <xf numFmtId="44" fontId="9" fillId="4" borderId="319" xfId="2" applyFont="1" applyFill="1" applyBorder="1" applyAlignment="1" applyProtection="1">
      <alignment horizontal="left"/>
      <protection locked="0"/>
    </xf>
    <xf numFmtId="165" fontId="9" fillId="4" borderId="319" xfId="0" applyNumberFormat="1" applyFont="1" applyFill="1" applyBorder="1" applyAlignment="1" applyProtection="1">
      <alignment horizontal="left"/>
      <protection locked="0"/>
    </xf>
    <xf numFmtId="0" fontId="0" fillId="4" borderId="316" xfId="0" applyFill="1" applyBorder="1" applyAlignment="1">
      <alignment wrapText="1"/>
    </xf>
    <xf numFmtId="0" fontId="0" fillId="4" borderId="319" xfId="0" applyFill="1" applyBorder="1" applyAlignment="1" applyProtection="1">
      <alignment horizontal="center"/>
      <protection locked="0"/>
    </xf>
    <xf numFmtId="44" fontId="0" fillId="4" borderId="319" xfId="2" applyFont="1" applyFill="1" applyBorder="1" applyAlignment="1" applyProtection="1">
      <alignment horizontal="center"/>
      <protection locked="0"/>
    </xf>
    <xf numFmtId="164" fontId="0" fillId="0" borderId="269" xfId="1" applyNumberFormat="1" applyFont="1" applyBorder="1" applyProtection="1">
      <protection locked="0"/>
    </xf>
    <xf numFmtId="0" fontId="0" fillId="0" borderId="318" xfId="0" applyBorder="1"/>
    <xf numFmtId="0" fontId="0" fillId="0" borderId="317" xfId="0" applyBorder="1" applyProtection="1">
      <protection locked="0"/>
    </xf>
    <xf numFmtId="165" fontId="0" fillId="0" borderId="319" xfId="0" applyNumberFormat="1" applyBorder="1" applyAlignment="1" applyProtection="1">
      <alignment horizontal="right"/>
      <protection locked="0"/>
    </xf>
    <xf numFmtId="0" fontId="0" fillId="0" borderId="318" xfId="0" applyBorder="1" applyProtection="1">
      <protection locked="0"/>
    </xf>
    <xf numFmtId="0" fontId="0" fillId="0" borderId="316" xfId="0" applyBorder="1" applyAlignment="1" applyProtection="1">
      <alignment wrapText="1"/>
      <protection locked="0"/>
    </xf>
    <xf numFmtId="44" fontId="0" fillId="0" borderId="319" xfId="0" applyNumberFormat="1" applyBorder="1" applyProtection="1">
      <protection locked="0"/>
    </xf>
    <xf numFmtId="165" fontId="0" fillId="0" borderId="319" xfId="0" applyNumberFormat="1" applyBorder="1" applyProtection="1">
      <protection locked="0"/>
    </xf>
    <xf numFmtId="0" fontId="0" fillId="0" borderId="319" xfId="0" applyBorder="1" applyProtection="1">
      <protection locked="0"/>
    </xf>
    <xf numFmtId="0" fontId="0" fillId="0" borderId="326" xfId="0" applyBorder="1"/>
    <xf numFmtId="164" fontId="0" fillId="0" borderId="327" xfId="1" applyNumberFormat="1" applyFont="1" applyBorder="1" applyProtection="1">
      <protection locked="0"/>
    </xf>
    <xf numFmtId="0" fontId="0" fillId="0" borderId="327" xfId="0" applyBorder="1" applyAlignment="1" applyProtection="1">
      <alignment horizontal="center"/>
      <protection locked="0"/>
    </xf>
    <xf numFmtId="0" fontId="0" fillId="0" borderId="328" xfId="0" applyBorder="1" applyProtection="1">
      <protection locked="0"/>
    </xf>
    <xf numFmtId="0" fontId="0" fillId="0" borderId="329" xfId="0" applyBorder="1" applyProtection="1">
      <protection locked="0"/>
    </xf>
    <xf numFmtId="0" fontId="0" fillId="0" borderId="330" xfId="0" applyBorder="1" applyAlignment="1" applyProtection="1">
      <alignment horizontal="center"/>
      <protection locked="0"/>
    </xf>
    <xf numFmtId="0" fontId="3" fillId="0" borderId="331" xfId="0" applyFont="1" applyBorder="1" applyAlignment="1" applyProtection="1">
      <alignment horizontal="right"/>
      <protection locked="0"/>
    </xf>
    <xf numFmtId="0" fontId="3" fillId="0" borderId="330" xfId="0" applyFont="1" applyBorder="1" applyAlignment="1" applyProtection="1">
      <alignment horizontal="right"/>
      <protection locked="0"/>
    </xf>
    <xf numFmtId="169" fontId="0" fillId="0" borderId="330" xfId="0" applyNumberFormat="1" applyBorder="1" applyAlignment="1" applyProtection="1">
      <alignment horizontal="center"/>
      <protection locked="0"/>
    </xf>
    <xf numFmtId="0" fontId="4" fillId="0" borderId="330" xfId="4" applyBorder="1" applyAlignment="1" applyProtection="1">
      <alignment horizontal="center" vertical="center"/>
      <protection locked="0"/>
    </xf>
    <xf numFmtId="0" fontId="3" fillId="0" borderId="326" xfId="0" applyFont="1" applyBorder="1" applyAlignment="1" applyProtection="1">
      <alignment horizontal="right"/>
      <protection locked="0"/>
    </xf>
    <xf numFmtId="44" fontId="0" fillId="0" borderId="329" xfId="2" applyFont="1" applyBorder="1" applyAlignment="1" applyProtection="1">
      <alignment horizontal="center"/>
      <protection locked="0"/>
    </xf>
    <xf numFmtId="0" fontId="0" fillId="0" borderId="318" xfId="0" applyBorder="1" applyAlignment="1">
      <alignment horizontal="right"/>
    </xf>
    <xf numFmtId="0" fontId="0" fillId="0" borderId="316" xfId="0" applyBorder="1" applyAlignment="1">
      <alignment wrapText="1"/>
    </xf>
    <xf numFmtId="0" fontId="0" fillId="0" borderId="331" xfId="0" applyBorder="1" applyAlignment="1" applyProtection="1">
      <alignment horizontal="center"/>
      <protection locked="0"/>
    </xf>
    <xf numFmtId="0" fontId="0" fillId="0" borderId="316" xfId="0" applyBorder="1" applyAlignment="1">
      <alignment horizontal="left" wrapText="1"/>
    </xf>
    <xf numFmtId="0" fontId="0" fillId="0" borderId="317" xfId="0" applyBorder="1" applyAlignment="1" applyProtection="1">
      <alignment horizontal="right"/>
      <protection locked="0"/>
    </xf>
    <xf numFmtId="169" fontId="0" fillId="0" borderId="331" xfId="0" applyNumberFormat="1" applyBorder="1" applyAlignment="1" applyProtection="1">
      <alignment horizontal="center"/>
      <protection locked="0"/>
    </xf>
    <xf numFmtId="14" fontId="0" fillId="0" borderId="316" xfId="0" applyNumberFormat="1" applyBorder="1" applyAlignment="1">
      <alignment horizontal="left" wrapText="1"/>
    </xf>
    <xf numFmtId="0" fontId="4" fillId="0" borderId="331" xfId="4" applyBorder="1" applyAlignment="1" applyProtection="1">
      <alignment horizontal="center" vertical="center"/>
      <protection locked="0"/>
    </xf>
    <xf numFmtId="5" fontId="0" fillId="0" borderId="332" xfId="2" applyNumberFormat="1" applyFont="1" applyBorder="1" applyAlignment="1" applyProtection="1">
      <alignment horizontal="center"/>
      <protection locked="0"/>
    </xf>
    <xf numFmtId="5" fontId="0" fillId="0" borderId="333" xfId="2" applyNumberFormat="1" applyFont="1" applyBorder="1" applyAlignment="1" applyProtection="1">
      <alignment horizontal="center"/>
      <protection locked="0"/>
    </xf>
    <xf numFmtId="0" fontId="3" fillId="0" borderId="269" xfId="0" applyFont="1" applyBorder="1" applyAlignment="1">
      <alignment wrapText="1"/>
    </xf>
    <xf numFmtId="5" fontId="0" fillId="0" borderId="330" xfId="2" applyNumberFormat="1" applyFont="1" applyBorder="1" applyProtection="1">
      <protection locked="0"/>
    </xf>
    <xf numFmtId="0" fontId="5" fillId="0" borderId="316" xfId="0" applyFont="1" applyBorder="1" applyProtection="1">
      <protection locked="0"/>
    </xf>
    <xf numFmtId="0" fontId="3" fillId="3" borderId="316" xfId="0" applyFont="1" applyFill="1" applyBorder="1" applyAlignment="1">
      <alignment horizontal="center" wrapText="1"/>
    </xf>
    <xf numFmtId="0" fontId="5" fillId="0" borderId="271" xfId="0" applyFont="1" applyBorder="1" applyProtection="1">
      <protection locked="0"/>
    </xf>
    <xf numFmtId="0" fontId="23" fillId="17" borderId="334" xfId="0" applyFont="1" applyFill="1" applyBorder="1" applyAlignment="1">
      <alignment horizontal="center" vertical="center"/>
    </xf>
    <xf numFmtId="0" fontId="23" fillId="0" borderId="335" xfId="0" applyFont="1" applyBorder="1" applyAlignment="1">
      <alignment vertical="center"/>
    </xf>
    <xf numFmtId="0" fontId="23" fillId="0" borderId="336" xfId="0" applyFont="1" applyBorder="1" applyAlignment="1">
      <alignment vertical="center"/>
    </xf>
    <xf numFmtId="0" fontId="0" fillId="0" borderId="316" xfId="0" applyBorder="1" applyAlignment="1" applyProtection="1">
      <alignment horizontal="left"/>
      <protection locked="0"/>
    </xf>
    <xf numFmtId="0" fontId="23" fillId="0" borderId="336" xfId="0" quotePrefix="1" applyFont="1" applyBorder="1"/>
    <xf numFmtId="0" fontId="23" fillId="17" borderId="336" xfId="0" applyFont="1" applyFill="1" applyBorder="1" applyAlignment="1">
      <alignment horizontal="center"/>
    </xf>
    <xf numFmtId="0" fontId="23" fillId="19" borderId="336" xfId="0" applyFont="1" applyFill="1" applyBorder="1" applyAlignment="1">
      <alignment horizontal="left"/>
    </xf>
    <xf numFmtId="0" fontId="0" fillId="19" borderId="316" xfId="0" applyFill="1" applyBorder="1" applyProtection="1">
      <protection locked="0"/>
    </xf>
    <xf numFmtId="0" fontId="5" fillId="19" borderId="337" xfId="0" applyFont="1" applyFill="1" applyBorder="1" applyProtection="1">
      <protection locked="0"/>
    </xf>
    <xf numFmtId="3" fontId="0" fillId="19" borderId="260" xfId="0" applyNumberFormat="1" applyFill="1" applyBorder="1" applyAlignment="1" applyProtection="1">
      <alignment horizontal="left"/>
      <protection locked="0"/>
    </xf>
    <xf numFmtId="0" fontId="0" fillId="19" borderId="260" xfId="0" applyFill="1" applyBorder="1" applyProtection="1">
      <protection locked="0"/>
    </xf>
    <xf numFmtId="0" fontId="6" fillId="0" borderId="316" xfId="0" applyFont="1" applyBorder="1" applyAlignment="1">
      <alignment horizontal="left" vertical="top" wrapText="1"/>
    </xf>
    <xf numFmtId="0" fontId="23" fillId="0" borderId="316" xfId="0" applyFont="1" applyBorder="1" applyAlignment="1">
      <alignment horizontal="left" vertical="center"/>
    </xf>
    <xf numFmtId="3" fontId="0" fillId="0" borderId="330" xfId="0" applyNumberFormat="1" applyBorder="1" applyProtection="1">
      <protection locked="0"/>
    </xf>
    <xf numFmtId="3" fontId="0" fillId="0" borderId="337" xfId="0" applyNumberFormat="1" applyBorder="1" applyProtection="1">
      <protection locked="0"/>
    </xf>
    <xf numFmtId="3" fontId="0" fillId="0" borderId="337" xfId="0" applyNumberFormat="1" applyBorder="1" applyAlignment="1" applyProtection="1">
      <alignment horizontal="center"/>
      <protection locked="0"/>
    </xf>
    <xf numFmtId="0" fontId="23" fillId="0" borderId="257" xfId="0" applyFont="1" applyBorder="1" applyAlignment="1">
      <alignment horizontal="left" vertical="center"/>
    </xf>
    <xf numFmtId="0" fontId="0" fillId="4" borderId="318" xfId="0" applyFill="1" applyBorder="1"/>
    <xf numFmtId="0" fontId="0" fillId="4" borderId="316" xfId="0" applyFill="1" applyBorder="1" applyProtection="1">
      <protection locked="0"/>
    </xf>
    <xf numFmtId="0" fontId="0" fillId="4" borderId="316" xfId="0" applyFill="1" applyBorder="1" applyAlignment="1" applyProtection="1">
      <alignment vertical="center"/>
      <protection locked="0"/>
    </xf>
    <xf numFmtId="0" fontId="0" fillId="4" borderId="316" xfId="0" applyFill="1" applyBorder="1" applyAlignment="1" applyProtection="1">
      <alignment horizontal="right" vertical="center"/>
      <protection locked="0"/>
    </xf>
    <xf numFmtId="9" fontId="0" fillId="4" borderId="330" xfId="3" applyFont="1" applyFill="1" applyBorder="1" applyProtection="1">
      <protection locked="0"/>
    </xf>
    <xf numFmtId="170" fontId="0" fillId="4" borderId="330" xfId="3" applyNumberFormat="1" applyFont="1" applyFill="1" applyBorder="1" applyAlignment="1" applyProtection="1">
      <alignment horizontal="left"/>
      <protection locked="0"/>
    </xf>
    <xf numFmtId="44" fontId="0" fillId="4" borderId="330" xfId="2" applyFont="1" applyFill="1" applyBorder="1" applyProtection="1">
      <protection locked="0"/>
    </xf>
    <xf numFmtId="170" fontId="0" fillId="4" borderId="330" xfId="2" applyNumberFormat="1" applyFont="1" applyFill="1" applyBorder="1" applyAlignment="1" applyProtection="1">
      <alignment horizontal="left"/>
      <protection locked="0"/>
    </xf>
    <xf numFmtId="44" fontId="0" fillId="4" borderId="330" xfId="0" applyNumberFormat="1" applyFill="1" applyBorder="1" applyProtection="1">
      <protection locked="0"/>
    </xf>
    <xf numFmtId="170" fontId="0" fillId="4" borderId="330" xfId="0" applyNumberFormat="1" applyFill="1" applyBorder="1" applyAlignment="1" applyProtection="1">
      <alignment horizontal="left"/>
      <protection locked="0"/>
    </xf>
    <xf numFmtId="165" fontId="9" fillId="4" borderId="330" xfId="0" applyNumberFormat="1" applyFont="1" applyFill="1" applyBorder="1" applyAlignment="1" applyProtection="1">
      <alignment horizontal="center"/>
      <protection locked="0"/>
    </xf>
    <xf numFmtId="165" fontId="9" fillId="4" borderId="330" xfId="0" applyNumberFormat="1" applyFont="1" applyFill="1" applyBorder="1" applyAlignment="1" applyProtection="1">
      <alignment horizontal="left"/>
      <protection locked="0"/>
    </xf>
    <xf numFmtId="0" fontId="0" fillId="4" borderId="329" xfId="0" applyFill="1" applyBorder="1" applyAlignment="1" applyProtection="1">
      <alignment horizontal="center"/>
      <protection locked="0"/>
    </xf>
    <xf numFmtId="7" fontId="0" fillId="4" borderId="330" xfId="0" applyNumberFormat="1" applyFill="1" applyBorder="1" applyAlignment="1" applyProtection="1">
      <alignment horizontal="center"/>
      <protection locked="0"/>
    </xf>
    <xf numFmtId="0" fontId="0" fillId="4" borderId="330" xfId="0" applyFill="1" applyBorder="1" applyAlignment="1" applyProtection="1">
      <alignment horizontal="center"/>
      <protection locked="0"/>
    </xf>
    <xf numFmtId="0" fontId="0" fillId="0" borderId="338" xfId="0" applyBorder="1"/>
    <xf numFmtId="0" fontId="0" fillId="0" borderId="339" xfId="0" applyBorder="1" applyProtection="1">
      <protection locked="0"/>
    </xf>
    <xf numFmtId="0" fontId="0" fillId="0" borderId="340" xfId="0" applyBorder="1" applyProtection="1">
      <protection locked="0"/>
    </xf>
    <xf numFmtId="165" fontId="0" fillId="0" borderId="260" xfId="0" applyNumberFormat="1" applyBorder="1" applyProtection="1">
      <protection locked="0"/>
    </xf>
    <xf numFmtId="165" fontId="0" fillId="0" borderId="337" xfId="0" applyNumberFormat="1" applyBorder="1" applyProtection="1">
      <protection locked="0"/>
    </xf>
    <xf numFmtId="0" fontId="0" fillId="0" borderId="341" xfId="0" applyBorder="1" applyProtection="1">
      <protection locked="0"/>
    </xf>
    <xf numFmtId="165" fontId="0" fillId="0" borderId="330" xfId="0" applyNumberFormat="1" applyBorder="1" applyAlignment="1" applyProtection="1">
      <alignment horizontal="right"/>
      <protection locked="0"/>
    </xf>
    <xf numFmtId="44" fontId="0" fillId="0" borderId="330" xfId="0" applyNumberFormat="1" applyBorder="1" applyProtection="1">
      <protection locked="0"/>
    </xf>
    <xf numFmtId="0" fontId="0" fillId="0" borderId="338" xfId="0" applyBorder="1" applyProtection="1">
      <protection locked="0"/>
    </xf>
    <xf numFmtId="0" fontId="0" fillId="0" borderId="339" xfId="0" applyBorder="1" applyAlignment="1" applyProtection="1">
      <alignment wrapText="1"/>
      <protection locked="0"/>
    </xf>
    <xf numFmtId="165" fontId="0" fillId="0" borderId="330" xfId="0" applyNumberFormat="1" applyBorder="1" applyProtection="1">
      <protection locked="0"/>
    </xf>
    <xf numFmtId="0" fontId="0" fillId="0" borderId="339" xfId="0" applyBorder="1" applyAlignment="1">
      <alignment wrapText="1"/>
    </xf>
    <xf numFmtId="0" fontId="0" fillId="0" borderId="337" xfId="0" applyBorder="1" applyProtection="1">
      <protection locked="0"/>
    </xf>
    <xf numFmtId="0" fontId="0" fillId="0" borderId="330" xfId="0" applyBorder="1" applyProtection="1">
      <protection locked="0"/>
    </xf>
    <xf numFmtId="0" fontId="0" fillId="0" borderId="327" xfId="0" applyBorder="1" applyAlignment="1">
      <alignment wrapText="1"/>
    </xf>
    <xf numFmtId="0" fontId="0" fillId="0" borderId="327" xfId="0" applyBorder="1" applyProtection="1">
      <protection locked="0"/>
    </xf>
    <xf numFmtId="0" fontId="0" fillId="0" borderId="342" xfId="0" applyBorder="1" applyProtection="1">
      <protection locked="0"/>
    </xf>
    <xf numFmtId="0" fontId="0" fillId="0" borderId="333" xfId="0" applyBorder="1" applyProtection="1">
      <protection locked="0"/>
    </xf>
    <xf numFmtId="5" fontId="0" fillId="0" borderId="329" xfId="2" applyNumberFormat="1" applyFont="1" applyBorder="1" applyAlignment="1" applyProtection="1">
      <alignment horizontal="center"/>
      <protection locked="0"/>
    </xf>
    <xf numFmtId="43" fontId="0" fillId="0" borderId="316" xfId="1" applyFont="1" applyBorder="1" applyProtection="1">
      <protection locked="0"/>
    </xf>
    <xf numFmtId="0" fontId="0" fillId="0" borderId="331" xfId="0" applyBorder="1" applyAlignment="1" applyProtection="1">
      <alignment horizontal="left"/>
      <protection locked="0"/>
    </xf>
    <xf numFmtId="169" fontId="0" fillId="0" borderId="331" xfId="0" applyNumberFormat="1" applyBorder="1" applyAlignment="1" applyProtection="1">
      <alignment horizontal="left"/>
      <protection locked="0"/>
    </xf>
    <xf numFmtId="0" fontId="4" fillId="0" borderId="331" xfId="4" applyBorder="1" applyAlignment="1" applyProtection="1">
      <alignment horizontal="left" vertical="center"/>
      <protection locked="0"/>
    </xf>
    <xf numFmtId="0" fontId="6" fillId="0" borderId="326" xfId="0" applyFont="1" applyBorder="1" applyAlignment="1" applyProtection="1">
      <alignment horizontal="right"/>
      <protection locked="0"/>
    </xf>
    <xf numFmtId="0" fontId="6" fillId="0" borderId="328" xfId="0" applyFont="1" applyBorder="1" applyAlignment="1" applyProtection="1">
      <alignment horizontal="right"/>
      <protection locked="0"/>
    </xf>
    <xf numFmtId="44" fontId="0" fillId="0" borderId="329" xfId="2" applyFont="1" applyBorder="1" applyAlignment="1" applyProtection="1">
      <alignment horizontal="center"/>
      <protection locked="0"/>
    </xf>
    <xf numFmtId="5" fontId="0" fillId="0" borderId="329" xfId="2" applyNumberFormat="1" applyFont="1" applyBorder="1" applyAlignment="1" applyProtection="1">
      <alignment horizontal="center"/>
      <protection locked="0"/>
    </xf>
    <xf numFmtId="44" fontId="0" fillId="0" borderId="332" xfId="2" applyFont="1" applyBorder="1" applyAlignment="1" applyProtection="1">
      <alignment horizontal="center"/>
      <protection locked="0"/>
    </xf>
    <xf numFmtId="44" fontId="0" fillId="0" borderId="333" xfId="2" applyFont="1" applyBorder="1" applyAlignment="1" applyProtection="1">
      <alignment horizontal="center"/>
      <protection locked="0"/>
    </xf>
    <xf numFmtId="0" fontId="0" fillId="0" borderId="343" xfId="0" applyBorder="1" applyAlignment="1">
      <alignment vertical="top"/>
    </xf>
    <xf numFmtId="0" fontId="6" fillId="17" borderId="344" xfId="0" applyFont="1" applyFill="1" applyBorder="1" applyAlignment="1">
      <alignment horizontal="center" vertical="center"/>
    </xf>
    <xf numFmtId="44" fontId="6" fillId="0" borderId="330" xfId="2" applyFont="1" applyBorder="1" applyAlignment="1">
      <alignment horizontal="center" vertical="center"/>
    </xf>
    <xf numFmtId="0" fontId="0" fillId="0" borderId="338" xfId="0" applyBorder="1" applyAlignment="1">
      <alignment vertical="top"/>
    </xf>
    <xf numFmtId="0" fontId="0" fillId="0" borderId="318" xfId="0" applyBorder="1" applyAlignment="1">
      <alignment vertical="top"/>
    </xf>
    <xf numFmtId="0" fontId="6" fillId="0" borderId="345" xfId="0" applyFont="1" applyBorder="1" applyAlignment="1">
      <alignment vertical="center"/>
    </xf>
    <xf numFmtId="0" fontId="6" fillId="0" borderId="345" xfId="0" quotePrefix="1" applyFont="1" applyBorder="1"/>
    <xf numFmtId="0" fontId="6" fillId="17" borderId="345" xfId="0" applyFont="1" applyFill="1" applyBorder="1" applyAlignment="1">
      <alignment horizontal="center"/>
    </xf>
    <xf numFmtId="0" fontId="6" fillId="19" borderId="345" xfId="0" applyFont="1" applyFill="1" applyBorder="1" applyAlignment="1">
      <alignment horizontal="left"/>
    </xf>
    <xf numFmtId="43" fontId="0" fillId="19" borderId="316" xfId="1" applyFont="1" applyFill="1" applyBorder="1" applyProtection="1">
      <protection locked="0"/>
    </xf>
    <xf numFmtId="0" fontId="0" fillId="19" borderId="316" xfId="0" applyFill="1" applyBorder="1" applyAlignment="1" applyProtection="1">
      <alignment horizontal="center"/>
      <protection locked="0"/>
    </xf>
    <xf numFmtId="165" fontId="0" fillId="19" borderId="316" xfId="0" applyNumberFormat="1" applyFill="1" applyBorder="1" applyProtection="1">
      <protection locked="0"/>
    </xf>
    <xf numFmtId="0" fontId="0" fillId="19" borderId="330" xfId="0" applyFill="1" applyBorder="1" applyProtection="1">
      <protection locked="0"/>
    </xf>
    <xf numFmtId="0" fontId="6" fillId="7" borderId="345" xfId="0" applyFont="1" applyFill="1" applyBorder="1" applyAlignment="1">
      <alignment horizontal="left"/>
    </xf>
    <xf numFmtId="0" fontId="6" fillId="7" borderId="345" xfId="0" applyFont="1" applyFill="1" applyBorder="1" applyAlignment="1">
      <alignment horizontal="left" wrapText="1"/>
    </xf>
    <xf numFmtId="0" fontId="86" fillId="0" borderId="346" xfId="0" applyFont="1" applyBorder="1" applyAlignment="1">
      <alignment vertical="center" wrapText="1"/>
    </xf>
    <xf numFmtId="0" fontId="6" fillId="7" borderId="345" xfId="0" applyFont="1" applyFill="1" applyBorder="1" applyAlignment="1">
      <alignment horizontal="left" indent="2"/>
    </xf>
    <xf numFmtId="0" fontId="6" fillId="7" borderId="345" xfId="0" applyFont="1" applyFill="1" applyBorder="1" applyAlignment="1">
      <alignment horizontal="left" indent="4"/>
    </xf>
    <xf numFmtId="0" fontId="6" fillId="7" borderId="345" xfId="0" applyFont="1" applyFill="1" applyBorder="1"/>
    <xf numFmtId="167" fontId="0" fillId="0" borderId="260" xfId="2" applyNumberFormat="1" applyFont="1" applyFill="1" applyBorder="1" applyAlignment="1" applyProtection="1">
      <alignment horizontal="left"/>
      <protection locked="0"/>
    </xf>
    <xf numFmtId="167" fontId="0" fillId="5" borderId="260" xfId="2" applyNumberFormat="1" applyFont="1" applyFill="1" applyBorder="1" applyAlignment="1" applyProtection="1">
      <alignment horizontal="left"/>
      <protection locked="0"/>
    </xf>
    <xf numFmtId="0" fontId="86" fillId="18" borderId="347" xfId="0" applyFont="1" applyFill="1" applyBorder="1" applyAlignment="1">
      <alignment vertical="center" wrapText="1"/>
    </xf>
    <xf numFmtId="181" fontId="0" fillId="0" borderId="260" xfId="2" applyNumberFormat="1" applyFont="1" applyBorder="1" applyAlignment="1" applyProtection="1">
      <alignment horizontal="left"/>
      <protection locked="0"/>
    </xf>
    <xf numFmtId="0" fontId="6" fillId="18" borderId="347" xfId="0" applyFont="1" applyFill="1" applyBorder="1" applyAlignment="1">
      <alignment vertical="center" wrapText="1"/>
    </xf>
    <xf numFmtId="0" fontId="6" fillId="0" borderId="316" xfId="0" applyFont="1" applyBorder="1" applyAlignment="1">
      <alignment horizontal="left" vertical="center" wrapText="1"/>
    </xf>
    <xf numFmtId="43" fontId="6" fillId="0" borderId="316" xfId="1" applyFont="1" applyBorder="1" applyAlignment="1">
      <alignment horizontal="left" vertical="center" wrapText="1"/>
    </xf>
    <xf numFmtId="44" fontId="0" fillId="0" borderId="316" xfId="2" applyFont="1" applyBorder="1" applyProtection="1">
      <protection locked="0"/>
    </xf>
    <xf numFmtId="0" fontId="0" fillId="4" borderId="316" xfId="0" applyFill="1" applyBorder="1" applyAlignment="1">
      <alignment horizontal="right" wrapText="1"/>
    </xf>
    <xf numFmtId="43" fontId="0" fillId="4" borderId="316" xfId="1" applyFont="1" applyFill="1" applyBorder="1" applyProtection="1">
      <protection locked="0"/>
    </xf>
    <xf numFmtId="0" fontId="0" fillId="4" borderId="316" xfId="0" applyFill="1" applyBorder="1" applyAlignment="1" applyProtection="1">
      <alignment horizontal="center" vertical="center"/>
      <protection locked="0"/>
    </xf>
    <xf numFmtId="44" fontId="0" fillId="4" borderId="330" xfId="2" applyFont="1" applyFill="1" applyBorder="1" applyAlignment="1" applyProtection="1">
      <alignment horizontal="left"/>
      <protection locked="0"/>
    </xf>
    <xf numFmtId="44" fontId="9" fillId="4" borderId="330" xfId="2" applyFont="1" applyFill="1" applyBorder="1" applyAlignment="1" applyProtection="1">
      <alignment horizontal="left"/>
      <protection locked="0"/>
    </xf>
    <xf numFmtId="44" fontId="0" fillId="4" borderId="330" xfId="2" applyFont="1" applyFill="1" applyBorder="1" applyAlignment="1" applyProtection="1">
      <alignment horizontal="center"/>
      <protection locked="0"/>
    </xf>
    <xf numFmtId="43" fontId="0" fillId="0" borderId="339" xfId="1" applyFont="1" applyBorder="1" applyProtection="1">
      <protection locked="0"/>
    </xf>
    <xf numFmtId="0" fontId="0" fillId="0" borderId="339" xfId="0" applyBorder="1" applyAlignment="1" applyProtection="1">
      <alignment horizontal="center"/>
      <protection locked="0"/>
    </xf>
    <xf numFmtId="0" fontId="0" fillId="0" borderId="348" xfId="0" applyBorder="1" applyProtection="1">
      <protection locked="0"/>
    </xf>
    <xf numFmtId="43" fontId="0" fillId="0" borderId="327" xfId="1" applyFont="1" applyBorder="1" applyProtection="1">
      <protection locked="0"/>
    </xf>
    <xf numFmtId="0" fontId="0" fillId="0" borderId="20" xfId="0" applyBorder="1" applyAlignment="1" applyProtection="1">
      <protection locked="0"/>
    </xf>
    <xf numFmtId="0" fontId="0" fillId="0" borderId="21" xfId="0" applyBorder="1" applyAlignment="1" applyProtection="1">
      <protection locked="0"/>
    </xf>
    <xf numFmtId="0" fontId="0" fillId="0" borderId="331" xfId="0" applyBorder="1" applyAlignment="1" applyProtection="1">
      <protection locked="0"/>
    </xf>
    <xf numFmtId="0" fontId="0" fillId="0" borderId="145" xfId="0" applyBorder="1" applyAlignment="1" applyProtection="1">
      <protection locked="0"/>
    </xf>
    <xf numFmtId="169" fontId="0" fillId="0" borderId="331" xfId="0" applyNumberFormat="1" applyBorder="1" applyAlignment="1" applyProtection="1">
      <protection locked="0"/>
    </xf>
    <xf numFmtId="169" fontId="0" fillId="0" borderId="145" xfId="0" applyNumberFormat="1" applyBorder="1" applyAlignment="1" applyProtection="1">
      <protection locked="0"/>
    </xf>
    <xf numFmtId="0" fontId="4" fillId="0" borderId="331" xfId="4" applyBorder="1" applyAlignment="1" applyProtection="1">
      <alignment vertical="center"/>
      <protection locked="0"/>
    </xf>
    <xf numFmtId="43" fontId="0" fillId="0" borderId="318" xfId="1" applyFont="1" applyBorder="1" applyAlignment="1">
      <alignment vertical="top"/>
    </xf>
    <xf numFmtId="0" fontId="86" fillId="18" borderId="349" xfId="0" applyFont="1" applyFill="1" applyBorder="1" applyAlignment="1">
      <alignment vertical="center" wrapText="1"/>
    </xf>
    <xf numFmtId="0" fontId="6" fillId="18" borderId="349" xfId="0" applyFont="1" applyFill="1" applyBorder="1" applyAlignment="1">
      <alignment vertical="center" wrapText="1"/>
    </xf>
    <xf numFmtId="0" fontId="6" fillId="0" borderId="350" xfId="0" applyFont="1" applyBorder="1" applyAlignment="1">
      <alignment horizontal="left" vertical="center" wrapText="1"/>
    </xf>
    <xf numFmtId="43" fontId="6" fillId="0" borderId="350" xfId="1" applyFont="1" applyBorder="1" applyAlignment="1">
      <alignment horizontal="left" vertical="center" wrapText="1"/>
    </xf>
    <xf numFmtId="44" fontId="0" fillId="0" borderId="350" xfId="2" applyFont="1" applyBorder="1" applyProtection="1">
      <protection locked="0"/>
    </xf>
    <xf numFmtId="0" fontId="0" fillId="4" borderId="351" xfId="0" applyFill="1" applyBorder="1"/>
    <xf numFmtId="0" fontId="0" fillId="4" borderId="350" xfId="0" applyFill="1" applyBorder="1" applyAlignment="1">
      <alignment horizontal="right" wrapText="1"/>
    </xf>
    <xf numFmtId="0" fontId="0" fillId="4" borderId="350" xfId="0" applyFill="1" applyBorder="1" applyProtection="1">
      <protection locked="0"/>
    </xf>
    <xf numFmtId="43" fontId="0" fillId="4" borderId="350" xfId="1" applyFont="1" applyFill="1" applyBorder="1" applyProtection="1">
      <protection locked="0"/>
    </xf>
    <xf numFmtId="0" fontId="0" fillId="4" borderId="350" xfId="0" applyFill="1" applyBorder="1" applyAlignment="1" applyProtection="1">
      <alignment horizontal="center" vertical="center"/>
      <protection locked="0"/>
    </xf>
    <xf numFmtId="0" fontId="0" fillId="4" borderId="350" xfId="0" applyFill="1" applyBorder="1" applyAlignment="1" applyProtection="1">
      <alignment horizontal="right" vertical="center"/>
      <protection locked="0"/>
    </xf>
    <xf numFmtId="9" fontId="0" fillId="4" borderId="352" xfId="3" applyFont="1" applyFill="1" applyBorder="1" applyProtection="1">
      <protection locked="0"/>
    </xf>
    <xf numFmtId="44" fontId="0" fillId="4" borderId="352" xfId="2" applyFont="1" applyFill="1" applyBorder="1" applyProtection="1">
      <protection locked="0"/>
    </xf>
    <xf numFmtId="44" fontId="0" fillId="4" borderId="352" xfId="2" applyFont="1" applyFill="1" applyBorder="1" applyAlignment="1" applyProtection="1">
      <alignment horizontal="left"/>
      <protection locked="0"/>
    </xf>
    <xf numFmtId="44" fontId="0" fillId="4" borderId="352" xfId="0" applyNumberFormat="1" applyFill="1" applyBorder="1" applyProtection="1">
      <protection locked="0"/>
    </xf>
    <xf numFmtId="0" fontId="8" fillId="4" borderId="350" xfId="0" applyFont="1" applyFill="1" applyBorder="1" applyAlignment="1" applyProtection="1">
      <alignment horizontal="right" vertical="center"/>
      <protection locked="0"/>
    </xf>
    <xf numFmtId="165" fontId="9" fillId="4" borderId="352" xfId="0" applyNumberFormat="1" applyFont="1" applyFill="1" applyBorder="1" applyAlignment="1" applyProtection="1">
      <alignment horizontal="center"/>
      <protection locked="0"/>
    </xf>
    <xf numFmtId="44" fontId="9" fillId="4" borderId="352" xfId="2" applyFont="1" applyFill="1" applyBorder="1" applyAlignment="1" applyProtection="1">
      <alignment horizontal="left"/>
      <protection locked="0"/>
    </xf>
    <xf numFmtId="165" fontId="9" fillId="4" borderId="352" xfId="0" applyNumberFormat="1" applyFont="1" applyFill="1" applyBorder="1" applyAlignment="1" applyProtection="1">
      <alignment horizontal="left"/>
      <protection locked="0"/>
    </xf>
    <xf numFmtId="0" fontId="0" fillId="4" borderId="350" xfId="0" applyFill="1" applyBorder="1" applyAlignment="1">
      <alignment wrapText="1"/>
    </xf>
    <xf numFmtId="0" fontId="0" fillId="4" borderId="352" xfId="0" applyFill="1" applyBorder="1" applyAlignment="1" applyProtection="1">
      <alignment horizontal="center"/>
      <protection locked="0"/>
    </xf>
    <xf numFmtId="44" fontId="0" fillId="4" borderId="352" xfId="2" applyFont="1" applyFill="1" applyBorder="1" applyAlignment="1" applyProtection="1">
      <alignment horizontal="center"/>
      <protection locked="0"/>
    </xf>
    <xf numFmtId="0" fontId="0" fillId="0" borderId="351" xfId="0" applyBorder="1"/>
    <xf numFmtId="0" fontId="0" fillId="0" borderId="353" xfId="0" applyBorder="1" applyProtection="1">
      <protection locked="0"/>
    </xf>
    <xf numFmtId="165" fontId="0" fillId="0" borderId="352" xfId="0" applyNumberFormat="1" applyBorder="1" applyAlignment="1" applyProtection="1">
      <alignment horizontal="right"/>
      <protection locked="0"/>
    </xf>
    <xf numFmtId="0" fontId="0" fillId="0" borderId="351" xfId="0" applyBorder="1" applyProtection="1">
      <protection locked="0"/>
    </xf>
    <xf numFmtId="0" fontId="0" fillId="0" borderId="350" xfId="0" applyBorder="1" applyAlignment="1" applyProtection="1">
      <alignment wrapText="1"/>
      <protection locked="0"/>
    </xf>
    <xf numFmtId="44" fontId="0" fillId="0" borderId="352" xfId="0" applyNumberFormat="1" applyBorder="1" applyProtection="1">
      <protection locked="0"/>
    </xf>
    <xf numFmtId="165" fontId="0" fillId="0" borderId="352" xfId="0" applyNumberFormat="1" applyBorder="1" applyProtection="1">
      <protection locked="0"/>
    </xf>
    <xf numFmtId="0" fontId="0" fillId="0" borderId="352" xfId="0" applyBorder="1" applyProtection="1">
      <protection locked="0"/>
    </xf>
    <xf numFmtId="0" fontId="0" fillId="0" borderId="354" xfId="0" applyBorder="1"/>
    <xf numFmtId="43" fontId="0" fillId="0" borderId="355" xfId="1" applyFont="1" applyBorder="1" applyProtection="1">
      <protection locked="0"/>
    </xf>
    <xf numFmtId="0" fontId="0" fillId="0" borderId="355" xfId="0" applyBorder="1" applyAlignment="1" applyProtection="1">
      <alignment horizontal="center"/>
      <protection locked="0"/>
    </xf>
    <xf numFmtId="0" fontId="0" fillId="0" borderId="356" xfId="0" applyBorder="1" applyProtection="1">
      <protection locked="0"/>
    </xf>
    <xf numFmtId="0" fontId="0" fillId="0" borderId="357" xfId="0" applyBorder="1" applyProtection="1">
      <protection locked="0"/>
    </xf>
    <xf numFmtId="0" fontId="0" fillId="0" borderId="358" xfId="0" applyBorder="1" applyProtection="1">
      <protection locked="0"/>
    </xf>
    <xf numFmtId="0" fontId="0" fillId="0" borderId="352" xfId="0" applyBorder="1" applyAlignment="1" applyProtection="1">
      <alignment horizontal="center"/>
      <protection locked="0"/>
    </xf>
    <xf numFmtId="0" fontId="3" fillId="0" borderId="359" xfId="0" applyFont="1" applyBorder="1" applyAlignment="1" applyProtection="1">
      <alignment horizontal="right"/>
      <protection locked="0"/>
    </xf>
    <xf numFmtId="0" fontId="3" fillId="0" borderId="352" xfId="0" applyFont="1" applyBorder="1" applyAlignment="1" applyProtection="1">
      <alignment horizontal="right"/>
      <protection locked="0"/>
    </xf>
    <xf numFmtId="169" fontId="0" fillId="0" borderId="352" xfId="0" applyNumberFormat="1" applyBorder="1" applyAlignment="1" applyProtection="1">
      <alignment horizontal="center"/>
      <protection locked="0"/>
    </xf>
    <xf numFmtId="0" fontId="4" fillId="0" borderId="352" xfId="4" applyBorder="1" applyAlignment="1" applyProtection="1">
      <alignment horizontal="center" vertical="center"/>
      <protection locked="0"/>
    </xf>
    <xf numFmtId="0" fontId="3" fillId="0" borderId="354" xfId="0" applyFont="1" applyBorder="1" applyAlignment="1" applyProtection="1">
      <alignment horizontal="right"/>
      <protection locked="0"/>
    </xf>
    <xf numFmtId="44" fontId="0" fillId="0" borderId="357" xfId="2" applyFont="1" applyBorder="1" applyAlignment="1" applyProtection="1">
      <alignment horizontal="center"/>
      <protection locked="0"/>
    </xf>
    <xf numFmtId="0" fontId="0" fillId="0" borderId="351" xfId="1" applyNumberFormat="1" applyFont="1" applyBorder="1" applyAlignment="1">
      <alignment horizontal="right"/>
    </xf>
    <xf numFmtId="0" fontId="0" fillId="0" borderId="350" xfId="0" applyBorder="1" applyAlignment="1">
      <alignment wrapText="1"/>
    </xf>
    <xf numFmtId="0" fontId="0" fillId="0" borderId="350" xfId="0" applyBorder="1" applyProtection="1">
      <protection locked="0"/>
    </xf>
    <xf numFmtId="43" fontId="0" fillId="0" borderId="350" xfId="1" applyFont="1" applyBorder="1" applyProtection="1">
      <protection locked="0"/>
    </xf>
    <xf numFmtId="0" fontId="0" fillId="0" borderId="350" xfId="0" applyBorder="1" applyAlignment="1" applyProtection="1">
      <alignment horizontal="center"/>
      <protection locked="0"/>
    </xf>
    <xf numFmtId="0" fontId="0" fillId="0" borderId="359" xfId="0" applyBorder="1" applyAlignment="1" applyProtection="1">
      <alignment horizontal="left"/>
      <protection locked="0"/>
    </xf>
    <xf numFmtId="0" fontId="0" fillId="0" borderId="359" xfId="0" applyBorder="1" applyAlignment="1" applyProtection="1">
      <alignment horizontal="center"/>
      <protection locked="0"/>
    </xf>
    <xf numFmtId="0" fontId="0" fillId="0" borderId="350" xfId="0" applyBorder="1" applyAlignment="1">
      <alignment horizontal="left" wrapText="1"/>
    </xf>
    <xf numFmtId="0" fontId="0" fillId="0" borderId="353" xfId="0" applyBorder="1" applyAlignment="1" applyProtection="1">
      <alignment horizontal="right"/>
      <protection locked="0"/>
    </xf>
    <xf numFmtId="169" fontId="0" fillId="0" borderId="359" xfId="0" applyNumberFormat="1" applyBorder="1" applyAlignment="1" applyProtection="1">
      <alignment horizontal="left"/>
      <protection locked="0"/>
    </xf>
    <xf numFmtId="169" fontId="0" fillId="0" borderId="359" xfId="0" applyNumberFormat="1" applyBorder="1" applyAlignment="1" applyProtection="1">
      <alignment horizontal="center"/>
      <protection locked="0"/>
    </xf>
    <xf numFmtId="14" fontId="0" fillId="0" borderId="350" xfId="0" applyNumberFormat="1" applyBorder="1" applyAlignment="1">
      <alignment horizontal="left" wrapText="1"/>
    </xf>
    <xf numFmtId="0" fontId="4" fillId="0" borderId="359" xfId="4" applyBorder="1" applyAlignment="1" applyProtection="1">
      <alignment horizontal="left" vertical="center"/>
      <protection locked="0"/>
    </xf>
    <xf numFmtId="0" fontId="4" fillId="0" borderId="359" xfId="4" applyBorder="1" applyAlignment="1" applyProtection="1">
      <alignment horizontal="center" vertical="center"/>
      <protection locked="0"/>
    </xf>
    <xf numFmtId="0" fontId="6" fillId="0" borderId="354" xfId="1" applyNumberFormat="1" applyFont="1" applyBorder="1" applyAlignment="1" applyProtection="1">
      <alignment horizontal="right"/>
      <protection locked="0"/>
    </xf>
    <xf numFmtId="0" fontId="0" fillId="0" borderId="355" xfId="0" applyBorder="1" applyAlignment="1">
      <alignment wrapText="1"/>
    </xf>
    <xf numFmtId="0" fontId="0" fillId="0" borderId="355" xfId="0" applyBorder="1" applyProtection="1">
      <protection locked="0"/>
    </xf>
    <xf numFmtId="0" fontId="6" fillId="0" borderId="356" xfId="0" applyFont="1" applyBorder="1" applyAlignment="1" applyProtection="1">
      <alignment horizontal="right"/>
      <protection locked="0"/>
    </xf>
    <xf numFmtId="44" fontId="0" fillId="0" borderId="360" xfId="2" applyFont="1" applyBorder="1" applyAlignment="1" applyProtection="1">
      <alignment horizontal="center"/>
      <protection locked="0"/>
    </xf>
    <xf numFmtId="44" fontId="0" fillId="0" borderId="358" xfId="2" applyFont="1" applyBorder="1" applyAlignment="1" applyProtection="1">
      <alignment horizontal="center"/>
      <protection locked="0"/>
    </xf>
    <xf numFmtId="44" fontId="0" fillId="0" borderId="357" xfId="2" applyFont="1" applyBorder="1" applyAlignment="1" applyProtection="1">
      <alignment horizontal="center"/>
      <protection locked="0"/>
    </xf>
    <xf numFmtId="5" fontId="0" fillId="0" borderId="357" xfId="2" applyNumberFormat="1" applyFont="1" applyBorder="1" applyAlignment="1" applyProtection="1">
      <alignment horizontal="center"/>
      <protection locked="0"/>
    </xf>
    <xf numFmtId="43" fontId="0" fillId="0" borderId="343" xfId="1" applyFont="1" applyBorder="1" applyAlignment="1">
      <alignment vertical="top"/>
    </xf>
    <xf numFmtId="44" fontId="6" fillId="0" borderId="352" xfId="2" applyFont="1" applyBorder="1" applyAlignment="1">
      <alignment horizontal="center" vertical="center"/>
    </xf>
    <xf numFmtId="43" fontId="0" fillId="0" borderId="338" xfId="1" applyFont="1" applyBorder="1" applyAlignment="1">
      <alignment vertical="top"/>
    </xf>
    <xf numFmtId="43" fontId="0" fillId="0" borderId="351" xfId="1" applyFont="1" applyBorder="1" applyAlignment="1">
      <alignment vertical="top"/>
    </xf>
    <xf numFmtId="0" fontId="0" fillId="19" borderId="350" xfId="0" applyFill="1" applyBorder="1" applyProtection="1">
      <protection locked="0"/>
    </xf>
    <xf numFmtId="43" fontId="0" fillId="19" borderId="350" xfId="1" applyFont="1" applyFill="1" applyBorder="1" applyProtection="1">
      <protection locked="0"/>
    </xf>
    <xf numFmtId="0" fontId="0" fillId="19" borderId="350" xfId="0" applyFill="1" applyBorder="1" applyAlignment="1" applyProtection="1">
      <alignment horizontal="center"/>
      <protection locked="0"/>
    </xf>
    <xf numFmtId="165" fontId="0" fillId="19" borderId="350" xfId="0" applyNumberFormat="1" applyFill="1" applyBorder="1" applyProtection="1">
      <protection locked="0"/>
    </xf>
    <xf numFmtId="0" fontId="0" fillId="19" borderId="352" xfId="0" applyFill="1" applyBorder="1" applyProtection="1">
      <protection locked="0"/>
    </xf>
    <xf numFmtId="165" fontId="0" fillId="0" borderId="350" xfId="0" applyNumberFormat="1" applyBorder="1" applyProtection="1">
      <protection locked="0"/>
    </xf>
    <xf numFmtId="0" fontId="6" fillId="7" borderId="345" xfId="0" applyFont="1" applyFill="1" applyBorder="1" applyAlignment="1">
      <alignment horizontal="left" indent="1"/>
    </xf>
    <xf numFmtId="43" fontId="0" fillId="0" borderId="359" xfId="1" applyFont="1" applyBorder="1" applyAlignment="1">
      <alignment vertical="top"/>
    </xf>
    <xf numFmtId="0" fontId="6" fillId="0" borderId="349" xfId="0" applyFont="1" applyBorder="1" applyAlignment="1">
      <alignment vertical="center" wrapText="1"/>
    </xf>
    <xf numFmtId="184" fontId="0" fillId="0" borderId="260" xfId="1" applyNumberFormat="1" applyFont="1" applyBorder="1" applyProtection="1">
      <protection locked="0"/>
    </xf>
    <xf numFmtId="44" fontId="2" fillId="0" borderId="260" xfId="2" applyFont="1" applyBorder="1" applyAlignment="1" applyProtection="1">
      <alignment horizontal="center"/>
      <protection locked="0"/>
    </xf>
    <xf numFmtId="0" fontId="6" fillId="0" borderId="181" xfId="0" applyFont="1" applyBorder="1" applyAlignment="1">
      <alignment horizontal="left" indent="4"/>
    </xf>
    <xf numFmtId="43" fontId="0" fillId="0" borderId="350" xfId="1" applyFont="1" applyFill="1" applyBorder="1" applyProtection="1">
      <protection locked="0"/>
    </xf>
    <xf numFmtId="0" fontId="6" fillId="7" borderId="181" xfId="0" quotePrefix="1" applyFont="1" applyFill="1" applyBorder="1" applyAlignment="1">
      <alignment vertical="top" wrapText="1"/>
    </xf>
    <xf numFmtId="0" fontId="0" fillId="0" borderId="350" xfId="0" applyBorder="1" applyAlignment="1" applyProtection="1">
      <alignment vertical="top"/>
      <protection locked="0"/>
    </xf>
    <xf numFmtId="43" fontId="0" fillId="0" borderId="350" xfId="1" applyFont="1" applyBorder="1" applyAlignment="1" applyProtection="1">
      <alignment vertical="top"/>
      <protection locked="0"/>
    </xf>
    <xf numFmtId="0" fontId="0" fillId="0" borderId="350" xfId="0" applyBorder="1" applyAlignment="1" applyProtection="1">
      <alignment horizontal="center" vertical="top"/>
      <protection locked="0"/>
    </xf>
    <xf numFmtId="165" fontId="0" fillId="0" borderId="350" xfId="0" applyNumberFormat="1" applyBorder="1" applyAlignment="1" applyProtection="1">
      <alignment vertical="top"/>
      <protection locked="0"/>
    </xf>
    <xf numFmtId="44" fontId="6" fillId="0" borderId="352" xfId="2" applyFont="1" applyBorder="1" applyAlignment="1">
      <alignment horizontal="center" vertical="top"/>
    </xf>
    <xf numFmtId="0" fontId="6" fillId="7" borderId="181" xfId="0" quotePrefix="1" applyFont="1" applyFill="1" applyBorder="1" applyAlignment="1">
      <alignment wrapText="1"/>
    </xf>
    <xf numFmtId="43" fontId="0" fillId="27" borderId="351" xfId="1" applyFont="1" applyFill="1" applyBorder="1" applyAlignment="1">
      <alignment vertical="top"/>
    </xf>
    <xf numFmtId="0" fontId="6" fillId="7" borderId="181" xfId="0" quotePrefix="1" applyFont="1" applyFill="1" applyBorder="1" applyAlignment="1">
      <alignment horizontal="left" wrapText="1" indent="2"/>
    </xf>
    <xf numFmtId="0" fontId="6" fillId="7" borderId="181" xfId="0" applyFont="1" applyFill="1" applyBorder="1"/>
    <xf numFmtId="43" fontId="0" fillId="4" borderId="351" xfId="1" applyFont="1" applyFill="1" applyBorder="1"/>
    <xf numFmtId="43" fontId="0" fillId="0" borderId="161" xfId="1" applyFont="1" applyBorder="1"/>
    <xf numFmtId="0" fontId="0" fillId="0" borderId="361" xfId="0" applyBorder="1" applyProtection="1">
      <protection locked="0"/>
    </xf>
    <xf numFmtId="43" fontId="0" fillId="0" borderId="361" xfId="1" applyFont="1" applyBorder="1" applyProtection="1">
      <protection locked="0"/>
    </xf>
    <xf numFmtId="0" fontId="0" fillId="0" borderId="361" xfId="0" applyBorder="1" applyAlignment="1" applyProtection="1">
      <alignment horizontal="center"/>
      <protection locked="0"/>
    </xf>
    <xf numFmtId="43" fontId="0" fillId="0" borderId="351" xfId="1" applyFont="1" applyBorder="1"/>
    <xf numFmtId="43" fontId="0" fillId="0" borderId="351" xfId="1" applyFont="1" applyBorder="1" applyProtection="1">
      <protection locked="0"/>
    </xf>
    <xf numFmtId="43" fontId="0" fillId="0" borderId="161" xfId="1" applyFont="1" applyBorder="1" applyProtection="1">
      <protection locked="0"/>
    </xf>
    <xf numFmtId="0" fontId="0" fillId="0" borderId="361" xfId="0" applyBorder="1" applyAlignment="1" applyProtection="1">
      <alignment wrapText="1"/>
      <protection locked="0"/>
    </xf>
    <xf numFmtId="0" fontId="0" fillId="0" borderId="362" xfId="0" applyBorder="1" applyAlignment="1">
      <alignment wrapText="1"/>
    </xf>
    <xf numFmtId="0" fontId="0" fillId="0" borderId="363" xfId="0" applyBorder="1" applyProtection="1">
      <protection locked="0"/>
    </xf>
    <xf numFmtId="43" fontId="0" fillId="0" borderId="354" xfId="1" applyFont="1" applyBorder="1"/>
    <xf numFmtId="0" fontId="3" fillId="0" borderId="359" xfId="1" applyNumberFormat="1" applyFont="1" applyBorder="1" applyAlignment="1" applyProtection="1">
      <alignment horizontal="right"/>
      <protection locked="0"/>
    </xf>
    <xf numFmtId="0" fontId="3" fillId="0" borderId="352" xfId="1" applyNumberFormat="1" applyFont="1" applyBorder="1" applyAlignment="1" applyProtection="1">
      <alignment horizontal="right"/>
      <protection locked="0"/>
    </xf>
    <xf numFmtId="0" fontId="3" fillId="0" borderId="354" xfId="1" applyNumberFormat="1" applyFont="1" applyBorder="1" applyAlignment="1" applyProtection="1">
      <alignment horizontal="right"/>
      <protection locked="0"/>
    </xf>
    <xf numFmtId="44" fontId="0" fillId="20" borderId="364" xfId="2" applyFont="1" applyFill="1" applyBorder="1" applyProtection="1">
      <protection locked="0"/>
    </xf>
    <xf numFmtId="44" fontId="0" fillId="0" borderId="364" xfId="2" applyFont="1" applyBorder="1" applyProtection="1">
      <protection locked="0"/>
    </xf>
    <xf numFmtId="0" fontId="0" fillId="0" borderId="351" xfId="0" applyBorder="1" applyAlignment="1">
      <alignment horizontal="right"/>
    </xf>
    <xf numFmtId="0" fontId="6" fillId="0" borderId="354" xfId="0" applyFont="1" applyBorder="1" applyAlignment="1" applyProtection="1">
      <alignment horizontal="right"/>
      <protection locked="0"/>
    </xf>
    <xf numFmtId="0" fontId="0" fillId="0" borderId="365" xfId="0" applyBorder="1" applyAlignment="1">
      <alignment vertical="top"/>
    </xf>
    <xf numFmtId="3" fontId="0" fillId="0" borderId="366" xfId="0" applyNumberFormat="1" applyBorder="1" applyAlignment="1" applyProtection="1">
      <alignment horizontal="left"/>
      <protection locked="0"/>
    </xf>
    <xf numFmtId="0" fontId="0" fillId="0" borderId="366" xfId="0" applyBorder="1" applyProtection="1">
      <protection locked="0"/>
    </xf>
    <xf numFmtId="0" fontId="0" fillId="0" borderId="367" xfId="0" applyBorder="1" applyAlignment="1">
      <alignment vertical="top"/>
    </xf>
    <xf numFmtId="0" fontId="0" fillId="0" borderId="351" xfId="0" applyBorder="1" applyAlignment="1">
      <alignment vertical="top"/>
    </xf>
    <xf numFmtId="0" fontId="6" fillId="0" borderId="368" xfId="0" applyFont="1" applyBorder="1" applyAlignment="1">
      <alignment vertical="center"/>
    </xf>
    <xf numFmtId="0" fontId="6" fillId="0" borderId="368" xfId="0" quotePrefix="1" applyFont="1" applyBorder="1"/>
    <xf numFmtId="0" fontId="6" fillId="17" borderId="368" xfId="0" applyFont="1" applyFill="1" applyBorder="1" applyAlignment="1">
      <alignment horizontal="center"/>
    </xf>
    <xf numFmtId="0" fontId="6" fillId="19" borderId="368" xfId="0" applyFont="1" applyFill="1" applyBorder="1" applyAlignment="1">
      <alignment horizontal="left"/>
    </xf>
    <xf numFmtId="44" fontId="0" fillId="19" borderId="366" xfId="2" applyFont="1" applyFill="1" applyBorder="1" applyProtection="1">
      <protection locked="0"/>
    </xf>
    <xf numFmtId="44" fontId="0" fillId="19" borderId="366" xfId="2" applyFont="1" applyFill="1" applyBorder="1" applyAlignment="1" applyProtection="1">
      <alignment horizontal="left"/>
      <protection locked="0"/>
    </xf>
    <xf numFmtId="0" fontId="6" fillId="7" borderId="368" xfId="0" applyFont="1" applyFill="1" applyBorder="1" applyAlignment="1">
      <alignment horizontal="left"/>
    </xf>
    <xf numFmtId="44" fontId="0" fillId="0" borderId="366" xfId="2" applyFont="1" applyBorder="1" applyProtection="1">
      <protection locked="0"/>
    </xf>
    <xf numFmtId="44" fontId="0" fillId="0" borderId="366" xfId="2" applyFont="1" applyBorder="1" applyAlignment="1" applyProtection="1">
      <alignment horizontal="left"/>
      <protection locked="0"/>
    </xf>
    <xf numFmtId="0" fontId="86" fillId="0" borderId="369" xfId="0" applyFont="1" applyBorder="1" applyAlignment="1">
      <alignment vertical="center" wrapText="1"/>
    </xf>
    <xf numFmtId="44" fontId="0" fillId="21" borderId="366" xfId="2" applyFont="1" applyFill="1" applyBorder="1" applyAlignment="1" applyProtection="1">
      <alignment horizontal="left"/>
      <protection locked="0"/>
    </xf>
    <xf numFmtId="0" fontId="6" fillId="7" borderId="368" xfId="0" applyFont="1" applyFill="1" applyBorder="1" applyAlignment="1">
      <alignment horizontal="left" indent="2"/>
    </xf>
    <xf numFmtId="0" fontId="6" fillId="18" borderId="370" xfId="0" applyFont="1" applyFill="1" applyBorder="1" applyAlignment="1">
      <alignment vertical="center" wrapText="1"/>
    </xf>
    <xf numFmtId="0" fontId="6" fillId="0" borderId="371" xfId="0" applyFont="1" applyBorder="1" applyAlignment="1">
      <alignment horizontal="left" vertical="center" wrapText="1"/>
    </xf>
    <xf numFmtId="43" fontId="6" fillId="0" borderId="371" xfId="1" applyFont="1" applyBorder="1" applyAlignment="1">
      <alignment horizontal="left" vertical="center" wrapText="1"/>
    </xf>
    <xf numFmtId="44" fontId="0" fillId="0" borderId="371" xfId="2" applyFont="1" applyBorder="1" applyProtection="1">
      <protection locked="0"/>
    </xf>
    <xf numFmtId="0" fontId="0" fillId="4" borderId="372" xfId="0" applyFill="1" applyBorder="1"/>
    <xf numFmtId="0" fontId="0" fillId="4" borderId="371" xfId="0" applyFill="1" applyBorder="1" applyAlignment="1">
      <alignment horizontal="right" wrapText="1"/>
    </xf>
    <xf numFmtId="0" fontId="0" fillId="4" borderId="371" xfId="0" applyFill="1" applyBorder="1" applyProtection="1">
      <protection locked="0"/>
    </xf>
    <xf numFmtId="43" fontId="0" fillId="4" borderId="371" xfId="1" applyFont="1" applyFill="1" applyBorder="1" applyProtection="1">
      <protection locked="0"/>
    </xf>
    <xf numFmtId="0" fontId="0" fillId="4" borderId="371" xfId="0" applyFill="1" applyBorder="1" applyAlignment="1" applyProtection="1">
      <alignment horizontal="center" vertical="center"/>
      <protection locked="0"/>
    </xf>
    <xf numFmtId="0" fontId="0" fillId="4" borderId="371" xfId="0" applyFill="1" applyBorder="1" applyAlignment="1" applyProtection="1">
      <alignment horizontal="right" vertical="center"/>
      <protection locked="0"/>
    </xf>
    <xf numFmtId="9" fontId="0" fillId="4" borderId="373" xfId="3" applyFont="1" applyFill="1" applyBorder="1" applyProtection="1">
      <protection locked="0"/>
    </xf>
    <xf numFmtId="44" fontId="0" fillId="4" borderId="373" xfId="2" applyFont="1" applyFill="1" applyBorder="1" applyProtection="1">
      <protection locked="0"/>
    </xf>
    <xf numFmtId="44" fontId="0" fillId="4" borderId="373" xfId="2" applyFont="1" applyFill="1" applyBorder="1" applyAlignment="1" applyProtection="1">
      <alignment horizontal="left"/>
      <protection locked="0"/>
    </xf>
    <xf numFmtId="44" fontId="0" fillId="4" borderId="373" xfId="0" applyNumberFormat="1" applyFill="1" applyBorder="1" applyProtection="1">
      <protection locked="0"/>
    </xf>
    <xf numFmtId="0" fontId="8" fillId="4" borderId="371" xfId="0" applyFont="1" applyFill="1" applyBorder="1" applyAlignment="1" applyProtection="1">
      <alignment horizontal="right" vertical="center"/>
      <protection locked="0"/>
    </xf>
    <xf numFmtId="165" fontId="9" fillId="4" borderId="373" xfId="0" applyNumberFormat="1" applyFont="1" applyFill="1" applyBorder="1" applyAlignment="1" applyProtection="1">
      <alignment horizontal="center"/>
      <protection locked="0"/>
    </xf>
    <xf numFmtId="44" fontId="9" fillId="4" borderId="373" xfId="2" applyFont="1" applyFill="1" applyBorder="1" applyAlignment="1" applyProtection="1">
      <alignment horizontal="left"/>
      <protection locked="0"/>
    </xf>
    <xf numFmtId="165" fontId="9" fillId="4" borderId="373" xfId="0" applyNumberFormat="1" applyFont="1" applyFill="1" applyBorder="1" applyAlignment="1" applyProtection="1">
      <alignment horizontal="left"/>
      <protection locked="0"/>
    </xf>
    <xf numFmtId="0" fontId="0" fillId="4" borderId="371" xfId="0" applyFill="1" applyBorder="1" applyAlignment="1">
      <alignment wrapText="1"/>
    </xf>
    <xf numFmtId="0" fontId="0" fillId="4" borderId="373" xfId="0" applyFill="1" applyBorder="1" applyAlignment="1" applyProtection="1">
      <alignment horizontal="center"/>
      <protection locked="0"/>
    </xf>
    <xf numFmtId="44" fontId="0" fillId="4" borderId="373" xfId="2" applyFont="1" applyFill="1" applyBorder="1" applyAlignment="1" applyProtection="1">
      <alignment horizontal="center"/>
      <protection locked="0"/>
    </xf>
    <xf numFmtId="0" fontId="0" fillId="0" borderId="367" xfId="0" applyBorder="1"/>
    <xf numFmtId="0" fontId="0" fillId="0" borderId="362" xfId="0" applyBorder="1" applyProtection="1">
      <protection locked="0"/>
    </xf>
    <xf numFmtId="43" fontId="0" fillId="0" borderId="362" xfId="1" applyFont="1" applyBorder="1" applyProtection="1">
      <protection locked="0"/>
    </xf>
    <xf numFmtId="0" fontId="0" fillId="0" borderId="362" xfId="0" applyBorder="1" applyAlignment="1" applyProtection="1">
      <alignment horizontal="center"/>
      <protection locked="0"/>
    </xf>
    <xf numFmtId="0" fontId="0" fillId="0" borderId="374" xfId="0" applyBorder="1" applyProtection="1">
      <protection locked="0"/>
    </xf>
    <xf numFmtId="165" fontId="0" fillId="0" borderId="363" xfId="0" applyNumberFormat="1" applyBorder="1" applyProtection="1">
      <protection locked="0"/>
    </xf>
    <xf numFmtId="165" fontId="0" fillId="0" borderId="366" xfId="0" applyNumberFormat="1" applyBorder="1" applyProtection="1">
      <protection locked="0"/>
    </xf>
    <xf numFmtId="0" fontId="0" fillId="0" borderId="372" xfId="0" applyBorder="1"/>
    <xf numFmtId="0" fontId="0" fillId="0" borderId="375" xfId="0" applyBorder="1" applyProtection="1">
      <protection locked="0"/>
    </xf>
    <xf numFmtId="165" fontId="0" fillId="0" borderId="373" xfId="0" applyNumberFormat="1" applyBorder="1" applyAlignment="1" applyProtection="1">
      <alignment horizontal="right"/>
      <protection locked="0"/>
    </xf>
    <xf numFmtId="0" fontId="0" fillId="0" borderId="372" xfId="0" applyBorder="1" applyProtection="1">
      <protection locked="0"/>
    </xf>
    <xf numFmtId="0" fontId="0" fillId="0" borderId="371" xfId="0" applyBorder="1" applyAlignment="1" applyProtection="1">
      <alignment wrapText="1"/>
      <protection locked="0"/>
    </xf>
    <xf numFmtId="44" fontId="0" fillId="0" borderId="373" xfId="0" applyNumberFormat="1" applyBorder="1" applyProtection="1">
      <protection locked="0"/>
    </xf>
    <xf numFmtId="0" fontId="0" fillId="0" borderId="367" xfId="0" applyBorder="1" applyProtection="1">
      <protection locked="0"/>
    </xf>
    <xf numFmtId="0" fontId="0" fillId="0" borderId="362" xfId="0" applyBorder="1" applyAlignment="1" applyProtection="1">
      <alignment wrapText="1"/>
      <protection locked="0"/>
    </xf>
    <xf numFmtId="165" fontId="0" fillId="0" borderId="373" xfId="0" applyNumberFormat="1" applyBorder="1" applyProtection="1">
      <protection locked="0"/>
    </xf>
    <xf numFmtId="0" fontId="0" fillId="0" borderId="373" xfId="0" applyBorder="1" applyProtection="1">
      <protection locked="0"/>
    </xf>
    <xf numFmtId="0" fontId="0" fillId="0" borderId="376" xfId="0" applyBorder="1"/>
    <xf numFmtId="43" fontId="0" fillId="0" borderId="377" xfId="1" applyFont="1" applyBorder="1" applyProtection="1">
      <protection locked="0"/>
    </xf>
    <xf numFmtId="0" fontId="0" fillId="0" borderId="377" xfId="0" applyBorder="1" applyAlignment="1" applyProtection="1">
      <alignment horizontal="center"/>
      <protection locked="0"/>
    </xf>
    <xf numFmtId="0" fontId="0" fillId="0" borderId="378" xfId="0" applyBorder="1" applyProtection="1">
      <protection locked="0"/>
    </xf>
    <xf numFmtId="0" fontId="0" fillId="0" borderId="379" xfId="0" applyBorder="1" applyProtection="1">
      <protection locked="0"/>
    </xf>
    <xf numFmtId="0" fontId="0" fillId="0" borderId="380" xfId="0" applyBorder="1" applyProtection="1">
      <protection locked="0"/>
    </xf>
    <xf numFmtId="0" fontId="0" fillId="0" borderId="373" xfId="0" applyBorder="1" applyAlignment="1" applyProtection="1">
      <alignment horizontal="center"/>
      <protection locked="0"/>
    </xf>
    <xf numFmtId="0" fontId="3" fillId="0" borderId="381" xfId="0" applyFont="1" applyBorder="1" applyAlignment="1" applyProtection="1">
      <alignment horizontal="right"/>
      <protection locked="0"/>
    </xf>
    <xf numFmtId="0" fontId="3" fillId="0" borderId="373" xfId="0" applyFont="1" applyBorder="1" applyAlignment="1" applyProtection="1">
      <alignment horizontal="right"/>
      <protection locked="0"/>
    </xf>
    <xf numFmtId="169" fontId="0" fillId="0" borderId="373" xfId="0" applyNumberFormat="1" applyBorder="1" applyAlignment="1" applyProtection="1">
      <alignment horizontal="center"/>
      <protection locked="0"/>
    </xf>
    <xf numFmtId="0" fontId="4" fillId="0" borderId="373" xfId="4" applyBorder="1" applyAlignment="1" applyProtection="1">
      <alignment horizontal="center" vertical="center"/>
      <protection locked="0"/>
    </xf>
    <xf numFmtId="0" fontId="3" fillId="0" borderId="376" xfId="0" applyFont="1" applyBorder="1" applyAlignment="1" applyProtection="1">
      <alignment horizontal="right"/>
      <protection locked="0"/>
    </xf>
    <xf numFmtId="44" fontId="0" fillId="0" borderId="379" xfId="2" applyFont="1" applyBorder="1" applyAlignment="1" applyProtection="1">
      <alignment horizontal="center"/>
      <protection locked="0"/>
    </xf>
    <xf numFmtId="0" fontId="0" fillId="0" borderId="372" xfId="0" applyBorder="1" applyAlignment="1">
      <alignment horizontal="right"/>
    </xf>
    <xf numFmtId="0" fontId="0" fillId="0" borderId="371" xfId="0" applyBorder="1" applyAlignment="1">
      <alignment wrapText="1"/>
    </xf>
    <xf numFmtId="0" fontId="0" fillId="0" borderId="371" xfId="0" applyBorder="1" applyProtection="1">
      <protection locked="0"/>
    </xf>
    <xf numFmtId="43" fontId="0" fillId="0" borderId="371" xfId="1" applyFont="1" applyBorder="1" applyProtection="1">
      <protection locked="0"/>
    </xf>
    <xf numFmtId="0" fontId="0" fillId="0" borderId="371" xfId="0" applyBorder="1" applyAlignment="1" applyProtection="1">
      <alignment horizontal="center"/>
      <protection locked="0"/>
    </xf>
    <xf numFmtId="0" fontId="0" fillId="0" borderId="381" xfId="0" applyBorder="1" applyAlignment="1" applyProtection="1">
      <alignment horizontal="center"/>
      <protection locked="0"/>
    </xf>
    <xf numFmtId="0" fontId="0" fillId="0" borderId="373" xfId="0" applyBorder="1" applyAlignment="1" applyProtection="1">
      <alignment horizontal="center"/>
      <protection locked="0"/>
    </xf>
    <xf numFmtId="0" fontId="0" fillId="0" borderId="382" xfId="0" applyBorder="1" applyAlignment="1" applyProtection="1">
      <alignment horizontal="center"/>
      <protection locked="0"/>
    </xf>
    <xf numFmtId="0" fontId="0" fillId="0" borderId="371" xfId="0" applyBorder="1" applyAlignment="1">
      <alignment horizontal="left" wrapText="1"/>
    </xf>
    <xf numFmtId="0" fontId="0" fillId="0" borderId="375" xfId="0" applyBorder="1" applyAlignment="1" applyProtection="1">
      <alignment horizontal="right"/>
      <protection locked="0"/>
    </xf>
    <xf numFmtId="169" fontId="0" fillId="0" borderId="381" xfId="0" applyNumberFormat="1" applyBorder="1" applyAlignment="1" applyProtection="1">
      <alignment horizontal="center"/>
      <protection locked="0"/>
    </xf>
    <xf numFmtId="169" fontId="0" fillId="0" borderId="373" xfId="0" applyNumberFormat="1" applyBorder="1" applyAlignment="1" applyProtection="1">
      <alignment horizontal="center"/>
      <protection locked="0"/>
    </xf>
    <xf numFmtId="169" fontId="0" fillId="0" borderId="382" xfId="0" applyNumberFormat="1" applyBorder="1" applyAlignment="1" applyProtection="1">
      <alignment horizontal="center"/>
      <protection locked="0"/>
    </xf>
    <xf numFmtId="14" fontId="0" fillId="0" borderId="371" xfId="0" applyNumberFormat="1" applyBorder="1" applyAlignment="1">
      <alignment horizontal="left" wrapText="1"/>
    </xf>
    <xf numFmtId="0" fontId="4" fillId="0" borderId="381" xfId="4" applyBorder="1" applyAlignment="1" applyProtection="1">
      <alignment horizontal="center" vertical="center"/>
      <protection locked="0"/>
    </xf>
    <xf numFmtId="0" fontId="4" fillId="0" borderId="381" xfId="4" applyBorder="1" applyAlignment="1" applyProtection="1">
      <alignment horizontal="center"/>
      <protection locked="0"/>
    </xf>
    <xf numFmtId="0" fontId="4" fillId="0" borderId="373" xfId="4" applyBorder="1" applyAlignment="1" applyProtection="1">
      <alignment horizontal="center"/>
      <protection locked="0"/>
    </xf>
    <xf numFmtId="0" fontId="4" fillId="0" borderId="382" xfId="4" applyBorder="1" applyAlignment="1" applyProtection="1">
      <alignment horizontal="center"/>
      <protection locked="0"/>
    </xf>
    <xf numFmtId="0" fontId="6" fillId="0" borderId="376" xfId="0" applyFont="1" applyBorder="1" applyAlignment="1" applyProtection="1">
      <alignment horizontal="right"/>
      <protection locked="0"/>
    </xf>
    <xf numFmtId="0" fontId="0" fillId="0" borderId="377" xfId="0" applyBorder="1" applyAlignment="1">
      <alignment wrapText="1"/>
    </xf>
    <xf numFmtId="0" fontId="0" fillId="0" borderId="377" xfId="0" applyBorder="1" applyProtection="1">
      <protection locked="0"/>
    </xf>
    <xf numFmtId="0" fontId="6" fillId="0" borderId="378" xfId="0" applyFont="1" applyBorder="1" applyAlignment="1" applyProtection="1">
      <alignment horizontal="right"/>
      <protection locked="0"/>
    </xf>
    <xf numFmtId="44" fontId="0" fillId="0" borderId="379" xfId="2" applyFont="1" applyBorder="1" applyAlignment="1" applyProtection="1">
      <alignment horizontal="center"/>
      <protection locked="0"/>
    </xf>
    <xf numFmtId="44" fontId="0" fillId="0" borderId="383" xfId="2" applyFont="1" applyBorder="1" applyAlignment="1" applyProtection="1">
      <alignment horizontal="center"/>
      <protection locked="0"/>
    </xf>
    <xf numFmtId="44" fontId="0" fillId="0" borderId="384" xfId="2" applyFont="1" applyBorder="1" applyAlignment="1" applyProtection="1">
      <alignment horizontal="center"/>
      <protection locked="0"/>
    </xf>
    <xf numFmtId="44" fontId="0" fillId="0" borderId="385" xfId="2" applyFont="1" applyBorder="1" applyAlignment="1" applyProtection="1">
      <alignment horizontal="center"/>
      <protection locked="0"/>
    </xf>
    <xf numFmtId="44" fontId="6" fillId="0" borderId="373" xfId="2" applyFont="1" applyBorder="1" applyAlignment="1">
      <alignment horizontal="center" vertical="center"/>
    </xf>
    <xf numFmtId="0" fontId="0" fillId="0" borderId="372" xfId="0" applyBorder="1" applyAlignment="1">
      <alignment vertical="top"/>
    </xf>
    <xf numFmtId="0" fontId="0" fillId="19" borderId="371" xfId="0" applyFill="1" applyBorder="1" applyProtection="1">
      <protection locked="0"/>
    </xf>
    <xf numFmtId="43" fontId="0" fillId="19" borderId="371" xfId="1" applyFont="1" applyFill="1" applyBorder="1" applyProtection="1">
      <protection locked="0"/>
    </xf>
    <xf numFmtId="0" fontId="0" fillId="19" borderId="371" xfId="0" applyFill="1" applyBorder="1" applyAlignment="1" applyProtection="1">
      <alignment horizontal="center"/>
      <protection locked="0"/>
    </xf>
    <xf numFmtId="165" fontId="0" fillId="19" borderId="371" xfId="0" applyNumberFormat="1" applyFill="1" applyBorder="1" applyProtection="1">
      <protection locked="0"/>
    </xf>
    <xf numFmtId="0" fontId="0" fillId="19" borderId="373" xfId="0" applyFill="1" applyBorder="1" applyProtection="1">
      <protection locked="0"/>
    </xf>
    <xf numFmtId="165" fontId="0" fillId="0" borderId="371" xfId="0" applyNumberFormat="1" applyBorder="1" applyProtection="1">
      <protection locked="0"/>
    </xf>
    <xf numFmtId="0" fontId="88" fillId="10" borderId="368" xfId="0" applyFont="1" applyFill="1" applyBorder="1" applyAlignment="1">
      <alignment horizontal="left"/>
    </xf>
    <xf numFmtId="0" fontId="6" fillId="7" borderId="368" xfId="0" applyFont="1" applyFill="1" applyBorder="1" applyAlignment="1">
      <alignment horizontal="left" wrapText="1"/>
    </xf>
    <xf numFmtId="43" fontId="0" fillId="0" borderId="371" xfId="1" applyFont="1" applyFill="1" applyBorder="1" applyProtection="1">
      <protection locked="0"/>
    </xf>
    <xf numFmtId="44" fontId="6" fillId="0" borderId="373" xfId="2" applyFont="1" applyFill="1" applyBorder="1" applyAlignment="1">
      <alignment horizontal="center" vertical="center"/>
    </xf>
    <xf numFmtId="44" fontId="0" fillId="0" borderId="366" xfId="2" applyFont="1" applyFill="1" applyBorder="1" applyProtection="1">
      <protection locked="0"/>
    </xf>
    <xf numFmtId="44" fontId="0" fillId="0" borderId="366" xfId="2" applyFont="1" applyFill="1" applyBorder="1" applyAlignment="1" applyProtection="1">
      <alignment horizontal="left"/>
      <protection locked="0"/>
    </xf>
    <xf numFmtId="44" fontId="0" fillId="0" borderId="366" xfId="2" applyFont="1" applyFill="1" applyBorder="1" applyAlignment="1" applyProtection="1">
      <alignment horizontal="left" wrapText="1"/>
      <protection locked="0"/>
    </xf>
    <xf numFmtId="44" fontId="0" fillId="0" borderId="371" xfId="0" applyNumberFormat="1" applyBorder="1" applyAlignment="1" applyProtection="1">
      <alignment horizontal="center"/>
      <protection locked="0"/>
    </xf>
    <xf numFmtId="43" fontId="0" fillId="0" borderId="371" xfId="1" applyFont="1" applyBorder="1" applyAlignment="1" applyProtection="1">
      <alignment wrapText="1"/>
      <protection locked="0"/>
    </xf>
    <xf numFmtId="44" fontId="6" fillId="5" borderId="373" xfId="2" applyFont="1" applyFill="1" applyBorder="1" applyAlignment="1">
      <alignment horizontal="center" vertical="center"/>
    </xf>
    <xf numFmtId="44" fontId="0" fillId="5" borderId="366" xfId="2" applyFont="1" applyFill="1" applyBorder="1" applyProtection="1">
      <protection locked="0"/>
    </xf>
    <xf numFmtId="0" fontId="0" fillId="7" borderId="368" xfId="0" applyFill="1" applyBorder="1" applyAlignment="1">
      <alignment horizontal="left" wrapText="1"/>
    </xf>
    <xf numFmtId="44" fontId="0" fillId="0" borderId="366" xfId="2" applyFont="1" applyBorder="1" applyAlignment="1" applyProtection="1">
      <alignment horizontal="left" wrapText="1"/>
      <protection locked="0"/>
    </xf>
    <xf numFmtId="0" fontId="0" fillId="7" borderId="368" xfId="0" applyFill="1" applyBorder="1" applyAlignment="1">
      <alignment horizontal="left"/>
    </xf>
    <xf numFmtId="44" fontId="0" fillId="0" borderId="366" xfId="0" applyNumberFormat="1" applyBorder="1" applyProtection="1">
      <protection locked="0"/>
    </xf>
    <xf numFmtId="0" fontId="0" fillId="0" borderId="381" xfId="0" applyBorder="1" applyAlignment="1" applyProtection="1">
      <alignment horizontal="left"/>
      <protection locked="0"/>
    </xf>
    <xf numFmtId="169" fontId="0" fillId="0" borderId="381" xfId="0" applyNumberFormat="1" applyBorder="1" applyAlignment="1" applyProtection="1">
      <alignment horizontal="left"/>
      <protection locked="0"/>
    </xf>
    <xf numFmtId="0" fontId="4" fillId="0" borderId="381" xfId="4" applyBorder="1" applyAlignment="1" applyProtection="1">
      <alignment horizontal="left" vertical="center"/>
      <protection locked="0"/>
    </xf>
    <xf numFmtId="44" fontId="0" fillId="0" borderId="380" xfId="2" applyFont="1" applyBorder="1" applyAlignment="1" applyProtection="1">
      <alignment horizontal="center"/>
      <protection locked="0"/>
    </xf>
    <xf numFmtId="5" fontId="0" fillId="0" borderId="379" xfId="2" applyNumberFormat="1" applyFont="1" applyBorder="1" applyAlignment="1" applyProtection="1">
      <alignment horizontal="center"/>
      <protection locked="0"/>
    </xf>
    <xf numFmtId="0" fontId="0" fillId="0" borderId="386" xfId="0" applyBorder="1" applyAlignment="1">
      <alignment wrapText="1"/>
    </xf>
    <xf numFmtId="0" fontId="0" fillId="0" borderId="387" xfId="0" applyBorder="1" applyProtection="1">
      <protection locked="0"/>
    </xf>
    <xf numFmtId="0" fontId="0" fillId="0" borderId="388" xfId="0" applyBorder="1" applyAlignment="1" applyProtection="1">
      <alignment horizontal="center"/>
      <protection locked="0"/>
    </xf>
    <xf numFmtId="169" fontId="0" fillId="0" borderId="388" xfId="0" applyNumberFormat="1" applyBorder="1" applyAlignment="1" applyProtection="1">
      <alignment horizontal="center"/>
      <protection locked="0"/>
    </xf>
    <xf numFmtId="0" fontId="4" fillId="0" borderId="388" xfId="4" applyBorder="1" applyAlignment="1" applyProtection="1">
      <alignment horizontal="center" vertical="center"/>
      <protection locked="0"/>
    </xf>
    <xf numFmtId="0" fontId="0" fillId="0" borderId="389" xfId="0" applyBorder="1" applyAlignment="1">
      <alignment vertical="top"/>
    </xf>
    <xf numFmtId="0" fontId="0" fillId="0" borderId="390" xfId="0" applyBorder="1" applyAlignment="1">
      <alignment vertical="top"/>
    </xf>
    <xf numFmtId="0" fontId="6" fillId="0" borderId="391" xfId="0" applyFont="1" applyBorder="1" applyAlignment="1">
      <alignment vertical="center"/>
    </xf>
    <xf numFmtId="0" fontId="6" fillId="0" borderId="391" xfId="0" quotePrefix="1" applyFont="1" applyBorder="1"/>
    <xf numFmtId="0" fontId="6" fillId="17" borderId="391" xfId="0" applyFont="1" applyFill="1" applyBorder="1" applyAlignment="1">
      <alignment horizontal="center"/>
    </xf>
    <xf numFmtId="0" fontId="6" fillId="19" borderId="391" xfId="0" applyFont="1" applyFill="1" applyBorder="1" applyAlignment="1">
      <alignment horizontal="left"/>
    </xf>
    <xf numFmtId="0" fontId="6" fillId="7" borderId="391" xfId="0" applyFont="1" applyFill="1" applyBorder="1" applyAlignment="1">
      <alignment horizontal="left"/>
    </xf>
    <xf numFmtId="0" fontId="88" fillId="10" borderId="391" xfId="0" applyFont="1" applyFill="1" applyBorder="1" applyAlignment="1">
      <alignment horizontal="left"/>
    </xf>
    <xf numFmtId="0" fontId="88" fillId="25" borderId="391" xfId="0" applyFont="1" applyFill="1" applyBorder="1" applyAlignment="1">
      <alignment horizontal="left"/>
    </xf>
    <xf numFmtId="0" fontId="68" fillId="7" borderId="391" xfId="0" applyFont="1" applyFill="1" applyBorder="1" applyAlignment="1">
      <alignment horizontal="left"/>
    </xf>
    <xf numFmtId="44" fontId="0" fillId="0" borderId="366" xfId="2" applyFont="1" applyBorder="1" applyAlignment="1" applyProtection="1">
      <alignment wrapText="1"/>
      <protection locked="0"/>
    </xf>
    <xf numFmtId="0" fontId="6" fillId="7" borderId="391" xfId="0" applyFont="1" applyFill="1" applyBorder="1" applyAlignment="1">
      <alignment horizontal="left" wrapText="1"/>
    </xf>
    <xf numFmtId="0" fontId="68" fillId="7" borderId="391" xfId="0" applyFont="1" applyFill="1" applyBorder="1" applyAlignment="1">
      <alignment horizontal="left" wrapText="1"/>
    </xf>
    <xf numFmtId="0" fontId="68" fillId="10" borderId="391" xfId="0" applyFont="1" applyFill="1" applyBorder="1" applyAlignment="1">
      <alignment horizontal="left"/>
    </xf>
    <xf numFmtId="0" fontId="0" fillId="0" borderId="390" xfId="0" applyBorder="1"/>
    <xf numFmtId="0" fontId="0" fillId="0" borderId="386" xfId="0" applyBorder="1" applyProtection="1">
      <protection locked="0"/>
    </xf>
    <xf numFmtId="43" fontId="0" fillId="0" borderId="386" xfId="1" applyFont="1" applyBorder="1" applyProtection="1">
      <protection locked="0"/>
    </xf>
    <xf numFmtId="0" fontId="0" fillId="0" borderId="386" xfId="0" applyBorder="1" applyAlignment="1" applyProtection="1">
      <alignment horizontal="center"/>
      <protection locked="0"/>
    </xf>
    <xf numFmtId="0" fontId="0" fillId="0" borderId="392" xfId="0" applyBorder="1" applyProtection="1">
      <protection locked="0"/>
    </xf>
    <xf numFmtId="165" fontId="0" fillId="0" borderId="387" xfId="0" applyNumberFormat="1" applyBorder="1" applyProtection="1">
      <protection locked="0"/>
    </xf>
    <xf numFmtId="0" fontId="0" fillId="0" borderId="390" xfId="0" applyBorder="1" applyProtection="1">
      <protection locked="0"/>
    </xf>
    <xf numFmtId="0" fontId="0" fillId="0" borderId="386" xfId="0" applyBorder="1" applyAlignment="1" applyProtection="1">
      <alignment wrapText="1"/>
      <protection locked="0"/>
    </xf>
    <xf numFmtId="0" fontId="76" fillId="0" borderId="372" xfId="0" applyFont="1" applyBorder="1" applyAlignment="1">
      <alignment horizontal="right"/>
    </xf>
    <xf numFmtId="0" fontId="76" fillId="0" borderId="371" xfId="0" applyFont="1" applyBorder="1" applyAlignment="1">
      <alignment wrapText="1"/>
    </xf>
    <xf numFmtId="0" fontId="76" fillId="0" borderId="371" xfId="0" applyFont="1" applyBorder="1" applyProtection="1">
      <protection locked="0"/>
    </xf>
    <xf numFmtId="43" fontId="76" fillId="0" borderId="371" xfId="1" applyFont="1" applyBorder="1" applyProtection="1">
      <protection locked="0"/>
    </xf>
    <xf numFmtId="0" fontId="76" fillId="0" borderId="371" xfId="0" applyFont="1" applyBorder="1" applyAlignment="1" applyProtection="1">
      <alignment horizontal="center"/>
      <protection locked="0"/>
    </xf>
    <xf numFmtId="0" fontId="76" fillId="0" borderId="389" xfId="0" applyFont="1" applyBorder="1" applyAlignment="1" applyProtection="1">
      <alignment horizontal="center"/>
      <protection locked="0"/>
    </xf>
    <xf numFmtId="0" fontId="76" fillId="0" borderId="366" xfId="0" applyFont="1" applyBorder="1" applyAlignment="1" applyProtection="1">
      <alignment horizontal="center"/>
      <protection locked="0"/>
    </xf>
    <xf numFmtId="0" fontId="93" fillId="0" borderId="389" xfId="0" applyFont="1" applyBorder="1" applyAlignment="1" applyProtection="1">
      <alignment horizontal="center"/>
      <protection locked="0"/>
    </xf>
    <xf numFmtId="0" fontId="76" fillId="0" borderId="371" xfId="0" applyFont="1" applyBorder="1" applyAlignment="1">
      <alignment horizontal="left" wrapText="1"/>
    </xf>
    <xf numFmtId="0" fontId="76" fillId="0" borderId="375" xfId="0" applyFont="1" applyBorder="1" applyAlignment="1" applyProtection="1">
      <alignment horizontal="right"/>
      <protection locked="0"/>
    </xf>
    <xf numFmtId="169" fontId="76" fillId="0" borderId="381" xfId="0" applyNumberFormat="1" applyFont="1" applyBorder="1" applyAlignment="1" applyProtection="1">
      <alignment horizontal="center"/>
      <protection locked="0"/>
    </xf>
    <xf numFmtId="14" fontId="76" fillId="0" borderId="371" xfId="0" applyNumberFormat="1" applyFont="1" applyBorder="1" applyAlignment="1">
      <alignment horizontal="left" wrapText="1"/>
    </xf>
    <xf numFmtId="0" fontId="79" fillId="0" borderId="381" xfId="4" applyFont="1" applyBorder="1" applyAlignment="1" applyProtection="1">
      <alignment horizontal="center" vertical="center"/>
      <protection locked="0"/>
    </xf>
    <xf numFmtId="0" fontId="77" fillId="0" borderId="376" xfId="0" applyFont="1" applyBorder="1" applyAlignment="1" applyProtection="1">
      <alignment horizontal="right"/>
      <protection locked="0"/>
    </xf>
    <xf numFmtId="0" fontId="76" fillId="0" borderId="377" xfId="0" applyFont="1" applyBorder="1" applyAlignment="1">
      <alignment wrapText="1"/>
    </xf>
    <xf numFmtId="0" fontId="76" fillId="0" borderId="377" xfId="0" applyFont="1" applyBorder="1" applyProtection="1">
      <protection locked="0"/>
    </xf>
    <xf numFmtId="0" fontId="77" fillId="0" borderId="378" xfId="0" applyFont="1" applyBorder="1" applyAlignment="1" applyProtection="1">
      <alignment horizontal="right"/>
      <protection locked="0"/>
    </xf>
    <xf numFmtId="44" fontId="76" fillId="0" borderId="379" xfId="2" applyFont="1" applyBorder="1" applyAlignment="1" applyProtection="1">
      <alignment horizontal="center"/>
      <protection locked="0"/>
    </xf>
    <xf numFmtId="5" fontId="76" fillId="0" borderId="379" xfId="2" applyNumberFormat="1" applyFont="1" applyBorder="1" applyAlignment="1" applyProtection="1">
      <alignment horizontal="center"/>
      <protection locked="0"/>
    </xf>
    <xf numFmtId="44" fontId="76" fillId="0" borderId="383" xfId="2" applyFont="1" applyBorder="1" applyAlignment="1" applyProtection="1">
      <alignment horizontal="center"/>
      <protection locked="0"/>
    </xf>
    <xf numFmtId="44" fontId="76" fillId="0" borderId="380" xfId="2" applyFont="1" applyBorder="1" applyAlignment="1" applyProtection="1">
      <alignment horizontal="center"/>
      <protection locked="0"/>
    </xf>
    <xf numFmtId="0" fontId="76" fillId="0" borderId="389" xfId="0" applyFont="1" applyBorder="1" applyAlignment="1">
      <alignment vertical="top"/>
    </xf>
    <xf numFmtId="0" fontId="77" fillId="17" borderId="259" xfId="0" applyFont="1" applyFill="1" applyBorder="1" applyAlignment="1">
      <alignment horizontal="center" vertical="center"/>
    </xf>
    <xf numFmtId="44" fontId="77" fillId="0" borderId="373" xfId="2" applyFont="1" applyBorder="1" applyAlignment="1">
      <alignment horizontal="center" vertical="center"/>
    </xf>
    <xf numFmtId="0" fontId="76" fillId="0" borderId="366" xfId="0" applyFont="1" applyBorder="1" applyProtection="1">
      <protection locked="0"/>
    </xf>
    <xf numFmtId="0" fontId="76" fillId="0" borderId="390" xfId="0" applyFont="1" applyBorder="1" applyAlignment="1">
      <alignment vertical="top"/>
    </xf>
    <xf numFmtId="0" fontId="77" fillId="0" borderId="261" xfId="0" applyFont="1" applyBorder="1" applyAlignment="1">
      <alignment vertical="center"/>
    </xf>
    <xf numFmtId="0" fontId="76" fillId="0" borderId="372" xfId="0" applyFont="1" applyBorder="1" applyAlignment="1">
      <alignment vertical="top"/>
    </xf>
    <xf numFmtId="0" fontId="77" fillId="0" borderId="391" xfId="0" applyFont="1" applyBorder="1" applyAlignment="1">
      <alignment vertical="center"/>
    </xf>
    <xf numFmtId="0" fontId="77" fillId="0" borderId="391" xfId="0" quotePrefix="1" applyFont="1" applyBorder="1"/>
    <xf numFmtId="3" fontId="76" fillId="0" borderId="366" xfId="0" applyNumberFormat="1" applyFont="1" applyBorder="1" applyAlignment="1" applyProtection="1">
      <alignment horizontal="left"/>
      <protection locked="0"/>
    </xf>
    <xf numFmtId="0" fontId="77" fillId="17" borderId="391" xfId="0" applyFont="1" applyFill="1" applyBorder="1" applyAlignment="1">
      <alignment horizontal="center"/>
    </xf>
    <xf numFmtId="0" fontId="77" fillId="19" borderId="391" xfId="0" applyFont="1" applyFill="1" applyBorder="1" applyAlignment="1">
      <alignment horizontal="left"/>
    </xf>
    <xf numFmtId="0" fontId="76" fillId="19" borderId="371" xfId="0" applyFont="1" applyFill="1" applyBorder="1" applyProtection="1">
      <protection locked="0"/>
    </xf>
    <xf numFmtId="43" fontId="76" fillId="19" borderId="371" xfId="1" applyFont="1" applyFill="1" applyBorder="1" applyProtection="1">
      <protection locked="0"/>
    </xf>
    <xf numFmtId="0" fontId="76" fillId="19" borderId="371" xfId="0" applyFont="1" applyFill="1" applyBorder="1" applyAlignment="1" applyProtection="1">
      <alignment horizontal="center"/>
      <protection locked="0"/>
    </xf>
    <xf numFmtId="165" fontId="76" fillId="19" borderId="371" xfId="0" applyNumberFormat="1" applyFont="1" applyFill="1" applyBorder="1" applyProtection="1">
      <protection locked="0"/>
    </xf>
    <xf numFmtId="0" fontId="76" fillId="19" borderId="381" xfId="0" applyFont="1" applyFill="1" applyBorder="1" applyAlignment="1" applyProtection="1">
      <alignment horizontal="center"/>
      <protection locked="0"/>
    </xf>
    <xf numFmtId="0" fontId="76" fillId="19" borderId="373" xfId="0" applyFont="1" applyFill="1" applyBorder="1" applyProtection="1">
      <protection locked="0"/>
    </xf>
    <xf numFmtId="44" fontId="76" fillId="19" borderId="366" xfId="2" applyFont="1" applyFill="1" applyBorder="1" applyProtection="1">
      <protection locked="0"/>
    </xf>
    <xf numFmtId="44" fontId="76" fillId="19" borderId="381" xfId="2" applyFont="1" applyFill="1" applyBorder="1" applyAlignment="1" applyProtection="1">
      <alignment horizontal="center"/>
      <protection locked="0"/>
    </xf>
    <xf numFmtId="0" fontId="77" fillId="7" borderId="391" xfId="0" applyFont="1" applyFill="1" applyBorder="1" applyAlignment="1">
      <alignment horizontal="left"/>
    </xf>
    <xf numFmtId="165" fontId="76" fillId="0" borderId="371" xfId="0" applyNumberFormat="1" applyFont="1" applyBorder="1" applyProtection="1">
      <protection locked="0"/>
    </xf>
    <xf numFmtId="44" fontId="76" fillId="0" borderId="366" xfId="2" applyFont="1" applyBorder="1" applyProtection="1">
      <protection locked="0"/>
    </xf>
    <xf numFmtId="44" fontId="76" fillId="0" borderId="366" xfId="2" applyFont="1" applyBorder="1" applyAlignment="1" applyProtection="1">
      <alignment horizontal="left"/>
      <protection locked="0"/>
    </xf>
    <xf numFmtId="0" fontId="83" fillId="0" borderId="370" xfId="0" applyFont="1" applyBorder="1" applyAlignment="1">
      <alignment vertical="top"/>
    </xf>
    <xf numFmtId="0" fontId="77" fillId="7" borderId="391" xfId="0" applyFont="1" applyFill="1" applyBorder="1" applyAlignment="1">
      <alignment horizontal="left" wrapText="1"/>
    </xf>
    <xf numFmtId="44" fontId="76" fillId="0" borderId="366" xfId="2" applyFont="1" applyFill="1" applyBorder="1" applyAlignment="1" applyProtection="1">
      <alignment wrapText="1"/>
      <protection locked="0"/>
    </xf>
    <xf numFmtId="44" fontId="76" fillId="0" borderId="366" xfId="2" applyFont="1" applyBorder="1" applyAlignment="1" applyProtection="1">
      <alignment wrapText="1"/>
      <protection locked="0"/>
    </xf>
    <xf numFmtId="0" fontId="76" fillId="0" borderId="372" xfId="0" applyFont="1" applyBorder="1" applyAlignment="1">
      <alignment vertical="top" wrapText="1"/>
    </xf>
    <xf numFmtId="0" fontId="82" fillId="0" borderId="372" xfId="0" applyFont="1" applyBorder="1" applyAlignment="1">
      <alignment vertical="top"/>
    </xf>
    <xf numFmtId="0" fontId="82" fillId="7" borderId="391" xfId="0" applyFont="1" applyFill="1" applyBorder="1" applyAlignment="1">
      <alignment horizontal="left" wrapText="1"/>
    </xf>
    <xf numFmtId="0" fontId="81" fillId="0" borderId="372" xfId="0" applyFont="1" applyBorder="1" applyAlignment="1">
      <alignment vertical="top"/>
    </xf>
    <xf numFmtId="0" fontId="83" fillId="25" borderId="391" xfId="0" applyFont="1" applyFill="1" applyBorder="1" applyAlignment="1">
      <alignment horizontal="left" wrapText="1"/>
    </xf>
    <xf numFmtId="44" fontId="77" fillId="5" borderId="373" xfId="2" applyFont="1" applyFill="1" applyBorder="1" applyAlignment="1">
      <alignment horizontal="center" vertical="center"/>
    </xf>
    <xf numFmtId="165" fontId="76" fillId="5" borderId="366" xfId="2" applyNumberFormat="1" applyFont="1" applyFill="1" applyBorder="1" applyProtection="1">
      <protection locked="0"/>
    </xf>
    <xf numFmtId="44" fontId="76" fillId="5" borderId="366" xfId="2" applyFont="1" applyFill="1" applyBorder="1" applyProtection="1">
      <protection locked="0"/>
    </xf>
    <xf numFmtId="44" fontId="76" fillId="0" borderId="366" xfId="2" applyFont="1" applyFill="1" applyBorder="1" applyProtection="1">
      <protection locked="0"/>
    </xf>
    <xf numFmtId="0" fontId="95" fillId="0" borderId="371" xfId="0" applyFont="1" applyBorder="1" applyAlignment="1" applyProtection="1">
      <alignment wrapText="1"/>
      <protection locked="0"/>
    </xf>
    <xf numFmtId="0" fontId="76" fillId="0" borderId="371" xfId="0" applyFont="1" applyBorder="1" applyAlignment="1" applyProtection="1">
      <alignment wrapText="1"/>
      <protection locked="0"/>
    </xf>
    <xf numFmtId="0" fontId="83" fillId="25" borderId="391" xfId="0" applyFont="1" applyFill="1" applyBorder="1" applyAlignment="1">
      <alignment horizontal="left"/>
    </xf>
    <xf numFmtId="0" fontId="81" fillId="7" borderId="391" xfId="0" applyFont="1" applyFill="1" applyBorder="1" applyAlignment="1">
      <alignment horizontal="left" wrapText="1"/>
    </xf>
    <xf numFmtId="0" fontId="92" fillId="0" borderId="371" xfId="0" applyFont="1" applyBorder="1" applyAlignment="1" applyProtection="1">
      <alignment wrapText="1"/>
      <protection locked="0"/>
    </xf>
    <xf numFmtId="0" fontId="76" fillId="0" borderId="391" xfId="0" applyFont="1" applyBorder="1" applyAlignment="1">
      <alignment horizontal="left"/>
    </xf>
    <xf numFmtId="43" fontId="76" fillId="0" borderId="371" xfId="1" applyFont="1" applyFill="1" applyBorder="1" applyProtection="1">
      <protection locked="0"/>
    </xf>
    <xf numFmtId="44" fontId="77" fillId="0" borderId="373" xfId="2" applyFont="1" applyFill="1" applyBorder="1" applyAlignment="1">
      <alignment horizontal="center" vertical="center"/>
    </xf>
    <xf numFmtId="44" fontId="76" fillId="5" borderId="366" xfId="2" applyFont="1" applyFill="1" applyBorder="1" applyAlignment="1" applyProtection="1">
      <alignment horizontal="left"/>
      <protection locked="0"/>
    </xf>
    <xf numFmtId="0" fontId="76" fillId="7" borderId="391" xfId="0" applyFont="1" applyFill="1" applyBorder="1" applyAlignment="1">
      <alignment horizontal="left" wrapText="1"/>
    </xf>
    <xf numFmtId="0" fontId="76" fillId="7" borderId="391" xfId="0" applyFont="1" applyFill="1" applyBorder="1" applyAlignment="1">
      <alignment horizontal="left"/>
    </xf>
    <xf numFmtId="0" fontId="80" fillId="25" borderId="391" xfId="0" applyFont="1" applyFill="1" applyBorder="1" applyAlignment="1">
      <alignment horizontal="left" wrapText="1"/>
    </xf>
    <xf numFmtId="43" fontId="95" fillId="0" borderId="371" xfId="1" applyFont="1" applyBorder="1" applyAlignment="1" applyProtection="1">
      <alignment wrapText="1"/>
      <protection locked="0"/>
    </xf>
    <xf numFmtId="0" fontId="87" fillId="10" borderId="391" xfId="0" applyFont="1" applyFill="1" applyBorder="1" applyAlignment="1">
      <alignment horizontal="left"/>
    </xf>
    <xf numFmtId="44" fontId="76" fillId="0" borderId="366" xfId="2" applyFont="1" applyFill="1" applyBorder="1" applyAlignment="1" applyProtection="1">
      <alignment horizontal="left"/>
      <protection locked="0"/>
    </xf>
    <xf numFmtId="0" fontId="76" fillId="4" borderId="372" xfId="0" applyFont="1" applyFill="1" applyBorder="1"/>
    <xf numFmtId="0" fontId="76" fillId="4" borderId="371" xfId="0" applyFont="1" applyFill="1" applyBorder="1" applyAlignment="1">
      <alignment horizontal="right" wrapText="1"/>
    </xf>
    <xf numFmtId="0" fontId="76" fillId="4" borderId="371" xfId="0" applyFont="1" applyFill="1" applyBorder="1" applyProtection="1">
      <protection locked="0"/>
    </xf>
    <xf numFmtId="43" fontId="76" fillId="4" borderId="371" xfId="1" applyFont="1" applyFill="1" applyBorder="1" applyProtection="1">
      <protection locked="0"/>
    </xf>
    <xf numFmtId="0" fontId="76" fillId="4" borderId="371" xfId="0" applyFont="1" applyFill="1" applyBorder="1" applyAlignment="1" applyProtection="1">
      <alignment horizontal="center" vertical="center"/>
      <protection locked="0"/>
    </xf>
    <xf numFmtId="0" fontId="76" fillId="4" borderId="371" xfId="0" applyFont="1" applyFill="1" applyBorder="1" applyAlignment="1" applyProtection="1">
      <alignment horizontal="right" vertical="center"/>
      <protection locked="0"/>
    </xf>
    <xf numFmtId="9" fontId="76" fillId="4" borderId="373" xfId="3" applyFont="1" applyFill="1" applyBorder="1" applyProtection="1">
      <protection locked="0"/>
    </xf>
    <xf numFmtId="44" fontId="76" fillId="4" borderId="373" xfId="2" applyFont="1" applyFill="1" applyBorder="1" applyProtection="1">
      <protection locked="0"/>
    </xf>
    <xf numFmtId="44" fontId="76" fillId="4" borderId="373" xfId="2" applyFont="1" applyFill="1" applyBorder="1" applyAlignment="1" applyProtection="1">
      <alignment horizontal="left"/>
      <protection locked="0"/>
    </xf>
    <xf numFmtId="44" fontId="76" fillId="4" borderId="373" xfId="0" applyNumberFormat="1" applyFont="1" applyFill="1" applyBorder="1" applyProtection="1">
      <protection locked="0"/>
    </xf>
    <xf numFmtId="0" fontId="84" fillId="4" borderId="371" xfId="0" applyFont="1" applyFill="1" applyBorder="1" applyAlignment="1" applyProtection="1">
      <alignment horizontal="right" vertical="center"/>
      <protection locked="0"/>
    </xf>
    <xf numFmtId="165" fontId="85" fillId="4" borderId="373" xfId="0" applyNumberFormat="1" applyFont="1" applyFill="1" applyBorder="1" applyAlignment="1" applyProtection="1">
      <alignment horizontal="center"/>
      <protection locked="0"/>
    </xf>
    <xf numFmtId="44" fontId="85" fillId="4" borderId="373" xfId="2" applyFont="1" applyFill="1" applyBorder="1" applyAlignment="1" applyProtection="1">
      <alignment horizontal="left"/>
      <protection locked="0"/>
    </xf>
    <xf numFmtId="165" fontId="85" fillId="4" borderId="373" xfId="0" applyNumberFormat="1" applyFont="1" applyFill="1" applyBorder="1" applyAlignment="1" applyProtection="1">
      <alignment horizontal="left"/>
      <protection locked="0"/>
    </xf>
    <xf numFmtId="0" fontId="76" fillId="4" borderId="371" xfId="0" applyFont="1" applyFill="1" applyBorder="1" applyAlignment="1">
      <alignment wrapText="1"/>
    </xf>
    <xf numFmtId="0" fontId="76" fillId="4" borderId="373" xfId="0" applyFont="1" applyFill="1" applyBorder="1" applyAlignment="1" applyProtection="1">
      <alignment horizontal="center"/>
      <protection locked="0"/>
    </xf>
    <xf numFmtId="44" fontId="76" fillId="4" borderId="373" xfId="2" applyFont="1" applyFill="1" applyBorder="1" applyAlignment="1" applyProtection="1">
      <alignment horizontal="center"/>
      <protection locked="0"/>
    </xf>
    <xf numFmtId="0" fontId="76" fillId="0" borderId="390" xfId="0" applyFont="1" applyBorder="1"/>
    <xf numFmtId="0" fontId="76" fillId="0" borderId="386" xfId="0" applyFont="1" applyBorder="1" applyProtection="1">
      <protection locked="0"/>
    </xf>
    <xf numFmtId="43" fontId="76" fillId="0" borderId="386" xfId="1" applyFont="1" applyBorder="1" applyProtection="1">
      <protection locked="0"/>
    </xf>
    <xf numFmtId="0" fontId="76" fillId="0" borderId="386" xfId="0" applyFont="1" applyBorder="1" applyAlignment="1" applyProtection="1">
      <alignment horizontal="center"/>
      <protection locked="0"/>
    </xf>
    <xf numFmtId="0" fontId="76" fillId="0" borderId="392" xfId="0" applyFont="1" applyBorder="1" applyProtection="1">
      <protection locked="0"/>
    </xf>
    <xf numFmtId="165" fontId="76" fillId="0" borderId="366" xfId="0" applyNumberFormat="1" applyFont="1" applyBorder="1" applyProtection="1">
      <protection locked="0"/>
    </xf>
    <xf numFmtId="165" fontId="76" fillId="0" borderId="387" xfId="0" applyNumberFormat="1" applyFont="1" applyBorder="1" applyProtection="1">
      <protection locked="0"/>
    </xf>
    <xf numFmtId="0" fontId="80" fillId="0" borderId="371" xfId="0" applyFont="1" applyBorder="1" applyAlignment="1">
      <alignment wrapText="1"/>
    </xf>
    <xf numFmtId="0" fontId="76" fillId="0" borderId="372" xfId="0" applyFont="1" applyBorder="1"/>
    <xf numFmtId="0" fontId="76" fillId="0" borderId="375" xfId="0" applyFont="1" applyBorder="1" applyProtection="1">
      <protection locked="0"/>
    </xf>
    <xf numFmtId="165" fontId="76" fillId="0" borderId="373" xfId="0" applyNumberFormat="1" applyFont="1" applyBorder="1" applyAlignment="1" applyProtection="1">
      <alignment horizontal="right"/>
      <protection locked="0"/>
    </xf>
    <xf numFmtId="0" fontId="76" fillId="0" borderId="372" xfId="0" applyFont="1" applyBorder="1" applyProtection="1">
      <protection locked="0"/>
    </xf>
    <xf numFmtId="44" fontId="76" fillId="0" borderId="373" xfId="0" applyNumberFormat="1" applyFont="1" applyBorder="1" applyProtection="1">
      <protection locked="0"/>
    </xf>
    <xf numFmtId="0" fontId="76" fillId="0" borderId="390" xfId="0" applyFont="1" applyBorder="1" applyProtection="1">
      <protection locked="0"/>
    </xf>
    <xf numFmtId="0" fontId="76" fillId="0" borderId="386" xfId="0" applyFont="1" applyBorder="1" applyAlignment="1" applyProtection="1">
      <alignment wrapText="1"/>
      <protection locked="0"/>
    </xf>
    <xf numFmtId="165" fontId="76" fillId="0" borderId="373" xfId="0" applyNumberFormat="1" applyFont="1" applyBorder="1" applyProtection="1">
      <protection locked="0"/>
    </xf>
    <xf numFmtId="0" fontId="76" fillId="0" borderId="393" xfId="0" applyFont="1" applyBorder="1" applyAlignment="1">
      <alignment wrapText="1"/>
    </xf>
    <xf numFmtId="0" fontId="76" fillId="0" borderId="394" xfId="0" applyFont="1" applyBorder="1" applyProtection="1">
      <protection locked="0"/>
    </xf>
    <xf numFmtId="0" fontId="76" fillId="0" borderId="373" xfId="0" applyFont="1" applyBorder="1" applyProtection="1">
      <protection locked="0"/>
    </xf>
    <xf numFmtId="0" fontId="76" fillId="0" borderId="376" xfId="0" applyFont="1" applyBorder="1"/>
    <xf numFmtId="43" fontId="76" fillId="0" borderId="377" xfId="1" applyFont="1" applyBorder="1" applyProtection="1">
      <protection locked="0"/>
    </xf>
    <xf numFmtId="0" fontId="76" fillId="0" borderId="377" xfId="0" applyFont="1" applyBorder="1" applyAlignment="1" applyProtection="1">
      <alignment horizontal="center"/>
      <protection locked="0"/>
    </xf>
    <xf numFmtId="0" fontId="76" fillId="0" borderId="378" xfId="0" applyFont="1" applyBorder="1" applyProtection="1">
      <protection locked="0"/>
    </xf>
    <xf numFmtId="0" fontId="76" fillId="0" borderId="380" xfId="0" applyFont="1" applyBorder="1" applyProtection="1">
      <protection locked="0"/>
    </xf>
    <xf numFmtId="0" fontId="76" fillId="0" borderId="379" xfId="0" applyFont="1" applyBorder="1" applyProtection="1">
      <protection locked="0"/>
    </xf>
    <xf numFmtId="0" fontId="76" fillId="0" borderId="373" xfId="0" applyFont="1" applyBorder="1" applyAlignment="1" applyProtection="1">
      <alignment horizontal="center"/>
      <protection locked="0"/>
    </xf>
    <xf numFmtId="0" fontId="80" fillId="0" borderId="381" xfId="0" applyFont="1" applyBorder="1" applyAlignment="1" applyProtection="1">
      <alignment horizontal="right"/>
      <protection locked="0"/>
    </xf>
    <xf numFmtId="0" fontId="80" fillId="0" borderId="373" xfId="0" applyFont="1" applyBorder="1" applyAlignment="1" applyProtection="1">
      <alignment horizontal="right"/>
      <protection locked="0"/>
    </xf>
    <xf numFmtId="169" fontId="76" fillId="0" borderId="373" xfId="0" applyNumberFormat="1" applyFont="1" applyBorder="1" applyAlignment="1" applyProtection="1">
      <alignment horizontal="center"/>
      <protection locked="0"/>
    </xf>
    <xf numFmtId="0" fontId="79" fillId="0" borderId="373" xfId="4" applyFont="1" applyBorder="1" applyAlignment="1" applyProtection="1">
      <alignment horizontal="center" vertical="center"/>
      <protection locked="0"/>
    </xf>
    <xf numFmtId="0" fontId="80" fillId="0" borderId="376" xfId="0" applyFont="1" applyBorder="1" applyAlignment="1" applyProtection="1">
      <alignment horizontal="right"/>
      <protection locked="0"/>
    </xf>
    <xf numFmtId="44" fontId="76" fillId="0" borderId="379" xfId="2" applyFont="1" applyBorder="1" applyAlignment="1" applyProtection="1">
      <alignment horizontal="center"/>
      <protection locked="0"/>
    </xf>
    <xf numFmtId="169" fontId="93" fillId="0" borderId="381" xfId="0" applyNumberFormat="1" applyFont="1" applyBorder="1" applyAlignment="1" applyProtection="1">
      <alignment horizontal="center"/>
      <protection locked="0"/>
    </xf>
    <xf numFmtId="0" fontId="0" fillId="0" borderId="395" xfId="0" applyBorder="1" applyAlignment="1">
      <alignment vertical="top"/>
    </xf>
    <xf numFmtId="0" fontId="0" fillId="0" borderId="396" xfId="0" applyBorder="1" applyAlignment="1">
      <alignment vertical="top"/>
    </xf>
    <xf numFmtId="0" fontId="6" fillId="0" borderId="397" xfId="0" applyFont="1" applyBorder="1" applyAlignment="1">
      <alignment vertical="center"/>
    </xf>
    <xf numFmtId="0" fontId="6" fillId="0" borderId="397" xfId="0" quotePrefix="1" applyFont="1" applyBorder="1"/>
    <xf numFmtId="0" fontId="6" fillId="17" borderId="397" xfId="0" applyFont="1" applyFill="1" applyBorder="1" applyAlignment="1">
      <alignment horizontal="center"/>
    </xf>
    <xf numFmtId="0" fontId="6" fillId="19" borderId="397" xfId="0" applyFont="1" applyFill="1" applyBorder="1" applyAlignment="1">
      <alignment horizontal="left"/>
    </xf>
    <xf numFmtId="0" fontId="6" fillId="7" borderId="397" xfId="0" applyFont="1" applyFill="1" applyBorder="1" applyAlignment="1">
      <alignment horizontal="left"/>
    </xf>
    <xf numFmtId="0" fontId="68" fillId="7" borderId="397" xfId="0" applyFont="1" applyFill="1" applyBorder="1" applyAlignment="1">
      <alignment horizontal="left"/>
    </xf>
    <xf numFmtId="0" fontId="68" fillId="10" borderId="397" xfId="0" applyFont="1" applyFill="1" applyBorder="1" applyAlignment="1">
      <alignment horizontal="left"/>
    </xf>
    <xf numFmtId="0" fontId="68" fillId="25" borderId="397" xfId="0" applyFont="1" applyFill="1" applyBorder="1" applyAlignment="1">
      <alignment horizontal="left"/>
    </xf>
    <xf numFmtId="0" fontId="68" fillId="7" borderId="397" xfId="0" applyFont="1" applyFill="1" applyBorder="1" applyAlignment="1">
      <alignment horizontal="left" wrapText="1"/>
    </xf>
    <xf numFmtId="0" fontId="6" fillId="7" borderId="397" xfId="0" applyFont="1" applyFill="1" applyBorder="1" applyAlignment="1">
      <alignment horizontal="left" wrapText="1"/>
    </xf>
    <xf numFmtId="0" fontId="68" fillId="0" borderId="397" xfId="0" applyFont="1" applyBorder="1" applyAlignment="1">
      <alignment horizontal="left"/>
    </xf>
    <xf numFmtId="44" fontId="0" fillId="5" borderId="366" xfId="2" applyFont="1" applyFill="1" applyBorder="1" applyAlignment="1" applyProtection="1">
      <alignment horizontal="left"/>
      <protection locked="0"/>
    </xf>
    <xf numFmtId="0" fontId="68" fillId="0" borderId="397" xfId="0" applyFont="1" applyBorder="1" applyAlignment="1">
      <alignment horizontal="left" wrapText="1"/>
    </xf>
    <xf numFmtId="0" fontId="6" fillId="0" borderId="397" xfId="0" applyFont="1" applyBorder="1" applyAlignment="1">
      <alignment horizontal="left" wrapText="1"/>
    </xf>
    <xf numFmtId="0" fontId="21" fillId="0" borderId="371" xfId="0" applyFont="1" applyBorder="1" applyAlignment="1" applyProtection="1">
      <alignment wrapText="1"/>
      <protection locked="0"/>
    </xf>
    <xf numFmtId="0" fontId="75" fillId="7" borderId="397" xfId="0" applyFont="1" applyFill="1" applyBorder="1" applyAlignment="1">
      <alignment horizontal="left" wrapText="1"/>
    </xf>
    <xf numFmtId="0" fontId="6" fillId="0" borderId="397" xfId="0" applyFont="1" applyBorder="1" applyAlignment="1">
      <alignment horizontal="left"/>
    </xf>
    <xf numFmtId="0" fontId="0" fillId="0" borderId="372" xfId="0" applyBorder="1" applyAlignment="1">
      <alignment vertical="top" wrapText="1"/>
    </xf>
    <xf numFmtId="0" fontId="60" fillId="7" borderId="397" xfId="0" applyFont="1" applyFill="1" applyBorder="1" applyAlignment="1">
      <alignment horizontal="left"/>
    </xf>
    <xf numFmtId="0" fontId="0" fillId="0" borderId="396" xfId="0" applyBorder="1"/>
    <xf numFmtId="0" fontId="0" fillId="0" borderId="393" xfId="0" applyBorder="1" applyAlignment="1" applyProtection="1">
      <alignment wrapText="1"/>
      <protection locked="0"/>
    </xf>
    <xf numFmtId="43" fontId="0" fillId="0" borderId="393" xfId="1" applyFont="1" applyBorder="1" applyProtection="1">
      <protection locked="0"/>
    </xf>
    <xf numFmtId="0" fontId="0" fillId="0" borderId="393" xfId="0" applyBorder="1" applyAlignment="1" applyProtection="1">
      <alignment horizontal="center"/>
      <protection locked="0"/>
    </xf>
    <xf numFmtId="0" fontId="0" fillId="0" borderId="393" xfId="0" applyBorder="1" applyProtection="1">
      <protection locked="0"/>
    </xf>
    <xf numFmtId="0" fontId="0" fillId="0" borderId="398" xfId="0" applyBorder="1" applyProtection="1">
      <protection locked="0"/>
    </xf>
    <xf numFmtId="165" fontId="0" fillId="0" borderId="394" xfId="0" applyNumberFormat="1" applyBorder="1" applyProtection="1">
      <protection locked="0"/>
    </xf>
    <xf numFmtId="0" fontId="0" fillId="0" borderId="396" xfId="0" applyBorder="1" applyProtection="1">
      <protection locked="0"/>
    </xf>
    <xf numFmtId="0" fontId="0" fillId="0" borderId="393" xfId="0" applyBorder="1" applyAlignment="1">
      <alignment wrapText="1"/>
    </xf>
    <xf numFmtId="0" fontId="0" fillId="0" borderId="394" xfId="0" applyBorder="1" applyProtection="1">
      <protection locked="0"/>
    </xf>
    <xf numFmtId="0" fontId="68" fillId="23" borderId="397" xfId="0" applyFont="1" applyFill="1" applyBorder="1" applyAlignment="1">
      <alignment horizontal="left"/>
    </xf>
    <xf numFmtId="0" fontId="3" fillId="25" borderId="397" xfId="0" applyFont="1" applyFill="1" applyBorder="1" applyAlignment="1">
      <alignment horizontal="left"/>
    </xf>
    <xf numFmtId="165" fontId="0" fillId="5" borderId="366" xfId="2" applyNumberFormat="1" applyFont="1" applyFill="1" applyBorder="1" applyProtection="1">
      <protection locked="0"/>
    </xf>
    <xf numFmtId="165" fontId="0" fillId="5" borderId="366" xfId="2" applyNumberFormat="1" applyFont="1" applyFill="1" applyBorder="1" applyAlignment="1" applyProtection="1">
      <alignment horizontal="left"/>
      <protection locked="0"/>
    </xf>
    <xf numFmtId="0" fontId="76" fillId="0" borderId="395" xfId="0" applyFont="1" applyBorder="1" applyAlignment="1" applyProtection="1">
      <alignment horizontal="center"/>
      <protection locked="0"/>
    </xf>
    <xf numFmtId="44" fontId="0" fillId="0" borderId="399" xfId="2" applyFont="1" applyBorder="1" applyAlignment="1" applyProtection="1">
      <alignment horizontal="center"/>
      <protection locked="0"/>
    </xf>
    <xf numFmtId="0" fontId="60" fillId="0" borderId="397" xfId="0" applyFont="1" applyBorder="1" applyAlignment="1">
      <alignment horizontal="left"/>
    </xf>
    <xf numFmtId="0" fontId="0" fillId="0" borderId="400" xfId="0" applyBorder="1" applyAlignment="1">
      <alignment wrapText="1"/>
    </xf>
    <xf numFmtId="0" fontId="0" fillId="0" borderId="401" xfId="0" applyBorder="1" applyProtection="1">
      <protection locked="0"/>
    </xf>
    <xf numFmtId="0" fontId="0" fillId="0" borderId="402" xfId="0" applyBorder="1" applyAlignment="1">
      <alignment vertical="top"/>
    </xf>
    <xf numFmtId="0" fontId="0" fillId="0" borderId="403" xfId="0" applyBorder="1" applyAlignment="1">
      <alignment vertical="top"/>
    </xf>
    <xf numFmtId="0" fontId="6" fillId="0" borderId="404" xfId="0" applyFont="1" applyBorder="1" applyAlignment="1">
      <alignment vertical="center"/>
    </xf>
    <xf numFmtId="0" fontId="6" fillId="0" borderId="404" xfId="0" quotePrefix="1" applyFont="1" applyBorder="1"/>
    <xf numFmtId="0" fontId="6" fillId="17" borderId="404" xfId="0" applyFont="1" applyFill="1" applyBorder="1" applyAlignment="1">
      <alignment horizontal="center"/>
    </xf>
    <xf numFmtId="0" fontId="6" fillId="19" borderId="404" xfId="0" applyFont="1" applyFill="1" applyBorder="1" applyAlignment="1">
      <alignment horizontal="left"/>
    </xf>
    <xf numFmtId="0" fontId="6" fillId="7" borderId="404" xfId="0" applyFont="1" applyFill="1" applyBorder="1" applyAlignment="1">
      <alignment horizontal="left"/>
    </xf>
    <xf numFmtId="0" fontId="68" fillId="10" borderId="404" xfId="0" applyFont="1" applyFill="1" applyBorder="1" applyAlignment="1">
      <alignment horizontal="left"/>
    </xf>
    <xf numFmtId="0" fontId="68" fillId="7" borderId="404" xfId="0" applyFont="1" applyFill="1" applyBorder="1" applyAlignment="1">
      <alignment horizontal="left" wrapText="1"/>
    </xf>
    <xf numFmtId="0" fontId="6" fillId="7" borderId="404" xfId="0" applyFont="1" applyFill="1" applyBorder="1" applyAlignment="1">
      <alignment horizontal="left" wrapText="1"/>
    </xf>
    <xf numFmtId="0" fontId="68" fillId="7" borderId="404" xfId="0" applyFont="1" applyFill="1" applyBorder="1" applyAlignment="1">
      <alignment horizontal="left"/>
    </xf>
    <xf numFmtId="0" fontId="37" fillId="0" borderId="372" xfId="0" applyFont="1" applyBorder="1" applyAlignment="1">
      <alignment vertical="top"/>
    </xf>
    <xf numFmtId="0" fontId="0" fillId="0" borderId="403" xfId="0" applyBorder="1"/>
    <xf numFmtId="0" fontId="0" fillId="0" borderId="400" xfId="0" applyBorder="1" applyProtection="1">
      <protection locked="0"/>
    </xf>
    <xf numFmtId="43" fontId="0" fillId="0" borderId="400" xfId="1" applyFont="1" applyBorder="1" applyProtection="1">
      <protection locked="0"/>
    </xf>
    <xf numFmtId="0" fontId="0" fillId="0" borderId="400" xfId="0" applyBorder="1" applyAlignment="1" applyProtection="1">
      <alignment horizontal="center"/>
      <protection locked="0"/>
    </xf>
    <xf numFmtId="0" fontId="0" fillId="0" borderId="405" xfId="0" applyBorder="1" applyProtection="1">
      <protection locked="0"/>
    </xf>
    <xf numFmtId="165" fontId="0" fillId="0" borderId="401" xfId="0" applyNumberFormat="1" applyBorder="1" applyProtection="1">
      <protection locked="0"/>
    </xf>
    <xf numFmtId="0" fontId="0" fillId="0" borderId="403" xfId="0" applyBorder="1" applyProtection="1">
      <protection locked="0"/>
    </xf>
    <xf numFmtId="0" fontId="0" fillId="0" borderId="400" xfId="0" applyBorder="1" applyAlignment="1" applyProtection="1">
      <alignment wrapText="1"/>
      <protection locked="0"/>
    </xf>
    <xf numFmtId="44" fontId="0" fillId="0" borderId="406" xfId="2" applyFont="1" applyBorder="1" applyAlignment="1" applyProtection="1">
      <alignment horizontal="center"/>
      <protection locked="0"/>
    </xf>
    <xf numFmtId="0" fontId="24" fillId="0" borderId="370" xfId="0" applyFont="1" applyBorder="1" applyAlignment="1">
      <alignment horizontal="left" vertical="center" wrapText="1"/>
    </xf>
    <xf numFmtId="0" fontId="23" fillId="0" borderId="370" xfId="0" applyFont="1" applyBorder="1" applyAlignment="1">
      <alignment horizontal="left" vertical="center" wrapText="1"/>
    </xf>
    <xf numFmtId="0" fontId="23" fillId="7" borderId="407" xfId="0" applyFont="1" applyFill="1" applyBorder="1" applyAlignment="1">
      <alignment horizontal="left" vertical="center" wrapText="1"/>
    </xf>
    <xf numFmtId="0" fontId="24" fillId="7" borderId="407" xfId="0" applyFont="1" applyFill="1" applyBorder="1" applyAlignment="1">
      <alignment horizontal="left" vertical="center" wrapText="1"/>
    </xf>
    <xf numFmtId="0" fontId="23" fillId="7" borderId="407" xfId="0" applyFont="1" applyFill="1" applyBorder="1" applyAlignment="1">
      <alignment horizontal="left" vertical="center"/>
    </xf>
    <xf numFmtId="0" fontId="60" fillId="10" borderId="404" xfId="0" applyFont="1" applyFill="1" applyBorder="1" applyAlignment="1">
      <alignment horizontal="left"/>
    </xf>
    <xf numFmtId="0" fontId="60" fillId="25" borderId="404" xfId="0" applyFont="1" applyFill="1" applyBorder="1" applyAlignment="1">
      <alignment horizontal="left"/>
    </xf>
    <xf numFmtId="0" fontId="38" fillId="7" borderId="404" xfId="0" applyFont="1" applyFill="1" applyBorder="1" applyAlignment="1">
      <alignment horizontal="left"/>
    </xf>
    <xf numFmtId="0" fontId="24" fillId="7" borderId="408" xfId="0" applyFont="1" applyFill="1" applyBorder="1" applyAlignment="1">
      <alignment horizontal="left" vertical="center" wrapText="1"/>
    </xf>
    <xf numFmtId="44" fontId="6" fillId="0" borderId="373" xfId="2" applyFont="1" applyBorder="1" applyAlignment="1">
      <alignment horizontal="center" vertical="center" wrapText="1"/>
    </xf>
    <xf numFmtId="43" fontId="0" fillId="0" borderId="372" xfId="1" applyFont="1" applyBorder="1" applyAlignment="1">
      <alignment vertical="top"/>
    </xf>
    <xf numFmtId="0" fontId="86" fillId="0" borderId="409" xfId="0" applyFont="1" applyBorder="1" applyAlignment="1">
      <alignment vertical="center" wrapText="1"/>
    </xf>
    <xf numFmtId="43" fontId="0" fillId="27" borderId="372" xfId="1" applyFont="1" applyFill="1" applyBorder="1" applyAlignment="1">
      <alignment vertical="top"/>
    </xf>
    <xf numFmtId="0" fontId="6" fillId="0" borderId="404" xfId="0" applyFont="1" applyBorder="1" applyAlignment="1">
      <alignment horizontal="left" indent="2"/>
    </xf>
    <xf numFmtId="44" fontId="0" fillId="27" borderId="366" xfId="2" applyFont="1" applyFill="1" applyBorder="1" applyAlignment="1" applyProtection="1">
      <alignment horizontal="left"/>
      <protection locked="0"/>
    </xf>
    <xf numFmtId="0" fontId="6" fillId="7" borderId="404" xfId="0" applyFont="1" applyFill="1" applyBorder="1" applyAlignment="1">
      <alignment horizontal="left" indent="2"/>
    </xf>
    <xf numFmtId="0" fontId="3" fillId="0" borderId="372" xfId="0" applyFont="1" applyBorder="1" applyAlignment="1">
      <alignment vertical="top"/>
    </xf>
    <xf numFmtId="0" fontId="68" fillId="25" borderId="404" xfId="0" applyFont="1" applyFill="1" applyBorder="1" applyAlignment="1">
      <alignment horizontal="left"/>
    </xf>
    <xf numFmtId="0" fontId="6" fillId="0" borderId="404" xfId="0" applyFont="1" applyBorder="1" applyAlignment="1">
      <alignment horizontal="left"/>
    </xf>
    <xf numFmtId="0" fontId="0" fillId="0" borderId="404" xfId="0" applyBorder="1" applyAlignment="1">
      <alignment horizontal="left"/>
    </xf>
    <xf numFmtId="0" fontId="2" fillId="7" borderId="404" xfId="0" applyFont="1" applyFill="1" applyBorder="1" applyAlignment="1">
      <alignment horizontal="left"/>
    </xf>
    <xf numFmtId="0" fontId="2" fillId="0" borderId="404" xfId="0" applyFont="1" applyBorder="1" applyAlignment="1">
      <alignment horizontal="left"/>
    </xf>
    <xf numFmtId="0" fontId="38" fillId="0" borderId="372" xfId="0" applyFont="1" applyBorder="1" applyAlignment="1">
      <alignment vertical="top"/>
    </xf>
    <xf numFmtId="44" fontId="38" fillId="0" borderId="366" xfId="2" applyFont="1" applyFill="1" applyBorder="1" applyAlignment="1" applyProtection="1">
      <alignment horizontal="left"/>
      <protection locked="0"/>
    </xf>
    <xf numFmtId="44" fontId="38" fillId="0" borderId="366" xfId="2" applyFont="1" applyFill="1" applyBorder="1" applyProtection="1">
      <protection locked="0"/>
    </xf>
    <xf numFmtId="44" fontId="38" fillId="0" borderId="373" xfId="2" applyFont="1" applyFill="1" applyBorder="1" applyAlignment="1">
      <alignment horizontal="center" vertical="center"/>
    </xf>
    <xf numFmtId="0" fontId="38" fillId="0" borderId="404" xfId="0" applyFont="1" applyBorder="1" applyAlignment="1">
      <alignment horizontal="left"/>
    </xf>
    <xf numFmtId="0" fontId="6" fillId="0" borderId="404" xfId="0" applyFont="1" applyBorder="1" applyAlignment="1">
      <alignment horizontal="left" wrapText="1"/>
    </xf>
    <xf numFmtId="44" fontId="6" fillId="5" borderId="373" xfId="2" applyFont="1" applyFill="1" applyBorder="1" applyAlignment="1">
      <alignment horizontal="center" vertical="center" wrapText="1"/>
    </xf>
    <xf numFmtId="0" fontId="0" fillId="0" borderId="410" xfId="0" applyBorder="1" applyAlignment="1" applyProtection="1">
      <alignment horizontal="center"/>
      <protection locked="0"/>
    </xf>
    <xf numFmtId="169" fontId="0" fillId="0" borderId="410" xfId="0" applyNumberFormat="1" applyBorder="1" applyAlignment="1" applyProtection="1">
      <alignment horizontal="center"/>
      <protection locked="0"/>
    </xf>
    <xf numFmtId="0" fontId="4" fillId="0" borderId="410" xfId="4" applyBorder="1" applyAlignment="1" applyProtection="1">
      <alignment horizontal="center" vertical="center"/>
      <protection locked="0"/>
    </xf>
    <xf numFmtId="170" fontId="0" fillId="0" borderId="383" xfId="2" applyNumberFormat="1" applyFont="1" applyBorder="1" applyAlignment="1" applyProtection="1">
      <alignment horizontal="center"/>
      <protection locked="0"/>
    </xf>
    <xf numFmtId="170" fontId="0" fillId="0" borderId="380" xfId="2" applyNumberFormat="1" applyFont="1" applyBorder="1" applyAlignment="1" applyProtection="1">
      <alignment horizontal="center"/>
      <protection locked="0"/>
    </xf>
    <xf numFmtId="0" fontId="3" fillId="0" borderId="400" xfId="0" applyFont="1" applyBorder="1" applyAlignment="1">
      <alignment wrapText="1"/>
    </xf>
    <xf numFmtId="5" fontId="0" fillId="0" borderId="373" xfId="2" applyNumberFormat="1" applyFont="1" applyBorder="1" applyProtection="1">
      <protection locked="0"/>
    </xf>
    <xf numFmtId="0" fontId="5" fillId="0" borderId="371" xfId="0" applyFont="1" applyBorder="1" applyProtection="1">
      <protection locked="0"/>
    </xf>
    <xf numFmtId="44" fontId="0" fillId="0" borderId="403" xfId="2" applyFont="1" applyBorder="1" applyAlignment="1">
      <alignment vertical="top"/>
    </xf>
    <xf numFmtId="44" fontId="0" fillId="0" borderId="402" xfId="2" applyFont="1" applyBorder="1" applyAlignment="1">
      <alignment vertical="top"/>
    </xf>
    <xf numFmtId="0" fontId="3" fillId="3" borderId="371" xfId="0" applyFont="1" applyFill="1" applyBorder="1" applyAlignment="1">
      <alignment horizontal="center" wrapText="1"/>
    </xf>
    <xf numFmtId="0" fontId="5" fillId="0" borderId="373" xfId="0" applyFont="1" applyBorder="1" applyProtection="1">
      <protection locked="0"/>
    </xf>
    <xf numFmtId="0" fontId="23" fillId="17" borderId="335" xfId="0" applyFont="1" applyFill="1" applyBorder="1" applyAlignment="1">
      <alignment horizontal="center" vertical="center"/>
    </xf>
    <xf numFmtId="0" fontId="23" fillId="0" borderId="407" xfId="0" applyFont="1" applyBorder="1" applyAlignment="1">
      <alignment vertical="center"/>
    </xf>
    <xf numFmtId="0" fontId="23" fillId="0" borderId="407" xfId="0" quotePrefix="1" applyFont="1" applyBorder="1"/>
    <xf numFmtId="44" fontId="5" fillId="0" borderId="373" xfId="2" applyFont="1" applyBorder="1" applyProtection="1">
      <protection locked="0"/>
    </xf>
    <xf numFmtId="0" fontId="23" fillId="17" borderId="407" xfId="0" applyFont="1" applyFill="1" applyBorder="1" applyAlignment="1">
      <alignment horizontal="center"/>
    </xf>
    <xf numFmtId="0" fontId="23" fillId="19" borderId="407" xfId="0" applyFont="1" applyFill="1" applyBorder="1" applyAlignment="1">
      <alignment horizontal="left"/>
    </xf>
    <xf numFmtId="44" fontId="0" fillId="19" borderId="371" xfId="2" applyFont="1" applyFill="1" applyBorder="1" applyProtection="1">
      <protection locked="0"/>
    </xf>
    <xf numFmtId="0" fontId="5" fillId="19" borderId="373" xfId="0" applyFont="1" applyFill="1" applyBorder="1" applyProtection="1">
      <protection locked="0"/>
    </xf>
    <xf numFmtId="3" fontId="0" fillId="19" borderId="366" xfId="0" applyNumberFormat="1" applyFill="1" applyBorder="1" applyAlignment="1" applyProtection="1">
      <alignment horizontal="left"/>
      <protection locked="0"/>
    </xf>
    <xf numFmtId="44" fontId="5" fillId="19" borderId="373" xfId="2" applyFont="1" applyFill="1" applyBorder="1" applyProtection="1">
      <protection locked="0"/>
    </xf>
    <xf numFmtId="0" fontId="23" fillId="18" borderId="370" xfId="0" applyFont="1" applyFill="1" applyBorder="1" applyAlignment="1">
      <alignment horizontal="left" vertical="center" wrapText="1"/>
    </xf>
    <xf numFmtId="44" fontId="23" fillId="7" borderId="371" xfId="2" applyFont="1" applyFill="1" applyBorder="1" applyAlignment="1">
      <alignment horizontal="center" vertical="center"/>
    </xf>
    <xf numFmtId="0" fontId="23" fillId="7" borderId="407" xfId="0" applyFont="1" applyFill="1" applyBorder="1" applyAlignment="1">
      <alignment horizontal="left" vertical="center" wrapText="1" indent="1"/>
    </xf>
    <xf numFmtId="0" fontId="24" fillId="0" borderId="370" xfId="0" applyFont="1" applyBorder="1" applyAlignment="1">
      <alignment vertical="top"/>
    </xf>
    <xf numFmtId="0" fontId="23" fillId="0" borderId="370" xfId="0" applyFont="1" applyBorder="1" applyAlignment="1">
      <alignment vertical="top"/>
    </xf>
    <xf numFmtId="0" fontId="0" fillId="4" borderId="371" xfId="0" applyFill="1" applyBorder="1" applyAlignment="1" applyProtection="1">
      <alignment vertical="center"/>
      <protection locked="0"/>
    </xf>
    <xf numFmtId="9" fontId="0" fillId="4" borderId="373" xfId="3" applyFont="1" applyFill="1" applyBorder="1" applyAlignment="1" applyProtection="1">
      <alignment horizontal="left"/>
      <protection locked="0"/>
    </xf>
    <xf numFmtId="5" fontId="0" fillId="4" borderId="373" xfId="2" applyNumberFormat="1" applyFont="1" applyFill="1" applyBorder="1" applyAlignment="1" applyProtection="1">
      <alignment horizontal="left"/>
      <protection locked="0"/>
    </xf>
    <xf numFmtId="5" fontId="0" fillId="4" borderId="373" xfId="0" applyNumberFormat="1" applyFill="1" applyBorder="1" applyAlignment="1" applyProtection="1">
      <alignment horizontal="left"/>
      <protection locked="0"/>
    </xf>
    <xf numFmtId="0" fontId="0" fillId="4" borderId="379" xfId="0" applyFill="1" applyBorder="1" applyAlignment="1" applyProtection="1">
      <alignment horizontal="center"/>
      <protection locked="0"/>
    </xf>
    <xf numFmtId="7" fontId="0" fillId="4" borderId="373" xfId="0" applyNumberFormat="1" applyFill="1" applyBorder="1" applyAlignment="1" applyProtection="1">
      <alignment horizontal="center"/>
      <protection locked="0"/>
    </xf>
    <xf numFmtId="0" fontId="0" fillId="0" borderId="411" xfId="0" applyBorder="1" applyProtection="1">
      <protection locked="0"/>
    </xf>
    <xf numFmtId="0" fontId="0" fillId="0" borderId="412" xfId="0" applyBorder="1" applyProtection="1">
      <protection locked="0"/>
    </xf>
    <xf numFmtId="0" fontId="0" fillId="0" borderId="413" xfId="0" applyBorder="1" applyAlignment="1">
      <alignment wrapText="1"/>
    </xf>
    <xf numFmtId="0" fontId="0" fillId="0" borderId="414" xfId="0" applyBorder="1" applyProtection="1">
      <protection locked="0"/>
    </xf>
    <xf numFmtId="0" fontId="0" fillId="0" borderId="415" xfId="0" applyBorder="1" applyProtection="1">
      <protection locked="0"/>
    </xf>
    <xf numFmtId="5" fontId="0" fillId="0" borderId="379" xfId="2" applyNumberFormat="1" applyFont="1" applyBorder="1" applyAlignment="1" applyProtection="1">
      <alignment horizontal="center"/>
      <protection locked="0"/>
    </xf>
    <xf numFmtId="0" fontId="3" fillId="0" borderId="413" xfId="0" applyFont="1" applyBorder="1" applyAlignment="1">
      <alignment wrapText="1"/>
    </xf>
    <xf numFmtId="44" fontId="0" fillId="0" borderId="416" xfId="2" applyFont="1" applyBorder="1" applyAlignment="1">
      <alignment vertical="top"/>
    </xf>
    <xf numFmtId="0" fontId="6" fillId="0" borderId="417" xfId="0" applyFont="1" applyBorder="1" applyAlignment="1">
      <alignment vertical="center"/>
    </xf>
    <xf numFmtId="0" fontId="6" fillId="0" borderId="418" xfId="0" applyFont="1" applyBorder="1" applyAlignment="1">
      <alignment vertical="center"/>
    </xf>
    <xf numFmtId="0" fontId="6" fillId="0" borderId="418" xfId="0" quotePrefix="1" applyFont="1" applyBorder="1"/>
    <xf numFmtId="0" fontId="6" fillId="17" borderId="418" xfId="0" applyFont="1" applyFill="1" applyBorder="1" applyAlignment="1">
      <alignment horizontal="center"/>
    </xf>
    <xf numFmtId="0" fontId="6" fillId="19" borderId="418" xfId="0" applyFont="1" applyFill="1" applyBorder="1" applyAlignment="1">
      <alignment horizontal="left"/>
    </xf>
    <xf numFmtId="0" fontId="6" fillId="7" borderId="418" xfId="0" applyFont="1" applyFill="1" applyBorder="1" applyAlignment="1">
      <alignment horizontal="left"/>
    </xf>
    <xf numFmtId="0" fontId="6" fillId="7" borderId="418" xfId="0" applyFont="1" applyFill="1" applyBorder="1" applyAlignment="1">
      <alignment horizontal="left" indent="2"/>
    </xf>
    <xf numFmtId="0" fontId="6" fillId="18" borderId="419" xfId="0" applyFont="1" applyFill="1" applyBorder="1" applyAlignment="1">
      <alignment vertical="center" wrapText="1"/>
    </xf>
    <xf numFmtId="0" fontId="6" fillId="0" borderId="420" xfId="0" applyFont="1" applyBorder="1" applyAlignment="1">
      <alignment horizontal="left" vertical="center" wrapText="1"/>
    </xf>
    <xf numFmtId="43" fontId="6" fillId="0" borderId="420" xfId="1" applyFont="1" applyBorder="1" applyAlignment="1">
      <alignment horizontal="left" vertical="center" wrapText="1"/>
    </xf>
    <xf numFmtId="44" fontId="0" fillId="0" borderId="420" xfId="2" applyFont="1" applyBorder="1" applyProtection="1">
      <protection locked="0"/>
    </xf>
    <xf numFmtId="0" fontId="0" fillId="4" borderId="421" xfId="0" applyFill="1" applyBorder="1"/>
    <xf numFmtId="0" fontId="0" fillId="4" borderId="420" xfId="0" applyFill="1" applyBorder="1" applyAlignment="1">
      <alignment horizontal="right" wrapText="1"/>
    </xf>
    <xf numFmtId="0" fontId="0" fillId="4" borderId="420" xfId="0" applyFill="1" applyBorder="1" applyProtection="1">
      <protection locked="0"/>
    </xf>
    <xf numFmtId="43" fontId="0" fillId="4" borderId="420" xfId="1" applyFont="1" applyFill="1" applyBorder="1" applyProtection="1">
      <protection locked="0"/>
    </xf>
    <xf numFmtId="0" fontId="0" fillId="4" borderId="420" xfId="0" applyFill="1" applyBorder="1" applyAlignment="1" applyProtection="1">
      <alignment horizontal="center" vertical="center"/>
      <protection locked="0"/>
    </xf>
    <xf numFmtId="0" fontId="0" fillId="4" borderId="420" xfId="0" applyFill="1" applyBorder="1" applyAlignment="1" applyProtection="1">
      <alignment horizontal="right" vertical="center"/>
      <protection locked="0"/>
    </xf>
    <xf numFmtId="165" fontId="0" fillId="0" borderId="414" xfId="0" applyNumberFormat="1" applyBorder="1" applyProtection="1">
      <protection locked="0"/>
    </xf>
    <xf numFmtId="0" fontId="0" fillId="0" borderId="421" xfId="0" applyBorder="1"/>
    <xf numFmtId="0" fontId="0" fillId="0" borderId="422" xfId="0" applyBorder="1" applyProtection="1">
      <protection locked="0"/>
    </xf>
    <xf numFmtId="165" fontId="0" fillId="0" borderId="423" xfId="0" applyNumberFormat="1" applyBorder="1" applyAlignment="1" applyProtection="1">
      <alignment horizontal="right"/>
      <protection locked="0"/>
    </xf>
    <xf numFmtId="0" fontId="0" fillId="0" borderId="421" xfId="0" applyBorder="1" applyProtection="1">
      <protection locked="0"/>
    </xf>
    <xf numFmtId="0" fontId="0" fillId="0" borderId="420" xfId="0" applyBorder="1" applyAlignment="1" applyProtection="1">
      <alignment wrapText="1"/>
      <protection locked="0"/>
    </xf>
    <xf numFmtId="44" fontId="0" fillId="0" borderId="423" xfId="0" applyNumberFormat="1" applyBorder="1" applyProtection="1">
      <protection locked="0"/>
    </xf>
    <xf numFmtId="165" fontId="0" fillId="0" borderId="423" xfId="0" applyNumberFormat="1" applyBorder="1" applyProtection="1">
      <protection locked="0"/>
    </xf>
    <xf numFmtId="0" fontId="0" fillId="0" borderId="423" xfId="0" applyBorder="1" applyProtection="1">
      <protection locked="0"/>
    </xf>
    <xf numFmtId="0" fontId="0" fillId="0" borderId="424" xfId="0" applyBorder="1"/>
    <xf numFmtId="43" fontId="0" fillId="0" borderId="425" xfId="1" applyFont="1" applyBorder="1" applyProtection="1">
      <protection locked="0"/>
    </xf>
    <xf numFmtId="0" fontId="0" fillId="0" borderId="425" xfId="0" applyBorder="1" applyAlignment="1" applyProtection="1">
      <alignment horizontal="center"/>
      <protection locked="0"/>
    </xf>
    <xf numFmtId="0" fontId="0" fillId="0" borderId="426" xfId="0" applyBorder="1" applyProtection="1">
      <protection locked="0"/>
    </xf>
    <xf numFmtId="0" fontId="0" fillId="0" borderId="427" xfId="0" applyBorder="1" applyProtection="1">
      <protection locked="0"/>
    </xf>
    <xf numFmtId="0" fontId="0" fillId="0" borderId="423" xfId="0" applyBorder="1" applyAlignment="1" applyProtection="1">
      <alignment horizontal="center"/>
      <protection locked="0"/>
    </xf>
    <xf numFmtId="0" fontId="3" fillId="0" borderId="428" xfId="0" applyFont="1" applyBorder="1" applyAlignment="1" applyProtection="1">
      <alignment horizontal="right"/>
      <protection locked="0"/>
    </xf>
    <xf numFmtId="0" fontId="3" fillId="0" borderId="423" xfId="0" applyFont="1" applyBorder="1" applyAlignment="1" applyProtection="1">
      <alignment horizontal="right"/>
      <protection locked="0"/>
    </xf>
    <xf numFmtId="169" fontId="0" fillId="0" borderId="423" xfId="0" applyNumberFormat="1" applyBorder="1" applyAlignment="1" applyProtection="1">
      <alignment horizontal="center"/>
      <protection locked="0"/>
    </xf>
    <xf numFmtId="0" fontId="4" fillId="0" borderId="423" xfId="4" applyBorder="1" applyAlignment="1" applyProtection="1">
      <alignment horizontal="center" vertical="center"/>
      <protection locked="0"/>
    </xf>
    <xf numFmtId="0" fontId="3" fillId="0" borderId="424" xfId="0" applyFont="1" applyBorder="1" applyAlignment="1" applyProtection="1">
      <alignment horizontal="right"/>
      <protection locked="0"/>
    </xf>
    <xf numFmtId="44" fontId="0" fillId="0" borderId="427" xfId="2" applyFont="1" applyBorder="1" applyAlignment="1" applyProtection="1">
      <alignment horizontal="center"/>
      <protection locked="0"/>
    </xf>
    <xf numFmtId="0" fontId="0" fillId="0" borderId="421" xfId="0" applyBorder="1" applyAlignment="1">
      <alignment horizontal="right"/>
    </xf>
    <xf numFmtId="0" fontId="0" fillId="0" borderId="428" xfId="0" applyBorder="1" applyAlignment="1" applyProtection="1">
      <alignment horizontal="left"/>
      <protection locked="0"/>
    </xf>
    <xf numFmtId="0" fontId="0" fillId="0" borderId="428" xfId="0" applyBorder="1" applyAlignment="1" applyProtection="1">
      <alignment horizontal="center"/>
      <protection locked="0"/>
    </xf>
    <xf numFmtId="0" fontId="0" fillId="0" borderId="422" xfId="0" applyBorder="1" applyAlignment="1" applyProtection="1">
      <alignment horizontal="right"/>
      <protection locked="0"/>
    </xf>
    <xf numFmtId="169" fontId="0" fillId="0" borderId="428" xfId="0" applyNumberFormat="1" applyBorder="1" applyAlignment="1" applyProtection="1">
      <alignment horizontal="left"/>
      <protection locked="0"/>
    </xf>
    <xf numFmtId="169" fontId="0" fillId="0" borderId="428" xfId="0" applyNumberFormat="1" applyBorder="1" applyAlignment="1" applyProtection="1">
      <alignment horizontal="center"/>
      <protection locked="0"/>
    </xf>
    <xf numFmtId="0" fontId="4" fillId="0" borderId="428" xfId="4" applyBorder="1" applyAlignment="1" applyProtection="1">
      <alignment horizontal="left" vertical="center"/>
      <protection locked="0"/>
    </xf>
    <xf numFmtId="0" fontId="4" fillId="0" borderId="428" xfId="4" applyBorder="1" applyAlignment="1" applyProtection="1">
      <alignment horizontal="center" vertical="center"/>
      <protection locked="0"/>
    </xf>
    <xf numFmtId="0" fontId="6" fillId="0" borderId="424" xfId="0" applyFont="1" applyBorder="1" applyAlignment="1" applyProtection="1">
      <alignment horizontal="right"/>
      <protection locked="0"/>
    </xf>
    <xf numFmtId="0" fontId="0" fillId="0" borderId="425" xfId="0" applyBorder="1" applyAlignment="1">
      <alignment wrapText="1"/>
    </xf>
    <xf numFmtId="0" fontId="0" fillId="0" borderId="425" xfId="0" applyBorder="1" applyProtection="1">
      <protection locked="0"/>
    </xf>
    <xf numFmtId="0" fontId="6" fillId="0" borderId="426" xfId="0" applyFont="1" applyBorder="1" applyAlignment="1" applyProtection="1">
      <alignment horizontal="right"/>
      <protection locked="0"/>
    </xf>
    <xf numFmtId="44" fontId="0" fillId="0" borderId="429" xfId="2" applyFont="1" applyBorder="1" applyAlignment="1" applyProtection="1">
      <alignment horizontal="center"/>
      <protection locked="0"/>
    </xf>
    <xf numFmtId="44" fontId="0" fillId="0" borderId="430" xfId="2" applyFont="1" applyBorder="1" applyAlignment="1" applyProtection="1">
      <alignment horizontal="center"/>
      <protection locked="0"/>
    </xf>
    <xf numFmtId="44" fontId="0" fillId="0" borderId="427" xfId="2" applyFont="1" applyBorder="1" applyAlignment="1" applyProtection="1">
      <alignment horizontal="center"/>
      <protection locked="0"/>
    </xf>
    <xf numFmtId="5" fontId="0" fillId="0" borderId="427" xfId="2" applyNumberFormat="1" applyFont="1" applyBorder="1" applyAlignment="1" applyProtection="1">
      <alignment horizontal="center"/>
      <protection locked="0"/>
    </xf>
    <xf numFmtId="44" fontId="6" fillId="0" borderId="423" xfId="2" applyFont="1" applyBorder="1" applyAlignment="1">
      <alignment horizontal="center" vertical="center"/>
    </xf>
    <xf numFmtId="0" fontId="0" fillId="0" borderId="421" xfId="0" applyBorder="1" applyAlignment="1">
      <alignment vertical="top"/>
    </xf>
    <xf numFmtId="0" fontId="0" fillId="19" borderId="423" xfId="0" applyFill="1" applyBorder="1" applyProtection="1">
      <protection locked="0"/>
    </xf>
    <xf numFmtId="43" fontId="0" fillId="0" borderId="421" xfId="1" applyFont="1" applyBorder="1" applyAlignment="1">
      <alignment vertical="top"/>
    </xf>
    <xf numFmtId="0" fontId="86" fillId="0" borderId="431" xfId="0" applyFont="1" applyBorder="1" applyAlignment="1">
      <alignment vertical="center" wrapText="1"/>
    </xf>
    <xf numFmtId="0" fontId="6" fillId="7" borderId="418" xfId="0" applyFont="1" applyFill="1" applyBorder="1" applyAlignment="1">
      <alignment horizontal="left" indent="4"/>
    </xf>
    <xf numFmtId="0" fontId="0" fillId="0" borderId="421" xfId="0" applyBorder="1" applyAlignment="1">
      <alignment horizontal="left" vertical="top"/>
    </xf>
    <xf numFmtId="0" fontId="6" fillId="7" borderId="418" xfId="0" applyFont="1" applyFill="1" applyBorder="1" applyAlignment="1">
      <alignment horizontal="left" vertical="top" wrapText="1" indent="4"/>
    </xf>
    <xf numFmtId="0" fontId="0" fillId="0" borderId="371" xfId="0" applyBorder="1" applyAlignment="1" applyProtection="1">
      <alignment horizontal="left" vertical="top"/>
      <protection locked="0"/>
    </xf>
    <xf numFmtId="43" fontId="0" fillId="0" borderId="371" xfId="1" applyFont="1" applyBorder="1" applyAlignment="1" applyProtection="1">
      <alignment horizontal="left" vertical="top"/>
      <protection locked="0"/>
    </xf>
    <xf numFmtId="165" fontId="0" fillId="0" borderId="371" xfId="0" applyNumberFormat="1" applyBorder="1" applyAlignment="1" applyProtection="1">
      <alignment horizontal="left" vertical="top"/>
      <protection locked="0"/>
    </xf>
    <xf numFmtId="44" fontId="6" fillId="0" borderId="423" xfId="2" applyFont="1" applyBorder="1" applyAlignment="1">
      <alignment horizontal="center" vertical="top"/>
    </xf>
    <xf numFmtId="44" fontId="0" fillId="0" borderId="366" xfId="2" applyFont="1" applyBorder="1" applyAlignment="1" applyProtection="1">
      <alignment horizontal="left" vertical="top"/>
      <protection locked="0"/>
    </xf>
    <xf numFmtId="44" fontId="6" fillId="0" borderId="423" xfId="2" applyFont="1" applyBorder="1" applyAlignment="1">
      <alignment horizontal="left" vertical="top"/>
    </xf>
    <xf numFmtId="0" fontId="6" fillId="7" borderId="418" xfId="0" applyFont="1" applyFill="1" applyBorder="1" applyAlignment="1">
      <alignment horizontal="left" wrapText="1" indent="2"/>
    </xf>
    <xf numFmtId="0" fontId="6" fillId="7" borderId="418" xfId="0" applyFont="1" applyFill="1" applyBorder="1" applyAlignment="1">
      <alignment horizontal="left" wrapText="1" indent="4"/>
    </xf>
    <xf numFmtId="0" fontId="6" fillId="0" borderId="418" xfId="0" applyFont="1" applyBorder="1" applyAlignment="1">
      <alignment horizontal="left" vertical="top" wrapText="1" indent="2"/>
    </xf>
    <xf numFmtId="0" fontId="0" fillId="0" borderId="371" xfId="0" applyBorder="1" applyAlignment="1" applyProtection="1">
      <alignment vertical="top"/>
      <protection locked="0"/>
    </xf>
    <xf numFmtId="43" fontId="0" fillId="0" borderId="371" xfId="1" applyFont="1" applyBorder="1" applyAlignment="1" applyProtection="1">
      <alignment vertical="top"/>
      <protection locked="0"/>
    </xf>
    <xf numFmtId="0" fontId="0" fillId="0" borderId="371" xfId="0" applyBorder="1" applyAlignment="1" applyProtection="1">
      <alignment horizontal="center" vertical="top"/>
      <protection locked="0"/>
    </xf>
    <xf numFmtId="165" fontId="0" fillId="0" borderId="371" xfId="0" applyNumberFormat="1" applyBorder="1" applyAlignment="1" applyProtection="1">
      <alignment vertical="top"/>
      <protection locked="0"/>
    </xf>
    <xf numFmtId="44" fontId="0" fillId="0" borderId="366" xfId="2" applyFont="1" applyBorder="1" applyAlignment="1" applyProtection="1">
      <alignment vertical="top"/>
      <protection locked="0"/>
    </xf>
    <xf numFmtId="0" fontId="0" fillId="27" borderId="421" xfId="0" applyFill="1" applyBorder="1" applyAlignment="1">
      <alignment vertical="top"/>
    </xf>
    <xf numFmtId="9" fontId="0" fillId="4" borderId="423" xfId="3" applyFont="1" applyFill="1" applyBorder="1" applyProtection="1">
      <protection locked="0"/>
    </xf>
    <xf numFmtId="44" fontId="0" fillId="4" borderId="423" xfId="2" applyFont="1" applyFill="1" applyBorder="1" applyProtection="1">
      <protection locked="0"/>
    </xf>
    <xf numFmtId="44" fontId="0" fillId="4" borderId="423" xfId="2" applyFont="1" applyFill="1" applyBorder="1" applyAlignment="1" applyProtection="1">
      <alignment horizontal="left"/>
      <protection locked="0"/>
    </xf>
    <xf numFmtId="44" fontId="0" fillId="4" borderId="423" xfId="0" applyNumberFormat="1" applyFill="1" applyBorder="1" applyProtection="1">
      <protection locked="0"/>
    </xf>
    <xf numFmtId="165" fontId="9" fillId="4" borderId="423" xfId="0" applyNumberFormat="1" applyFont="1" applyFill="1" applyBorder="1" applyAlignment="1" applyProtection="1">
      <alignment horizontal="center"/>
      <protection locked="0"/>
    </xf>
    <xf numFmtId="44" fontId="9" fillId="4" borderId="423" xfId="2" applyFont="1" applyFill="1" applyBorder="1" applyAlignment="1" applyProtection="1">
      <alignment horizontal="left"/>
      <protection locked="0"/>
    </xf>
    <xf numFmtId="165" fontId="9" fillId="4" borderId="423" xfId="0" applyNumberFormat="1" applyFont="1" applyFill="1" applyBorder="1" applyAlignment="1" applyProtection="1">
      <alignment horizontal="left"/>
      <protection locked="0"/>
    </xf>
    <xf numFmtId="0" fontId="0" fillId="4" borderId="423" xfId="0" applyFill="1" applyBorder="1" applyAlignment="1" applyProtection="1">
      <alignment horizontal="center"/>
      <protection locked="0"/>
    </xf>
    <xf numFmtId="44" fontId="0" fillId="4" borderId="423" xfId="2" applyFont="1" applyFill="1" applyBorder="1" applyAlignment="1" applyProtection="1">
      <alignment horizontal="center"/>
      <protection locked="0"/>
    </xf>
    <xf numFmtId="43" fontId="0" fillId="27" borderId="421" xfId="1" applyFont="1" applyFill="1" applyBorder="1" applyAlignment="1">
      <alignment vertical="top"/>
    </xf>
    <xf numFmtId="0" fontId="6" fillId="0" borderId="418" xfId="0" applyFont="1" applyBorder="1" applyAlignment="1">
      <alignment horizontal="left"/>
    </xf>
    <xf numFmtId="0" fontId="86" fillId="7" borderId="418" xfId="0" applyFont="1" applyFill="1" applyBorder="1" applyAlignment="1">
      <alignment horizontal="left"/>
    </xf>
    <xf numFmtId="0" fontId="0" fillId="0" borderId="432" xfId="0" applyBorder="1" applyAlignment="1">
      <alignment wrapText="1"/>
    </xf>
    <xf numFmtId="0" fontId="0" fillId="0" borderId="433" xfId="0" applyBorder="1" applyProtection="1">
      <protection locked="0"/>
    </xf>
    <xf numFmtId="0" fontId="0" fillId="0" borderId="434" xfId="0" applyBorder="1" applyAlignment="1">
      <alignment vertical="top"/>
    </xf>
    <xf numFmtId="0" fontId="0" fillId="0" borderId="435" xfId="0" applyBorder="1" applyAlignment="1">
      <alignment vertical="top"/>
    </xf>
    <xf numFmtId="0" fontId="6" fillId="0" borderId="436" xfId="0" applyFont="1" applyBorder="1" applyAlignment="1">
      <alignment vertical="center"/>
    </xf>
    <xf numFmtId="0" fontId="6" fillId="0" borderId="436" xfId="0" quotePrefix="1" applyFont="1" applyBorder="1"/>
    <xf numFmtId="0" fontId="6" fillId="17" borderId="436" xfId="0" applyFont="1" applyFill="1" applyBorder="1" applyAlignment="1">
      <alignment horizontal="center"/>
    </xf>
    <xf numFmtId="0" fontId="6" fillId="19" borderId="436" xfId="0" applyFont="1" applyFill="1" applyBorder="1" applyAlignment="1">
      <alignment horizontal="left"/>
    </xf>
    <xf numFmtId="0" fontId="6" fillId="7" borderId="436" xfId="0" applyFont="1" applyFill="1" applyBorder="1" applyAlignment="1">
      <alignment horizontal="left"/>
    </xf>
    <xf numFmtId="0" fontId="6" fillId="7" borderId="436" xfId="0" applyFont="1" applyFill="1" applyBorder="1" applyAlignment="1">
      <alignment horizontal="left" vertical="top" wrapText="1"/>
    </xf>
    <xf numFmtId="0" fontId="97" fillId="7" borderId="436" xfId="0" applyFont="1" applyFill="1" applyBorder="1" applyAlignment="1">
      <alignment horizontal="left" vertical="top" wrapText="1"/>
    </xf>
    <xf numFmtId="0" fontId="0" fillId="0" borderId="428" xfId="0" applyBorder="1" applyAlignment="1">
      <alignment vertical="top"/>
    </xf>
    <xf numFmtId="164" fontId="0" fillId="0" borderId="371" xfId="1" applyNumberFormat="1" applyFont="1" applyBorder="1" applyProtection="1">
      <protection locked="0"/>
    </xf>
    <xf numFmtId="0" fontId="0" fillId="0" borderId="435" xfId="0" applyBorder="1"/>
    <xf numFmtId="0" fontId="0" fillId="0" borderId="432" xfId="0" applyBorder="1" applyProtection="1">
      <protection locked="0"/>
    </xf>
    <xf numFmtId="43" fontId="0" fillId="0" borderId="432" xfId="1" applyFont="1" applyBorder="1" applyProtection="1">
      <protection locked="0"/>
    </xf>
    <xf numFmtId="0" fontId="0" fillId="0" borderId="432" xfId="0" applyBorder="1" applyAlignment="1" applyProtection="1">
      <alignment horizontal="center"/>
      <protection locked="0"/>
    </xf>
    <xf numFmtId="0" fontId="0" fillId="0" borderId="437" xfId="0" applyBorder="1" applyProtection="1">
      <protection locked="0"/>
    </xf>
    <xf numFmtId="165" fontId="0" fillId="0" borderId="433" xfId="0" applyNumberFormat="1" applyBorder="1" applyProtection="1">
      <protection locked="0"/>
    </xf>
    <xf numFmtId="0" fontId="0" fillId="0" borderId="435" xfId="0" applyBorder="1" applyProtection="1">
      <protection locked="0"/>
    </xf>
    <xf numFmtId="0" fontId="0" fillId="0" borderId="432" xfId="0" applyBorder="1" applyAlignment="1" applyProtection="1">
      <alignment wrapText="1"/>
      <protection locked="0"/>
    </xf>
    <xf numFmtId="0" fontId="0" fillId="0" borderId="438" xfId="0" applyBorder="1" applyAlignment="1" applyProtection="1">
      <alignment horizontal="center"/>
      <protection locked="0"/>
    </xf>
    <xf numFmtId="169" fontId="0" fillId="0" borderId="438" xfId="0" applyNumberFormat="1" applyBorder="1" applyAlignment="1" applyProtection="1">
      <alignment horizontal="center"/>
      <protection locked="0"/>
    </xf>
    <xf numFmtId="0" fontId="4" fillId="0" borderId="438" xfId="4" applyBorder="1" applyAlignment="1" applyProtection="1">
      <alignment horizontal="center" vertical="center"/>
      <protection locked="0"/>
    </xf>
    <xf numFmtId="170" fontId="0" fillId="0" borderId="429" xfId="2" applyNumberFormat="1" applyFont="1" applyBorder="1" applyAlignment="1" applyProtection="1">
      <alignment horizontal="center"/>
      <protection locked="0"/>
    </xf>
    <xf numFmtId="170" fontId="0" fillId="0" borderId="430" xfId="2" applyNumberFormat="1" applyFont="1" applyBorder="1" applyAlignment="1" applyProtection="1">
      <alignment horizontal="center"/>
      <protection locked="0"/>
    </xf>
    <xf numFmtId="0" fontId="3" fillId="0" borderId="432" xfId="0" applyFont="1" applyBorder="1" applyAlignment="1">
      <alignment wrapText="1"/>
    </xf>
    <xf numFmtId="5" fontId="0" fillId="0" borderId="423" xfId="2" applyNumberFormat="1" applyFont="1" applyBorder="1" applyProtection="1">
      <protection locked="0"/>
    </xf>
    <xf numFmtId="0" fontId="23" fillId="17" borderId="439" xfId="0" applyFont="1" applyFill="1" applyBorder="1" applyAlignment="1">
      <alignment horizontal="center" vertical="center"/>
    </xf>
    <xf numFmtId="0" fontId="5" fillId="0" borderId="423" xfId="0" applyFont="1" applyBorder="1" applyProtection="1">
      <protection locked="0"/>
    </xf>
    <xf numFmtId="0" fontId="23" fillId="0" borderId="440" xfId="0" applyFont="1" applyBorder="1" applyAlignment="1">
      <alignment vertical="center"/>
    </xf>
    <xf numFmtId="0" fontId="23" fillId="0" borderId="440" xfId="0" quotePrefix="1" applyFont="1" applyBorder="1"/>
    <xf numFmtId="44" fontId="0" fillId="0" borderId="435" xfId="2" applyFont="1" applyBorder="1" applyAlignment="1">
      <alignment vertical="top"/>
    </xf>
    <xf numFmtId="44" fontId="5" fillId="0" borderId="423" xfId="2" applyFont="1" applyBorder="1" applyProtection="1">
      <protection locked="0"/>
    </xf>
    <xf numFmtId="0" fontId="23" fillId="17" borderId="440" xfId="0" applyFont="1" applyFill="1" applyBorder="1" applyAlignment="1">
      <alignment horizontal="center"/>
    </xf>
    <xf numFmtId="0" fontId="23" fillId="19" borderId="440" xfId="0" applyFont="1" applyFill="1" applyBorder="1" applyAlignment="1">
      <alignment horizontal="left"/>
    </xf>
    <xf numFmtId="0" fontId="5" fillId="19" borderId="423" xfId="0" applyFont="1" applyFill="1" applyBorder="1" applyProtection="1">
      <protection locked="0"/>
    </xf>
    <xf numFmtId="44" fontId="5" fillId="19" borderId="423" xfId="2" applyFont="1" applyFill="1" applyBorder="1" applyProtection="1">
      <protection locked="0"/>
    </xf>
    <xf numFmtId="44" fontId="0" fillId="0" borderId="434" xfId="2" applyFont="1" applyBorder="1" applyAlignment="1">
      <alignment vertical="top"/>
    </xf>
    <xf numFmtId="0" fontId="24" fillId="0" borderId="419" xfId="0" applyFont="1" applyBorder="1" applyAlignment="1">
      <alignment vertical="top"/>
    </xf>
    <xf numFmtId="0" fontId="23" fillId="0" borderId="419" xfId="0" applyFont="1" applyBorder="1" applyAlignment="1">
      <alignment vertical="top"/>
    </xf>
    <xf numFmtId="0" fontId="23" fillId="0" borderId="419" xfId="0" applyFont="1" applyBorder="1" applyAlignment="1">
      <alignment vertical="top" wrapText="1"/>
    </xf>
    <xf numFmtId="0" fontId="23" fillId="7" borderId="440" xfId="0" applyFont="1" applyFill="1" applyBorder="1" applyAlignment="1">
      <alignment horizontal="left" vertical="center" wrapText="1"/>
    </xf>
    <xf numFmtId="0" fontId="23" fillId="7" borderId="440" xfId="0" applyFont="1" applyFill="1" applyBorder="1" applyAlignment="1">
      <alignment horizontal="left" vertical="center" wrapText="1" indent="1"/>
    </xf>
    <xf numFmtId="0" fontId="23" fillId="18" borderId="419" xfId="0" applyFont="1" applyFill="1" applyBorder="1" applyAlignment="1">
      <alignment horizontal="left" vertical="center" wrapText="1"/>
    </xf>
    <xf numFmtId="9" fontId="0" fillId="4" borderId="423" xfId="3" applyFont="1" applyFill="1" applyBorder="1" applyAlignment="1" applyProtection="1">
      <alignment horizontal="left"/>
      <protection locked="0"/>
    </xf>
    <xf numFmtId="5" fontId="0" fillId="4" borderId="423" xfId="2" applyNumberFormat="1" applyFont="1" applyFill="1" applyBorder="1" applyAlignment="1" applyProtection="1">
      <alignment horizontal="left"/>
      <protection locked="0"/>
    </xf>
    <xf numFmtId="5" fontId="0" fillId="4" borderId="423" xfId="0" applyNumberFormat="1" applyFill="1" applyBorder="1" applyAlignment="1" applyProtection="1">
      <alignment horizontal="left"/>
      <protection locked="0"/>
    </xf>
    <xf numFmtId="0" fontId="0" fillId="4" borderId="427" xfId="0" applyFill="1" applyBorder="1" applyAlignment="1" applyProtection="1">
      <alignment horizontal="center"/>
      <protection locked="0"/>
    </xf>
    <xf numFmtId="7" fontId="0" fillId="4" borderId="423" xfId="0" applyNumberFormat="1" applyFill="1" applyBorder="1" applyAlignment="1" applyProtection="1">
      <alignment horizontal="center"/>
      <protection locked="0"/>
    </xf>
    <xf numFmtId="0" fontId="0" fillId="0" borderId="441" xfId="0" applyBorder="1" applyProtection="1">
      <protection locked="0"/>
    </xf>
    <xf numFmtId="0" fontId="0" fillId="0" borderId="442" xfId="0" applyBorder="1" applyProtection="1">
      <protection locked="0"/>
    </xf>
    <xf numFmtId="0" fontId="0" fillId="0" borderId="443" xfId="0" applyBorder="1" applyAlignment="1">
      <alignment wrapText="1"/>
    </xf>
    <xf numFmtId="0" fontId="0" fillId="0" borderId="444" xfId="0" applyBorder="1" applyProtection="1">
      <protection locked="0"/>
    </xf>
    <xf numFmtId="0" fontId="0" fillId="0" borderId="430" xfId="0" applyBorder="1" applyProtection="1">
      <protection locked="0"/>
    </xf>
    <xf numFmtId="5" fontId="0" fillId="0" borderId="427" xfId="2" applyNumberFormat="1" applyFont="1" applyBorder="1" applyAlignment="1" applyProtection="1">
      <alignment horizontal="center"/>
      <protection locked="0"/>
    </xf>
    <xf numFmtId="0" fontId="3" fillId="0" borderId="443" xfId="0" applyFont="1" applyBorder="1" applyAlignment="1">
      <alignment wrapText="1"/>
    </xf>
    <xf numFmtId="0" fontId="0" fillId="0" borderId="445" xfId="0" applyBorder="1" applyAlignment="1">
      <alignment vertical="top"/>
    </xf>
    <xf numFmtId="44" fontId="0" fillId="0" borderId="445" xfId="2" applyFont="1" applyBorder="1" applyAlignment="1">
      <alignment vertical="top"/>
    </xf>
    <xf numFmtId="0" fontId="23" fillId="0" borderId="419" xfId="0" applyFont="1" applyBorder="1" applyAlignment="1">
      <alignment vertical="center" wrapText="1"/>
    </xf>
    <xf numFmtId="0" fontId="6" fillId="17" borderId="446" xfId="0" applyFont="1" applyFill="1" applyBorder="1" applyAlignment="1">
      <alignment horizontal="center" vertical="center"/>
    </xf>
    <xf numFmtId="44" fontId="0" fillId="2" borderId="366" xfId="2" applyFont="1" applyFill="1" applyBorder="1" applyAlignment="1" applyProtection="1">
      <alignment horizontal="center" vertical="top"/>
      <protection locked="0"/>
    </xf>
    <xf numFmtId="0" fontId="6" fillId="7" borderId="436" xfId="0" applyFont="1" applyFill="1" applyBorder="1" applyAlignment="1">
      <alignment horizontal="left" indent="2"/>
    </xf>
    <xf numFmtId="44" fontId="0" fillId="5" borderId="366" xfId="2" applyFont="1" applyFill="1" applyBorder="1" applyAlignment="1" applyProtection="1">
      <alignment horizontal="left" vertical="top"/>
      <protection locked="0"/>
    </xf>
    <xf numFmtId="0" fontId="6" fillId="7" borderId="436" xfId="0" applyFont="1" applyFill="1" applyBorder="1"/>
    <xf numFmtId="0" fontId="6" fillId="7" borderId="436" xfId="0" applyFont="1" applyFill="1" applyBorder="1" applyAlignment="1">
      <alignment horizontal="left" wrapText="1"/>
    </xf>
    <xf numFmtId="0" fontId="6" fillId="7" borderId="436" xfId="0" applyFont="1" applyFill="1" applyBorder="1" applyAlignment="1">
      <alignment horizontal="left" wrapText="1" indent="2"/>
    </xf>
    <xf numFmtId="0" fontId="6" fillId="7" borderId="447" xfId="0" applyFont="1" applyFill="1" applyBorder="1" applyAlignment="1">
      <alignment horizontal="left" wrapText="1"/>
    </xf>
    <xf numFmtId="0" fontId="6" fillId="7" borderId="448" xfId="0" applyFont="1" applyFill="1" applyBorder="1" applyAlignment="1">
      <alignment horizontal="left" wrapText="1" indent="2"/>
    </xf>
    <xf numFmtId="0" fontId="0" fillId="0" borderId="449" xfId="0" applyBorder="1" applyAlignment="1" applyProtection="1">
      <alignment vertical="top"/>
      <protection locked="0"/>
    </xf>
    <xf numFmtId="43" fontId="0" fillId="0" borderId="449" xfId="1" applyFont="1" applyBorder="1" applyAlignment="1" applyProtection="1">
      <alignment vertical="top"/>
      <protection locked="0"/>
    </xf>
    <xf numFmtId="0" fontId="0" fillId="0" borderId="449" xfId="0" applyBorder="1" applyAlignment="1" applyProtection="1">
      <alignment horizontal="center" vertical="top"/>
      <protection locked="0"/>
    </xf>
    <xf numFmtId="165" fontId="0" fillId="0" borderId="449" xfId="0" applyNumberFormat="1" applyBorder="1" applyAlignment="1" applyProtection="1">
      <alignment vertical="top"/>
      <protection locked="0"/>
    </xf>
    <xf numFmtId="44" fontId="6" fillId="0" borderId="450" xfId="2" applyFont="1" applyBorder="1" applyAlignment="1">
      <alignment horizontal="center" vertical="top"/>
    </xf>
    <xf numFmtId="0" fontId="6" fillId="0" borderId="451" xfId="0" applyFont="1" applyBorder="1" applyAlignment="1">
      <alignment horizontal="left" indent="2"/>
    </xf>
    <xf numFmtId="0" fontId="6" fillId="0" borderId="451" xfId="0" applyFont="1" applyBorder="1"/>
    <xf numFmtId="0" fontId="0" fillId="0" borderId="452" xfId="0" applyBorder="1" applyAlignment="1">
      <alignment vertical="top"/>
    </xf>
    <xf numFmtId="0" fontId="6" fillId="7" borderId="453" xfId="0" applyFont="1" applyFill="1" applyBorder="1" applyAlignment="1">
      <alignment horizontal="left" indent="2"/>
    </xf>
    <xf numFmtId="164" fontId="0" fillId="0" borderId="449" xfId="1" applyNumberFormat="1" applyFont="1" applyBorder="1" applyProtection="1">
      <protection locked="0"/>
    </xf>
    <xf numFmtId="0" fontId="0" fillId="4" borderId="454" xfId="0" applyFill="1" applyBorder="1"/>
    <xf numFmtId="0" fontId="0" fillId="4" borderId="449" xfId="0" applyFill="1" applyBorder="1" applyAlignment="1">
      <alignment horizontal="right" wrapText="1"/>
    </xf>
    <xf numFmtId="0" fontId="0" fillId="4" borderId="449" xfId="0" applyFill="1" applyBorder="1" applyProtection="1">
      <protection locked="0"/>
    </xf>
    <xf numFmtId="43" fontId="0" fillId="4" borderId="449" xfId="1" applyFont="1" applyFill="1" applyBorder="1" applyProtection="1">
      <protection locked="0"/>
    </xf>
    <xf numFmtId="0" fontId="0" fillId="4" borderId="449" xfId="0" applyFill="1" applyBorder="1" applyAlignment="1" applyProtection="1">
      <alignment horizontal="center" vertical="center"/>
      <protection locked="0"/>
    </xf>
    <xf numFmtId="0" fontId="0" fillId="4" borderId="449" xfId="0" applyFill="1" applyBorder="1" applyAlignment="1" applyProtection="1">
      <alignment horizontal="right" vertical="center"/>
      <protection locked="0"/>
    </xf>
    <xf numFmtId="9" fontId="0" fillId="4" borderId="450" xfId="3" applyFont="1" applyFill="1" applyBorder="1" applyProtection="1">
      <protection locked="0"/>
    </xf>
    <xf numFmtId="44" fontId="0" fillId="4" borderId="450" xfId="2" applyFont="1" applyFill="1" applyBorder="1" applyProtection="1">
      <protection locked="0"/>
    </xf>
    <xf numFmtId="44" fontId="0" fillId="4" borderId="450" xfId="2" applyFont="1" applyFill="1" applyBorder="1" applyAlignment="1" applyProtection="1">
      <alignment horizontal="left"/>
      <protection locked="0"/>
    </xf>
    <xf numFmtId="44" fontId="0" fillId="4" borderId="450" xfId="0" applyNumberFormat="1" applyFill="1" applyBorder="1" applyProtection="1">
      <protection locked="0"/>
    </xf>
    <xf numFmtId="0" fontId="8" fillId="4" borderId="449" xfId="0" applyFont="1" applyFill="1" applyBorder="1" applyAlignment="1" applyProtection="1">
      <alignment horizontal="right" vertical="center"/>
      <protection locked="0"/>
    </xf>
    <xf numFmtId="165" fontId="9" fillId="4" borderId="450" xfId="0" applyNumberFormat="1" applyFont="1" applyFill="1" applyBorder="1" applyAlignment="1" applyProtection="1">
      <alignment horizontal="center"/>
      <protection locked="0"/>
    </xf>
    <xf numFmtId="44" fontId="9" fillId="4" borderId="450" xfId="2" applyFont="1" applyFill="1" applyBorder="1" applyAlignment="1" applyProtection="1">
      <alignment horizontal="left"/>
      <protection locked="0"/>
    </xf>
    <xf numFmtId="165" fontId="9" fillId="4" borderId="450" xfId="0" applyNumberFormat="1" applyFont="1" applyFill="1" applyBorder="1" applyAlignment="1" applyProtection="1">
      <alignment horizontal="left"/>
      <protection locked="0"/>
    </xf>
    <xf numFmtId="0" fontId="0" fillId="4" borderId="449" xfId="0" applyFill="1" applyBorder="1" applyAlignment="1">
      <alignment wrapText="1"/>
    </xf>
    <xf numFmtId="0" fontId="0" fillId="4" borderId="450" xfId="0" applyFill="1" applyBorder="1" applyAlignment="1" applyProtection="1">
      <alignment horizontal="center"/>
      <protection locked="0"/>
    </xf>
    <xf numFmtId="44" fontId="0" fillId="4" borderId="450" xfId="2" applyFont="1" applyFill="1" applyBorder="1" applyAlignment="1" applyProtection="1">
      <alignment horizontal="center"/>
      <protection locked="0"/>
    </xf>
    <xf numFmtId="0" fontId="0" fillId="0" borderId="445" xfId="0" applyBorder="1"/>
    <xf numFmtId="0" fontId="0" fillId="0" borderId="443" xfId="0" applyBorder="1" applyProtection="1">
      <protection locked="0"/>
    </xf>
    <xf numFmtId="43" fontId="0" fillId="0" borderId="443" xfId="1" applyFont="1" applyBorder="1" applyProtection="1">
      <protection locked="0"/>
    </xf>
    <xf numFmtId="0" fontId="0" fillId="0" borderId="443" xfId="0" applyBorder="1" applyAlignment="1" applyProtection="1">
      <alignment horizontal="center"/>
      <protection locked="0"/>
    </xf>
    <xf numFmtId="0" fontId="0" fillId="0" borderId="455" xfId="0" applyBorder="1" applyProtection="1">
      <protection locked="0"/>
    </xf>
    <xf numFmtId="165" fontId="0" fillId="0" borderId="456" xfId="0" applyNumberFormat="1" applyBorder="1" applyProtection="1">
      <protection locked="0"/>
    </xf>
    <xf numFmtId="0" fontId="0" fillId="0" borderId="454" xfId="0" applyBorder="1"/>
    <xf numFmtId="0" fontId="0" fillId="0" borderId="457" xfId="0" applyBorder="1" applyProtection="1">
      <protection locked="0"/>
    </xf>
    <xf numFmtId="165" fontId="0" fillId="0" borderId="450" xfId="0" applyNumberFormat="1" applyBorder="1" applyAlignment="1" applyProtection="1">
      <alignment horizontal="right"/>
      <protection locked="0"/>
    </xf>
    <xf numFmtId="0" fontId="0" fillId="0" borderId="454" xfId="0" applyBorder="1" applyProtection="1">
      <protection locked="0"/>
    </xf>
    <xf numFmtId="0" fontId="0" fillId="0" borderId="449" xfId="0" applyBorder="1" applyAlignment="1" applyProtection="1">
      <alignment wrapText="1"/>
      <protection locked="0"/>
    </xf>
    <xf numFmtId="44" fontId="0" fillId="0" borderId="450" xfId="0" applyNumberFormat="1" applyBorder="1" applyProtection="1">
      <protection locked="0"/>
    </xf>
    <xf numFmtId="0" fontId="0" fillId="0" borderId="445" xfId="0" applyBorder="1" applyProtection="1">
      <protection locked="0"/>
    </xf>
    <xf numFmtId="0" fontId="0" fillId="0" borderId="443" xfId="0" applyBorder="1" applyAlignment="1" applyProtection="1">
      <alignment wrapText="1"/>
      <protection locked="0"/>
    </xf>
    <xf numFmtId="165" fontId="0" fillId="0" borderId="450" xfId="0" applyNumberFormat="1" applyBorder="1" applyProtection="1">
      <protection locked="0"/>
    </xf>
    <xf numFmtId="0" fontId="0" fillId="0" borderId="456" xfId="0" applyBorder="1" applyProtection="1">
      <protection locked="0"/>
    </xf>
    <xf numFmtId="0" fontId="0" fillId="0" borderId="450" xfId="0" applyBorder="1" applyProtection="1">
      <protection locked="0"/>
    </xf>
    <xf numFmtId="0" fontId="0" fillId="0" borderId="450" xfId="0" applyBorder="1" applyAlignment="1" applyProtection="1">
      <alignment horizontal="center"/>
      <protection locked="0"/>
    </xf>
    <xf numFmtId="0" fontId="3" fillId="0" borderId="452" xfId="0" applyFont="1" applyBorder="1" applyAlignment="1" applyProtection="1">
      <alignment horizontal="right"/>
      <protection locked="0"/>
    </xf>
    <xf numFmtId="0" fontId="3" fillId="0" borderId="450" xfId="0" applyFont="1" applyBorder="1" applyAlignment="1" applyProtection="1">
      <alignment horizontal="right"/>
      <protection locked="0"/>
    </xf>
    <xf numFmtId="169" fontId="0" fillId="0" borderId="450" xfId="0" applyNumberFormat="1" applyBorder="1" applyAlignment="1" applyProtection="1">
      <alignment horizontal="center"/>
      <protection locked="0"/>
    </xf>
    <xf numFmtId="0" fontId="4" fillId="0" borderId="450" xfId="4" applyBorder="1" applyAlignment="1" applyProtection="1">
      <alignment horizontal="center" vertical="center"/>
      <protection locked="0"/>
    </xf>
    <xf numFmtId="0" fontId="0" fillId="0" borderId="454" xfId="0" applyBorder="1" applyAlignment="1">
      <alignment horizontal="right"/>
    </xf>
    <xf numFmtId="0" fontId="0" fillId="0" borderId="449" xfId="0" applyBorder="1" applyAlignment="1">
      <alignment wrapText="1"/>
    </xf>
    <xf numFmtId="0" fontId="0" fillId="0" borderId="449" xfId="0" applyBorder="1" applyProtection="1">
      <protection locked="0"/>
    </xf>
    <xf numFmtId="43" fontId="0" fillId="0" borderId="449" xfId="1" applyFont="1" applyBorder="1" applyProtection="1">
      <protection locked="0"/>
    </xf>
    <xf numFmtId="0" fontId="0" fillId="0" borderId="449" xfId="0" applyBorder="1" applyAlignment="1" applyProtection="1">
      <alignment horizontal="center"/>
      <protection locked="0"/>
    </xf>
    <xf numFmtId="0" fontId="0" fillId="0" borderId="452" xfId="0" applyBorder="1" applyAlignment="1" applyProtection="1">
      <alignment horizontal="left"/>
      <protection locked="0"/>
    </xf>
    <xf numFmtId="0" fontId="0" fillId="0" borderId="452" xfId="0" applyBorder="1" applyAlignment="1" applyProtection="1">
      <alignment horizontal="center"/>
      <protection locked="0"/>
    </xf>
    <xf numFmtId="0" fontId="0" fillId="0" borderId="449" xfId="0" applyBorder="1" applyAlignment="1">
      <alignment horizontal="left" wrapText="1"/>
    </xf>
    <xf numFmtId="0" fontId="0" fillId="0" borderId="457" xfId="0" applyBorder="1" applyAlignment="1" applyProtection="1">
      <alignment horizontal="right"/>
      <protection locked="0"/>
    </xf>
    <xf numFmtId="169" fontId="0" fillId="0" borderId="452" xfId="0" applyNumberFormat="1" applyBorder="1" applyAlignment="1" applyProtection="1">
      <alignment horizontal="left"/>
      <protection locked="0"/>
    </xf>
    <xf numFmtId="169" fontId="0" fillId="0" borderId="452" xfId="0" applyNumberFormat="1" applyBorder="1" applyAlignment="1" applyProtection="1">
      <alignment horizontal="center"/>
      <protection locked="0"/>
    </xf>
    <xf numFmtId="14" fontId="0" fillId="0" borderId="449" xfId="0" applyNumberFormat="1" applyBorder="1" applyAlignment="1">
      <alignment horizontal="left" wrapText="1"/>
    </xf>
    <xf numFmtId="0" fontId="4" fillId="0" borderId="452" xfId="4" applyBorder="1" applyAlignment="1" applyProtection="1">
      <alignment horizontal="left" vertical="center"/>
      <protection locked="0"/>
    </xf>
    <xf numFmtId="0" fontId="4" fillId="0" borderId="452" xfId="4" applyBorder="1" applyAlignment="1" applyProtection="1">
      <alignment horizontal="center" vertical="center"/>
      <protection locked="0"/>
    </xf>
    <xf numFmtId="0" fontId="0" fillId="0" borderId="458" xfId="0" applyBorder="1" applyAlignment="1">
      <alignment vertical="top"/>
    </xf>
    <xf numFmtId="44" fontId="6" fillId="0" borderId="450" xfId="2" applyFont="1" applyBorder="1" applyAlignment="1">
      <alignment horizontal="center" vertical="center"/>
    </xf>
    <xf numFmtId="0" fontId="6" fillId="0" borderId="459" xfId="0" applyFont="1" applyBorder="1" applyAlignment="1">
      <alignment vertical="center"/>
    </xf>
    <xf numFmtId="0" fontId="0" fillId="0" borderId="454" xfId="0" applyBorder="1" applyAlignment="1">
      <alignment vertical="top"/>
    </xf>
    <xf numFmtId="0" fontId="6" fillId="0" borderId="451" xfId="0" applyFont="1" applyBorder="1" applyAlignment="1">
      <alignment vertical="center"/>
    </xf>
    <xf numFmtId="0" fontId="6" fillId="0" borderId="451" xfId="0" quotePrefix="1" applyFont="1" applyBorder="1"/>
    <xf numFmtId="0" fontId="6" fillId="17" borderId="451" xfId="0" applyFont="1" applyFill="1" applyBorder="1" applyAlignment="1">
      <alignment horizontal="center"/>
    </xf>
    <xf numFmtId="0" fontId="6" fillId="19" borderId="451" xfId="0" applyFont="1" applyFill="1" applyBorder="1" applyAlignment="1">
      <alignment horizontal="left"/>
    </xf>
    <xf numFmtId="0" fontId="0" fillId="19" borderId="449" xfId="0" applyFill="1" applyBorder="1" applyProtection="1">
      <protection locked="0"/>
    </xf>
    <xf numFmtId="43" fontId="0" fillId="19" borderId="449" xfId="1" applyFont="1" applyFill="1" applyBorder="1" applyProtection="1">
      <protection locked="0"/>
    </xf>
    <xf numFmtId="0" fontId="0" fillId="19" borderId="449" xfId="0" applyFill="1" applyBorder="1" applyAlignment="1" applyProtection="1">
      <alignment horizontal="center"/>
      <protection locked="0"/>
    </xf>
    <xf numFmtId="165" fontId="0" fillId="19" borderId="449" xfId="0" applyNumberFormat="1" applyFill="1" applyBorder="1" applyProtection="1">
      <protection locked="0"/>
    </xf>
    <xf numFmtId="0" fontId="0" fillId="19" borderId="450" xfId="0" applyFill="1" applyBorder="1" applyProtection="1">
      <protection locked="0"/>
    </xf>
    <xf numFmtId="0" fontId="6" fillId="7" borderId="451" xfId="0" applyFont="1" applyFill="1" applyBorder="1" applyAlignment="1">
      <alignment horizontal="left"/>
    </xf>
    <xf numFmtId="165" fontId="0" fillId="0" borderId="449" xfId="0" applyNumberFormat="1" applyBorder="1" applyProtection="1">
      <protection locked="0"/>
    </xf>
    <xf numFmtId="0" fontId="6" fillId="7" borderId="451" xfId="0" applyFont="1" applyFill="1" applyBorder="1" applyAlignment="1">
      <alignment horizontal="left" wrapText="1" indent="2"/>
    </xf>
    <xf numFmtId="0" fontId="6" fillId="7" borderId="451" xfId="0" applyFont="1" applyFill="1" applyBorder="1" applyAlignment="1">
      <alignment horizontal="left" wrapText="1"/>
    </xf>
    <xf numFmtId="0" fontId="6" fillId="7" borderId="451" xfId="0" applyFont="1" applyFill="1" applyBorder="1" applyAlignment="1">
      <alignment horizontal="left" indent="2"/>
    </xf>
    <xf numFmtId="0" fontId="86" fillId="0" borderId="460" xfId="0" applyFont="1" applyBorder="1" applyAlignment="1">
      <alignment vertical="center" wrapText="1"/>
    </xf>
    <xf numFmtId="0" fontId="6" fillId="7" borderId="451" xfId="0" applyFont="1" applyFill="1" applyBorder="1"/>
    <xf numFmtId="0" fontId="6" fillId="7" borderId="461" xfId="0" applyFont="1" applyFill="1" applyBorder="1" applyAlignment="1">
      <alignment horizontal="left" indent="2"/>
    </xf>
    <xf numFmtId="0" fontId="6" fillId="7" borderId="448" xfId="0" applyFont="1" applyFill="1" applyBorder="1" applyAlignment="1">
      <alignment horizontal="left" indent="2"/>
    </xf>
    <xf numFmtId="0" fontId="6" fillId="0" borderId="451" xfId="0" applyFont="1" applyBorder="1" applyAlignment="1">
      <alignment horizontal="left"/>
    </xf>
    <xf numFmtId="0" fontId="6" fillId="0" borderId="451" xfId="0" applyFont="1" applyBorder="1" applyAlignment="1">
      <alignment vertical="top" wrapText="1"/>
    </xf>
    <xf numFmtId="44" fontId="0" fillId="27" borderId="366" xfId="2" applyFont="1" applyFill="1" applyBorder="1" applyAlignment="1" applyProtection="1">
      <alignment horizontal="left" vertical="top"/>
      <protection locked="0"/>
    </xf>
    <xf numFmtId="0" fontId="6" fillId="7" borderId="451" xfId="0" applyFont="1" applyFill="1" applyBorder="1" applyAlignment="1">
      <alignment horizontal="left" vertical="top" wrapText="1"/>
    </xf>
    <xf numFmtId="44" fontId="0" fillId="0" borderId="456" xfId="2" applyFont="1" applyBorder="1" applyProtection="1">
      <protection locked="0"/>
    </xf>
    <xf numFmtId="44" fontId="0" fillId="0" borderId="450" xfId="2" applyFont="1" applyBorder="1" applyAlignment="1" applyProtection="1">
      <alignment horizontal="right"/>
      <protection locked="0"/>
    </xf>
    <xf numFmtId="44" fontId="0" fillId="0" borderId="450" xfId="2" applyFont="1" applyBorder="1" applyProtection="1">
      <protection locked="0"/>
    </xf>
    <xf numFmtId="44" fontId="0" fillId="0" borderId="357" xfId="2" applyFont="1" applyBorder="1" applyProtection="1">
      <protection locked="0"/>
    </xf>
    <xf numFmtId="44" fontId="0" fillId="0" borderId="449" xfId="2" applyFont="1" applyBorder="1" applyProtection="1">
      <protection locked="0"/>
    </xf>
    <xf numFmtId="167" fontId="0" fillId="0" borderId="452" xfId="2" applyNumberFormat="1" applyFont="1" applyBorder="1" applyAlignment="1" applyProtection="1">
      <alignment horizontal="left"/>
      <protection locked="0"/>
    </xf>
    <xf numFmtId="167" fontId="0" fillId="0" borderId="457" xfId="2" applyNumberFormat="1" applyFont="1" applyBorder="1" applyAlignment="1" applyProtection="1">
      <alignment horizontal="right"/>
      <protection locked="0"/>
    </xf>
    <xf numFmtId="167" fontId="4" fillId="0" borderId="452" xfId="4" applyNumberFormat="1" applyBorder="1" applyAlignment="1" applyProtection="1">
      <alignment horizontal="left" vertical="center"/>
      <protection locked="0"/>
    </xf>
    <xf numFmtId="167" fontId="4" fillId="0" borderId="452" xfId="4" applyNumberFormat="1" applyBorder="1" applyAlignment="1" applyProtection="1">
      <alignment horizontal="center" vertical="center"/>
      <protection locked="0"/>
    </xf>
    <xf numFmtId="44" fontId="0" fillId="0" borderId="355" xfId="2" applyFont="1" applyBorder="1" applyProtection="1">
      <protection locked="0"/>
    </xf>
    <xf numFmtId="167" fontId="6" fillId="0" borderId="356" xfId="2" applyNumberFormat="1" applyFont="1" applyBorder="1" applyAlignment="1" applyProtection="1">
      <alignment horizontal="right"/>
      <protection locked="0"/>
    </xf>
    <xf numFmtId="167" fontId="0" fillId="0" borderId="360" xfId="2" applyNumberFormat="1" applyFont="1" applyBorder="1" applyAlignment="1" applyProtection="1">
      <alignment horizontal="center"/>
      <protection locked="0"/>
    </xf>
    <xf numFmtId="167" fontId="0" fillId="0" borderId="358" xfId="2" applyNumberFormat="1" applyFont="1" applyBorder="1" applyAlignment="1" applyProtection="1">
      <alignment horizontal="center"/>
      <protection locked="0"/>
    </xf>
    <xf numFmtId="167" fontId="0" fillId="0" borderId="357" xfId="2" applyNumberFormat="1" applyFont="1" applyBorder="1" applyAlignment="1" applyProtection="1">
      <alignment horizontal="center"/>
      <protection locked="0"/>
    </xf>
    <xf numFmtId="167" fontId="6" fillId="0" borderId="450" xfId="2" applyNumberFormat="1" applyFont="1" applyBorder="1" applyAlignment="1">
      <alignment horizontal="center" vertical="center"/>
    </xf>
    <xf numFmtId="167" fontId="0" fillId="0" borderId="366" xfId="2" applyNumberFormat="1" applyFont="1" applyBorder="1" applyProtection="1">
      <protection locked="0"/>
    </xf>
    <xf numFmtId="167" fontId="0" fillId="0" borderId="366" xfId="2" applyNumberFormat="1" applyFont="1" applyBorder="1" applyAlignment="1" applyProtection="1">
      <alignment horizontal="left"/>
      <protection locked="0"/>
    </xf>
    <xf numFmtId="167" fontId="0" fillId="0" borderId="457" xfId="2" applyNumberFormat="1" applyFont="1" applyBorder="1" applyProtection="1">
      <protection locked="0"/>
    </xf>
    <xf numFmtId="44" fontId="0" fillId="19" borderId="449" xfId="2" applyFont="1" applyFill="1" applyBorder="1" applyProtection="1">
      <protection locked="0"/>
    </xf>
    <xf numFmtId="167" fontId="0" fillId="19" borderId="450" xfId="2" applyNumberFormat="1" applyFont="1" applyFill="1" applyBorder="1" applyProtection="1">
      <protection locked="0"/>
    </xf>
    <xf numFmtId="167" fontId="0" fillId="19" borderId="366" xfId="2" applyNumberFormat="1" applyFont="1" applyFill="1" applyBorder="1" applyProtection="1">
      <protection locked="0"/>
    </xf>
    <xf numFmtId="167" fontId="0" fillId="19" borderId="366" xfId="2" applyNumberFormat="1" applyFont="1" applyFill="1" applyBorder="1" applyAlignment="1" applyProtection="1">
      <alignment horizontal="left"/>
      <protection locked="0"/>
    </xf>
    <xf numFmtId="167" fontId="0" fillId="19" borderId="457" xfId="2" applyNumberFormat="1" applyFont="1" applyFill="1" applyBorder="1" applyProtection="1">
      <protection locked="0"/>
    </xf>
    <xf numFmtId="167" fontId="0" fillId="21" borderId="366" xfId="2" applyNumberFormat="1" applyFont="1" applyFill="1" applyBorder="1" applyAlignment="1" applyProtection="1">
      <alignment horizontal="left"/>
      <protection locked="0"/>
    </xf>
    <xf numFmtId="167" fontId="0" fillId="5" borderId="317" xfId="2" applyNumberFormat="1" applyFont="1" applyFill="1" applyBorder="1" applyProtection="1">
      <protection locked="0"/>
    </xf>
    <xf numFmtId="167" fontId="0" fillId="5" borderId="366" xfId="2" applyNumberFormat="1" applyFont="1" applyFill="1" applyBorder="1" applyProtection="1">
      <protection locked="0"/>
    </xf>
    <xf numFmtId="43" fontId="0" fillId="0" borderId="316" xfId="1" applyFont="1" applyBorder="1" applyAlignment="1" applyProtection="1">
      <alignment vertical="top"/>
      <protection locked="0"/>
    </xf>
    <xf numFmtId="0" fontId="0" fillId="0" borderId="316" xfId="0" applyBorder="1" applyAlignment="1" applyProtection="1">
      <alignment horizontal="center" vertical="top"/>
      <protection locked="0"/>
    </xf>
    <xf numFmtId="167" fontId="6" fillId="0" borderId="330" xfId="2" applyNumberFormat="1" applyFont="1" applyBorder="1" applyAlignment="1">
      <alignment horizontal="center" vertical="top"/>
    </xf>
    <xf numFmtId="167" fontId="0" fillId="5" borderId="366" xfId="2" applyNumberFormat="1" applyFont="1" applyFill="1" applyBorder="1" applyAlignment="1" applyProtection="1">
      <alignment horizontal="left"/>
      <protection locked="0"/>
    </xf>
    <xf numFmtId="44" fontId="0" fillId="0" borderId="316" xfId="2" applyFont="1" applyBorder="1" applyAlignment="1" applyProtection="1">
      <alignment vertical="top"/>
      <protection locked="0"/>
    </xf>
    <xf numFmtId="167" fontId="0" fillId="0" borderId="366" xfId="2" applyNumberFormat="1" applyFont="1" applyBorder="1" applyAlignment="1" applyProtection="1">
      <alignment vertical="top"/>
      <protection locked="0"/>
    </xf>
    <xf numFmtId="167" fontId="0" fillId="5" borderId="366" xfId="2" applyNumberFormat="1" applyFont="1" applyFill="1" applyBorder="1" applyAlignment="1" applyProtection="1">
      <alignment horizontal="left" vertical="top"/>
      <protection locked="0"/>
    </xf>
    <xf numFmtId="167" fontId="0" fillId="0" borderId="366" xfId="2" applyNumberFormat="1" applyFont="1" applyBorder="1" applyAlignment="1" applyProtection="1">
      <alignment horizontal="left" vertical="top"/>
      <protection locked="0"/>
    </xf>
    <xf numFmtId="167" fontId="0" fillId="5" borderId="366" xfId="2" applyNumberFormat="1" applyFont="1" applyFill="1" applyBorder="1" applyAlignment="1" applyProtection="1">
      <alignment vertical="top"/>
      <protection locked="0"/>
    </xf>
    <xf numFmtId="0" fontId="6" fillId="7" borderId="451" xfId="0" applyFont="1" applyFill="1" applyBorder="1" applyAlignment="1">
      <alignment horizontal="left" vertical="top"/>
    </xf>
    <xf numFmtId="165" fontId="0" fillId="0" borderId="316" xfId="0" applyNumberFormat="1" applyBorder="1" applyAlignment="1" applyProtection="1">
      <alignment vertical="top"/>
      <protection locked="0"/>
    </xf>
    <xf numFmtId="167" fontId="0" fillId="0" borderId="317" xfId="2" applyNumberFormat="1" applyFont="1" applyBorder="1" applyAlignment="1" applyProtection="1">
      <alignment vertical="top"/>
      <protection locked="0"/>
    </xf>
    <xf numFmtId="167" fontId="0" fillId="20" borderId="366" xfId="2" applyNumberFormat="1" applyFont="1" applyFill="1" applyBorder="1" applyProtection="1">
      <protection locked="0"/>
    </xf>
    <xf numFmtId="0" fontId="6" fillId="7" borderId="347" xfId="0" applyFont="1" applyFill="1" applyBorder="1" applyAlignment="1">
      <alignment vertical="center" wrapText="1"/>
    </xf>
    <xf numFmtId="0" fontId="6" fillId="7" borderId="461" xfId="0" applyFont="1" applyFill="1" applyBorder="1" applyAlignment="1">
      <alignment horizontal="left"/>
    </xf>
    <xf numFmtId="0" fontId="6" fillId="7" borderId="315" xfId="0" applyFont="1" applyFill="1" applyBorder="1" applyAlignment="1">
      <alignment horizontal="left"/>
    </xf>
    <xf numFmtId="167" fontId="6" fillId="0" borderId="305" xfId="2" applyNumberFormat="1" applyFont="1" applyBorder="1" applyAlignment="1">
      <alignment horizontal="center" vertical="center"/>
    </xf>
    <xf numFmtId="0" fontId="0" fillId="27" borderId="304" xfId="0" applyFill="1" applyBorder="1" applyAlignment="1">
      <alignment vertical="top"/>
    </xf>
    <xf numFmtId="43" fontId="0" fillId="0" borderId="303" xfId="1" applyFont="1" applyFill="1" applyBorder="1" applyAlignment="1" applyProtection="1">
      <alignment horizontal="left"/>
      <protection locked="0"/>
    </xf>
    <xf numFmtId="44" fontId="0" fillId="0" borderId="303" xfId="2" applyFont="1" applyFill="1" applyBorder="1" applyProtection="1">
      <protection locked="0"/>
    </xf>
    <xf numFmtId="167" fontId="0" fillId="27" borderId="366" xfId="2" applyNumberFormat="1" applyFont="1" applyFill="1" applyBorder="1" applyAlignment="1" applyProtection="1">
      <alignment horizontal="left"/>
      <protection locked="0"/>
    </xf>
    <xf numFmtId="0" fontId="6" fillId="7" borderId="451" xfId="0" applyFont="1" applyFill="1" applyBorder="1" applyAlignment="1">
      <alignment horizontal="left" indent="4"/>
    </xf>
    <xf numFmtId="0" fontId="6" fillId="7" borderId="461" xfId="0" applyFont="1" applyFill="1" applyBorder="1" applyAlignment="1">
      <alignment horizontal="left" indent="4"/>
    </xf>
    <xf numFmtId="0" fontId="6" fillId="7" borderId="315" xfId="0" applyFont="1" applyFill="1" applyBorder="1" applyAlignment="1">
      <alignment horizontal="left" indent="4"/>
    </xf>
    <xf numFmtId="43" fontId="0" fillId="0" borderId="462" xfId="1" applyFont="1" applyBorder="1"/>
    <xf numFmtId="167" fontId="0" fillId="11" borderId="463" xfId="2" applyNumberFormat="1" applyFont="1" applyFill="1" applyBorder="1" applyProtection="1">
      <protection locked="0"/>
    </xf>
    <xf numFmtId="167" fontId="2" fillId="5" borderId="463" xfId="2" applyNumberFormat="1" applyFont="1" applyFill="1" applyBorder="1" applyProtection="1">
      <protection locked="0"/>
    </xf>
    <xf numFmtId="44" fontId="0" fillId="4" borderId="316" xfId="2" applyFont="1" applyFill="1" applyBorder="1" applyAlignment="1" applyProtection="1">
      <alignment horizontal="right" vertical="center"/>
      <protection locked="0"/>
    </xf>
    <xf numFmtId="167" fontId="0" fillId="4" borderId="330" xfId="2" applyNumberFormat="1" applyFont="1" applyFill="1" applyBorder="1" applyProtection="1">
      <protection locked="0"/>
    </xf>
    <xf numFmtId="167" fontId="0" fillId="4" borderId="317" xfId="2" applyNumberFormat="1" applyFont="1" applyFill="1" applyBorder="1" applyAlignment="1" applyProtection="1">
      <alignment horizontal="right"/>
      <protection locked="0"/>
    </xf>
    <xf numFmtId="167" fontId="0" fillId="4" borderId="330" xfId="2" applyNumberFormat="1" applyFont="1" applyFill="1" applyBorder="1" applyAlignment="1" applyProtection="1">
      <alignment horizontal="left"/>
      <protection locked="0"/>
    </xf>
    <xf numFmtId="44" fontId="8" fillId="4" borderId="316" xfId="2" applyFont="1" applyFill="1" applyBorder="1" applyAlignment="1" applyProtection="1">
      <alignment horizontal="right" vertical="center"/>
      <protection locked="0"/>
    </xf>
    <xf numFmtId="167" fontId="9" fillId="4" borderId="330" xfId="2" applyNumberFormat="1" applyFont="1" applyFill="1" applyBorder="1" applyAlignment="1" applyProtection="1">
      <alignment horizontal="center"/>
      <protection locked="0"/>
    </xf>
    <xf numFmtId="167" fontId="9" fillId="4" borderId="330" xfId="2" applyNumberFormat="1" applyFont="1" applyFill="1" applyBorder="1" applyAlignment="1" applyProtection="1">
      <alignment horizontal="left"/>
      <protection locked="0"/>
    </xf>
    <xf numFmtId="167" fontId="8" fillId="4" borderId="317" xfId="2" applyNumberFormat="1" applyFont="1" applyFill="1" applyBorder="1" applyAlignment="1" applyProtection="1">
      <alignment horizontal="right"/>
      <protection locked="0"/>
    </xf>
    <xf numFmtId="167" fontId="0" fillId="4" borderId="330" xfId="2" applyNumberFormat="1" applyFont="1" applyFill="1" applyBorder="1" applyAlignment="1" applyProtection="1">
      <alignment horizontal="center"/>
      <protection locked="0"/>
    </xf>
    <xf numFmtId="0" fontId="0" fillId="0" borderId="464" xfId="0" applyBorder="1"/>
    <xf numFmtId="0" fontId="0" fillId="0" borderId="465" xfId="0" applyBorder="1" applyProtection="1">
      <protection locked="0"/>
    </xf>
    <xf numFmtId="43" fontId="0" fillId="0" borderId="465" xfId="1" applyFont="1" applyBorder="1" applyProtection="1">
      <protection locked="0"/>
    </xf>
    <xf numFmtId="0" fontId="0" fillId="0" borderId="465" xfId="0" applyBorder="1" applyAlignment="1" applyProtection="1">
      <alignment horizontal="center"/>
      <protection locked="0"/>
    </xf>
    <xf numFmtId="44" fontId="0" fillId="0" borderId="465" xfId="2" applyFont="1" applyBorder="1" applyProtection="1">
      <protection locked="0"/>
    </xf>
    <xf numFmtId="167" fontId="0" fillId="0" borderId="466" xfId="2" applyNumberFormat="1" applyFont="1" applyBorder="1" applyProtection="1">
      <protection locked="0"/>
    </xf>
    <xf numFmtId="167" fontId="0" fillId="0" borderId="467" xfId="2" applyNumberFormat="1" applyFont="1" applyBorder="1" applyProtection="1">
      <protection locked="0"/>
    </xf>
    <xf numFmtId="165" fontId="0" fillId="0" borderId="467" xfId="0" applyNumberFormat="1" applyBorder="1" applyProtection="1">
      <protection locked="0"/>
    </xf>
    <xf numFmtId="167" fontId="0" fillId="0" borderId="330" xfId="2" applyNumberFormat="1" applyFont="1" applyBorder="1" applyAlignment="1" applyProtection="1">
      <alignment horizontal="right"/>
      <protection locked="0"/>
    </xf>
    <xf numFmtId="167" fontId="0" fillId="0" borderId="330" xfId="2" applyNumberFormat="1" applyFont="1" applyBorder="1" applyProtection="1">
      <protection locked="0"/>
    </xf>
    <xf numFmtId="0" fontId="0" fillId="0" borderId="464" xfId="0" applyBorder="1" applyProtection="1">
      <protection locked="0"/>
    </xf>
    <xf numFmtId="0" fontId="0" fillId="0" borderId="465" xfId="0" applyBorder="1" applyAlignment="1" applyProtection="1">
      <alignment wrapText="1"/>
      <protection locked="0"/>
    </xf>
    <xf numFmtId="0" fontId="0" fillId="0" borderId="465" xfId="0" applyBorder="1" applyAlignment="1">
      <alignment wrapText="1"/>
    </xf>
    <xf numFmtId="0" fontId="0" fillId="0" borderId="467" xfId="0" applyBorder="1" applyProtection="1">
      <protection locked="0"/>
    </xf>
    <xf numFmtId="167" fontId="0" fillId="0" borderId="328" xfId="2" applyNumberFormat="1" applyFont="1" applyBorder="1" applyProtection="1">
      <protection locked="0"/>
    </xf>
    <xf numFmtId="167" fontId="0" fillId="0" borderId="329" xfId="2" applyNumberFormat="1" applyFont="1" applyBorder="1" applyProtection="1">
      <protection locked="0"/>
    </xf>
    <xf numFmtId="167" fontId="0" fillId="20" borderId="462" xfId="2" applyNumberFormat="1" applyFont="1" applyFill="1" applyBorder="1" applyProtection="1">
      <protection locked="0"/>
    </xf>
    <xf numFmtId="167" fontId="0" fillId="0" borderId="462" xfId="2" applyNumberFormat="1" applyFont="1" applyBorder="1" applyProtection="1">
      <protection locked="0"/>
    </xf>
    <xf numFmtId="0" fontId="0" fillId="0" borderId="468" xfId="0" applyBorder="1" applyAlignment="1">
      <alignment vertical="top"/>
    </xf>
    <xf numFmtId="3" fontId="0" fillId="0" borderId="463" xfId="0" applyNumberFormat="1" applyBorder="1" applyAlignment="1" applyProtection="1">
      <alignment horizontal="left"/>
      <protection locked="0"/>
    </xf>
    <xf numFmtId="0" fontId="0" fillId="0" borderId="463" xfId="0" applyBorder="1" applyProtection="1">
      <protection locked="0"/>
    </xf>
    <xf numFmtId="0" fontId="0" fillId="0" borderId="464" xfId="0" applyBorder="1" applyAlignment="1">
      <alignment vertical="top"/>
    </xf>
    <xf numFmtId="0" fontId="6" fillId="0" borderId="469" xfId="0" applyFont="1" applyBorder="1" applyAlignment="1">
      <alignment vertical="center"/>
    </xf>
    <xf numFmtId="0" fontId="6" fillId="0" borderId="469" xfId="0" quotePrefix="1" applyFont="1" applyBorder="1"/>
    <xf numFmtId="0" fontId="6" fillId="17" borderId="469" xfId="0" applyFont="1" applyFill="1" applyBorder="1" applyAlignment="1">
      <alignment horizontal="center"/>
    </xf>
    <xf numFmtId="0" fontId="6" fillId="19" borderId="469" xfId="0" applyFont="1" applyFill="1" applyBorder="1" applyAlignment="1">
      <alignment horizontal="left"/>
    </xf>
    <xf numFmtId="44" fontId="0" fillId="19" borderId="463" xfId="2" applyFont="1" applyFill="1" applyBorder="1" applyProtection="1">
      <protection locked="0"/>
    </xf>
    <xf numFmtId="44" fontId="0" fillId="19" borderId="463" xfId="2" applyFont="1" applyFill="1" applyBorder="1" applyAlignment="1" applyProtection="1">
      <alignment horizontal="left"/>
      <protection locked="0"/>
    </xf>
    <xf numFmtId="0" fontId="6" fillId="7" borderId="469" xfId="0" applyFont="1" applyFill="1" applyBorder="1" applyAlignment="1">
      <alignment horizontal="left"/>
    </xf>
    <xf numFmtId="44" fontId="0" fillId="0" borderId="463" xfId="2" applyFont="1" applyBorder="1" applyProtection="1">
      <protection locked="0"/>
    </xf>
    <xf numFmtId="44" fontId="0" fillId="0" borderId="463" xfId="2" applyFont="1" applyBorder="1" applyAlignment="1" applyProtection="1">
      <alignment horizontal="left"/>
      <protection locked="0"/>
    </xf>
    <xf numFmtId="44" fontId="0" fillId="21" borderId="463" xfId="2" applyFont="1" applyFill="1" applyBorder="1" applyAlignment="1" applyProtection="1">
      <alignment horizontal="left"/>
      <protection locked="0"/>
    </xf>
    <xf numFmtId="0" fontId="6" fillId="7" borderId="469" xfId="0" applyFont="1" applyFill="1" applyBorder="1" applyAlignment="1">
      <alignment horizontal="left" indent="2"/>
    </xf>
    <xf numFmtId="0" fontId="6" fillId="7" borderId="469" xfId="0" applyFont="1" applyFill="1" applyBorder="1" applyAlignment="1">
      <alignment horizontal="left" indent="4"/>
    </xf>
    <xf numFmtId="0" fontId="6" fillId="7" borderId="469" xfId="0" applyFont="1" applyFill="1" applyBorder="1" applyAlignment="1">
      <alignment horizontal="left" wrapText="1" indent="4"/>
    </xf>
    <xf numFmtId="0" fontId="6" fillId="7" borderId="469" xfId="0" applyFont="1" applyFill="1" applyBorder="1" applyAlignment="1">
      <alignment horizontal="left" wrapText="1"/>
    </xf>
    <xf numFmtId="44" fontId="0" fillId="27" borderId="463" xfId="2" applyFont="1" applyFill="1" applyBorder="1" applyAlignment="1" applyProtection="1">
      <alignment horizontal="left"/>
      <protection locked="0"/>
    </xf>
    <xf numFmtId="0" fontId="6" fillId="5" borderId="347" xfId="0" applyFont="1" applyFill="1" applyBorder="1" applyAlignment="1">
      <alignment vertical="center" wrapText="1"/>
    </xf>
    <xf numFmtId="44" fontId="0" fillId="5" borderId="463" xfId="2" applyFont="1" applyFill="1" applyBorder="1" applyAlignment="1" applyProtection="1">
      <alignment horizontal="left"/>
      <protection locked="0"/>
    </xf>
    <xf numFmtId="0" fontId="0" fillId="0" borderId="466" xfId="0" applyBorder="1" applyProtection="1">
      <protection locked="0"/>
    </xf>
    <xf numFmtId="0" fontId="6" fillId="7" borderId="469" xfId="0" applyFont="1" applyFill="1" applyBorder="1" applyAlignment="1">
      <alignment horizontal="left" vertical="top" wrapText="1"/>
    </xf>
    <xf numFmtId="44" fontId="6" fillId="0" borderId="330" xfId="2" applyFont="1" applyBorder="1" applyAlignment="1">
      <alignment horizontal="center" vertical="top"/>
    </xf>
    <xf numFmtId="44" fontId="0" fillId="0" borderId="463" xfId="2" applyFont="1" applyBorder="1" applyAlignment="1" applyProtection="1">
      <alignment horizontal="left" vertical="top"/>
      <protection locked="0"/>
    </xf>
    <xf numFmtId="44" fontId="0" fillId="0" borderId="463" xfId="2" applyFont="1" applyBorder="1" applyAlignment="1" applyProtection="1">
      <alignment vertical="top"/>
      <protection locked="0"/>
    </xf>
    <xf numFmtId="44" fontId="6" fillId="0" borderId="330" xfId="2" applyFont="1" applyFill="1" applyBorder="1" applyAlignment="1">
      <alignment horizontal="center" vertical="center"/>
    </xf>
    <xf numFmtId="0" fontId="6" fillId="7" borderId="469" xfId="0" applyFont="1" applyFill="1" applyBorder="1"/>
    <xf numFmtId="0" fontId="4" fillId="0" borderId="331" xfId="4" applyBorder="1" applyAlignment="1" applyProtection="1">
      <alignment horizontal="left" vertical="center"/>
      <protection locked="0"/>
    </xf>
    <xf numFmtId="0" fontId="98" fillId="7" borderId="469" xfId="0" applyFont="1" applyFill="1" applyBorder="1" applyAlignment="1">
      <alignment horizontal="left" indent="2"/>
    </xf>
    <xf numFmtId="0" fontId="98" fillId="7" borderId="469" xfId="0" applyFont="1" applyFill="1" applyBorder="1" applyAlignment="1">
      <alignment horizontal="left" indent="4"/>
    </xf>
    <xf numFmtId="0" fontId="98" fillId="7" borderId="469" xfId="0" applyFont="1" applyFill="1" applyBorder="1" applyAlignment="1">
      <alignment horizontal="left" vertical="center" indent="2"/>
    </xf>
    <xf numFmtId="44" fontId="0" fillId="0" borderId="463" xfId="2" applyFont="1" applyBorder="1" applyAlignment="1" applyProtection="1">
      <alignment horizontal="center"/>
      <protection locked="0"/>
    </xf>
    <xf numFmtId="0" fontId="98" fillId="0" borderId="469" xfId="0" applyFont="1" applyBorder="1" applyAlignment="1">
      <alignment horizontal="left" indent="2"/>
    </xf>
    <xf numFmtId="44" fontId="0" fillId="5" borderId="463" xfId="2" applyFont="1" applyFill="1" applyBorder="1" applyProtection="1">
      <protection locked="0"/>
    </xf>
    <xf numFmtId="0" fontId="98" fillId="0" borderId="470" xfId="0" applyFont="1" applyBorder="1" applyAlignment="1">
      <alignment horizontal="left" indent="2"/>
    </xf>
    <xf numFmtId="0" fontId="98" fillId="0" borderId="471" xfId="0" applyFont="1" applyBorder="1" applyAlignment="1">
      <alignment horizontal="left" indent="2"/>
    </xf>
    <xf numFmtId="167" fontId="104" fillId="0" borderId="330" xfId="2" applyNumberFormat="1" applyFont="1" applyBorder="1"/>
    <xf numFmtId="167" fontId="104" fillId="0" borderId="330" xfId="2" applyNumberFormat="1" applyFont="1" applyBorder="1" applyAlignment="1">
      <alignment horizontal="left" vertical="center" indent="1"/>
    </xf>
    <xf numFmtId="167" fontId="104" fillId="0" borderId="330" xfId="2" applyNumberFormat="1" applyFont="1" applyBorder="1" applyProtection="1">
      <protection locked="0"/>
    </xf>
    <xf numFmtId="164" fontId="0" fillId="19" borderId="316" xfId="1" applyNumberFormat="1" applyFont="1" applyFill="1" applyBorder="1" applyProtection="1">
      <protection locked="0"/>
    </xf>
    <xf numFmtId="44" fontId="37" fillId="0" borderId="463" xfId="2" applyFont="1" applyBorder="1" applyAlignment="1" applyProtection="1">
      <alignment horizontal="center"/>
      <protection locked="0"/>
    </xf>
    <xf numFmtId="0" fontId="0" fillId="0" borderId="472" xfId="0" applyBorder="1" applyAlignment="1">
      <alignment vertical="top"/>
    </xf>
    <xf numFmtId="0" fontId="0" fillId="27" borderId="472" xfId="0" applyFill="1" applyBorder="1" applyAlignment="1">
      <alignment vertical="top"/>
    </xf>
    <xf numFmtId="164" fontId="0" fillId="0" borderId="316" xfId="1" applyNumberFormat="1" applyFont="1" applyBorder="1" applyAlignment="1" applyProtection="1">
      <alignment vertical="top"/>
      <protection locked="0"/>
    </xf>
    <xf numFmtId="44" fontId="6" fillId="0" borderId="473" xfId="2" applyFont="1" applyBorder="1" applyAlignment="1">
      <alignment horizontal="center" vertical="top"/>
    </xf>
    <xf numFmtId="44" fontId="0" fillId="27" borderId="463" xfId="2" applyFont="1" applyFill="1" applyBorder="1" applyAlignment="1" applyProtection="1">
      <alignment horizontal="left" vertical="top"/>
      <protection locked="0"/>
    </xf>
    <xf numFmtId="0" fontId="0" fillId="27" borderId="474" xfId="0" applyFill="1" applyBorder="1" applyAlignment="1">
      <alignment vertical="top"/>
    </xf>
    <xf numFmtId="0" fontId="77" fillId="0" borderId="475" xfId="0" applyFont="1" applyBorder="1" applyAlignment="1">
      <alignment horizontal="left" vertical="top" wrapText="1" indent="2"/>
    </xf>
    <xf numFmtId="0" fontId="0" fillId="4" borderId="474" xfId="0" applyFill="1" applyBorder="1"/>
    <xf numFmtId="164" fontId="0" fillId="4" borderId="316" xfId="1" applyNumberFormat="1" applyFont="1" applyFill="1" applyBorder="1" applyProtection="1">
      <protection locked="0"/>
    </xf>
    <xf numFmtId="9" fontId="0" fillId="4" borderId="473" xfId="3" applyFont="1" applyFill="1" applyBorder="1" applyProtection="1">
      <protection locked="0"/>
    </xf>
    <xf numFmtId="44" fontId="0" fillId="4" borderId="473" xfId="2" applyFont="1" applyFill="1" applyBorder="1" applyProtection="1">
      <protection locked="0"/>
    </xf>
    <xf numFmtId="44" fontId="0" fillId="4" borderId="473" xfId="2" applyFont="1" applyFill="1" applyBorder="1" applyAlignment="1" applyProtection="1">
      <alignment horizontal="left"/>
      <protection locked="0"/>
    </xf>
    <xf numFmtId="44" fontId="0" fillId="4" borderId="473" xfId="0" applyNumberFormat="1" applyFill="1" applyBorder="1" applyProtection="1">
      <protection locked="0"/>
    </xf>
    <xf numFmtId="165" fontId="9" fillId="4" borderId="473" xfId="0" applyNumberFormat="1" applyFont="1" applyFill="1" applyBorder="1" applyAlignment="1" applyProtection="1">
      <alignment horizontal="center"/>
      <protection locked="0"/>
    </xf>
    <xf numFmtId="44" fontId="9" fillId="4" borderId="473" xfId="2" applyFont="1" applyFill="1" applyBorder="1" applyAlignment="1" applyProtection="1">
      <alignment horizontal="left"/>
      <protection locked="0"/>
    </xf>
    <xf numFmtId="165" fontId="9" fillId="4" borderId="473" xfId="0" applyNumberFormat="1" applyFont="1" applyFill="1" applyBorder="1" applyAlignment="1" applyProtection="1">
      <alignment horizontal="left"/>
      <protection locked="0"/>
    </xf>
    <xf numFmtId="0" fontId="0" fillId="4" borderId="473" xfId="0" applyFill="1" applyBorder="1" applyAlignment="1" applyProtection="1">
      <alignment horizontal="center"/>
      <protection locked="0"/>
    </xf>
    <xf numFmtId="44" fontId="0" fillId="4" borderId="473" xfId="2" applyFont="1" applyFill="1" applyBorder="1" applyAlignment="1" applyProtection="1">
      <alignment horizontal="center"/>
      <protection locked="0"/>
    </xf>
    <xf numFmtId="164" fontId="0" fillId="0" borderId="465" xfId="1" applyNumberFormat="1" applyFont="1" applyBorder="1" applyProtection="1">
      <protection locked="0"/>
    </xf>
    <xf numFmtId="0" fontId="0" fillId="0" borderId="474" xfId="0" applyBorder="1"/>
    <xf numFmtId="165" fontId="0" fillId="0" borderId="473" xfId="0" applyNumberFormat="1" applyBorder="1" applyAlignment="1" applyProtection="1">
      <alignment horizontal="right"/>
      <protection locked="0"/>
    </xf>
    <xf numFmtId="0" fontId="0" fillId="0" borderId="474" xfId="0" applyBorder="1" applyProtection="1">
      <protection locked="0"/>
    </xf>
    <xf numFmtId="44" fontId="0" fillId="0" borderId="473" xfId="0" applyNumberFormat="1" applyBorder="1" applyProtection="1">
      <protection locked="0"/>
    </xf>
    <xf numFmtId="165" fontId="0" fillId="0" borderId="473" xfId="0" applyNumberFormat="1" applyBorder="1" applyProtection="1">
      <protection locked="0"/>
    </xf>
    <xf numFmtId="0" fontId="0" fillId="0" borderId="473" xfId="0" applyBorder="1" applyProtection="1">
      <protection locked="0"/>
    </xf>
    <xf numFmtId="0" fontId="0" fillId="0" borderId="476" xfId="0" applyBorder="1"/>
    <xf numFmtId="164" fontId="0" fillId="0" borderId="477" xfId="1" applyNumberFormat="1" applyFont="1" applyBorder="1" applyProtection="1">
      <protection locked="0"/>
    </xf>
    <xf numFmtId="0" fontId="0" fillId="0" borderId="477" xfId="0" applyBorder="1" applyAlignment="1" applyProtection="1">
      <alignment horizontal="center"/>
      <protection locked="0"/>
    </xf>
    <xf numFmtId="0" fontId="0" fillId="0" borderId="478" xfId="0" applyBorder="1" applyProtection="1">
      <protection locked="0"/>
    </xf>
    <xf numFmtId="0" fontId="0" fillId="0" borderId="479" xfId="0" applyBorder="1" applyProtection="1">
      <protection locked="0"/>
    </xf>
    <xf numFmtId="0" fontId="0" fillId="0" borderId="473" xfId="0" applyBorder="1" applyAlignment="1" applyProtection="1">
      <alignment horizontal="center"/>
      <protection locked="0"/>
    </xf>
    <xf numFmtId="0" fontId="3" fillId="0" borderId="472" xfId="0" applyFont="1" applyBorder="1" applyAlignment="1" applyProtection="1">
      <alignment horizontal="right"/>
      <protection locked="0"/>
    </xf>
    <xf numFmtId="0" fontId="3" fillId="0" borderId="473" xfId="0" applyFont="1" applyBorder="1" applyAlignment="1" applyProtection="1">
      <alignment horizontal="right"/>
      <protection locked="0"/>
    </xf>
    <xf numFmtId="169" fontId="0" fillId="0" borderId="473" xfId="0" applyNumberFormat="1" applyBorder="1" applyAlignment="1" applyProtection="1">
      <alignment horizontal="center"/>
      <protection locked="0"/>
    </xf>
    <xf numFmtId="0" fontId="4" fillId="0" borderId="473" xfId="4" applyBorder="1" applyAlignment="1" applyProtection="1">
      <alignment horizontal="center" vertical="center"/>
      <protection locked="0"/>
    </xf>
    <xf numFmtId="0" fontId="3" fillId="0" borderId="476" xfId="0" applyFont="1" applyBorder="1" applyAlignment="1" applyProtection="1">
      <alignment horizontal="right"/>
      <protection locked="0"/>
    </xf>
    <xf numFmtId="44" fontId="0" fillId="0" borderId="479" xfId="2" applyFont="1" applyBorder="1" applyAlignment="1" applyProtection="1">
      <alignment horizontal="center"/>
      <protection locked="0"/>
    </xf>
    <xf numFmtId="44" fontId="0" fillId="20" borderId="462" xfId="2" applyFont="1" applyFill="1" applyBorder="1" applyProtection="1">
      <protection locked="0"/>
    </xf>
    <xf numFmtId="44" fontId="0" fillId="0" borderId="462" xfId="2" applyFont="1" applyBorder="1" applyProtection="1">
      <protection locked="0"/>
    </xf>
    <xf numFmtId="0" fontId="0" fillId="0" borderId="474" xfId="0" applyBorder="1" applyAlignment="1">
      <alignment horizontal="right"/>
    </xf>
    <xf numFmtId="0" fontId="0" fillId="0" borderId="472" xfId="0" applyBorder="1" applyAlignment="1" applyProtection="1">
      <alignment horizontal="left"/>
      <protection locked="0"/>
    </xf>
    <xf numFmtId="169" fontId="0" fillId="0" borderId="472" xfId="0" applyNumberFormat="1" applyBorder="1" applyAlignment="1" applyProtection="1">
      <alignment horizontal="left"/>
      <protection locked="0"/>
    </xf>
    <xf numFmtId="0" fontId="4" fillId="0" borderId="472" xfId="4" applyBorder="1" applyAlignment="1" applyProtection="1">
      <alignment horizontal="left" vertical="center"/>
      <protection locked="0"/>
    </xf>
    <xf numFmtId="0" fontId="6" fillId="0" borderId="476" xfId="0" applyFont="1" applyBorder="1" applyAlignment="1" applyProtection="1">
      <alignment horizontal="right"/>
      <protection locked="0"/>
    </xf>
    <xf numFmtId="0" fontId="0" fillId="0" borderId="477" xfId="0" applyBorder="1" applyAlignment="1">
      <alignment wrapText="1"/>
    </xf>
    <xf numFmtId="0" fontId="0" fillId="0" borderId="477" xfId="0" applyBorder="1" applyProtection="1">
      <protection locked="0"/>
    </xf>
    <xf numFmtId="0" fontId="6" fillId="0" borderId="478" xfId="0" applyFont="1" applyBorder="1" applyAlignment="1" applyProtection="1">
      <alignment horizontal="right"/>
      <protection locked="0"/>
    </xf>
    <xf numFmtId="44" fontId="0" fillId="0" borderId="480" xfId="2" applyFont="1" applyBorder="1" applyAlignment="1" applyProtection="1">
      <alignment horizontal="center"/>
      <protection locked="0"/>
    </xf>
    <xf numFmtId="44" fontId="0" fillId="0" borderId="481" xfId="2" applyFont="1" applyBorder="1" applyAlignment="1" applyProtection="1">
      <alignment horizontal="center"/>
      <protection locked="0"/>
    </xf>
    <xf numFmtId="44" fontId="6" fillId="0" borderId="473" xfId="2" applyFont="1" applyBorder="1" applyAlignment="1">
      <alignment horizontal="center" vertical="center"/>
    </xf>
    <xf numFmtId="0" fontId="0" fillId="0" borderId="474" xfId="0" applyBorder="1" applyAlignment="1">
      <alignment vertical="top"/>
    </xf>
    <xf numFmtId="0" fontId="0" fillId="19" borderId="473" xfId="0" applyFill="1" applyBorder="1" applyProtection="1">
      <protection locked="0"/>
    </xf>
    <xf numFmtId="0" fontId="86" fillId="0" borderId="482" xfId="0" applyFont="1" applyBorder="1" applyAlignment="1">
      <alignment vertical="center" wrapText="1"/>
    </xf>
    <xf numFmtId="0" fontId="0" fillId="0" borderId="483" xfId="0" applyBorder="1" applyProtection="1">
      <protection locked="0"/>
    </xf>
    <xf numFmtId="43" fontId="0" fillId="0" borderId="483" xfId="1" applyFont="1" applyBorder="1" applyProtection="1">
      <protection locked="0"/>
    </xf>
    <xf numFmtId="0" fontId="0" fillId="0" borderId="483" xfId="0" applyBorder="1" applyAlignment="1" applyProtection="1">
      <alignment horizontal="center"/>
      <protection locked="0"/>
    </xf>
    <xf numFmtId="44" fontId="0" fillId="0" borderId="483" xfId="2" applyFont="1" applyBorder="1" applyProtection="1">
      <protection locked="0"/>
    </xf>
    <xf numFmtId="0" fontId="0" fillId="0" borderId="484" xfId="0" applyBorder="1" applyAlignment="1">
      <alignment vertical="top"/>
    </xf>
    <xf numFmtId="165" fontId="0" fillId="0" borderId="483" xfId="0" applyNumberFormat="1" applyBorder="1" applyProtection="1">
      <protection locked="0"/>
    </xf>
    <xf numFmtId="0" fontId="6" fillId="7" borderId="485" xfId="0" applyFont="1" applyFill="1" applyBorder="1" applyAlignment="1">
      <alignment horizontal="left" indent="2"/>
    </xf>
    <xf numFmtId="164" fontId="0" fillId="0" borderId="483" xfId="1" applyNumberFormat="1" applyFont="1" applyBorder="1" applyProtection="1">
      <protection locked="0"/>
    </xf>
    <xf numFmtId="0" fontId="6" fillId="7" borderId="486" xfId="0" applyFont="1" applyFill="1" applyBorder="1"/>
    <xf numFmtId="0" fontId="97" fillId="7" borderId="469" xfId="0" applyFont="1" applyFill="1" applyBorder="1" applyAlignment="1">
      <alignment horizontal="left"/>
    </xf>
    <xf numFmtId="0" fontId="97" fillId="0" borderId="469" xfId="0" applyFont="1" applyBorder="1" applyAlignment="1">
      <alignment horizontal="left"/>
    </xf>
    <xf numFmtId="44" fontId="0" fillId="0" borderId="463" xfId="2" applyFont="1" applyFill="1" applyBorder="1" applyProtection="1">
      <protection locked="0"/>
    </xf>
    <xf numFmtId="44" fontId="6" fillId="5" borderId="473" xfId="2" applyFont="1" applyFill="1" applyBorder="1" applyAlignment="1">
      <alignment horizontal="center" vertical="center"/>
    </xf>
    <xf numFmtId="0" fontId="6" fillId="0" borderId="469" xfId="0" applyFont="1" applyBorder="1"/>
    <xf numFmtId="0" fontId="97" fillId="7" borderId="469" xfId="0" applyFont="1" applyFill="1" applyBorder="1" applyAlignment="1">
      <alignment horizontal="left" wrapText="1"/>
    </xf>
    <xf numFmtId="0" fontId="97" fillId="7" borderId="469" xfId="0" applyFont="1" applyFill="1" applyBorder="1" applyAlignment="1">
      <alignment horizontal="left" vertical="top" wrapText="1"/>
    </xf>
    <xf numFmtId="44" fontId="0" fillId="5" borderId="463" xfId="2" applyFont="1" applyFill="1" applyBorder="1" applyAlignment="1" applyProtection="1">
      <alignment horizontal="left" vertical="top"/>
      <protection locked="0"/>
    </xf>
    <xf numFmtId="44" fontId="0" fillId="5" borderId="463" xfId="2" applyFont="1" applyFill="1" applyBorder="1" applyAlignment="1" applyProtection="1">
      <alignment vertical="top"/>
      <protection locked="0"/>
    </xf>
    <xf numFmtId="0" fontId="97" fillId="7" borderId="485" xfId="0" applyFont="1" applyFill="1" applyBorder="1" applyAlignment="1">
      <alignment vertical="top" wrapText="1"/>
    </xf>
    <xf numFmtId="0" fontId="97" fillId="7" borderId="486" xfId="0" applyFont="1" applyFill="1" applyBorder="1" applyAlignment="1">
      <alignment vertical="top" wrapText="1"/>
    </xf>
    <xf numFmtId="0" fontId="97" fillId="7" borderId="469" xfId="0" applyFont="1" applyFill="1" applyBorder="1" applyAlignment="1">
      <alignment vertical="top" wrapText="1"/>
    </xf>
    <xf numFmtId="0" fontId="6" fillId="7" borderId="485" xfId="0" applyFont="1" applyFill="1" applyBorder="1" applyAlignment="1">
      <alignment horizontal="left" wrapText="1" indent="4"/>
    </xf>
    <xf numFmtId="0" fontId="6" fillId="7" borderId="486" xfId="0" applyFont="1" applyFill="1" applyBorder="1" applyAlignment="1">
      <alignment horizontal="left" indent="2"/>
    </xf>
    <xf numFmtId="0" fontId="6" fillId="7" borderId="485" xfId="0" applyFont="1" applyFill="1" applyBorder="1" applyAlignment="1">
      <alignment horizontal="left" indent="4"/>
    </xf>
    <xf numFmtId="0" fontId="6" fillId="7" borderId="487" xfId="0" applyFont="1" applyFill="1" applyBorder="1" applyAlignment="1">
      <alignment horizontal="left" wrapText="1" indent="4"/>
    </xf>
    <xf numFmtId="0" fontId="6" fillId="0" borderId="488" xfId="0" applyFont="1" applyBorder="1" applyAlignment="1">
      <alignment horizontal="left" vertical="top" wrapText="1" indent="2"/>
    </xf>
    <xf numFmtId="0" fontId="0" fillId="27" borderId="489" xfId="0" applyFill="1" applyBorder="1" applyAlignment="1">
      <alignment vertical="top"/>
    </xf>
    <xf numFmtId="0" fontId="0" fillId="0" borderId="490" xfId="0" applyBorder="1" applyAlignment="1" applyProtection="1">
      <alignment vertical="top"/>
      <protection locked="0"/>
    </xf>
    <xf numFmtId="44" fontId="0" fillId="27" borderId="463" xfId="2" applyFont="1" applyFill="1" applyBorder="1" applyAlignment="1" applyProtection="1">
      <alignment vertical="top"/>
      <protection locked="0"/>
    </xf>
    <xf numFmtId="44" fontId="2" fillId="5" borderId="463" xfId="2" applyFont="1" applyFill="1" applyBorder="1" applyAlignment="1" applyProtection="1">
      <alignment horizontal="left"/>
      <protection locked="0"/>
    </xf>
    <xf numFmtId="0" fontId="97" fillId="7" borderId="469" xfId="0" applyFont="1" applyFill="1" applyBorder="1" applyAlignment="1">
      <alignment horizontal="left" vertical="top" wrapText="1" indent="2"/>
    </xf>
    <xf numFmtId="0" fontId="97" fillId="7" borderId="469" xfId="0" applyFont="1" applyFill="1" applyBorder="1" applyAlignment="1">
      <alignment horizontal="left" indent="2"/>
    </xf>
    <xf numFmtId="0" fontId="97" fillId="7" borderId="487" xfId="0" applyFont="1" applyFill="1" applyBorder="1" applyAlignment="1">
      <alignment horizontal="left" indent="2"/>
    </xf>
    <xf numFmtId="0" fontId="97" fillId="0" borderId="486" xfId="0" applyFont="1" applyBorder="1" applyAlignment="1">
      <alignment horizontal="left" indent="2"/>
    </xf>
    <xf numFmtId="0" fontId="0" fillId="0" borderId="491" xfId="0" applyBorder="1" applyProtection="1">
      <protection locked="0"/>
    </xf>
    <xf numFmtId="0" fontId="0" fillId="0" borderId="492" xfId="0" applyBorder="1"/>
    <xf numFmtId="164" fontId="0" fillId="0" borderId="493" xfId="1" applyNumberFormat="1" applyFont="1" applyBorder="1" applyProtection="1">
      <protection locked="0"/>
    </xf>
    <xf numFmtId="0" fontId="0" fillId="0" borderId="493" xfId="0" applyBorder="1" applyAlignment="1" applyProtection="1">
      <alignment horizontal="center"/>
      <protection locked="0"/>
    </xf>
    <xf numFmtId="0" fontId="0" fillId="0" borderId="494" xfId="0" applyBorder="1" applyProtection="1">
      <protection locked="0"/>
    </xf>
    <xf numFmtId="0" fontId="0" fillId="0" borderId="495" xfId="0" applyBorder="1" applyProtection="1">
      <protection locked="0"/>
    </xf>
    <xf numFmtId="0" fontId="0" fillId="0" borderId="496" xfId="0" applyBorder="1" applyAlignment="1" applyProtection="1">
      <alignment horizontal="center"/>
      <protection locked="0"/>
    </xf>
    <xf numFmtId="0" fontId="3" fillId="0" borderId="484" xfId="0" applyFont="1" applyBorder="1" applyAlignment="1" applyProtection="1">
      <alignment horizontal="right"/>
      <protection locked="0"/>
    </xf>
    <xf numFmtId="0" fontId="3" fillId="0" borderId="496" xfId="0" applyFont="1" applyBorder="1" applyAlignment="1" applyProtection="1">
      <alignment horizontal="right"/>
      <protection locked="0"/>
    </xf>
    <xf numFmtId="169" fontId="0" fillId="0" borderId="496" xfId="0" applyNumberFormat="1" applyBorder="1" applyAlignment="1" applyProtection="1">
      <alignment horizontal="center"/>
      <protection locked="0"/>
    </xf>
    <xf numFmtId="0" fontId="4" fillId="0" borderId="496" xfId="4" applyBorder="1" applyAlignment="1" applyProtection="1">
      <alignment horizontal="center" vertical="center"/>
      <protection locked="0"/>
    </xf>
    <xf numFmtId="0" fontId="3" fillId="0" borderId="492" xfId="0" applyFont="1" applyBorder="1" applyAlignment="1" applyProtection="1">
      <alignment horizontal="right"/>
      <protection locked="0"/>
    </xf>
    <xf numFmtId="44" fontId="0" fillId="0" borderId="495" xfId="2" applyFont="1" applyBorder="1" applyAlignment="1" applyProtection="1">
      <alignment horizontal="center"/>
      <protection locked="0"/>
    </xf>
    <xf numFmtId="0" fontId="0" fillId="0" borderId="497" xfId="0" applyBorder="1" applyAlignment="1">
      <alignment horizontal="right"/>
    </xf>
    <xf numFmtId="0" fontId="0" fillId="0" borderId="490" xfId="0" applyBorder="1" applyAlignment="1">
      <alignment wrapText="1"/>
    </xf>
    <xf numFmtId="0" fontId="0" fillId="0" borderId="490" xfId="0" applyBorder="1" applyProtection="1">
      <protection locked="0"/>
    </xf>
    <xf numFmtId="43" fontId="0" fillId="0" borderId="490" xfId="1" applyFont="1" applyBorder="1" applyAlignment="1" applyProtection="1">
      <alignment horizontal="center"/>
      <protection locked="0"/>
    </xf>
    <xf numFmtId="0" fontId="0" fillId="0" borderId="490" xfId="0" applyBorder="1" applyAlignment="1" applyProtection="1">
      <alignment horizontal="center"/>
      <protection locked="0"/>
    </xf>
    <xf numFmtId="0" fontId="0" fillId="0" borderId="484" xfId="0" applyBorder="1" applyAlignment="1" applyProtection="1">
      <alignment horizontal="left"/>
      <protection locked="0"/>
    </xf>
    <xf numFmtId="0" fontId="0" fillId="0" borderId="484" xfId="0" applyBorder="1" applyAlignment="1" applyProtection="1">
      <alignment horizontal="center"/>
      <protection locked="0"/>
    </xf>
    <xf numFmtId="0" fontId="0" fillId="0" borderId="490" xfId="0" applyBorder="1" applyAlignment="1">
      <alignment horizontal="left" wrapText="1"/>
    </xf>
    <xf numFmtId="0" fontId="0" fillId="0" borderId="498" xfId="0" applyBorder="1" applyAlignment="1" applyProtection="1">
      <alignment horizontal="right"/>
      <protection locked="0"/>
    </xf>
    <xf numFmtId="169" fontId="0" fillId="0" borderId="484" xfId="0" applyNumberFormat="1" applyBorder="1" applyAlignment="1" applyProtection="1">
      <alignment horizontal="left"/>
      <protection locked="0"/>
    </xf>
    <xf numFmtId="169" fontId="0" fillId="0" borderId="484" xfId="0" applyNumberFormat="1" applyBorder="1" applyAlignment="1" applyProtection="1">
      <alignment horizontal="center"/>
      <protection locked="0"/>
    </xf>
    <xf numFmtId="14" fontId="0" fillId="0" borderId="490" xfId="0" applyNumberFormat="1" applyBorder="1" applyAlignment="1">
      <alignment horizontal="left" wrapText="1"/>
    </xf>
    <xf numFmtId="0" fontId="4" fillId="0" borderId="484" xfId="4" applyBorder="1" applyAlignment="1" applyProtection="1">
      <alignment horizontal="left" vertical="center"/>
      <protection locked="0"/>
    </xf>
    <xf numFmtId="0" fontId="4" fillId="0" borderId="484" xfId="4" applyBorder="1" applyAlignment="1" applyProtection="1">
      <alignment horizontal="center" vertical="center"/>
      <protection locked="0"/>
    </xf>
    <xf numFmtId="0" fontId="6" fillId="0" borderId="492" xfId="0" applyFont="1" applyBorder="1" applyAlignment="1" applyProtection="1">
      <alignment horizontal="right"/>
      <protection locked="0"/>
    </xf>
    <xf numFmtId="0" fontId="0" fillId="0" borderId="493" xfId="0" applyBorder="1" applyAlignment="1">
      <alignment wrapText="1"/>
    </xf>
    <xf numFmtId="0" fontId="0" fillId="0" borderId="493" xfId="0" applyBorder="1" applyProtection="1">
      <protection locked="0"/>
    </xf>
    <xf numFmtId="0" fontId="6" fillId="0" borderId="494" xfId="0" applyFont="1" applyBorder="1" applyAlignment="1" applyProtection="1">
      <alignment horizontal="right"/>
      <protection locked="0"/>
    </xf>
    <xf numFmtId="44" fontId="0" fillId="0" borderId="499" xfId="2" applyFont="1" applyBorder="1" applyAlignment="1" applyProtection="1">
      <alignment horizontal="center"/>
      <protection locked="0"/>
    </xf>
    <xf numFmtId="44" fontId="0" fillId="0" borderId="500" xfId="2" applyFont="1" applyBorder="1" applyAlignment="1" applyProtection="1">
      <alignment horizontal="center"/>
      <protection locked="0"/>
    </xf>
    <xf numFmtId="44" fontId="0" fillId="0" borderId="495" xfId="2" applyFont="1" applyBorder="1" applyAlignment="1" applyProtection="1">
      <alignment horizontal="center"/>
      <protection locked="0"/>
    </xf>
    <xf numFmtId="5" fontId="0" fillId="0" borderId="495" xfId="2" applyNumberFormat="1" applyFont="1" applyBorder="1" applyAlignment="1" applyProtection="1">
      <alignment horizontal="center"/>
      <protection locked="0"/>
    </xf>
    <xf numFmtId="0" fontId="0" fillId="0" borderId="501" xfId="0" applyBorder="1" applyAlignment="1">
      <alignment vertical="top"/>
    </xf>
    <xf numFmtId="44" fontId="6" fillId="0" borderId="496" xfId="2" applyFont="1" applyBorder="1" applyAlignment="1">
      <alignment horizontal="center" vertical="center"/>
    </xf>
    <xf numFmtId="0" fontId="0" fillId="0" borderId="502" xfId="0" applyBorder="1" applyAlignment="1">
      <alignment vertical="top"/>
    </xf>
    <xf numFmtId="0" fontId="0" fillId="0" borderId="497" xfId="0" applyBorder="1" applyAlignment="1">
      <alignment vertical="top"/>
    </xf>
    <xf numFmtId="0" fontId="6" fillId="0" borderId="503" xfId="0" applyFont="1" applyBorder="1" applyAlignment="1">
      <alignment vertical="center"/>
    </xf>
    <xf numFmtId="0" fontId="6" fillId="0" borderId="503" xfId="0" quotePrefix="1" applyFont="1" applyBorder="1"/>
    <xf numFmtId="44" fontId="0" fillId="0" borderId="496" xfId="2" applyFont="1" applyBorder="1" applyProtection="1">
      <protection locked="0"/>
    </xf>
    <xf numFmtId="0" fontId="6" fillId="17" borderId="503" xfId="0" applyFont="1" applyFill="1" applyBorder="1" applyAlignment="1">
      <alignment horizontal="center"/>
    </xf>
    <xf numFmtId="183" fontId="0" fillId="0" borderId="463" xfId="1" applyNumberFormat="1" applyFont="1" applyBorder="1" applyAlignment="1" applyProtection="1">
      <alignment horizontal="left"/>
      <protection locked="0"/>
    </xf>
    <xf numFmtId="0" fontId="6" fillId="19" borderId="503" xfId="0" applyFont="1" applyFill="1" applyBorder="1" applyAlignment="1">
      <alignment horizontal="left"/>
    </xf>
    <xf numFmtId="0" fontId="0" fillId="19" borderId="490" xfId="0" applyFill="1" applyBorder="1" applyProtection="1">
      <protection locked="0"/>
    </xf>
    <xf numFmtId="43" fontId="0" fillId="19" borderId="490" xfId="1" applyFont="1" applyFill="1" applyBorder="1" applyAlignment="1" applyProtection="1">
      <alignment horizontal="center"/>
      <protection locked="0"/>
    </xf>
    <xf numFmtId="0" fontId="0" fillId="19" borderId="490" xfId="0" applyFill="1" applyBorder="1" applyAlignment="1" applyProtection="1">
      <alignment horizontal="center"/>
      <protection locked="0"/>
    </xf>
    <xf numFmtId="165" fontId="0" fillId="19" borderId="490" xfId="0" applyNumberFormat="1" applyFill="1" applyBorder="1" applyProtection="1">
      <protection locked="0"/>
    </xf>
    <xf numFmtId="0" fontId="0" fillId="19" borderId="496" xfId="0" applyFill="1" applyBorder="1" applyProtection="1">
      <protection locked="0"/>
    </xf>
    <xf numFmtId="0" fontId="6" fillId="7" borderId="503" xfId="0" applyFont="1" applyFill="1" applyBorder="1" applyAlignment="1">
      <alignment horizontal="left"/>
    </xf>
    <xf numFmtId="43" fontId="0" fillId="0" borderId="490" xfId="1" applyFont="1" applyBorder="1" applyProtection="1">
      <protection locked="0"/>
    </xf>
    <xf numFmtId="165" fontId="0" fillId="0" borderId="490" xfId="0" applyNumberFormat="1" applyBorder="1" applyProtection="1">
      <protection locked="0"/>
    </xf>
    <xf numFmtId="0" fontId="86" fillId="0" borderId="504" xfId="0" applyFont="1" applyBorder="1" applyAlignment="1">
      <alignment vertical="center" wrapText="1"/>
    </xf>
    <xf numFmtId="0" fontId="6" fillId="0" borderId="503" xfId="0" applyFont="1" applyBorder="1" applyAlignment="1">
      <alignment horizontal="left" vertical="top" wrapText="1"/>
    </xf>
    <xf numFmtId="0" fontId="6" fillId="7" borderId="503" xfId="0" applyFont="1" applyFill="1" applyBorder="1" applyAlignment="1">
      <alignment vertical="top" wrapText="1"/>
    </xf>
    <xf numFmtId="44" fontId="0" fillId="0" borderId="463" xfId="2" applyFont="1" applyFill="1" applyBorder="1" applyAlignment="1" applyProtection="1">
      <alignment horizontal="left" vertical="top"/>
      <protection locked="0"/>
    </xf>
    <xf numFmtId="0" fontId="6" fillId="7" borderId="503" xfId="0" applyFont="1" applyFill="1" applyBorder="1" applyAlignment="1">
      <alignment horizontal="left" vertical="top" wrapText="1"/>
    </xf>
    <xf numFmtId="0" fontId="6" fillId="7" borderId="503" xfId="0" applyFont="1" applyFill="1" applyBorder="1" applyAlignment="1">
      <alignment horizontal="left" vertical="top"/>
    </xf>
    <xf numFmtId="0" fontId="86" fillId="7" borderId="503" xfId="0" applyFont="1" applyFill="1" applyBorder="1" applyAlignment="1">
      <alignment horizontal="left"/>
    </xf>
    <xf numFmtId="0" fontId="6" fillId="18" borderId="505" xfId="0" applyFont="1" applyFill="1" applyBorder="1" applyAlignment="1">
      <alignment vertical="center" wrapText="1"/>
    </xf>
    <xf numFmtId="43" fontId="0" fillId="4" borderId="316" xfId="1" applyFont="1" applyFill="1" applyBorder="1" applyAlignment="1" applyProtection="1">
      <alignment horizontal="center"/>
      <protection locked="0"/>
    </xf>
    <xf numFmtId="0" fontId="0" fillId="0" borderId="502" xfId="0" applyBorder="1"/>
    <xf numFmtId="43" fontId="0" fillId="0" borderId="465" xfId="1" applyFont="1" applyBorder="1" applyAlignment="1" applyProtection="1">
      <alignment horizontal="center"/>
      <protection locked="0"/>
    </xf>
    <xf numFmtId="165" fontId="0" fillId="0" borderId="491" xfId="0" applyNumberFormat="1" applyBorder="1" applyProtection="1">
      <protection locked="0"/>
    </xf>
    <xf numFmtId="0" fontId="0" fillId="0" borderId="502" xfId="0" applyBorder="1" applyProtection="1">
      <protection locked="0"/>
    </xf>
    <xf numFmtId="0" fontId="0" fillId="0" borderId="506" xfId="0" applyBorder="1"/>
    <xf numFmtId="43" fontId="0" fillId="0" borderId="507" xfId="1" applyFont="1" applyBorder="1" applyAlignment="1" applyProtection="1">
      <alignment horizontal="center"/>
      <protection locked="0"/>
    </xf>
    <xf numFmtId="0" fontId="0" fillId="0" borderId="507" xfId="0" applyBorder="1" applyAlignment="1" applyProtection="1">
      <alignment horizontal="center"/>
      <protection locked="0"/>
    </xf>
    <xf numFmtId="0" fontId="0" fillId="0" borderId="508" xfId="0" applyBorder="1" applyProtection="1">
      <protection locked="0"/>
    </xf>
    <xf numFmtId="0" fontId="0" fillId="0" borderId="509" xfId="0" applyBorder="1" applyProtection="1">
      <protection locked="0"/>
    </xf>
    <xf numFmtId="0" fontId="3" fillId="0" borderId="506" xfId="0" applyFont="1" applyBorder="1" applyAlignment="1" applyProtection="1">
      <alignment horizontal="right"/>
      <protection locked="0"/>
    </xf>
    <xf numFmtId="44" fontId="0" fillId="0" borderId="509" xfId="2" applyFont="1" applyBorder="1" applyAlignment="1" applyProtection="1">
      <alignment horizontal="center"/>
      <protection locked="0"/>
    </xf>
    <xf numFmtId="164" fontId="0" fillId="0" borderId="316" xfId="1" applyNumberFormat="1" applyFont="1" applyBorder="1" applyAlignment="1" applyProtection="1">
      <alignment horizontal="center"/>
      <protection locked="0"/>
    </xf>
    <xf numFmtId="0" fontId="0" fillId="0" borderId="472" xfId="0" applyBorder="1" applyAlignment="1" applyProtection="1">
      <alignment horizontal="center"/>
      <protection locked="0"/>
    </xf>
    <xf numFmtId="44" fontId="0" fillId="0" borderId="317" xfId="2" applyFont="1" applyBorder="1" applyAlignment="1" applyProtection="1">
      <alignment horizontal="right"/>
      <protection locked="0"/>
    </xf>
    <xf numFmtId="169" fontId="0" fillId="0" borderId="472" xfId="0" applyNumberFormat="1" applyBorder="1" applyAlignment="1" applyProtection="1">
      <alignment horizontal="center"/>
      <protection locked="0"/>
    </xf>
    <xf numFmtId="0" fontId="4" fillId="0" borderId="472" xfId="4" applyBorder="1" applyAlignment="1" applyProtection="1">
      <alignment horizontal="center" vertical="center"/>
      <protection locked="0"/>
    </xf>
    <xf numFmtId="0" fontId="6" fillId="0" borderId="506" xfId="0" applyFont="1" applyBorder="1" applyAlignment="1" applyProtection="1">
      <alignment horizontal="right"/>
      <protection locked="0"/>
    </xf>
    <xf numFmtId="0" fontId="0" fillId="0" borderId="507" xfId="0" applyBorder="1" applyAlignment="1">
      <alignment wrapText="1"/>
    </xf>
    <xf numFmtId="0" fontId="0" fillId="0" borderId="507" xfId="0" applyBorder="1" applyProtection="1">
      <protection locked="0"/>
    </xf>
    <xf numFmtId="44" fontId="6" fillId="0" borderId="508" xfId="2" applyFont="1" applyBorder="1" applyAlignment="1" applyProtection="1">
      <alignment horizontal="right"/>
      <protection locked="0"/>
    </xf>
    <xf numFmtId="44" fontId="0" fillId="0" borderId="510" xfId="2" applyFont="1" applyBorder="1" applyAlignment="1" applyProtection="1">
      <alignment horizontal="center"/>
      <protection locked="0"/>
    </xf>
    <xf numFmtId="44" fontId="0" fillId="0" borderId="511" xfId="2" applyFont="1" applyBorder="1" applyAlignment="1" applyProtection="1">
      <alignment horizontal="center"/>
      <protection locked="0"/>
    </xf>
    <xf numFmtId="44" fontId="0" fillId="0" borderId="509" xfId="2" applyFont="1" applyBorder="1" applyAlignment="1" applyProtection="1">
      <alignment horizontal="center"/>
      <protection locked="0"/>
    </xf>
    <xf numFmtId="5" fontId="0" fillId="0" borderId="509" xfId="2" applyNumberFormat="1" applyFont="1" applyBorder="1" applyAlignment="1" applyProtection="1">
      <alignment horizontal="center"/>
      <protection locked="0"/>
    </xf>
    <xf numFmtId="164" fontId="0" fillId="19" borderId="316" xfId="1" applyNumberFormat="1" applyFont="1" applyFill="1" applyBorder="1" applyAlignment="1" applyProtection="1">
      <alignment horizontal="center"/>
      <protection locked="0"/>
    </xf>
    <xf numFmtId="44" fontId="0" fillId="0" borderId="490" xfId="2" applyFont="1" applyBorder="1" applyProtection="1">
      <protection locked="0"/>
    </xf>
    <xf numFmtId="0" fontId="6" fillId="7" borderId="503" xfId="0" applyFont="1" applyFill="1" applyBorder="1" applyAlignment="1">
      <alignment horizontal="left" indent="2"/>
    </xf>
    <xf numFmtId="0" fontId="6" fillId="7" borderId="503" xfId="0" applyFont="1" applyFill="1" applyBorder="1" applyAlignment="1">
      <alignment horizontal="left" indent="4"/>
    </xf>
    <xf numFmtId="0" fontId="6" fillId="7" borderId="512" xfId="0" applyFont="1" applyFill="1" applyBorder="1" applyAlignment="1">
      <alignment horizontal="left" indent="4"/>
    </xf>
    <xf numFmtId="0" fontId="6" fillId="7" borderId="503" xfId="0" applyFont="1" applyFill="1" applyBorder="1" applyAlignment="1">
      <alignment horizontal="left" vertical="top" wrapText="1" indent="2"/>
    </xf>
    <xf numFmtId="164" fontId="0" fillId="0" borderId="303" xfId="1" applyNumberFormat="1" applyFont="1" applyBorder="1" applyAlignment="1" applyProtection="1">
      <alignment vertical="top"/>
      <protection locked="0"/>
    </xf>
    <xf numFmtId="0" fontId="0" fillId="0" borderId="303" xfId="0" applyBorder="1" applyAlignment="1" applyProtection="1">
      <alignment horizontal="center" vertical="top"/>
      <protection locked="0"/>
    </xf>
    <xf numFmtId="165" fontId="0" fillId="0" borderId="303" xfId="0" applyNumberFormat="1" applyBorder="1" applyAlignment="1" applyProtection="1">
      <alignment vertical="top"/>
      <protection locked="0"/>
    </xf>
    <xf numFmtId="44" fontId="6" fillId="0" borderId="305" xfId="2" applyFont="1" applyBorder="1" applyAlignment="1">
      <alignment horizontal="center" vertical="top"/>
    </xf>
    <xf numFmtId="0" fontId="6" fillId="7" borderId="512" xfId="0" applyFont="1" applyFill="1" applyBorder="1" applyAlignment="1">
      <alignment horizontal="left" indent="2"/>
    </xf>
    <xf numFmtId="0" fontId="6" fillId="7" borderId="512" xfId="0" applyFont="1" applyFill="1" applyBorder="1" applyAlignment="1">
      <alignment horizontal="left"/>
    </xf>
    <xf numFmtId="0" fontId="96" fillId="0" borderId="513" xfId="0" applyFont="1" applyBorder="1" applyAlignment="1">
      <alignment horizontal="left" vertical="top" wrapText="1"/>
    </xf>
    <xf numFmtId="0" fontId="6" fillId="5" borderId="503" xfId="0" applyFont="1" applyFill="1" applyBorder="1" applyAlignment="1">
      <alignment horizontal="left"/>
    </xf>
    <xf numFmtId="164" fontId="0" fillId="4" borderId="303" xfId="1" applyNumberFormat="1" applyFont="1" applyFill="1" applyBorder="1" applyAlignment="1" applyProtection="1">
      <alignment horizontal="center"/>
      <protection locked="0"/>
    </xf>
    <xf numFmtId="0" fontId="0" fillId="0" borderId="514" xfId="0" applyBorder="1"/>
    <xf numFmtId="0" fontId="0" fillId="0" borderId="515" xfId="0" applyBorder="1" applyProtection="1">
      <protection locked="0"/>
    </xf>
    <xf numFmtId="164" fontId="0" fillId="0" borderId="515" xfId="1" applyNumberFormat="1" applyFont="1" applyBorder="1" applyAlignment="1" applyProtection="1">
      <alignment horizontal="center"/>
      <protection locked="0"/>
    </xf>
    <xf numFmtId="0" fontId="0" fillId="0" borderId="515" xfId="0" applyBorder="1" applyAlignment="1" applyProtection="1">
      <alignment horizontal="center"/>
      <protection locked="0"/>
    </xf>
    <xf numFmtId="44" fontId="0" fillId="0" borderId="516" xfId="2" applyFont="1" applyBorder="1" applyProtection="1">
      <protection locked="0"/>
    </xf>
    <xf numFmtId="165" fontId="0" fillId="0" borderId="517" xfId="0" applyNumberFormat="1" applyBorder="1" applyProtection="1">
      <protection locked="0"/>
    </xf>
    <xf numFmtId="0" fontId="0" fillId="0" borderId="514" xfId="0" applyBorder="1" applyProtection="1">
      <protection locked="0"/>
    </xf>
    <xf numFmtId="0" fontId="0" fillId="0" borderId="515" xfId="0" applyBorder="1" applyAlignment="1" applyProtection="1">
      <alignment wrapText="1"/>
      <protection locked="0"/>
    </xf>
    <xf numFmtId="0" fontId="0" fillId="0" borderId="515" xfId="0" applyBorder="1" applyAlignment="1">
      <alignment wrapText="1"/>
    </xf>
    <xf numFmtId="0" fontId="0" fillId="0" borderId="517" xfId="0" applyBorder="1" applyProtection="1">
      <protection locked="0"/>
    </xf>
    <xf numFmtId="164" fontId="0" fillId="0" borderId="507" xfId="1" applyNumberFormat="1" applyFont="1" applyBorder="1" applyAlignment="1" applyProtection="1">
      <alignment horizontal="center"/>
      <protection locked="0"/>
    </xf>
    <xf numFmtId="44" fontId="0" fillId="0" borderId="508" xfId="2" applyFont="1" applyBorder="1" applyProtection="1">
      <protection locked="0"/>
    </xf>
    <xf numFmtId="44" fontId="0" fillId="0" borderId="518" xfId="2" applyFont="1" applyBorder="1" applyProtection="1">
      <protection locked="0"/>
    </xf>
    <xf numFmtId="164" fontId="0" fillId="0" borderId="303" xfId="1" applyNumberFormat="1" applyFont="1" applyBorder="1" applyAlignment="1" applyProtection="1">
      <alignment horizontal="center"/>
      <protection locked="0"/>
    </xf>
    <xf numFmtId="0" fontId="0" fillId="0" borderId="311" xfId="0" applyBorder="1" applyAlignment="1" applyProtection="1">
      <alignment horizontal="left"/>
      <protection locked="0"/>
    </xf>
    <xf numFmtId="169" fontId="0" fillId="0" borderId="311" xfId="0" applyNumberFormat="1" applyBorder="1" applyAlignment="1" applyProtection="1">
      <alignment horizontal="left"/>
      <protection locked="0"/>
    </xf>
    <xf numFmtId="0" fontId="4" fillId="0" borderId="311" xfId="4" applyBorder="1" applyAlignment="1" applyProtection="1">
      <alignment horizontal="left" vertical="center"/>
      <protection locked="0"/>
    </xf>
    <xf numFmtId="0" fontId="6" fillId="0" borderId="508" xfId="0" applyFont="1" applyBorder="1" applyAlignment="1" applyProtection="1">
      <alignment horizontal="right"/>
      <protection locked="0"/>
    </xf>
    <xf numFmtId="0" fontId="0" fillId="0" borderId="519" xfId="0" applyBorder="1" applyAlignment="1">
      <alignment vertical="top"/>
    </xf>
    <xf numFmtId="3" fontId="0" fillId="0" borderId="520" xfId="0" applyNumberFormat="1" applyBorder="1" applyAlignment="1" applyProtection="1">
      <alignment horizontal="left"/>
      <protection locked="0"/>
    </xf>
    <xf numFmtId="0" fontId="0" fillId="0" borderId="520" xfId="0" applyBorder="1" applyProtection="1">
      <protection locked="0"/>
    </xf>
    <xf numFmtId="0" fontId="0" fillId="0" borderId="514" xfId="0" applyBorder="1" applyAlignment="1">
      <alignment vertical="top"/>
    </xf>
    <xf numFmtId="0" fontId="6" fillId="0" borderId="521" xfId="0" applyFont="1" applyBorder="1" applyAlignment="1">
      <alignment vertical="center"/>
    </xf>
    <xf numFmtId="44" fontId="0" fillId="0" borderId="520" xfId="2" applyFont="1" applyBorder="1" applyProtection="1">
      <protection locked="0"/>
    </xf>
    <xf numFmtId="0" fontId="6" fillId="0" borderId="521" xfId="0" quotePrefix="1" applyFont="1" applyBorder="1"/>
    <xf numFmtId="44" fontId="0" fillId="0" borderId="520" xfId="2" applyFont="1" applyBorder="1" applyAlignment="1" applyProtection="1">
      <alignment horizontal="left"/>
      <protection locked="0"/>
    </xf>
    <xf numFmtId="0" fontId="6" fillId="17" borderId="521" xfId="0" applyFont="1" applyFill="1" applyBorder="1" applyAlignment="1">
      <alignment horizontal="center"/>
    </xf>
    <xf numFmtId="0" fontId="6" fillId="19" borderId="521" xfId="0" applyFont="1" applyFill="1" applyBorder="1" applyAlignment="1">
      <alignment horizontal="left"/>
    </xf>
    <xf numFmtId="164" fontId="0" fillId="19" borderId="303" xfId="1" applyNumberFormat="1" applyFont="1" applyFill="1" applyBorder="1" applyAlignment="1" applyProtection="1">
      <alignment horizontal="center"/>
      <protection locked="0"/>
    </xf>
    <xf numFmtId="44" fontId="0" fillId="19" borderId="520" xfId="2" applyFont="1" applyFill="1" applyBorder="1" applyProtection="1">
      <protection locked="0"/>
    </xf>
    <xf numFmtId="44" fontId="0" fillId="19" borderId="520" xfId="2" applyFont="1" applyFill="1" applyBorder="1" applyAlignment="1" applyProtection="1">
      <alignment horizontal="left"/>
      <protection locked="0"/>
    </xf>
    <xf numFmtId="0" fontId="6" fillId="7" borderId="521" xfId="0" applyFont="1" applyFill="1" applyBorder="1" applyAlignment="1">
      <alignment horizontal="left"/>
    </xf>
    <xf numFmtId="44" fontId="0" fillId="21" borderId="520" xfId="2" applyFont="1" applyFill="1" applyBorder="1" applyAlignment="1" applyProtection="1">
      <alignment horizontal="left"/>
      <protection locked="0"/>
    </xf>
    <xf numFmtId="0" fontId="6" fillId="7" borderId="521" xfId="0" applyFont="1" applyFill="1" applyBorder="1" applyAlignment="1">
      <alignment horizontal="left" indent="2"/>
    </xf>
    <xf numFmtId="0" fontId="6" fillId="7" borderId="521" xfId="0" applyFont="1" applyFill="1" applyBorder="1"/>
    <xf numFmtId="0" fontId="6" fillId="7" borderId="522" xfId="0" applyFont="1" applyFill="1" applyBorder="1" applyAlignment="1">
      <alignment horizontal="left" indent="2"/>
    </xf>
    <xf numFmtId="0" fontId="6" fillId="7" borderId="523" xfId="0" applyFont="1" applyFill="1" applyBorder="1"/>
    <xf numFmtId="0" fontId="6" fillId="7" borderId="523" xfId="0" applyFont="1" applyFill="1" applyBorder="1" applyAlignment="1">
      <alignment horizontal="left" indent="2"/>
    </xf>
    <xf numFmtId="164" fontId="0" fillId="0" borderId="524" xfId="1" applyNumberFormat="1" applyFont="1" applyBorder="1" applyAlignment="1" applyProtection="1">
      <alignment horizontal="left" indent="2"/>
      <protection locked="0"/>
    </xf>
    <xf numFmtId="44" fontId="0" fillId="31" borderId="520" xfId="2" applyFont="1" applyFill="1" applyBorder="1" applyAlignment="1" applyProtection="1">
      <alignment horizontal="left"/>
      <protection locked="0"/>
    </xf>
    <xf numFmtId="0" fontId="6" fillId="7" borderId="522" xfId="0" applyFont="1" applyFill="1" applyBorder="1"/>
    <xf numFmtId="0" fontId="101" fillId="7" borderId="521" xfId="0" applyFont="1" applyFill="1" applyBorder="1" applyAlignment="1">
      <alignment horizontal="left" vertical="top" wrapText="1"/>
    </xf>
    <xf numFmtId="0" fontId="0" fillId="0" borderId="524" xfId="0" applyBorder="1" applyAlignment="1" applyProtection="1">
      <alignment vertical="top"/>
      <protection locked="0"/>
    </xf>
    <xf numFmtId="164" fontId="0" fillId="0" borderId="524" xfId="1" applyNumberFormat="1" applyFont="1" applyBorder="1" applyAlignment="1" applyProtection="1">
      <alignment vertical="top"/>
      <protection locked="0"/>
    </xf>
    <xf numFmtId="0" fontId="0" fillId="0" borderId="524" xfId="0" applyBorder="1" applyAlignment="1" applyProtection="1">
      <alignment horizontal="center" vertical="top"/>
      <protection locked="0"/>
    </xf>
    <xf numFmtId="165" fontId="0" fillId="0" borderId="524" xfId="0" applyNumberFormat="1" applyBorder="1" applyAlignment="1" applyProtection="1">
      <alignment vertical="top"/>
      <protection locked="0"/>
    </xf>
    <xf numFmtId="44" fontId="6" fillId="0" borderId="525" xfId="2" applyFont="1" applyBorder="1" applyAlignment="1">
      <alignment horizontal="center" vertical="top"/>
    </xf>
    <xf numFmtId="44" fontId="0" fillId="0" borderId="520" xfId="2" applyFont="1" applyBorder="1" applyAlignment="1" applyProtection="1">
      <alignment horizontal="left" vertical="top"/>
      <protection locked="0"/>
    </xf>
    <xf numFmtId="0" fontId="6" fillId="5" borderId="521" xfId="0" applyFont="1" applyFill="1" applyBorder="1" applyAlignment="1">
      <alignment horizontal="left"/>
    </xf>
    <xf numFmtId="44" fontId="0" fillId="5" borderId="520" xfId="2" applyFont="1" applyFill="1" applyBorder="1" applyAlignment="1" applyProtection="1">
      <alignment horizontal="left"/>
      <protection locked="0"/>
    </xf>
    <xf numFmtId="0" fontId="6" fillId="18" borderId="526" xfId="0" applyFont="1" applyFill="1" applyBorder="1" applyAlignment="1">
      <alignment vertical="center" wrapText="1"/>
    </xf>
    <xf numFmtId="0" fontId="6" fillId="0" borderId="524" xfId="0" applyFont="1" applyBorder="1" applyAlignment="1">
      <alignment horizontal="left" vertical="center" wrapText="1"/>
    </xf>
    <xf numFmtId="164" fontId="6" fillId="0" borderId="524" xfId="1" applyNumberFormat="1" applyFont="1" applyBorder="1" applyAlignment="1">
      <alignment horizontal="left" vertical="center" wrapText="1"/>
    </xf>
    <xf numFmtId="0" fontId="0" fillId="4" borderId="527" xfId="0" applyFill="1" applyBorder="1"/>
    <xf numFmtId="0" fontId="0" fillId="4" borderId="524" xfId="0" applyFill="1" applyBorder="1" applyAlignment="1">
      <alignment horizontal="right" wrapText="1"/>
    </xf>
    <xf numFmtId="0" fontId="0" fillId="4" borderId="524" xfId="0" applyFill="1" applyBorder="1" applyProtection="1">
      <protection locked="0"/>
    </xf>
    <xf numFmtId="164" fontId="0" fillId="4" borderId="524" xfId="1" applyNumberFormat="1" applyFont="1" applyFill="1" applyBorder="1" applyAlignment="1" applyProtection="1">
      <alignment horizontal="center"/>
      <protection locked="0"/>
    </xf>
    <xf numFmtId="0" fontId="0" fillId="4" borderId="524" xfId="0" applyFill="1" applyBorder="1" applyAlignment="1" applyProtection="1">
      <alignment horizontal="center" vertical="center"/>
      <protection locked="0"/>
    </xf>
    <xf numFmtId="0" fontId="0" fillId="4" borderId="524" xfId="0" applyFill="1" applyBorder="1" applyAlignment="1" applyProtection="1">
      <alignment horizontal="right" vertical="center"/>
      <protection locked="0"/>
    </xf>
    <xf numFmtId="9" fontId="0" fillId="4" borderId="525" xfId="3" applyFont="1" applyFill="1" applyBorder="1" applyProtection="1">
      <protection locked="0"/>
    </xf>
    <xf numFmtId="44" fontId="0" fillId="4" borderId="525" xfId="2" applyFont="1" applyFill="1" applyBorder="1" applyProtection="1">
      <protection locked="0"/>
    </xf>
    <xf numFmtId="44" fontId="0" fillId="4" borderId="525" xfId="2" applyFont="1" applyFill="1" applyBorder="1" applyAlignment="1" applyProtection="1">
      <alignment horizontal="left"/>
      <protection locked="0"/>
    </xf>
    <xf numFmtId="44" fontId="0" fillId="4" borderId="525" xfId="0" applyNumberFormat="1" applyFill="1" applyBorder="1" applyProtection="1">
      <protection locked="0"/>
    </xf>
    <xf numFmtId="0" fontId="8" fillId="4" borderId="524" xfId="0" applyFont="1" applyFill="1" applyBorder="1" applyAlignment="1" applyProtection="1">
      <alignment horizontal="right" vertical="center"/>
      <protection locked="0"/>
    </xf>
    <xf numFmtId="165" fontId="9" fillId="4" borderId="525" xfId="0" applyNumberFormat="1" applyFont="1" applyFill="1" applyBorder="1" applyAlignment="1" applyProtection="1">
      <alignment horizontal="center"/>
      <protection locked="0"/>
    </xf>
    <xf numFmtId="44" fontId="9" fillId="4" borderId="525" xfId="2" applyFont="1" applyFill="1" applyBorder="1" applyAlignment="1" applyProtection="1">
      <alignment horizontal="left"/>
      <protection locked="0"/>
    </xf>
    <xf numFmtId="165" fontId="9" fillId="4" borderId="525" xfId="0" applyNumberFormat="1" applyFont="1" applyFill="1" applyBorder="1" applyAlignment="1" applyProtection="1">
      <alignment horizontal="left"/>
      <protection locked="0"/>
    </xf>
    <xf numFmtId="0" fontId="0" fillId="4" borderId="524" xfId="0" applyFill="1" applyBorder="1" applyAlignment="1">
      <alignment wrapText="1"/>
    </xf>
    <xf numFmtId="0" fontId="0" fillId="4" borderId="525" xfId="0" applyFill="1" applyBorder="1" applyAlignment="1" applyProtection="1">
      <alignment horizontal="center"/>
      <protection locked="0"/>
    </xf>
    <xf numFmtId="44" fontId="0" fillId="4" borderId="525" xfId="2" applyFont="1" applyFill="1" applyBorder="1" applyAlignment="1" applyProtection="1">
      <alignment horizontal="center"/>
      <protection locked="0"/>
    </xf>
    <xf numFmtId="0" fontId="0" fillId="0" borderId="516" xfId="0" applyBorder="1" applyProtection="1">
      <protection locked="0"/>
    </xf>
    <xf numFmtId="44" fontId="0" fillId="0" borderId="517" xfId="2" applyFont="1" applyBorder="1" applyProtection="1">
      <protection locked="0"/>
    </xf>
    <xf numFmtId="182" fontId="0" fillId="0" borderId="517" xfId="3" applyNumberFormat="1" applyFont="1" applyBorder="1" applyProtection="1">
      <protection locked="0"/>
    </xf>
    <xf numFmtId="10" fontId="0" fillId="0" borderId="517" xfId="3" applyNumberFormat="1" applyFont="1" applyBorder="1" applyProtection="1">
      <protection locked="0"/>
    </xf>
    <xf numFmtId="0" fontId="0" fillId="0" borderId="527" xfId="0" applyBorder="1"/>
    <xf numFmtId="0" fontId="0" fillId="0" borderId="528" xfId="0" applyBorder="1" applyProtection="1">
      <protection locked="0"/>
    </xf>
    <xf numFmtId="165" fontId="0" fillId="0" borderId="525" xfId="0" applyNumberFormat="1" applyBorder="1" applyAlignment="1" applyProtection="1">
      <alignment horizontal="right"/>
      <protection locked="0"/>
    </xf>
    <xf numFmtId="0" fontId="0" fillId="0" borderId="527" xfId="0" applyBorder="1" applyProtection="1">
      <protection locked="0"/>
    </xf>
    <xf numFmtId="0" fontId="0" fillId="0" borderId="524" xfId="0" applyBorder="1" applyAlignment="1" applyProtection="1">
      <alignment wrapText="1"/>
      <protection locked="0"/>
    </xf>
    <xf numFmtId="44" fontId="0" fillId="0" borderId="525" xfId="0" applyNumberFormat="1" applyBorder="1" applyProtection="1">
      <protection locked="0"/>
    </xf>
    <xf numFmtId="165" fontId="0" fillId="0" borderId="525" xfId="0" applyNumberFormat="1" applyBorder="1" applyProtection="1">
      <protection locked="0"/>
    </xf>
    <xf numFmtId="0" fontId="0" fillId="0" borderId="525" xfId="0" applyBorder="1" applyProtection="1">
      <protection locked="0"/>
    </xf>
    <xf numFmtId="164" fontId="0" fillId="0" borderId="296" xfId="1" applyNumberFormat="1" applyFont="1" applyBorder="1" applyAlignment="1" applyProtection="1">
      <alignment horizontal="center"/>
      <protection locked="0"/>
    </xf>
    <xf numFmtId="0" fontId="0" fillId="0" borderId="525" xfId="0" applyBorder="1" applyAlignment="1" applyProtection="1">
      <alignment horizontal="center"/>
      <protection locked="0"/>
    </xf>
    <xf numFmtId="0" fontId="3" fillId="0" borderId="529" xfId="0" applyFont="1" applyBorder="1" applyAlignment="1" applyProtection="1">
      <alignment horizontal="right"/>
      <protection locked="0"/>
    </xf>
    <xf numFmtId="0" fontId="3" fillId="0" borderId="525" xfId="0" applyFont="1" applyBorder="1" applyAlignment="1" applyProtection="1">
      <alignment horizontal="right"/>
      <protection locked="0"/>
    </xf>
    <xf numFmtId="169" fontId="0" fillId="0" borderId="525" xfId="0" applyNumberFormat="1" applyBorder="1" applyAlignment="1" applyProtection="1">
      <alignment horizontal="center"/>
      <protection locked="0"/>
    </xf>
    <xf numFmtId="0" fontId="4" fillId="0" borderId="525" xfId="4" applyBorder="1" applyAlignment="1" applyProtection="1">
      <alignment horizontal="center" vertical="center"/>
      <protection locked="0"/>
    </xf>
    <xf numFmtId="0" fontId="0" fillId="0" borderId="527" xfId="0" applyBorder="1" applyAlignment="1">
      <alignment horizontal="right"/>
    </xf>
    <xf numFmtId="0" fontId="0" fillId="0" borderId="524" xfId="0" applyBorder="1" applyAlignment="1">
      <alignment wrapText="1"/>
    </xf>
    <xf numFmtId="0" fontId="0" fillId="0" borderId="524" xfId="0" applyBorder="1" applyProtection="1">
      <protection locked="0"/>
    </xf>
    <xf numFmtId="43" fontId="0" fillId="0" borderId="524" xfId="1" applyFont="1" applyBorder="1" applyAlignment="1" applyProtection="1">
      <alignment horizontal="center"/>
      <protection locked="0"/>
    </xf>
    <xf numFmtId="0" fontId="0" fillId="0" borderId="524" xfId="0" applyBorder="1" applyAlignment="1" applyProtection="1">
      <alignment horizontal="center"/>
      <protection locked="0"/>
    </xf>
    <xf numFmtId="0" fontId="0" fillId="0" borderId="529" xfId="0" applyBorder="1" applyAlignment="1" applyProtection="1">
      <alignment horizontal="left"/>
      <protection locked="0"/>
    </xf>
    <xf numFmtId="0" fontId="0" fillId="0" borderId="529" xfId="0" applyBorder="1" applyAlignment="1" applyProtection="1">
      <alignment horizontal="center"/>
      <protection locked="0"/>
    </xf>
    <xf numFmtId="0" fontId="0" fillId="0" borderId="524" xfId="0" applyBorder="1" applyAlignment="1">
      <alignment horizontal="left" wrapText="1"/>
    </xf>
    <xf numFmtId="0" fontId="0" fillId="0" borderId="528" xfId="0" applyBorder="1" applyAlignment="1" applyProtection="1">
      <alignment horizontal="right"/>
      <protection locked="0"/>
    </xf>
    <xf numFmtId="169" fontId="0" fillId="0" borderId="529" xfId="0" applyNumberFormat="1" applyBorder="1" applyAlignment="1" applyProtection="1">
      <alignment horizontal="left"/>
      <protection locked="0"/>
    </xf>
    <xf numFmtId="169" fontId="0" fillId="0" borderId="529" xfId="0" applyNumberFormat="1" applyBorder="1" applyAlignment="1" applyProtection="1">
      <alignment horizontal="center"/>
      <protection locked="0"/>
    </xf>
    <xf numFmtId="14" fontId="0" fillId="0" borderId="524" xfId="0" applyNumberFormat="1" applyBorder="1" applyAlignment="1">
      <alignment horizontal="left" wrapText="1"/>
    </xf>
    <xf numFmtId="0" fontId="4" fillId="0" borderId="529" xfId="4" applyBorder="1" applyAlignment="1" applyProtection="1">
      <alignment horizontal="left" vertical="center"/>
      <protection locked="0"/>
    </xf>
    <xf numFmtId="0" fontId="4" fillId="0" borderId="529" xfId="4" applyBorder="1" applyAlignment="1" applyProtection="1">
      <alignment horizontal="center" vertical="center"/>
      <protection locked="0"/>
    </xf>
    <xf numFmtId="44" fontId="6" fillId="0" borderId="525" xfId="2" applyFont="1" applyBorder="1" applyAlignment="1">
      <alignment horizontal="center" vertical="center"/>
    </xf>
    <xf numFmtId="0" fontId="0" fillId="0" borderId="527" xfId="0" applyBorder="1" applyAlignment="1">
      <alignment vertical="top"/>
    </xf>
    <xf numFmtId="0" fontId="0" fillId="19" borderId="524" xfId="0" applyFill="1" applyBorder="1" applyProtection="1">
      <protection locked="0"/>
    </xf>
    <xf numFmtId="43" fontId="0" fillId="19" borderId="524" xfId="1" applyFont="1" applyFill="1" applyBorder="1" applyAlignment="1" applyProtection="1">
      <alignment horizontal="center"/>
      <protection locked="0"/>
    </xf>
    <xf numFmtId="0" fontId="0" fillId="19" borderId="524" xfId="0" applyFill="1" applyBorder="1" applyAlignment="1" applyProtection="1">
      <alignment horizontal="center"/>
      <protection locked="0"/>
    </xf>
    <xf numFmtId="165" fontId="0" fillId="19" borderId="524" xfId="0" applyNumberFormat="1" applyFill="1" applyBorder="1" applyProtection="1">
      <protection locked="0"/>
    </xf>
    <xf numFmtId="0" fontId="0" fillId="19" borderId="525" xfId="0" applyFill="1" applyBorder="1" applyProtection="1">
      <protection locked="0"/>
    </xf>
    <xf numFmtId="43" fontId="0" fillId="0" borderId="524" xfId="1" applyFont="1" applyBorder="1" applyProtection="1">
      <protection locked="0"/>
    </xf>
    <xf numFmtId="165" fontId="0" fillId="0" borderId="524" xfId="0" applyNumberFormat="1" applyBorder="1" applyProtection="1">
      <protection locked="0"/>
    </xf>
    <xf numFmtId="0" fontId="6" fillId="7" borderId="521" xfId="0" applyFont="1" applyFill="1" applyBorder="1" applyAlignment="1">
      <alignment horizontal="left" vertical="top" wrapText="1"/>
    </xf>
    <xf numFmtId="43" fontId="0" fillId="0" borderId="524" xfId="1" applyFont="1" applyBorder="1" applyAlignment="1" applyProtection="1">
      <alignment vertical="top"/>
      <protection locked="0"/>
    </xf>
    <xf numFmtId="44" fontId="0" fillId="0" borderId="520" xfId="2" applyFont="1" applyBorder="1" applyAlignment="1" applyProtection="1">
      <alignment vertical="top"/>
      <protection locked="0"/>
    </xf>
    <xf numFmtId="43" fontId="6" fillId="0" borderId="524" xfId="1" applyFont="1" applyBorder="1" applyAlignment="1">
      <alignment horizontal="left" vertical="center" wrapText="1"/>
    </xf>
    <xf numFmtId="44" fontId="0" fillId="0" borderId="524" xfId="2" applyFont="1" applyBorder="1" applyProtection="1">
      <protection locked="0"/>
    </xf>
    <xf numFmtId="43" fontId="0" fillId="4" borderId="524" xfId="1" applyFont="1" applyFill="1" applyBorder="1" applyAlignment="1" applyProtection="1">
      <alignment horizontal="center"/>
      <protection locked="0"/>
    </xf>
    <xf numFmtId="43" fontId="0" fillId="0" borderId="515" xfId="1" applyFont="1" applyBorder="1" applyAlignment="1" applyProtection="1">
      <alignment horizontal="center"/>
      <protection locked="0"/>
    </xf>
    <xf numFmtId="43" fontId="0" fillId="0" borderId="296" xfId="1" applyFont="1" applyBorder="1" applyAlignment="1" applyProtection="1">
      <alignment horizontal="center"/>
      <protection locked="0"/>
    </xf>
    <xf numFmtId="0" fontId="86" fillId="0" borderId="530" xfId="0" applyFont="1" applyBorder="1" applyAlignment="1">
      <alignment vertical="center" wrapText="1"/>
    </xf>
    <xf numFmtId="0" fontId="6" fillId="7" borderId="521" xfId="0" applyFont="1" applyFill="1" applyBorder="1" applyAlignment="1">
      <alignment horizontal="left" indent="4"/>
    </xf>
    <xf numFmtId="0" fontId="6" fillId="7" borderId="521" xfId="0" applyFont="1" applyFill="1" applyBorder="1" applyAlignment="1">
      <alignment horizontal="left" indent="6"/>
    </xf>
    <xf numFmtId="0" fontId="6" fillId="7" borderId="521" xfId="0" applyFont="1" applyFill="1" applyBorder="1" applyAlignment="1">
      <alignment horizontal="left" vertical="top" wrapText="1" indent="2"/>
    </xf>
    <xf numFmtId="164" fontId="0" fillId="0" borderId="524" xfId="1" applyNumberFormat="1" applyFont="1" applyBorder="1" applyProtection="1">
      <protection locked="0"/>
    </xf>
    <xf numFmtId="0" fontId="0" fillId="0" borderId="492" xfId="0" applyBorder="1" applyAlignment="1">
      <alignment vertical="top"/>
    </xf>
    <xf numFmtId="0" fontId="6" fillId="7" borderId="531" xfId="0" applyFont="1" applyFill="1" applyBorder="1" applyAlignment="1">
      <alignment horizontal="left"/>
    </xf>
    <xf numFmtId="0" fontId="6" fillId="0" borderId="493" xfId="0" applyFont="1" applyBorder="1" applyAlignment="1">
      <alignment horizontal="left" vertical="center" wrapText="1"/>
    </xf>
    <xf numFmtId="43" fontId="6" fillId="0" borderId="493" xfId="1" applyFont="1" applyBorder="1" applyAlignment="1">
      <alignment horizontal="left" vertical="center" wrapText="1"/>
    </xf>
    <xf numFmtId="9" fontId="0" fillId="4" borderId="496" xfId="3" applyFont="1" applyFill="1" applyBorder="1" applyProtection="1">
      <protection locked="0"/>
    </xf>
    <xf numFmtId="44" fontId="0" fillId="4" borderId="496" xfId="2" applyFont="1" applyFill="1" applyBorder="1" applyProtection="1">
      <protection locked="0"/>
    </xf>
    <xf numFmtId="44" fontId="0" fillId="4" borderId="496" xfId="2" applyFont="1" applyFill="1" applyBorder="1" applyAlignment="1" applyProtection="1">
      <alignment horizontal="left"/>
      <protection locked="0"/>
    </xf>
    <xf numFmtId="44" fontId="0" fillId="4" borderId="496" xfId="0" applyNumberFormat="1" applyFill="1" applyBorder="1" applyProtection="1">
      <protection locked="0"/>
    </xf>
    <xf numFmtId="165" fontId="9" fillId="4" borderId="496" xfId="0" applyNumberFormat="1" applyFont="1" applyFill="1" applyBorder="1" applyAlignment="1" applyProtection="1">
      <alignment horizontal="center"/>
      <protection locked="0"/>
    </xf>
    <xf numFmtId="44" fontId="9" fillId="4" borderId="496" xfId="2" applyFont="1" applyFill="1" applyBorder="1" applyAlignment="1" applyProtection="1">
      <alignment horizontal="left"/>
      <protection locked="0"/>
    </xf>
    <xf numFmtId="165" fontId="9" fillId="4" borderId="496" xfId="0" applyNumberFormat="1" applyFont="1" applyFill="1" applyBorder="1" applyAlignment="1" applyProtection="1">
      <alignment horizontal="left"/>
      <protection locked="0"/>
    </xf>
    <xf numFmtId="0" fontId="0" fillId="4" borderId="496" xfId="0" applyFill="1" applyBorder="1" applyAlignment="1" applyProtection="1">
      <alignment horizontal="center"/>
      <protection locked="0"/>
    </xf>
    <xf numFmtId="44" fontId="0" fillId="4" borderId="496" xfId="2" applyFont="1" applyFill="1" applyBorder="1" applyAlignment="1" applyProtection="1">
      <alignment horizontal="center"/>
      <protection locked="0"/>
    </xf>
    <xf numFmtId="165" fontId="0" fillId="0" borderId="496" xfId="0" applyNumberFormat="1" applyBorder="1" applyAlignment="1" applyProtection="1">
      <alignment horizontal="right"/>
      <protection locked="0"/>
    </xf>
    <xf numFmtId="44" fontId="0" fillId="0" borderId="496" xfId="0" applyNumberFormat="1" applyBorder="1" applyProtection="1">
      <protection locked="0"/>
    </xf>
    <xf numFmtId="165" fontId="0" fillId="0" borderId="496" xfId="0" applyNumberFormat="1" applyBorder="1" applyProtection="1">
      <protection locked="0"/>
    </xf>
    <xf numFmtId="0" fontId="0" fillId="0" borderId="496" xfId="0" applyBorder="1" applyProtection="1">
      <protection locked="0"/>
    </xf>
    <xf numFmtId="43" fontId="0" fillId="0" borderId="493" xfId="1" applyFont="1" applyBorder="1" applyAlignment="1" applyProtection="1">
      <alignment horizontal="center"/>
      <protection locked="0"/>
    </xf>
    <xf numFmtId="44" fontId="0" fillId="11" borderId="518" xfId="2" applyFont="1" applyFill="1" applyBorder="1" applyProtection="1">
      <protection locked="0"/>
    </xf>
    <xf numFmtId="0" fontId="6" fillId="0" borderId="532" xfId="0" applyFont="1" applyBorder="1" applyAlignment="1">
      <alignment vertical="center"/>
    </xf>
    <xf numFmtId="0" fontId="6" fillId="0" borderId="533" xfId="0" applyFont="1" applyBorder="1" applyAlignment="1">
      <alignment vertical="center"/>
    </xf>
    <xf numFmtId="0" fontId="6" fillId="0" borderId="533" xfId="0" quotePrefix="1" applyFont="1" applyBorder="1"/>
    <xf numFmtId="0" fontId="6" fillId="17" borderId="533" xfId="0" applyFont="1" applyFill="1" applyBorder="1" applyAlignment="1">
      <alignment horizontal="center"/>
    </xf>
    <xf numFmtId="0" fontId="6" fillId="19" borderId="533" xfId="0" applyFont="1" applyFill="1" applyBorder="1" applyAlignment="1">
      <alignment horizontal="left"/>
    </xf>
    <xf numFmtId="43" fontId="0" fillId="19" borderId="524" xfId="1" applyFont="1" applyFill="1" applyBorder="1" applyProtection="1">
      <protection locked="0"/>
    </xf>
    <xf numFmtId="0" fontId="86" fillId="7" borderId="521" xfId="0" applyFont="1" applyFill="1" applyBorder="1" applyAlignment="1">
      <alignment horizontal="left"/>
    </xf>
    <xf numFmtId="0" fontId="6" fillId="7" borderId="521" xfId="0" applyFont="1" applyFill="1" applyBorder="1" applyAlignment="1">
      <alignment horizontal="left" indent="1"/>
    </xf>
    <xf numFmtId="0" fontId="6" fillId="7" borderId="521" xfId="0" applyFont="1" applyFill="1" applyBorder="1" applyAlignment="1">
      <alignment horizontal="left" indent="3"/>
    </xf>
    <xf numFmtId="0" fontId="0" fillId="0" borderId="526" xfId="0" applyBorder="1" applyAlignment="1">
      <alignment horizontal="left" vertical="center" wrapText="1" indent="1"/>
    </xf>
    <xf numFmtId="0" fontId="0" fillId="0" borderId="526" xfId="0" applyBorder="1" applyAlignment="1">
      <alignment horizontal="left" vertical="center" wrapText="1" indent="3"/>
    </xf>
    <xf numFmtId="0" fontId="6" fillId="0" borderId="526" xfId="0" applyFont="1" applyBorder="1" applyAlignment="1">
      <alignment horizontal="left" vertical="center" wrapText="1" indent="3"/>
    </xf>
    <xf numFmtId="0" fontId="6" fillId="0" borderId="526" xfId="0" applyFont="1" applyBorder="1" applyAlignment="1">
      <alignment horizontal="left" vertical="center" wrapText="1" indent="1"/>
    </xf>
    <xf numFmtId="43" fontId="0" fillId="0" borderId="529" xfId="1" applyFont="1" applyBorder="1" applyAlignment="1">
      <alignment vertical="top"/>
    </xf>
    <xf numFmtId="0" fontId="6" fillId="0" borderId="530" xfId="0" applyFont="1" applyBorder="1" applyAlignment="1">
      <alignment horizontal="left" vertical="center" wrapText="1" indent="3"/>
    </xf>
    <xf numFmtId="43" fontId="6" fillId="0" borderId="534" xfId="1" applyFont="1" applyBorder="1" applyAlignment="1">
      <alignment horizontal="left" vertical="center" wrapText="1"/>
    </xf>
    <xf numFmtId="44" fontId="0" fillId="0" borderId="534" xfId="2" applyFont="1" applyBorder="1" applyProtection="1">
      <protection locked="0"/>
    </xf>
    <xf numFmtId="43" fontId="0" fillId="0" borderId="535" xfId="1" applyFont="1" applyBorder="1" applyAlignment="1">
      <alignment vertical="top"/>
    </xf>
    <xf numFmtId="0" fontId="6" fillId="0" borderId="534" xfId="0" applyFont="1" applyBorder="1" applyAlignment="1">
      <alignment horizontal="left" vertical="center" wrapText="1"/>
    </xf>
    <xf numFmtId="44" fontId="0" fillId="0" borderId="534" xfId="2" applyFont="1" applyFill="1" applyBorder="1" applyProtection="1">
      <protection locked="0"/>
    </xf>
    <xf numFmtId="0" fontId="6" fillId="0" borderId="536" xfId="0" applyFont="1" applyBorder="1" applyAlignment="1">
      <alignment vertical="top" wrapText="1"/>
    </xf>
    <xf numFmtId="0" fontId="6" fillId="0" borderId="534" xfId="0" applyFont="1" applyBorder="1" applyAlignment="1">
      <alignment horizontal="left" vertical="top" wrapText="1"/>
    </xf>
    <xf numFmtId="43" fontId="6" fillId="0" borderId="534" xfId="1" applyFont="1" applyBorder="1" applyAlignment="1">
      <alignment horizontal="left" vertical="top" wrapText="1"/>
    </xf>
    <xf numFmtId="0" fontId="0" fillId="0" borderId="534" xfId="0" applyBorder="1" applyAlignment="1" applyProtection="1">
      <alignment horizontal="center" vertical="top"/>
      <protection locked="0"/>
    </xf>
    <xf numFmtId="44" fontId="0" fillId="0" borderId="534" xfId="2" applyFont="1" applyBorder="1" applyAlignment="1" applyProtection="1">
      <alignment vertical="top"/>
      <protection locked="0"/>
    </xf>
    <xf numFmtId="44" fontId="6" fillId="0" borderId="537" xfId="2" applyFont="1" applyBorder="1" applyAlignment="1">
      <alignment horizontal="center" vertical="top"/>
    </xf>
    <xf numFmtId="0" fontId="0" fillId="27" borderId="535" xfId="0" applyFill="1" applyBorder="1" applyAlignment="1">
      <alignment vertical="top"/>
    </xf>
    <xf numFmtId="44" fontId="0" fillId="27" borderId="520" xfId="2" applyFont="1" applyFill="1" applyBorder="1" applyAlignment="1" applyProtection="1">
      <alignment horizontal="left"/>
      <protection locked="0"/>
    </xf>
    <xf numFmtId="0" fontId="6" fillId="18" borderId="536" xfId="0" applyFont="1" applyFill="1" applyBorder="1" applyAlignment="1">
      <alignment vertical="center" wrapText="1"/>
    </xf>
    <xf numFmtId="0" fontId="0" fillId="0" borderId="538" xfId="0" applyBorder="1" applyAlignment="1">
      <alignment vertical="top"/>
    </xf>
    <xf numFmtId="0" fontId="6" fillId="18" borderId="539" xfId="0" applyFont="1" applyFill="1" applyBorder="1" applyAlignment="1">
      <alignment vertical="center" wrapText="1"/>
    </xf>
    <xf numFmtId="0" fontId="6" fillId="0" borderId="540" xfId="0" applyFont="1" applyBorder="1" applyAlignment="1">
      <alignment horizontal="left" vertical="center" wrapText="1"/>
    </xf>
    <xf numFmtId="43" fontId="6" fillId="0" borderId="540" xfId="1" applyFont="1" applyBorder="1" applyAlignment="1">
      <alignment horizontal="left" vertical="center" wrapText="1"/>
    </xf>
    <xf numFmtId="0" fontId="0" fillId="0" borderId="540" xfId="0" applyBorder="1" applyAlignment="1" applyProtection="1">
      <alignment horizontal="center"/>
      <protection locked="0"/>
    </xf>
    <xf numFmtId="44" fontId="0" fillId="0" borderId="540" xfId="2" applyFont="1" applyBorder="1" applyProtection="1">
      <protection locked="0"/>
    </xf>
    <xf numFmtId="44" fontId="0" fillId="0" borderId="541" xfId="2" applyFont="1" applyBorder="1" applyProtection="1">
      <protection locked="0"/>
    </xf>
    <xf numFmtId="44" fontId="6" fillId="0" borderId="542" xfId="2" applyFont="1" applyBorder="1" applyAlignment="1">
      <alignment horizontal="center" vertical="center"/>
    </xf>
    <xf numFmtId="44" fontId="0" fillId="0" borderId="543" xfId="2" applyFont="1" applyBorder="1" applyAlignment="1" applyProtection="1">
      <alignment horizontal="left"/>
      <protection locked="0"/>
    </xf>
    <xf numFmtId="44" fontId="0" fillId="0" borderId="543" xfId="2" applyFont="1" applyBorder="1" applyProtection="1">
      <protection locked="0"/>
    </xf>
    <xf numFmtId="0" fontId="0" fillId="4" borderId="535" xfId="0" applyFill="1" applyBorder="1"/>
    <xf numFmtId="0" fontId="0" fillId="4" borderId="534" xfId="0" applyFill="1" applyBorder="1" applyAlignment="1">
      <alignment horizontal="right" wrapText="1"/>
    </xf>
    <xf numFmtId="0" fontId="0" fillId="4" borderId="534" xfId="0" applyFill="1" applyBorder="1" applyProtection="1">
      <protection locked="0"/>
    </xf>
    <xf numFmtId="43" fontId="0" fillId="4" borderId="534" xfId="1" applyFont="1" applyFill="1" applyBorder="1" applyProtection="1">
      <protection locked="0"/>
    </xf>
    <xf numFmtId="0" fontId="0" fillId="4" borderId="534" xfId="0" applyFill="1" applyBorder="1" applyAlignment="1" applyProtection="1">
      <alignment horizontal="center" vertical="center"/>
      <protection locked="0"/>
    </xf>
    <xf numFmtId="0" fontId="0" fillId="4" borderId="534" xfId="0" applyFill="1" applyBorder="1" applyAlignment="1" applyProtection="1">
      <alignment horizontal="right" vertical="center"/>
      <protection locked="0"/>
    </xf>
    <xf numFmtId="9" fontId="0" fillId="4" borderId="537" xfId="3" applyFont="1" applyFill="1" applyBorder="1" applyProtection="1">
      <protection locked="0"/>
    </xf>
    <xf numFmtId="44" fontId="0" fillId="4" borderId="537" xfId="2" applyFont="1" applyFill="1" applyBorder="1" applyProtection="1">
      <protection locked="0"/>
    </xf>
    <xf numFmtId="44" fontId="0" fillId="4" borderId="537" xfId="2" applyFont="1" applyFill="1" applyBorder="1" applyAlignment="1" applyProtection="1">
      <alignment horizontal="left"/>
      <protection locked="0"/>
    </xf>
    <xf numFmtId="44" fontId="0" fillId="4" borderId="537" xfId="0" applyNumberFormat="1" applyFill="1" applyBorder="1" applyProtection="1">
      <protection locked="0"/>
    </xf>
    <xf numFmtId="0" fontId="8" fillId="4" borderId="534" xfId="0" applyFont="1" applyFill="1" applyBorder="1" applyAlignment="1" applyProtection="1">
      <alignment horizontal="right" vertical="center"/>
      <protection locked="0"/>
    </xf>
    <xf numFmtId="165" fontId="9" fillId="4" borderId="537" xfId="0" applyNumberFormat="1" applyFont="1" applyFill="1" applyBorder="1" applyAlignment="1" applyProtection="1">
      <alignment horizontal="center"/>
      <protection locked="0"/>
    </xf>
    <xf numFmtId="44" fontId="9" fillId="4" borderId="537" xfId="2" applyFont="1" applyFill="1" applyBorder="1" applyAlignment="1" applyProtection="1">
      <alignment horizontal="left"/>
      <protection locked="0"/>
    </xf>
    <xf numFmtId="165" fontId="9" fillId="4" borderId="537" xfId="0" applyNumberFormat="1" applyFont="1" applyFill="1" applyBorder="1" applyAlignment="1" applyProtection="1">
      <alignment horizontal="left"/>
      <protection locked="0"/>
    </xf>
    <xf numFmtId="0" fontId="0" fillId="4" borderId="534" xfId="0" applyFill="1" applyBorder="1" applyAlignment="1">
      <alignment wrapText="1"/>
    </xf>
    <xf numFmtId="0" fontId="0" fillId="4" borderId="537" xfId="0" applyFill="1" applyBorder="1" applyAlignment="1" applyProtection="1">
      <alignment horizontal="center"/>
      <protection locked="0"/>
    </xf>
    <xf numFmtId="44" fontId="0" fillId="4" borderId="537" xfId="2" applyFont="1" applyFill="1" applyBorder="1" applyAlignment="1" applyProtection="1">
      <alignment horizontal="center"/>
      <protection locked="0"/>
    </xf>
    <xf numFmtId="43" fontId="0" fillId="0" borderId="515" xfId="1" applyFont="1" applyBorder="1" applyProtection="1">
      <protection locked="0"/>
    </xf>
    <xf numFmtId="0" fontId="0" fillId="0" borderId="535" xfId="0" applyBorder="1"/>
    <xf numFmtId="0" fontId="0" fillId="0" borderId="544" xfId="0" applyBorder="1" applyProtection="1">
      <protection locked="0"/>
    </xf>
    <xf numFmtId="165" fontId="0" fillId="0" borderId="537" xfId="0" applyNumberFormat="1" applyBorder="1" applyAlignment="1" applyProtection="1">
      <alignment horizontal="right"/>
      <protection locked="0"/>
    </xf>
    <xf numFmtId="0" fontId="0" fillId="0" borderId="535" xfId="0" applyBorder="1" applyProtection="1">
      <protection locked="0"/>
    </xf>
    <xf numFmtId="0" fontId="0" fillId="0" borderId="534" xfId="0" applyBorder="1" applyAlignment="1" applyProtection="1">
      <alignment wrapText="1"/>
      <protection locked="0"/>
    </xf>
    <xf numFmtId="44" fontId="0" fillId="0" borderId="537" xfId="0" applyNumberFormat="1" applyBorder="1" applyProtection="1">
      <protection locked="0"/>
    </xf>
    <xf numFmtId="165" fontId="0" fillId="0" borderId="537" xfId="0" applyNumberFormat="1" applyBorder="1" applyProtection="1">
      <protection locked="0"/>
    </xf>
    <xf numFmtId="0" fontId="0" fillId="0" borderId="537" xfId="0" applyBorder="1" applyProtection="1">
      <protection locked="0"/>
    </xf>
    <xf numFmtId="0" fontId="0" fillId="0" borderId="538" xfId="0" applyBorder="1"/>
    <xf numFmtId="43" fontId="0" fillId="0" borderId="540" xfId="1" applyFont="1" applyBorder="1" applyProtection="1">
      <protection locked="0"/>
    </xf>
    <xf numFmtId="0" fontId="0" fillId="0" borderId="545" xfId="0" applyBorder="1" applyProtection="1">
      <protection locked="0"/>
    </xf>
    <xf numFmtId="0" fontId="0" fillId="0" borderId="542" xfId="0" applyBorder="1" applyProtection="1">
      <protection locked="0"/>
    </xf>
    <xf numFmtId="0" fontId="0" fillId="0" borderId="537" xfId="0" applyBorder="1" applyAlignment="1" applyProtection="1">
      <alignment horizontal="center"/>
      <protection locked="0"/>
    </xf>
    <xf numFmtId="0" fontId="3" fillId="0" borderId="546" xfId="0" applyFont="1" applyBorder="1" applyAlignment="1" applyProtection="1">
      <alignment horizontal="right"/>
      <protection locked="0"/>
    </xf>
    <xf numFmtId="0" fontId="0" fillId="0" borderId="518" xfId="0" applyBorder="1" applyProtection="1">
      <protection locked="0"/>
    </xf>
    <xf numFmtId="0" fontId="3" fillId="0" borderId="537" xfId="0" applyFont="1" applyBorder="1" applyAlignment="1" applyProtection="1">
      <alignment horizontal="right"/>
      <protection locked="0"/>
    </xf>
    <xf numFmtId="169" fontId="0" fillId="0" borderId="537" xfId="0" applyNumberFormat="1" applyBorder="1" applyAlignment="1" applyProtection="1">
      <alignment horizontal="center"/>
      <protection locked="0"/>
    </xf>
    <xf numFmtId="0" fontId="4" fillId="0" borderId="537" xfId="4" applyBorder="1" applyAlignment="1" applyProtection="1">
      <alignment horizontal="center" vertical="center"/>
      <protection locked="0"/>
    </xf>
    <xf numFmtId="44" fontId="0" fillId="0" borderId="518" xfId="0" applyNumberFormat="1" applyBorder="1" applyProtection="1">
      <protection locked="0"/>
    </xf>
    <xf numFmtId="0" fontId="3" fillId="0" borderId="538" xfId="0" applyFont="1" applyBorder="1" applyAlignment="1" applyProtection="1">
      <alignment horizontal="right"/>
      <protection locked="0"/>
    </xf>
    <xf numFmtId="44" fontId="0" fillId="0" borderId="542" xfId="2" applyFont="1" applyBorder="1" applyAlignment="1" applyProtection="1">
      <alignment horizontal="center"/>
      <protection locked="0"/>
    </xf>
    <xf numFmtId="0" fontId="0" fillId="0" borderId="535" xfId="0" applyBorder="1" applyAlignment="1">
      <alignment horizontal="right"/>
    </xf>
    <xf numFmtId="0" fontId="0" fillId="0" borderId="534" xfId="0" applyBorder="1" applyAlignment="1">
      <alignment wrapText="1"/>
    </xf>
    <xf numFmtId="0" fontId="0" fillId="0" borderId="534" xfId="0" applyBorder="1" applyProtection="1">
      <protection locked="0"/>
    </xf>
    <xf numFmtId="43" fontId="0" fillId="0" borderId="534" xfId="1" applyFont="1" applyBorder="1" applyProtection="1">
      <protection locked="0"/>
    </xf>
    <xf numFmtId="0" fontId="0" fillId="0" borderId="534" xfId="0" applyBorder="1" applyAlignment="1" applyProtection="1">
      <alignment horizontal="center"/>
      <protection locked="0"/>
    </xf>
    <xf numFmtId="0" fontId="0" fillId="0" borderId="546" xfId="0" applyBorder="1" applyAlignment="1" applyProtection="1">
      <alignment horizontal="center"/>
      <protection locked="0"/>
    </xf>
    <xf numFmtId="0" fontId="0" fillId="0" borderId="534" xfId="0" applyBorder="1" applyAlignment="1">
      <alignment horizontal="left" wrapText="1"/>
    </xf>
    <xf numFmtId="0" fontId="0" fillId="0" borderId="544" xfId="0" applyBorder="1" applyAlignment="1" applyProtection="1">
      <alignment horizontal="right"/>
      <protection locked="0"/>
    </xf>
    <xf numFmtId="169" fontId="0" fillId="0" borderId="546" xfId="0" applyNumberFormat="1" applyBorder="1" applyAlignment="1" applyProtection="1">
      <alignment horizontal="center"/>
      <protection locked="0"/>
    </xf>
    <xf numFmtId="14" fontId="0" fillId="0" borderId="534" xfId="0" applyNumberFormat="1" applyBorder="1" applyAlignment="1">
      <alignment horizontal="left" wrapText="1"/>
    </xf>
    <xf numFmtId="0" fontId="4" fillId="0" borderId="546" xfId="4" applyBorder="1" applyAlignment="1" applyProtection="1">
      <alignment horizontal="center" vertical="center"/>
      <protection locked="0"/>
    </xf>
    <xf numFmtId="0" fontId="6" fillId="0" borderId="538" xfId="0" applyFont="1" applyBorder="1" applyAlignment="1" applyProtection="1">
      <alignment horizontal="right"/>
      <protection locked="0"/>
    </xf>
    <xf numFmtId="0" fontId="0" fillId="0" borderId="540" xfId="0" applyBorder="1" applyAlignment="1">
      <alignment wrapText="1"/>
    </xf>
    <xf numFmtId="0" fontId="0" fillId="0" borderId="540" xfId="0" applyBorder="1" applyProtection="1">
      <protection locked="0"/>
    </xf>
    <xf numFmtId="0" fontId="6" fillId="0" borderId="545" xfId="0" applyFont="1" applyBorder="1" applyAlignment="1" applyProtection="1">
      <alignment horizontal="right"/>
      <protection locked="0"/>
    </xf>
    <xf numFmtId="44" fontId="0" fillId="0" borderId="547" xfId="2" applyFont="1" applyBorder="1" applyAlignment="1" applyProtection="1">
      <alignment horizontal="center"/>
      <protection locked="0"/>
    </xf>
    <xf numFmtId="44" fontId="0" fillId="0" borderId="543" xfId="2" applyFont="1" applyBorder="1" applyAlignment="1" applyProtection="1">
      <alignment horizontal="center"/>
      <protection locked="0"/>
    </xf>
    <xf numFmtId="44" fontId="0" fillId="0" borderId="542" xfId="2" applyFont="1" applyBorder="1" applyAlignment="1" applyProtection="1">
      <alignment horizontal="center"/>
      <protection locked="0"/>
    </xf>
    <xf numFmtId="5" fontId="0" fillId="0" borderId="542" xfId="2" applyNumberFormat="1" applyFont="1" applyBorder="1" applyAlignment="1" applyProtection="1">
      <alignment horizontal="center"/>
      <protection locked="0"/>
    </xf>
    <xf numFmtId="44" fontId="6" fillId="0" borderId="537" xfId="2" applyFont="1" applyBorder="1" applyAlignment="1">
      <alignment horizontal="center" vertical="center"/>
    </xf>
    <xf numFmtId="0" fontId="0" fillId="0" borderId="535" xfId="0" applyBorder="1" applyAlignment="1">
      <alignment vertical="top"/>
    </xf>
    <xf numFmtId="0" fontId="0" fillId="19" borderId="534" xfId="0" applyFill="1" applyBorder="1" applyProtection="1">
      <protection locked="0"/>
    </xf>
    <xf numFmtId="43" fontId="0" fillId="19" borderId="534" xfId="1" applyFont="1" applyFill="1" applyBorder="1" applyProtection="1">
      <protection locked="0"/>
    </xf>
    <xf numFmtId="0" fontId="0" fillId="19" borderId="534" xfId="0" applyFill="1" applyBorder="1" applyAlignment="1" applyProtection="1">
      <alignment horizontal="center"/>
      <protection locked="0"/>
    </xf>
    <xf numFmtId="165" fontId="0" fillId="19" borderId="534" xfId="0" applyNumberFormat="1" applyFill="1" applyBorder="1" applyProtection="1">
      <protection locked="0"/>
    </xf>
    <xf numFmtId="0" fontId="0" fillId="19" borderId="537" xfId="0" applyFill="1" applyBorder="1" applyProtection="1">
      <protection locked="0"/>
    </xf>
    <xf numFmtId="165" fontId="0" fillId="0" borderId="534" xfId="0" applyNumberFormat="1" applyBorder="1" applyProtection="1">
      <protection locked="0"/>
    </xf>
    <xf numFmtId="0" fontId="6" fillId="7" borderId="521" xfId="0" applyFont="1" applyFill="1" applyBorder="1" applyAlignment="1">
      <alignment vertical="top" wrapText="1"/>
    </xf>
    <xf numFmtId="0" fontId="0" fillId="0" borderId="534" xfId="0" applyBorder="1" applyAlignment="1" applyProtection="1">
      <alignment vertical="top"/>
      <protection locked="0"/>
    </xf>
    <xf numFmtId="43" fontId="0" fillId="0" borderId="534" xfId="1" applyFont="1" applyBorder="1" applyAlignment="1" applyProtection="1">
      <alignment vertical="top"/>
      <protection locked="0"/>
    </xf>
    <xf numFmtId="165" fontId="0" fillId="0" borderId="534" xfId="0" applyNumberFormat="1" applyBorder="1" applyAlignment="1" applyProtection="1">
      <alignment vertical="top"/>
      <protection locked="0"/>
    </xf>
    <xf numFmtId="43" fontId="0" fillId="0" borderId="493" xfId="1" applyFont="1" applyBorder="1" applyProtection="1">
      <protection locked="0"/>
    </xf>
    <xf numFmtId="9" fontId="0" fillId="0" borderId="534" xfId="3" applyFont="1" applyBorder="1" applyProtection="1">
      <protection locked="0"/>
    </xf>
    <xf numFmtId="167" fontId="0" fillId="0" borderId="546" xfId="2" applyNumberFormat="1" applyFont="1" applyBorder="1" applyAlignment="1" applyProtection="1">
      <alignment horizontal="left"/>
      <protection locked="0"/>
    </xf>
    <xf numFmtId="0" fontId="0" fillId="0" borderId="546" xfId="0" applyBorder="1" applyAlignment="1" applyProtection="1">
      <alignment horizontal="left"/>
      <protection locked="0"/>
    </xf>
    <xf numFmtId="169" fontId="0" fillId="0" borderId="546" xfId="0" applyNumberFormat="1" applyBorder="1" applyAlignment="1" applyProtection="1">
      <alignment horizontal="left"/>
      <protection locked="0"/>
    </xf>
    <xf numFmtId="167" fontId="4" fillId="0" borderId="546" xfId="4" applyNumberFormat="1" applyBorder="1" applyAlignment="1" applyProtection="1">
      <alignment horizontal="left" vertical="center"/>
      <protection locked="0"/>
    </xf>
    <xf numFmtId="0" fontId="4" fillId="0" borderId="546" xfId="4" applyBorder="1" applyAlignment="1" applyProtection="1">
      <alignment horizontal="left" vertical="center"/>
      <protection locked="0"/>
    </xf>
    <xf numFmtId="44" fontId="0" fillId="11" borderId="520" xfId="2" applyFont="1" applyFill="1" applyBorder="1" applyAlignment="1" applyProtection="1">
      <alignment horizontal="center"/>
      <protection locked="0"/>
    </xf>
    <xf numFmtId="0" fontId="6" fillId="0" borderId="521" xfId="0" applyFont="1" applyBorder="1" applyAlignment="1">
      <alignment vertical="top" wrapText="1"/>
    </xf>
    <xf numFmtId="43" fontId="0" fillId="0" borderId="534" xfId="1" applyFont="1" applyFill="1" applyBorder="1" applyAlignment="1" applyProtection="1">
      <alignment vertical="top"/>
      <protection locked="0"/>
    </xf>
    <xf numFmtId="44" fontId="6" fillId="0" borderId="496" xfId="2" applyFont="1" applyBorder="1" applyAlignment="1">
      <alignment horizontal="center" vertical="top"/>
    </xf>
    <xf numFmtId="44" fontId="0" fillId="27" borderId="520" xfId="2" applyFont="1" applyFill="1" applyBorder="1" applyAlignment="1" applyProtection="1">
      <alignment horizontal="left" vertical="top"/>
      <protection locked="0"/>
    </xf>
    <xf numFmtId="0" fontId="6" fillId="0" borderId="521" xfId="0" applyFont="1" applyBorder="1"/>
    <xf numFmtId="44" fontId="6" fillId="0" borderId="496" xfId="2" applyFont="1" applyFill="1" applyBorder="1" applyAlignment="1">
      <alignment horizontal="center" vertical="top"/>
    </xf>
    <xf numFmtId="44" fontId="0" fillId="0" borderId="520" xfId="2" applyFont="1" applyFill="1" applyBorder="1" applyAlignment="1" applyProtection="1">
      <alignment horizontal="left" vertical="top"/>
      <protection locked="0"/>
    </xf>
    <xf numFmtId="0" fontId="6" fillId="0" borderId="521" xfId="0" applyFont="1" applyBorder="1" applyAlignment="1">
      <alignment horizontal="left" indent="3"/>
    </xf>
    <xf numFmtId="0" fontId="6" fillId="7" borderId="521" xfId="0" applyFont="1" applyFill="1" applyBorder="1" applyAlignment="1">
      <alignment horizontal="left" wrapText="1" indent="1"/>
    </xf>
    <xf numFmtId="43" fontId="0" fillId="0" borderId="535" xfId="0" applyNumberFormat="1" applyBorder="1" applyAlignment="1">
      <alignment vertical="top"/>
    </xf>
    <xf numFmtId="0" fontId="6" fillId="0" borderId="522" xfId="0" applyFont="1" applyBorder="1" applyAlignment="1">
      <alignment horizontal="left" indent="3"/>
    </xf>
    <xf numFmtId="0" fontId="6" fillId="7" borderId="548" xfId="0" applyFont="1" applyFill="1" applyBorder="1" applyAlignment="1">
      <alignment horizontal="left" indent="3"/>
    </xf>
    <xf numFmtId="43" fontId="0" fillId="0" borderId="534" xfId="1" applyFont="1" applyFill="1" applyBorder="1" applyProtection="1">
      <protection locked="0"/>
    </xf>
    <xf numFmtId="0" fontId="0" fillId="0" borderId="535" xfId="0" applyBorder="1" applyAlignment="1">
      <alignment horizontal="right" vertical="top"/>
    </xf>
    <xf numFmtId="0" fontId="6" fillId="7" borderId="521" xfId="0" applyFont="1" applyFill="1" applyBorder="1" applyAlignment="1">
      <alignment horizontal="left" wrapText="1" indent="2"/>
    </xf>
    <xf numFmtId="0" fontId="0" fillId="0" borderId="535" xfId="1" applyNumberFormat="1" applyFont="1" applyBorder="1" applyAlignment="1">
      <alignment horizontal="right" vertical="top"/>
    </xf>
    <xf numFmtId="0" fontId="0" fillId="0" borderId="535" xfId="0" quotePrefix="1" applyBorder="1" applyAlignment="1">
      <alignment horizontal="right" vertical="top"/>
    </xf>
    <xf numFmtId="0" fontId="6" fillId="7" borderId="548" xfId="0" applyFont="1" applyFill="1" applyBorder="1" applyAlignment="1">
      <alignment horizontal="left" indent="4"/>
    </xf>
    <xf numFmtId="0" fontId="0" fillId="0" borderId="535" xfId="1" quotePrefix="1" applyNumberFormat="1" applyFont="1" applyBorder="1" applyAlignment="1">
      <alignment horizontal="right" vertical="top"/>
    </xf>
    <xf numFmtId="43" fontId="0" fillId="0" borderId="535" xfId="1" applyFont="1" applyBorder="1" applyAlignment="1">
      <alignment horizontal="right" vertical="top"/>
    </xf>
    <xf numFmtId="0" fontId="6" fillId="0" borderId="521" xfId="0" applyFont="1" applyBorder="1" applyAlignment="1">
      <alignment horizontal="left"/>
    </xf>
    <xf numFmtId="44" fontId="6" fillId="0" borderId="496" xfId="2" applyFont="1" applyFill="1" applyBorder="1" applyAlignment="1">
      <alignment horizontal="center" vertical="center"/>
    </xf>
    <xf numFmtId="44" fontId="0" fillId="0" borderId="520" xfId="2" applyFont="1" applyFill="1" applyBorder="1" applyProtection="1">
      <protection locked="0"/>
    </xf>
    <xf numFmtId="0" fontId="6" fillId="0" borderId="521" xfId="0" applyFont="1" applyBorder="1" applyAlignment="1">
      <alignment horizontal="left" wrapText="1" indent="2"/>
    </xf>
    <xf numFmtId="0" fontId="2" fillId="0" borderId="521" xfId="0" applyFont="1" applyBorder="1" applyAlignment="1">
      <alignment horizontal="left" wrapText="1" indent="2"/>
    </xf>
    <xf numFmtId="0" fontId="6" fillId="0" borderId="521" xfId="0" applyFont="1" applyBorder="1" applyAlignment="1">
      <alignment horizontal="left" wrapText="1"/>
    </xf>
    <xf numFmtId="0" fontId="0" fillId="0" borderId="549" xfId="0" applyBorder="1"/>
    <xf numFmtId="0" fontId="0" fillId="0" borderId="550" xfId="0" applyBorder="1" applyProtection="1">
      <protection locked="0"/>
    </xf>
    <xf numFmtId="43" fontId="0" fillId="0" borderId="550" xfId="1" applyFont="1" applyBorder="1" applyProtection="1">
      <protection locked="0"/>
    </xf>
    <xf numFmtId="0" fontId="0" fillId="0" borderId="550" xfId="0" applyBorder="1" applyAlignment="1" applyProtection="1">
      <alignment horizontal="center"/>
      <protection locked="0"/>
    </xf>
    <xf numFmtId="0" fontId="0" fillId="0" borderId="551" xfId="0" applyBorder="1" applyProtection="1">
      <protection locked="0"/>
    </xf>
    <xf numFmtId="165" fontId="0" fillId="0" borderId="552" xfId="0" applyNumberFormat="1" applyBorder="1" applyProtection="1">
      <protection locked="0"/>
    </xf>
    <xf numFmtId="0" fontId="0" fillId="0" borderId="549" xfId="0" applyBorder="1" applyProtection="1">
      <protection locked="0"/>
    </xf>
    <xf numFmtId="0" fontId="0" fillId="0" borderId="550" xfId="0" applyBorder="1" applyAlignment="1" applyProtection="1">
      <alignment wrapText="1"/>
      <protection locked="0"/>
    </xf>
    <xf numFmtId="0" fontId="0" fillId="0" borderId="550" xfId="0" applyBorder="1" applyAlignment="1">
      <alignment wrapText="1"/>
    </xf>
    <xf numFmtId="0" fontId="0" fillId="0" borderId="552" xfId="0" applyBorder="1" applyProtection="1">
      <protection locked="0"/>
    </xf>
    <xf numFmtId="0" fontId="0" fillId="0" borderId="553" xfId="0" applyBorder="1" applyAlignment="1">
      <alignment vertical="top"/>
    </xf>
    <xf numFmtId="0" fontId="0" fillId="0" borderId="549" xfId="0" applyBorder="1" applyAlignment="1">
      <alignment vertical="top"/>
    </xf>
    <xf numFmtId="0" fontId="6" fillId="0" borderId="554" xfId="0" applyFont="1" applyBorder="1" applyAlignment="1">
      <alignment vertical="center"/>
    </xf>
    <xf numFmtId="0" fontId="6" fillId="0" borderId="554" xfId="0" quotePrefix="1" applyFont="1" applyBorder="1"/>
    <xf numFmtId="44" fontId="0" fillId="0" borderId="520" xfId="0" applyNumberFormat="1" applyBorder="1" applyProtection="1">
      <protection locked="0"/>
    </xf>
    <xf numFmtId="0" fontId="6" fillId="17" borderId="554" xfId="0" applyFont="1" applyFill="1" applyBorder="1" applyAlignment="1">
      <alignment horizontal="center"/>
    </xf>
    <xf numFmtId="0" fontId="6" fillId="19" borderId="554" xfId="0" applyFont="1" applyFill="1" applyBorder="1" applyAlignment="1">
      <alignment horizontal="left"/>
    </xf>
    <xf numFmtId="0" fontId="6" fillId="7" borderId="554" xfId="0" applyFont="1" applyFill="1" applyBorder="1" applyAlignment="1">
      <alignment horizontal="left"/>
    </xf>
    <xf numFmtId="0" fontId="6" fillId="7" borderId="554" xfId="0" applyFont="1" applyFill="1" applyBorder="1" applyAlignment="1">
      <alignment horizontal="left" indent="2"/>
    </xf>
    <xf numFmtId="44" fontId="0" fillId="5" borderId="520" xfId="2" applyFont="1" applyFill="1" applyBorder="1" applyProtection="1">
      <protection locked="0"/>
    </xf>
    <xf numFmtId="0" fontId="6" fillId="7" borderId="523" xfId="0" applyFont="1" applyFill="1" applyBorder="1" applyAlignment="1">
      <alignment horizontal="left" indent="4"/>
    </xf>
    <xf numFmtId="0" fontId="6" fillId="7" borderId="555" xfId="0" applyFont="1" applyFill="1" applyBorder="1" applyAlignment="1">
      <alignment horizontal="left" indent="4"/>
    </xf>
    <xf numFmtId="0" fontId="6" fillId="5" borderId="554" xfId="0" applyFont="1" applyFill="1" applyBorder="1" applyAlignment="1">
      <alignment horizontal="left" indent="2"/>
    </xf>
    <xf numFmtId="44" fontId="0" fillId="11" borderId="520" xfId="2" applyFont="1" applyFill="1" applyBorder="1" applyProtection="1">
      <protection locked="0"/>
    </xf>
    <xf numFmtId="44" fontId="2" fillId="5" borderId="520" xfId="2" applyFont="1" applyFill="1" applyBorder="1" applyProtection="1">
      <protection locked="0"/>
    </xf>
    <xf numFmtId="0" fontId="6" fillId="0" borderId="554" xfId="0" applyFont="1" applyBorder="1" applyAlignment="1">
      <alignment horizontal="left"/>
    </xf>
    <xf numFmtId="43" fontId="0" fillId="0" borderId="289" xfId="1" applyFont="1" applyFill="1" applyBorder="1" applyProtection="1">
      <protection locked="0"/>
    </xf>
    <xf numFmtId="44" fontId="6" fillId="0" borderId="292" xfId="2" applyFont="1" applyFill="1" applyBorder="1" applyAlignment="1">
      <alignment horizontal="center" vertical="center"/>
    </xf>
    <xf numFmtId="0" fontId="6" fillId="0" borderId="554" xfId="0" applyFont="1" applyBorder="1" applyAlignment="1">
      <alignment horizontal="left" wrapText="1" indent="2"/>
    </xf>
    <xf numFmtId="0" fontId="2" fillId="0" borderId="554" xfId="0" applyFont="1" applyBorder="1" applyAlignment="1">
      <alignment horizontal="left" wrapText="1" indent="2"/>
    </xf>
    <xf numFmtId="0" fontId="6" fillId="0" borderId="554" xfId="0" applyFont="1" applyBorder="1" applyAlignment="1">
      <alignment horizontal="left" wrapText="1"/>
    </xf>
    <xf numFmtId="0" fontId="0" fillId="0" borderId="556" xfId="0" applyBorder="1"/>
    <xf numFmtId="0" fontId="0" fillId="0" borderId="557" xfId="0" applyBorder="1" applyProtection="1">
      <protection locked="0"/>
    </xf>
    <xf numFmtId="43" fontId="0" fillId="0" borderId="557" xfId="1" applyFont="1" applyBorder="1" applyProtection="1">
      <protection locked="0"/>
    </xf>
    <xf numFmtId="0" fontId="0" fillId="0" borderId="557" xfId="0" applyBorder="1" applyAlignment="1" applyProtection="1">
      <alignment horizontal="center"/>
      <protection locked="0"/>
    </xf>
    <xf numFmtId="0" fontId="0" fillId="0" borderId="558" xfId="0" applyBorder="1" applyProtection="1">
      <protection locked="0"/>
    </xf>
    <xf numFmtId="165" fontId="0" fillId="0" borderId="559" xfId="0" applyNumberFormat="1" applyBorder="1" applyProtection="1">
      <protection locked="0"/>
    </xf>
    <xf numFmtId="0" fontId="0" fillId="0" borderId="556" xfId="0" applyBorder="1" applyProtection="1">
      <protection locked="0"/>
    </xf>
    <xf numFmtId="0" fontId="0" fillId="0" borderId="557" xfId="0" applyBorder="1" applyAlignment="1" applyProtection="1">
      <alignment wrapText="1"/>
      <protection locked="0"/>
    </xf>
    <xf numFmtId="0" fontId="0" fillId="0" borderId="557" xfId="0" applyBorder="1" applyAlignment="1">
      <alignment wrapText="1"/>
    </xf>
    <xf numFmtId="0" fontId="0" fillId="0" borderId="559" xfId="0" applyBorder="1" applyProtection="1">
      <protection locked="0"/>
    </xf>
    <xf numFmtId="44" fontId="0" fillId="20" borderId="560" xfId="2" applyFont="1" applyFill="1" applyBorder="1" applyProtection="1">
      <protection locked="0"/>
    </xf>
    <xf numFmtId="44" fontId="0" fillId="0" borderId="560" xfId="2" applyFont="1" applyBorder="1" applyProtection="1">
      <protection locked="0"/>
    </xf>
    <xf numFmtId="0" fontId="0" fillId="0" borderId="561" xfId="0" applyBorder="1" applyAlignment="1">
      <alignment vertical="top"/>
    </xf>
    <xf numFmtId="3" fontId="0" fillId="0" borderId="562" xfId="0" applyNumberFormat="1" applyBorder="1" applyAlignment="1" applyProtection="1">
      <alignment horizontal="left"/>
      <protection locked="0"/>
    </xf>
    <xf numFmtId="0" fontId="0" fillId="0" borderId="562" xfId="0" applyBorder="1" applyProtection="1">
      <protection locked="0"/>
    </xf>
    <xf numFmtId="0" fontId="0" fillId="0" borderId="556" xfId="0" applyBorder="1" applyAlignment="1">
      <alignment vertical="top"/>
    </xf>
    <xf numFmtId="0" fontId="6" fillId="0" borderId="563" xfId="0" applyFont="1" applyBorder="1" applyAlignment="1">
      <alignment vertical="center"/>
    </xf>
    <xf numFmtId="0" fontId="6" fillId="0" borderId="563" xfId="0" quotePrefix="1" applyFont="1" applyBorder="1"/>
    <xf numFmtId="0" fontId="6" fillId="17" borderId="563" xfId="0" applyFont="1" applyFill="1" applyBorder="1" applyAlignment="1">
      <alignment horizontal="center"/>
    </xf>
    <xf numFmtId="0" fontId="6" fillId="19" borderId="563" xfId="0" applyFont="1" applyFill="1" applyBorder="1" applyAlignment="1">
      <alignment horizontal="left"/>
    </xf>
    <xf numFmtId="44" fontId="0" fillId="19" borderId="562" xfId="2" applyFont="1" applyFill="1" applyBorder="1" applyProtection="1">
      <protection locked="0"/>
    </xf>
    <xf numFmtId="44" fontId="0" fillId="19" borderId="562" xfId="2" applyFont="1" applyFill="1" applyBorder="1" applyAlignment="1" applyProtection="1">
      <alignment horizontal="left"/>
      <protection locked="0"/>
    </xf>
    <xf numFmtId="0" fontId="6" fillId="7" borderId="563" xfId="0" applyFont="1" applyFill="1" applyBorder="1" applyAlignment="1">
      <alignment horizontal="left"/>
    </xf>
    <xf numFmtId="44" fontId="0" fillId="0" borderId="562" xfId="2" applyFont="1" applyBorder="1" applyProtection="1">
      <protection locked="0"/>
    </xf>
    <xf numFmtId="44" fontId="0" fillId="0" borderId="562" xfId="2" applyFont="1" applyBorder="1" applyAlignment="1" applyProtection="1">
      <alignment horizontal="left"/>
      <protection locked="0"/>
    </xf>
    <xf numFmtId="0" fontId="86" fillId="7" borderId="563" xfId="0" applyFont="1" applyFill="1" applyBorder="1" applyAlignment="1">
      <alignment horizontal="left"/>
    </xf>
    <xf numFmtId="44" fontId="0" fillId="21" borderId="562" xfId="2" applyFont="1" applyFill="1" applyBorder="1" applyAlignment="1" applyProtection="1">
      <alignment horizontal="left"/>
      <protection locked="0"/>
    </xf>
    <xf numFmtId="0" fontId="6" fillId="7" borderId="563" xfId="0" applyFont="1" applyFill="1" applyBorder="1" applyAlignment="1">
      <alignment horizontal="left" indent="2"/>
    </xf>
    <xf numFmtId="0" fontId="6" fillId="7" borderId="563" xfId="0" applyFont="1" applyFill="1" applyBorder="1"/>
    <xf numFmtId="44" fontId="0" fillId="5" borderId="562" xfId="2" applyFont="1" applyFill="1" applyBorder="1" applyAlignment="1" applyProtection="1">
      <alignment horizontal="left"/>
      <protection locked="0"/>
    </xf>
    <xf numFmtId="44" fontId="0" fillId="27" borderId="562" xfId="2" applyFont="1" applyFill="1" applyBorder="1" applyAlignment="1" applyProtection="1">
      <alignment horizontal="left"/>
      <protection locked="0"/>
    </xf>
    <xf numFmtId="0" fontId="6" fillId="0" borderId="564" xfId="0" applyFont="1" applyBorder="1" applyAlignment="1">
      <alignment vertical="center" wrapText="1"/>
    </xf>
    <xf numFmtId="43" fontId="0" fillId="0" borderId="565" xfId="1" applyFont="1" applyBorder="1" applyAlignment="1" applyProtection="1">
      <alignment horizontal="center"/>
      <protection locked="0"/>
    </xf>
    <xf numFmtId="44" fontId="0" fillId="0" borderId="565" xfId="2" applyFont="1" applyBorder="1" applyProtection="1">
      <protection locked="0"/>
    </xf>
    <xf numFmtId="0" fontId="6" fillId="18" borderId="566" xfId="0" applyFont="1" applyFill="1" applyBorder="1" applyAlignment="1">
      <alignment vertical="center" wrapText="1"/>
    </xf>
    <xf numFmtId="0" fontId="6" fillId="0" borderId="565" xfId="0" applyFont="1" applyBorder="1" applyAlignment="1">
      <alignment horizontal="left" vertical="center" wrapText="1"/>
    </xf>
    <xf numFmtId="43" fontId="6" fillId="0" borderId="565" xfId="1" applyFont="1" applyBorder="1" applyAlignment="1">
      <alignment horizontal="left" vertical="center" wrapText="1"/>
    </xf>
    <xf numFmtId="0" fontId="0" fillId="4" borderId="567" xfId="0" applyFill="1" applyBorder="1"/>
    <xf numFmtId="0" fontId="0" fillId="4" borderId="565" xfId="0" applyFill="1" applyBorder="1" applyAlignment="1">
      <alignment horizontal="right" wrapText="1"/>
    </xf>
    <xf numFmtId="0" fontId="0" fillId="4" borderId="565" xfId="0" applyFill="1" applyBorder="1" applyProtection="1">
      <protection locked="0"/>
    </xf>
    <xf numFmtId="43" fontId="0" fillId="4" borderId="565" xfId="1" applyFont="1" applyFill="1" applyBorder="1" applyProtection="1">
      <protection locked="0"/>
    </xf>
    <xf numFmtId="0" fontId="0" fillId="4" borderId="565" xfId="0" applyFill="1" applyBorder="1" applyAlignment="1" applyProtection="1">
      <alignment horizontal="center" vertical="center"/>
      <protection locked="0"/>
    </xf>
    <xf numFmtId="0" fontId="0" fillId="4" borderId="565" xfId="0" applyFill="1" applyBorder="1" applyAlignment="1" applyProtection="1">
      <alignment horizontal="right" vertical="center"/>
      <protection locked="0"/>
    </xf>
    <xf numFmtId="44" fontId="0" fillId="20" borderId="562" xfId="2" applyFont="1" applyFill="1" applyBorder="1" applyAlignment="1" applyProtection="1">
      <alignment horizontal="left"/>
      <protection locked="0"/>
    </xf>
    <xf numFmtId="44" fontId="0" fillId="5" borderId="562" xfId="2" applyFont="1" applyFill="1" applyBorder="1" applyProtection="1">
      <protection locked="0"/>
    </xf>
    <xf numFmtId="44" fontId="0" fillId="0" borderId="562" xfId="2" applyFont="1" applyFill="1" applyBorder="1" applyProtection="1">
      <protection locked="0"/>
    </xf>
    <xf numFmtId="44" fontId="6" fillId="5" borderId="562" xfId="2" applyFont="1" applyFill="1" applyBorder="1" applyAlignment="1">
      <alignment horizontal="center" vertical="center"/>
    </xf>
    <xf numFmtId="44" fontId="0" fillId="11" borderId="562" xfId="2" applyFont="1" applyFill="1" applyBorder="1" applyProtection="1">
      <protection locked="0"/>
    </xf>
    <xf numFmtId="43" fontId="0" fillId="5" borderId="289" xfId="1" applyFont="1" applyFill="1" applyBorder="1" applyProtection="1">
      <protection locked="0"/>
    </xf>
    <xf numFmtId="44" fontId="0" fillId="11" borderId="562" xfId="2" applyFont="1" applyFill="1" applyBorder="1" applyAlignment="1" applyProtection="1">
      <alignment horizontal="left"/>
      <protection locked="0"/>
    </xf>
    <xf numFmtId="44" fontId="0" fillId="20" borderId="562" xfId="2" applyFont="1" applyFill="1" applyBorder="1" applyProtection="1">
      <protection locked="0"/>
    </xf>
    <xf numFmtId="5" fontId="0" fillId="0" borderId="499" xfId="2" applyNumberFormat="1" applyFont="1" applyBorder="1" applyAlignment="1" applyProtection="1">
      <alignment horizontal="center"/>
      <protection locked="0"/>
    </xf>
    <xf numFmtId="5" fontId="0" fillId="0" borderId="500" xfId="2" applyNumberFormat="1" applyFont="1" applyBorder="1" applyAlignment="1" applyProtection="1">
      <alignment horizontal="center"/>
      <protection locked="0"/>
    </xf>
    <xf numFmtId="0" fontId="3" fillId="0" borderId="557" xfId="0" applyFont="1" applyBorder="1" applyAlignment="1">
      <alignment wrapText="1"/>
    </xf>
    <xf numFmtId="5" fontId="0" fillId="0" borderId="496" xfId="2" applyNumberFormat="1" applyFont="1" applyBorder="1" applyProtection="1">
      <protection locked="0"/>
    </xf>
    <xf numFmtId="0" fontId="5" fillId="0" borderId="289" xfId="0" applyFont="1" applyBorder="1" applyProtection="1">
      <protection locked="0"/>
    </xf>
    <xf numFmtId="0" fontId="3" fillId="3" borderId="289" xfId="0" applyFont="1" applyFill="1" applyBorder="1" applyAlignment="1">
      <alignment horizontal="center" wrapText="1"/>
    </xf>
    <xf numFmtId="0" fontId="5" fillId="0" borderId="496" xfId="0" applyFont="1" applyBorder="1" applyProtection="1">
      <protection locked="0"/>
    </xf>
    <xf numFmtId="0" fontId="28" fillId="0" borderId="557" xfId="0" applyFont="1" applyBorder="1" applyAlignment="1">
      <alignment horizontal="left" wrapText="1"/>
    </xf>
    <xf numFmtId="0" fontId="23" fillId="17" borderId="446" xfId="0" applyFont="1" applyFill="1" applyBorder="1" applyAlignment="1">
      <alignment horizontal="center" vertical="center"/>
    </xf>
    <xf numFmtId="0" fontId="23" fillId="0" borderId="459" xfId="0" applyFont="1" applyBorder="1" applyAlignment="1">
      <alignment vertical="center"/>
    </xf>
    <xf numFmtId="0" fontId="23" fillId="0" borderId="563" xfId="0" applyFont="1" applyBorder="1" applyAlignment="1">
      <alignment vertical="center"/>
    </xf>
    <xf numFmtId="0" fontId="23" fillId="0" borderId="563" xfId="0" quotePrefix="1" applyFont="1" applyBorder="1"/>
    <xf numFmtId="0" fontId="23" fillId="17" borderId="563" xfId="0" applyFont="1" applyFill="1" applyBorder="1" applyAlignment="1">
      <alignment horizontal="center"/>
    </xf>
    <xf numFmtId="0" fontId="23" fillId="19" borderId="568" xfId="0" applyFont="1" applyFill="1" applyBorder="1" applyAlignment="1">
      <alignment horizontal="left"/>
    </xf>
    <xf numFmtId="0" fontId="5" fillId="19" borderId="569" xfId="0" applyFont="1" applyFill="1" applyBorder="1" applyProtection="1">
      <protection locked="0"/>
    </xf>
    <xf numFmtId="165" fontId="0" fillId="19" borderId="570" xfId="0" applyNumberFormat="1" applyFill="1" applyBorder="1" applyProtection="1">
      <protection locked="0"/>
    </xf>
    <xf numFmtId="0" fontId="0" fillId="19" borderId="571" xfId="0" applyFill="1" applyBorder="1" applyProtection="1">
      <protection locked="0"/>
    </xf>
    <xf numFmtId="0" fontId="5" fillId="19" borderId="571" xfId="0" applyFont="1" applyFill="1" applyBorder="1" applyProtection="1">
      <protection locked="0"/>
    </xf>
    <xf numFmtId="3" fontId="0" fillId="19" borderId="571" xfId="0" applyNumberFormat="1" applyFill="1" applyBorder="1" applyAlignment="1" applyProtection="1">
      <alignment horizontal="left"/>
      <protection locked="0"/>
    </xf>
    <xf numFmtId="0" fontId="5" fillId="19" borderId="496" xfId="0" applyFont="1" applyFill="1" applyBorder="1" applyProtection="1">
      <protection locked="0"/>
    </xf>
    <xf numFmtId="0" fontId="23" fillId="7" borderId="572" xfId="0" applyFont="1" applyFill="1" applyBorder="1" applyAlignment="1">
      <alignment horizontal="left"/>
    </xf>
    <xf numFmtId="0" fontId="36" fillId="7" borderId="290" xfId="0" applyFont="1" applyFill="1" applyBorder="1" applyAlignment="1">
      <alignment vertical="center" wrapText="1"/>
    </xf>
    <xf numFmtId="0" fontId="0" fillId="0" borderId="289" xfId="0" applyBorder="1" applyAlignment="1" applyProtection="1">
      <alignment horizontal="left"/>
      <protection locked="0"/>
    </xf>
    <xf numFmtId="0" fontId="32" fillId="7" borderId="290" xfId="0" applyFont="1" applyFill="1" applyBorder="1" applyAlignment="1">
      <alignment vertical="center" wrapText="1"/>
    </xf>
    <xf numFmtId="0" fontId="32" fillId="7" borderId="290" xfId="0" applyFont="1" applyFill="1" applyBorder="1" applyAlignment="1">
      <alignment horizontal="left" vertical="center" wrapText="1"/>
    </xf>
    <xf numFmtId="0" fontId="23" fillId="7" borderId="290" xfId="0" applyFont="1" applyFill="1" applyBorder="1" applyAlignment="1">
      <alignment vertical="center" wrapText="1"/>
    </xf>
    <xf numFmtId="0" fontId="23" fillId="7" borderId="290" xfId="0" applyFont="1" applyFill="1" applyBorder="1" applyAlignment="1">
      <alignment horizontal="left" vertical="center" wrapText="1"/>
    </xf>
    <xf numFmtId="0" fontId="0" fillId="4" borderId="289" xfId="0" applyFill="1" applyBorder="1" applyAlignment="1" applyProtection="1">
      <alignment vertical="center"/>
      <protection locked="0"/>
    </xf>
    <xf numFmtId="5" fontId="0" fillId="4" borderId="496" xfId="0" applyNumberFormat="1" applyFill="1" applyBorder="1" applyAlignment="1" applyProtection="1">
      <alignment horizontal="left"/>
      <protection locked="0"/>
    </xf>
    <xf numFmtId="0" fontId="0" fillId="0" borderId="573" xfId="0" applyBorder="1"/>
    <xf numFmtId="0" fontId="0" fillId="0" borderId="574" xfId="0" applyBorder="1" applyProtection="1">
      <protection locked="0"/>
    </xf>
    <xf numFmtId="0" fontId="0" fillId="0" borderId="575" xfId="0" applyBorder="1" applyProtection="1">
      <protection locked="0"/>
    </xf>
    <xf numFmtId="165" fontId="0" fillId="0" borderId="571" xfId="0" applyNumberFormat="1" applyBorder="1" applyProtection="1">
      <protection locked="0"/>
    </xf>
    <xf numFmtId="165" fontId="0" fillId="0" borderId="576" xfId="0" applyNumberFormat="1" applyBorder="1" applyProtection="1">
      <protection locked="0"/>
    </xf>
    <xf numFmtId="0" fontId="0" fillId="0" borderId="570" xfId="0" applyBorder="1" applyProtection="1">
      <protection locked="0"/>
    </xf>
    <xf numFmtId="0" fontId="0" fillId="0" borderId="573" xfId="0" applyBorder="1" applyProtection="1">
      <protection locked="0"/>
    </xf>
    <xf numFmtId="0" fontId="0" fillId="0" borderId="574" xfId="0" applyBorder="1" applyAlignment="1" applyProtection="1">
      <alignment wrapText="1"/>
      <protection locked="0"/>
    </xf>
    <xf numFmtId="0" fontId="0" fillId="0" borderId="577" xfId="0" applyBorder="1" applyAlignment="1">
      <alignment wrapText="1"/>
    </xf>
    <xf numFmtId="0" fontId="0" fillId="0" borderId="578" xfId="0" applyBorder="1" applyProtection="1">
      <protection locked="0"/>
    </xf>
    <xf numFmtId="0" fontId="0" fillId="0" borderId="579" xfId="0" applyBorder="1" applyProtection="1">
      <protection locked="0"/>
    </xf>
    <xf numFmtId="0" fontId="0" fillId="0" borderId="500" xfId="0" applyBorder="1" applyProtection="1">
      <protection locked="0"/>
    </xf>
    <xf numFmtId="5" fontId="0" fillId="0" borderId="495" xfId="2" applyNumberFormat="1" applyFont="1" applyBorder="1" applyAlignment="1" applyProtection="1">
      <alignment horizontal="center"/>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306">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1179085</xdr:colOff>
      <xdr:row>2</xdr:row>
      <xdr:rowOff>142875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47625" y="47625"/>
          <a:ext cx="1579135" cy="457200"/>
        </a:xfrm>
        <a:prstGeom prst="rect">
          <a:avLst/>
        </a:prstGeom>
      </xdr:spPr>
    </xdr:pic>
    <xdr:clientData/>
  </xdr:twoCellAnchor>
  <xdr:twoCellAnchor editAs="oneCell">
    <xdr:from>
      <xdr:col>0</xdr:col>
      <xdr:colOff>47625</xdr:colOff>
      <xdr:row>0</xdr:row>
      <xdr:rowOff>47625</xdr:rowOff>
    </xdr:from>
    <xdr:to>
      <xdr:col>1</xdr:col>
      <xdr:colOff>1179085</xdr:colOff>
      <xdr:row>2</xdr:row>
      <xdr:rowOff>123825</xdr:rowOff>
    </xdr:to>
    <xdr:pic>
      <xdr:nvPicPr>
        <xdr:cNvPr id="2" name="Picture 1">
          <a:extLst>
            <a:ext uri="{FF2B5EF4-FFF2-40B4-BE49-F238E27FC236}">
              <a16:creationId xmlns:a16="http://schemas.microsoft.com/office/drawing/2014/main" id="{847F06F6-C933-437D-A825-181352965460}"/>
            </a:ext>
          </a:extLst>
        </xdr:cNvPr>
        <xdr:cNvPicPr>
          <a:picLocks noChangeAspect="1"/>
        </xdr:cNvPicPr>
      </xdr:nvPicPr>
      <xdr:blipFill>
        <a:blip xmlns:r="http://schemas.openxmlformats.org/officeDocument/2006/relationships" r:embed="rId1"/>
        <a:stretch>
          <a:fillRect/>
        </a:stretch>
      </xdr:blipFill>
      <xdr:spPr>
        <a:xfrm>
          <a:off x="47625" y="47625"/>
          <a:ext cx="1579135" cy="438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52915</xdr:colOff>
      <xdr:row>0</xdr:row>
      <xdr:rowOff>52915</xdr:rowOff>
    </xdr:from>
    <xdr:to>
      <xdr:col>1</xdr:col>
      <xdr:colOff>467884</xdr:colOff>
      <xdr:row>0</xdr:row>
      <xdr:rowOff>510115</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52915" y="52915"/>
          <a:ext cx="1578077"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74081</xdr:colOff>
      <xdr:row>0</xdr:row>
      <xdr:rowOff>63498</xdr:rowOff>
    </xdr:from>
    <xdr:to>
      <xdr:col>2</xdr:col>
      <xdr:colOff>227641</xdr:colOff>
      <xdr:row>0</xdr:row>
      <xdr:rowOff>520698</xdr:rowOff>
    </xdr:to>
    <xdr:pic>
      <xdr:nvPicPr>
        <xdr:cNvPr id="2" name="Picture 1">
          <a:extLst>
            <a:ext uri="{FF2B5EF4-FFF2-40B4-BE49-F238E27FC236}">
              <a16:creationId xmlns:a16="http://schemas.microsoft.com/office/drawing/2014/main" id="{28AEB865-3EAA-408E-B6E1-B2D6E9510DB8}"/>
            </a:ext>
          </a:extLst>
        </xdr:cNvPr>
        <xdr:cNvPicPr>
          <a:picLocks noChangeAspect="1"/>
        </xdr:cNvPicPr>
      </xdr:nvPicPr>
      <xdr:blipFill>
        <a:blip xmlns:r="http://schemas.openxmlformats.org/officeDocument/2006/relationships" r:embed="rId1"/>
        <a:stretch>
          <a:fillRect/>
        </a:stretch>
      </xdr:blipFill>
      <xdr:spPr>
        <a:xfrm>
          <a:off x="74081" y="63498"/>
          <a:ext cx="1582310" cy="45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74081</xdr:colOff>
      <xdr:row>0</xdr:row>
      <xdr:rowOff>63498</xdr:rowOff>
    </xdr:from>
    <xdr:to>
      <xdr:col>2</xdr:col>
      <xdr:colOff>227641</xdr:colOff>
      <xdr:row>0</xdr:row>
      <xdr:rowOff>520698</xdr:rowOff>
    </xdr:to>
    <xdr:pic>
      <xdr:nvPicPr>
        <xdr:cNvPr id="2" name="Picture 1">
          <a:extLst>
            <a:ext uri="{FF2B5EF4-FFF2-40B4-BE49-F238E27FC236}">
              <a16:creationId xmlns:a16="http://schemas.microsoft.com/office/drawing/2014/main" id="{CB30F1D7-AD0C-4336-9B7D-A157882E07AC}"/>
            </a:ext>
          </a:extLst>
        </xdr:cNvPr>
        <xdr:cNvPicPr>
          <a:picLocks noChangeAspect="1"/>
        </xdr:cNvPicPr>
      </xdr:nvPicPr>
      <xdr:blipFill>
        <a:blip xmlns:r="http://schemas.openxmlformats.org/officeDocument/2006/relationships" r:embed="rId1"/>
        <a:stretch>
          <a:fillRect/>
        </a:stretch>
      </xdr:blipFill>
      <xdr:spPr>
        <a:xfrm>
          <a:off x="74081" y="63498"/>
          <a:ext cx="1582310"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74081</xdr:colOff>
      <xdr:row>0</xdr:row>
      <xdr:rowOff>63498</xdr:rowOff>
    </xdr:from>
    <xdr:to>
      <xdr:col>2</xdr:col>
      <xdr:colOff>227641</xdr:colOff>
      <xdr:row>0</xdr:row>
      <xdr:rowOff>520698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74081" y="63498"/>
          <a:ext cx="1582310"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1</xdr:col>
      <xdr:colOff>584566</xdr:colOff>
      <xdr:row>0</xdr:row>
      <xdr:rowOff>514350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7625" y="57150"/>
          <a:ext cx="1582310" cy="457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74081</xdr:colOff>
      <xdr:row>0</xdr:row>
      <xdr:rowOff>74087</xdr:rowOff>
    </xdr:from>
    <xdr:to>
      <xdr:col>1</xdr:col>
      <xdr:colOff>939105</xdr:colOff>
      <xdr:row>2</xdr:row>
      <xdr:rowOff>150287</xdr:rowOff>
    </xdr:to>
    <xdr:pic>
      <xdr:nvPicPr>
        <xdr:cNvPr id="2" name="Picture 1">
          <a:extLst>
            <a:ext uri="{FF2B5EF4-FFF2-40B4-BE49-F238E27FC236}">
              <a16:creationId xmlns:a16="http://schemas.microsoft.com/office/drawing/2014/main" id="{6ECCEAFC-F208-47F3-8F57-8709249CE234}"/>
            </a:ext>
          </a:extLst>
        </xdr:cNvPr>
        <xdr:cNvPicPr>
          <a:picLocks noChangeAspect="1"/>
        </xdr:cNvPicPr>
      </xdr:nvPicPr>
      <xdr:blipFill>
        <a:blip xmlns:r="http://schemas.openxmlformats.org/officeDocument/2006/relationships" r:embed="rId1"/>
        <a:stretch>
          <a:fillRect/>
        </a:stretch>
      </xdr:blipFill>
      <xdr:spPr>
        <a:xfrm>
          <a:off x="74081" y="74087"/>
          <a:ext cx="1584691" cy="457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74082</xdr:colOff>
      <xdr:row>0</xdr:row>
      <xdr:rowOff>74081</xdr:rowOff>
    </xdr:from>
    <xdr:to>
      <xdr:col>1</xdr:col>
      <xdr:colOff>939106</xdr:colOff>
      <xdr:row>2</xdr:row>
      <xdr:rowOff>150281</xdr:rowOff>
    </xdr:to>
    <xdr:pic>
      <xdr:nvPicPr>
        <xdr:cNvPr id="2" name="Picture 1">
          <a:extLst>
            <a:ext uri="{FF2B5EF4-FFF2-40B4-BE49-F238E27FC236}">
              <a16:creationId xmlns:a16="http://schemas.microsoft.com/office/drawing/2014/main" id="{E731BC90-19B2-4480-811B-6D6809B919F3}"/>
            </a:ext>
          </a:extLst>
        </xdr:cNvPr>
        <xdr:cNvPicPr>
          <a:picLocks noChangeAspect="1"/>
        </xdr:cNvPicPr>
      </xdr:nvPicPr>
      <xdr:blipFill>
        <a:blip xmlns:r="http://schemas.openxmlformats.org/officeDocument/2006/relationships" r:embed="rId1"/>
        <a:stretch>
          <a:fillRect/>
        </a:stretch>
      </xdr:blipFill>
      <xdr:spPr>
        <a:xfrm>
          <a:off x="74082" y="74081"/>
          <a:ext cx="1584691" cy="4572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63498</xdr:colOff>
      <xdr:row>0</xdr:row>
      <xdr:rowOff>63504</xdr:rowOff>
    </xdr:from>
    <xdr:to>
      <xdr:col>1</xdr:col>
      <xdr:colOff>928522</xdr:colOff>
      <xdr:row>2</xdr:row>
      <xdr:rowOff>139704</xdr:rowOff>
    </xdr:to>
    <xdr:pic>
      <xdr:nvPicPr>
        <xdr:cNvPr id="2" name="Picture 1">
          <a:extLst>
            <a:ext uri="{FF2B5EF4-FFF2-40B4-BE49-F238E27FC236}">
              <a16:creationId xmlns:a16="http://schemas.microsoft.com/office/drawing/2014/main" id="{CB608857-5C82-48A2-8C55-F9D8F9181B1A}"/>
            </a:ext>
          </a:extLst>
        </xdr:cNvPr>
        <xdr:cNvPicPr>
          <a:picLocks noChangeAspect="1"/>
        </xdr:cNvPicPr>
      </xdr:nvPicPr>
      <xdr:blipFill>
        <a:blip xmlns:r="http://schemas.openxmlformats.org/officeDocument/2006/relationships" r:embed="rId1"/>
        <a:stretch>
          <a:fillRect/>
        </a:stretch>
      </xdr:blipFill>
      <xdr:spPr>
        <a:xfrm>
          <a:off x="63498" y="63504"/>
          <a:ext cx="1584691" cy="4572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63498</xdr:colOff>
      <xdr:row>0</xdr:row>
      <xdr:rowOff>63498</xdr:rowOff>
    </xdr:from>
    <xdr:to>
      <xdr:col>1</xdr:col>
      <xdr:colOff>928522</xdr:colOff>
      <xdr:row>2</xdr:row>
      <xdr:rowOff>139698</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63498" y="63498"/>
          <a:ext cx="1579399" cy="457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63502</xdr:colOff>
      <xdr:row>0</xdr:row>
      <xdr:rowOff>63501</xdr:rowOff>
    </xdr:from>
    <xdr:to>
      <xdr:col>1</xdr:col>
      <xdr:colOff>928526</xdr:colOff>
      <xdr:row>2</xdr:row>
      <xdr:rowOff>139701</xdr:rowOff>
    </xdr:to>
    <xdr:pic>
      <xdr:nvPicPr>
        <xdr:cNvPr id="2" name="Picture 1">
          <a:extLst>
            <a:ext uri="{FF2B5EF4-FFF2-40B4-BE49-F238E27FC236}">
              <a16:creationId xmlns:a16="http://schemas.microsoft.com/office/drawing/2014/main" id="{E5EF702B-80A8-4E2A-A254-D2D7E7FE6D66}"/>
            </a:ext>
          </a:extLst>
        </xdr:cNvPr>
        <xdr:cNvPicPr>
          <a:picLocks noChangeAspect="1"/>
        </xdr:cNvPicPr>
      </xdr:nvPicPr>
      <xdr:blipFill>
        <a:blip xmlns:r="http://schemas.openxmlformats.org/officeDocument/2006/relationships" r:embed="rId1"/>
        <a:stretch>
          <a:fillRect/>
        </a:stretch>
      </xdr:blipFill>
      <xdr:spPr>
        <a:xfrm>
          <a:off x="63502" y="63501"/>
          <a:ext cx="1584691" cy="4572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63502</xdr:colOff>
      <xdr:row>0</xdr:row>
      <xdr:rowOff>74084</xdr:rowOff>
    </xdr:from>
    <xdr:to>
      <xdr:col>1</xdr:col>
      <xdr:colOff>923234</xdr:colOff>
      <xdr:row>2</xdr:row>
      <xdr:rowOff>150284</xdr:rowOff>
    </xdr:to>
    <xdr:pic>
      <xdr:nvPicPr>
        <xdr:cNvPr id="2" name="Picture 1">
          <a:extLst>
            <a:ext uri="{FF2B5EF4-FFF2-40B4-BE49-F238E27FC236}">
              <a16:creationId xmlns:a16="http://schemas.microsoft.com/office/drawing/2014/main" id="{1600DA3E-0022-42D6-B326-3CE9BC736E9E}"/>
            </a:ext>
          </a:extLst>
        </xdr:cNvPr>
        <xdr:cNvPicPr>
          <a:picLocks noChangeAspect="1"/>
        </xdr:cNvPicPr>
      </xdr:nvPicPr>
      <xdr:blipFill>
        <a:blip xmlns:r="http://schemas.openxmlformats.org/officeDocument/2006/relationships" r:embed="rId1"/>
        <a:stretch>
          <a:fillRect/>
        </a:stretch>
      </xdr:blipFill>
      <xdr:spPr>
        <a:xfrm>
          <a:off x="63502" y="74084"/>
          <a:ext cx="1579399" cy="4572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63498</xdr:colOff>
      <xdr:row>0</xdr:row>
      <xdr:rowOff>63498</xdr:rowOff>
    </xdr:from>
    <xdr:to>
      <xdr:col>1</xdr:col>
      <xdr:colOff>923230</xdr:colOff>
      <xdr:row>2</xdr:row>
      <xdr:rowOff>139698</xdr:rowOff>
    </xdr:to>
    <xdr:pic>
      <xdr:nvPicPr>
        <xdr:cNvPr id="2" name="Picture 1">
          <a:extLst>
            <a:ext uri="{FF2B5EF4-FFF2-40B4-BE49-F238E27FC236}">
              <a16:creationId xmlns:a16="http://schemas.microsoft.com/office/drawing/2014/main" id="{371DC8E6-5415-418F-AAEA-BDBC578F4844}"/>
            </a:ext>
          </a:extLst>
        </xdr:cNvPr>
        <xdr:cNvPicPr>
          <a:picLocks noChangeAspect="1"/>
        </xdr:cNvPicPr>
      </xdr:nvPicPr>
      <xdr:blipFill>
        <a:blip xmlns:r="http://schemas.openxmlformats.org/officeDocument/2006/relationships" r:embed="rId1"/>
        <a:stretch>
          <a:fillRect/>
        </a:stretch>
      </xdr:blipFill>
      <xdr:spPr>
        <a:xfrm>
          <a:off x="63498" y="63498"/>
          <a:ext cx="1584691" cy="4572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23</xdr:col>
      <xdr:colOff>84664</xdr:colOff>
      <xdr:row>0</xdr:row>
      <xdr:rowOff>52921</xdr:rowOff>
    </xdr:from>
    <xdr:to>
      <xdr:col>24</xdr:col>
      <xdr:colOff>949688</xdr:colOff>
      <xdr:row>2</xdr:row>
      <xdr:rowOff>129121</xdr:rowOff>
    </xdr:to>
    <xdr:pic>
      <xdr:nvPicPr>
        <xdr:cNvPr id="2" name="Picture 1">
          <a:extLst>
            <a:ext uri="{FF2B5EF4-FFF2-40B4-BE49-F238E27FC236}">
              <a16:creationId xmlns:a16="http://schemas.microsoft.com/office/drawing/2014/main" id="{D7515457-4D5C-4FF3-8F03-35A0B0066BE0}"/>
            </a:ext>
          </a:extLst>
        </xdr:cNvPr>
        <xdr:cNvPicPr>
          <a:picLocks noChangeAspect="1"/>
        </xdr:cNvPicPr>
      </xdr:nvPicPr>
      <xdr:blipFill>
        <a:blip xmlns:r="http://schemas.openxmlformats.org/officeDocument/2006/relationships" r:embed="rId1"/>
        <a:stretch>
          <a:fillRect/>
        </a:stretch>
      </xdr:blipFill>
      <xdr:spPr>
        <a:xfrm>
          <a:off x="20605747" y="52921"/>
          <a:ext cx="1584691" cy="4572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63498</xdr:colOff>
      <xdr:row>0</xdr:row>
      <xdr:rowOff>74081</xdr:rowOff>
    </xdr:from>
    <xdr:to>
      <xdr:col>1</xdr:col>
      <xdr:colOff>928522</xdr:colOff>
      <xdr:row>2</xdr:row>
      <xdr:rowOff>150281</xdr:rowOff>
    </xdr:to>
    <xdr:pic>
      <xdr:nvPicPr>
        <xdr:cNvPr id="2" name="Picture 1">
          <a:extLst>
            <a:ext uri="{FF2B5EF4-FFF2-40B4-BE49-F238E27FC236}">
              <a16:creationId xmlns:a16="http://schemas.microsoft.com/office/drawing/2014/main" id="{FDA0B43F-80B3-43A2-A780-F4B8533D94C3}"/>
            </a:ext>
          </a:extLst>
        </xdr:cNvPr>
        <xdr:cNvPicPr>
          <a:picLocks noChangeAspect="1"/>
        </xdr:cNvPicPr>
      </xdr:nvPicPr>
      <xdr:blipFill>
        <a:blip xmlns:r="http://schemas.openxmlformats.org/officeDocument/2006/relationships" r:embed="rId1"/>
        <a:stretch>
          <a:fillRect/>
        </a:stretch>
      </xdr:blipFill>
      <xdr:spPr>
        <a:xfrm>
          <a:off x="63498" y="74081"/>
          <a:ext cx="1584691" cy="4572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63498</xdr:colOff>
      <xdr:row>0</xdr:row>
      <xdr:rowOff>52915</xdr:rowOff>
    </xdr:from>
    <xdr:to>
      <xdr:col>1</xdr:col>
      <xdr:colOff>928522</xdr:colOff>
      <xdr:row>2</xdr:row>
      <xdr:rowOff>129115</xdr:rowOff>
    </xdr:to>
    <xdr:pic>
      <xdr:nvPicPr>
        <xdr:cNvPr id="2" name="Picture 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63498" y="52915"/>
          <a:ext cx="1579399" cy="457200"/>
        </a:xfrm>
        <a:prstGeom prst="rect">
          <a:avLst/>
        </a:prstGeom>
      </xdr:spPr>
    </xdr:pic>
    <xdr:clientData/>
  </xdr:twoCellAnchor>
  <xdr:oneCellAnchor>
    <xdr:from>
      <xdr:col>35</xdr:col>
      <xdr:colOff>63498</xdr:colOff>
      <xdr:row>0</xdr:row>
      <xdr:rowOff>52915</xdr:rowOff>
    </xdr:from>
    <xdr:ext cx="1584691" cy="457200"/>
    <xdr:pic>
      <xdr:nvPicPr>
        <xdr:cNvPr id="4" name="Picture 3">
          <a:extLst>
            <a:ext uri="{FF2B5EF4-FFF2-40B4-BE49-F238E27FC236}">
              <a16:creationId xmlns:a16="http://schemas.microsoft.com/office/drawing/2014/main" id="{4D4C0071-DAD3-47F0-8168-BE70878C5C35}"/>
            </a:ext>
          </a:extLst>
        </xdr:cNvPr>
        <xdr:cNvPicPr>
          <a:picLocks noChangeAspect="1"/>
        </xdr:cNvPicPr>
      </xdr:nvPicPr>
      <xdr:blipFill>
        <a:blip xmlns:r="http://schemas.openxmlformats.org/officeDocument/2006/relationships" r:embed="rId1"/>
        <a:stretch>
          <a:fillRect/>
        </a:stretch>
      </xdr:blipFill>
      <xdr:spPr>
        <a:xfrm>
          <a:off x="63498" y="52915"/>
          <a:ext cx="1584691" cy="457200"/>
        </a:xfrm>
        <a:prstGeom prst="rect">
          <a:avLst/>
        </a:prstGeom>
      </xdr:spPr>
    </xdr:pic>
    <xdr:clientData/>
  </xdr:oneCellAnchor>
  <xdr:oneCellAnchor>
    <xdr:from>
      <xdr:col>43</xdr:col>
      <xdr:colOff>63498</xdr:colOff>
      <xdr:row>0</xdr:row>
      <xdr:rowOff>52915</xdr:rowOff>
    </xdr:from>
    <xdr:ext cx="1584691" cy="457200"/>
    <xdr:pic>
      <xdr:nvPicPr>
        <xdr:cNvPr id="5" name="Picture 4">
          <a:extLst>
            <a:ext uri="{FF2B5EF4-FFF2-40B4-BE49-F238E27FC236}">
              <a16:creationId xmlns:a16="http://schemas.microsoft.com/office/drawing/2014/main" id="{57BBCF47-87AF-4863-B5C0-56D2F43F3102}"/>
            </a:ext>
          </a:extLst>
        </xdr:cNvPr>
        <xdr:cNvPicPr>
          <a:picLocks noChangeAspect="1"/>
        </xdr:cNvPicPr>
      </xdr:nvPicPr>
      <xdr:blipFill>
        <a:blip xmlns:r="http://schemas.openxmlformats.org/officeDocument/2006/relationships" r:embed="rId1"/>
        <a:stretch>
          <a:fillRect/>
        </a:stretch>
      </xdr:blipFill>
      <xdr:spPr>
        <a:xfrm>
          <a:off x="63498" y="52915"/>
          <a:ext cx="1584691" cy="457200"/>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63498</xdr:colOff>
      <xdr:row>0</xdr:row>
      <xdr:rowOff>74081</xdr:rowOff>
    </xdr:from>
    <xdr:to>
      <xdr:col>1</xdr:col>
      <xdr:colOff>928522</xdr:colOff>
      <xdr:row>2</xdr:row>
      <xdr:rowOff>150281</xdr:rowOff>
    </xdr:to>
    <xdr:pic>
      <xdr:nvPicPr>
        <xdr:cNvPr id="2" name="Picture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63498" y="74081"/>
          <a:ext cx="1579399" cy="4572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74081</xdr:colOff>
      <xdr:row>0</xdr:row>
      <xdr:rowOff>63504</xdr:rowOff>
    </xdr:from>
    <xdr:to>
      <xdr:col>1</xdr:col>
      <xdr:colOff>939105</xdr:colOff>
      <xdr:row>2</xdr:row>
      <xdr:rowOff>139704</xdr:rowOff>
    </xdr:to>
    <xdr:pic>
      <xdr:nvPicPr>
        <xdr:cNvPr id="2" name="Picture 1">
          <a:extLst>
            <a:ext uri="{FF2B5EF4-FFF2-40B4-BE49-F238E27FC236}">
              <a16:creationId xmlns:a16="http://schemas.microsoft.com/office/drawing/2014/main" id="{8F0AC56F-D7D9-466C-BB8F-C2EBDCE16EA2}"/>
            </a:ext>
          </a:extLst>
        </xdr:cNvPr>
        <xdr:cNvPicPr>
          <a:picLocks noChangeAspect="1"/>
        </xdr:cNvPicPr>
      </xdr:nvPicPr>
      <xdr:blipFill>
        <a:blip xmlns:r="http://schemas.openxmlformats.org/officeDocument/2006/relationships" r:embed="rId1"/>
        <a:stretch>
          <a:fillRect/>
        </a:stretch>
      </xdr:blipFill>
      <xdr:spPr>
        <a:xfrm>
          <a:off x="74081" y="63504"/>
          <a:ext cx="1584691" cy="4572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63498</xdr:colOff>
      <xdr:row>0</xdr:row>
      <xdr:rowOff>74087</xdr:rowOff>
    </xdr:from>
    <xdr:to>
      <xdr:col>1</xdr:col>
      <xdr:colOff>928522</xdr:colOff>
      <xdr:row>2</xdr:row>
      <xdr:rowOff>150287</xdr:rowOff>
    </xdr:to>
    <xdr:pic>
      <xdr:nvPicPr>
        <xdr:cNvPr id="2" name="Picture 1">
          <a:extLst>
            <a:ext uri="{FF2B5EF4-FFF2-40B4-BE49-F238E27FC236}">
              <a16:creationId xmlns:a16="http://schemas.microsoft.com/office/drawing/2014/main" id="{3EB0E6A7-14BF-4169-BD70-F121212BAAC7}"/>
            </a:ext>
          </a:extLst>
        </xdr:cNvPr>
        <xdr:cNvPicPr>
          <a:picLocks noChangeAspect="1"/>
        </xdr:cNvPicPr>
      </xdr:nvPicPr>
      <xdr:blipFill>
        <a:blip xmlns:r="http://schemas.openxmlformats.org/officeDocument/2006/relationships" r:embed="rId1"/>
        <a:stretch>
          <a:fillRect/>
        </a:stretch>
      </xdr:blipFill>
      <xdr:spPr>
        <a:xfrm>
          <a:off x="63498" y="74087"/>
          <a:ext cx="1584691" cy="4572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74081</xdr:colOff>
      <xdr:row>0</xdr:row>
      <xdr:rowOff>63504</xdr:rowOff>
    </xdr:from>
    <xdr:to>
      <xdr:col>1</xdr:col>
      <xdr:colOff>939105</xdr:colOff>
      <xdr:row>2</xdr:row>
      <xdr:rowOff>139704</xdr:rowOff>
    </xdr:to>
    <xdr:pic>
      <xdr:nvPicPr>
        <xdr:cNvPr id="2" name="Picture 1">
          <a:extLst>
            <a:ext uri="{FF2B5EF4-FFF2-40B4-BE49-F238E27FC236}">
              <a16:creationId xmlns:a16="http://schemas.microsoft.com/office/drawing/2014/main" id="{39A11B75-4384-4568-A52D-FDB2456D5D4E}"/>
            </a:ext>
          </a:extLst>
        </xdr:cNvPr>
        <xdr:cNvPicPr>
          <a:picLocks noChangeAspect="1"/>
        </xdr:cNvPicPr>
      </xdr:nvPicPr>
      <xdr:blipFill>
        <a:blip xmlns:r="http://schemas.openxmlformats.org/officeDocument/2006/relationships" r:embed="rId1"/>
        <a:stretch>
          <a:fillRect/>
        </a:stretch>
      </xdr:blipFill>
      <xdr:spPr>
        <a:xfrm>
          <a:off x="74081" y="63504"/>
          <a:ext cx="1584691" cy="4572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63498</xdr:colOff>
      <xdr:row>0</xdr:row>
      <xdr:rowOff>63504</xdr:rowOff>
    </xdr:from>
    <xdr:to>
      <xdr:col>1</xdr:col>
      <xdr:colOff>928522</xdr:colOff>
      <xdr:row>2</xdr:row>
      <xdr:rowOff>139704</xdr:rowOff>
    </xdr:to>
    <xdr:pic>
      <xdr:nvPicPr>
        <xdr:cNvPr id="2" name="Picture 1">
          <a:extLst>
            <a:ext uri="{FF2B5EF4-FFF2-40B4-BE49-F238E27FC236}">
              <a16:creationId xmlns:a16="http://schemas.microsoft.com/office/drawing/2014/main" id="{44629AE7-FEF9-4863-A57F-00D3F0FEED36}"/>
            </a:ext>
          </a:extLst>
        </xdr:cNvPr>
        <xdr:cNvPicPr>
          <a:picLocks noChangeAspect="1"/>
        </xdr:cNvPicPr>
      </xdr:nvPicPr>
      <xdr:blipFill>
        <a:blip xmlns:r="http://schemas.openxmlformats.org/officeDocument/2006/relationships" r:embed="rId1"/>
        <a:stretch>
          <a:fillRect/>
        </a:stretch>
      </xdr:blipFill>
      <xdr:spPr>
        <a:xfrm>
          <a:off x="63498" y="63504"/>
          <a:ext cx="1584691" cy="4572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78442</xdr:colOff>
      <xdr:row>0</xdr:row>
      <xdr:rowOff>78442</xdr:rowOff>
    </xdr:from>
    <xdr:to>
      <xdr:col>1</xdr:col>
      <xdr:colOff>945957</xdr:colOff>
      <xdr:row>2</xdr:row>
      <xdr:rowOff>154642</xdr:rowOff>
    </xdr:to>
    <xdr:pic>
      <xdr:nvPicPr>
        <xdr:cNvPr id="2" name="Picture 1">
          <a:extLst>
            <a:ext uri="{FF2B5EF4-FFF2-40B4-BE49-F238E27FC236}">
              <a16:creationId xmlns:a16="http://schemas.microsoft.com/office/drawing/2014/main" id="{B3C40DF7-8412-4C44-B297-FBBDA71FB33A}"/>
            </a:ext>
          </a:extLst>
        </xdr:cNvPr>
        <xdr:cNvPicPr>
          <a:picLocks noChangeAspect="1"/>
        </xdr:cNvPicPr>
      </xdr:nvPicPr>
      <xdr:blipFill>
        <a:blip xmlns:r="http://schemas.openxmlformats.org/officeDocument/2006/relationships" r:embed="rId1"/>
        <a:stretch>
          <a:fillRect/>
        </a:stretch>
      </xdr:blipFill>
      <xdr:spPr>
        <a:xfrm>
          <a:off x="78442" y="78442"/>
          <a:ext cx="1584691" cy="4572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78442</xdr:colOff>
      <xdr:row>0</xdr:row>
      <xdr:rowOff>78442</xdr:rowOff>
    </xdr:from>
    <xdr:to>
      <xdr:col>1</xdr:col>
      <xdr:colOff>945957</xdr:colOff>
      <xdr:row>2</xdr:row>
      <xdr:rowOff>154642</xdr:rowOff>
    </xdr:to>
    <xdr:pic>
      <xdr:nvPicPr>
        <xdr:cNvPr id="2" name="Picture 1">
          <a:extLst>
            <a:ext uri="{FF2B5EF4-FFF2-40B4-BE49-F238E27FC236}">
              <a16:creationId xmlns:a16="http://schemas.microsoft.com/office/drawing/2014/main" id="{54598D12-19EE-46B1-8C2F-D03C8D36883D}"/>
            </a:ext>
          </a:extLst>
        </xdr:cNvPr>
        <xdr:cNvPicPr>
          <a:picLocks noChangeAspect="1"/>
        </xdr:cNvPicPr>
      </xdr:nvPicPr>
      <xdr:blipFill>
        <a:blip xmlns:r="http://schemas.openxmlformats.org/officeDocument/2006/relationships" r:embed="rId1"/>
        <a:stretch>
          <a:fillRect/>
        </a:stretch>
      </xdr:blipFill>
      <xdr:spPr>
        <a:xfrm>
          <a:off x="78442" y="78442"/>
          <a:ext cx="1581890"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mailto:davew@ctpflorida.com" TargetMode="External"/><Relationship Id="rId7" Type="http://schemas.openxmlformats.org/officeDocument/2006/relationships/printerSettings" Target="../printerSettings/printerSettings11.bin"/><Relationship Id="rId2" Type="http://schemas.openxmlformats.org/officeDocument/2006/relationships/hyperlink" Target="mailto:julien@proshellconstruction.com" TargetMode="External"/><Relationship Id="rId1" Type="http://schemas.openxmlformats.org/officeDocument/2006/relationships/hyperlink" Target="mailto:jason.tartaglia@pateformwork.com" TargetMode="External"/><Relationship Id="rId6" Type="http://schemas.openxmlformats.org/officeDocument/2006/relationships/hyperlink" Target="mailto:cmarkley@ronkm.com" TargetMode="External"/><Relationship Id="rId5" Type="http://schemas.openxmlformats.org/officeDocument/2006/relationships/hyperlink" Target="mailto:EMorales@cookshellcontractors.com" TargetMode="External"/><Relationship Id="rId4" Type="http://schemas.openxmlformats.org/officeDocument/2006/relationships/hyperlink" Target="mailto:jsgrebla@vconcreteco.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mteston@titanstone.com" TargetMode="External"/><Relationship Id="rId2" Type="http://schemas.openxmlformats.org/officeDocument/2006/relationships/hyperlink" Target="mailto:paul@marbon.com" TargetMode="External"/><Relationship Id="rId1" Type="http://schemas.openxmlformats.org/officeDocument/2006/relationships/hyperlink" Target="mailto:pamela@precisionstone.net" TargetMode="External"/><Relationship Id="rId5" Type="http://schemas.openxmlformats.org/officeDocument/2006/relationships/printerSettings" Target="../printerSettings/printerSettings12.bin"/><Relationship Id="rId4" Type="http://schemas.openxmlformats.org/officeDocument/2006/relationships/hyperlink" Target="mailto:william@palmbeachstone.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johnny@vmironwork.com" TargetMode="External"/><Relationship Id="rId2" Type="http://schemas.openxmlformats.org/officeDocument/2006/relationships/hyperlink" Target="mailto:jzavertnik@sfab.com" TargetMode="External"/><Relationship Id="rId1" Type="http://schemas.openxmlformats.org/officeDocument/2006/relationships/hyperlink" Target="mailto:Scott.K@suncor.net" TargetMode="External"/><Relationship Id="rId5" Type="http://schemas.openxmlformats.org/officeDocument/2006/relationships/drawing" Target="../drawings/drawing8.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5.bin"/><Relationship Id="rId1" Type="http://schemas.openxmlformats.org/officeDocument/2006/relationships/hyperlink" Target="mailto:johnny@vmironwork.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mailto:keven@j2cabinetryandtrim.com" TargetMode="External"/><Relationship Id="rId3" Type="http://schemas.openxmlformats.org/officeDocument/2006/relationships/hyperlink" Target="mailto:mbliss@mortensenwoodwork.com" TargetMode="External"/><Relationship Id="rId7" Type="http://schemas.openxmlformats.org/officeDocument/2006/relationships/hyperlink" Target="mailto:phays@premier-ap.com" TargetMode="External"/><Relationship Id="rId12" Type="http://schemas.openxmlformats.org/officeDocument/2006/relationships/comments" Target="../comments2.xml"/><Relationship Id="rId2" Type="http://schemas.openxmlformats.org/officeDocument/2006/relationships/hyperlink" Target="mailto:neil@baronmfg.com" TargetMode="External"/><Relationship Id="rId1" Type="http://schemas.openxmlformats.org/officeDocument/2006/relationships/hyperlink" Target="mailto:iain.paterson@beaubois.com" TargetMode="External"/><Relationship Id="rId6" Type="http://schemas.openxmlformats.org/officeDocument/2006/relationships/hyperlink" Target="mailto:scp@martinezotero.com" TargetMode="External"/><Relationship Id="rId11" Type="http://schemas.openxmlformats.org/officeDocument/2006/relationships/vmlDrawing" Target="../drawings/vmlDrawing2.vml"/><Relationship Id="rId5" Type="http://schemas.openxmlformats.org/officeDocument/2006/relationships/hyperlink" Target="mailto:jramarble@gmail.com" TargetMode="External"/><Relationship Id="rId10" Type="http://schemas.openxmlformats.org/officeDocument/2006/relationships/printerSettings" Target="../printerSettings/printerSettings18.bin"/><Relationship Id="rId4" Type="http://schemas.openxmlformats.org/officeDocument/2006/relationships/hyperlink" Target="mailto:franklin@district95woodwork.com" TargetMode="External"/><Relationship Id="rId9" Type="http://schemas.openxmlformats.org/officeDocument/2006/relationships/hyperlink" Target="mailto:keven@j2cabinetryandtrim.com"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mailto:RDelgado@alphaiwp.com" TargetMode="External"/><Relationship Id="rId1" Type="http://schemas.openxmlformats.org/officeDocument/2006/relationships/hyperlink" Target="mailto:jr.hopf@outlook.com" TargetMode="Externa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mailto:Estimating@southernfoaminsulation.com" TargetMode="External"/><Relationship Id="rId1" Type="http://schemas.openxmlformats.org/officeDocument/2006/relationships/hyperlink" Target="mailto:endy.samaniego@truteam.com"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SSwink@atlasapexusa.com" TargetMode="External"/><Relationship Id="rId7" Type="http://schemas.openxmlformats.org/officeDocument/2006/relationships/printerSettings" Target="../printerSettings/printerSettings21.bin"/><Relationship Id="rId2" Type="http://schemas.openxmlformats.org/officeDocument/2006/relationships/hyperlink" Target="mailto:rupchurch@pa-roofing.com" TargetMode="External"/><Relationship Id="rId1" Type="http://schemas.openxmlformats.org/officeDocument/2006/relationships/hyperlink" Target="mailto:dbischoff@verobeachroofing.com" TargetMode="External"/><Relationship Id="rId6" Type="http://schemas.openxmlformats.org/officeDocument/2006/relationships/hyperlink" Target="mailto:andrew.yusko@campanyroofing.com" TargetMode="External"/><Relationship Id="rId5" Type="http://schemas.openxmlformats.org/officeDocument/2006/relationships/hyperlink" Target="mailto:miguelb@crowther.net" TargetMode="External"/><Relationship Id="rId4" Type="http://schemas.openxmlformats.org/officeDocument/2006/relationships/hyperlink" Target="mailto:wriggs@tectaamerica.com"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rbegani@fireproofers.com"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mailto:gil@shadesbydesign.com" TargetMode="External"/><Relationship Id="rId1" Type="http://schemas.openxmlformats.org/officeDocument/2006/relationships/hyperlink" Target="mailto:sales@americanscreensolutions.com" TargetMode="External"/><Relationship Id="rId4"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3" Type="http://schemas.openxmlformats.org/officeDocument/2006/relationships/hyperlink" Target="mailto:jbuckley@allieddoors.com" TargetMode="External"/><Relationship Id="rId7" Type="http://schemas.openxmlformats.org/officeDocument/2006/relationships/printerSettings" Target="../printerSettings/printerSettings26.bin"/><Relationship Id="rId2" Type="http://schemas.openxmlformats.org/officeDocument/2006/relationships/hyperlink" Target="mailto:doug@bestrollingdoors.com" TargetMode="External"/><Relationship Id="rId1" Type="http://schemas.openxmlformats.org/officeDocument/2006/relationships/hyperlink" Target="mailto:info@crawfordgaragedoors.net" TargetMode="External"/><Relationship Id="rId6" Type="http://schemas.openxmlformats.org/officeDocument/2006/relationships/hyperlink" Target="mailto:enovy@overheaddoorgc.com" TargetMode="External"/><Relationship Id="rId5" Type="http://schemas.openxmlformats.org/officeDocument/2006/relationships/hyperlink" Target="mailto:ABogady@danddgaragedoors.com" TargetMode="External"/><Relationship Id="rId4" Type="http://schemas.openxmlformats.org/officeDocument/2006/relationships/hyperlink" Target="mailto:dregan@overheaddoortc.com"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Edgar@mtmglassconcepts.com" TargetMode="External"/><Relationship Id="rId2" Type="http://schemas.openxmlformats.org/officeDocument/2006/relationships/hyperlink" Target="mailto:dianac@crawfordtracey.com" TargetMode="External"/><Relationship Id="rId1" Type="http://schemas.openxmlformats.org/officeDocument/2006/relationships/hyperlink" Target="mailto:aramirez@readywindow.com" TargetMode="External"/><Relationship Id="rId6" Type="http://schemas.openxmlformats.org/officeDocument/2006/relationships/printerSettings" Target="../printerSettings/printerSettings27.bin"/><Relationship Id="rId5" Type="http://schemas.openxmlformats.org/officeDocument/2006/relationships/hyperlink" Target="mailto:BLiebman@pgaglass.com" TargetMode="External"/><Relationship Id="rId4" Type="http://schemas.openxmlformats.org/officeDocument/2006/relationships/hyperlink" Target="mailto:jake@a-christianglass.com"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ailto:mgoodrich@skylightconcepts.com"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mailto:dan@griffinstucco.com" TargetMode="External"/><Relationship Id="rId3" Type="http://schemas.openxmlformats.org/officeDocument/2006/relationships/hyperlink" Target="mailto:carlos.yepes@lcfinc.com" TargetMode="External"/><Relationship Id="rId7" Type="http://schemas.openxmlformats.org/officeDocument/2006/relationships/hyperlink" Target="mailto:estimating@rbplasteringinc.com" TargetMode="External"/><Relationship Id="rId2" Type="http://schemas.openxmlformats.org/officeDocument/2006/relationships/hyperlink" Target="mailto:james@doradodrywall.com" TargetMode="External"/><Relationship Id="rId1" Type="http://schemas.openxmlformats.org/officeDocument/2006/relationships/hyperlink" Target="mailto:estimating@rbplasteringinc.com" TargetMode="External"/><Relationship Id="rId6" Type="http://schemas.openxmlformats.org/officeDocument/2006/relationships/hyperlink" Target="mailto:estimating@alliancegcusa.com" TargetMode="External"/><Relationship Id="rId11" Type="http://schemas.openxmlformats.org/officeDocument/2006/relationships/comments" Target="../comments3.xml"/><Relationship Id="rId5" Type="http://schemas.openxmlformats.org/officeDocument/2006/relationships/hyperlink" Target="mailto:estimating@alliancegcusa.com" TargetMode="External"/><Relationship Id="rId10" Type="http://schemas.openxmlformats.org/officeDocument/2006/relationships/vmlDrawing" Target="../drawings/vmlDrawing3.vml"/><Relationship Id="rId4" Type="http://schemas.openxmlformats.org/officeDocument/2006/relationships/hyperlink" Target="mailto:admin@welchplastering.com" TargetMode="External"/><Relationship Id="rId9"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mailto:luis@fdrywall.com" TargetMode="External"/><Relationship Id="rId1" Type="http://schemas.openxmlformats.org/officeDocument/2006/relationships/hyperlink" Target="mailto:jason@periniinteriors.com" TargetMode="External"/></Relationships>
</file>

<file path=xl/worksheets/_rels/sheet31.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estimating@addisondrywall.com" TargetMode="External"/><Relationship Id="rId7" Type="http://schemas.openxmlformats.org/officeDocument/2006/relationships/vmlDrawing" Target="../drawings/vmlDrawing4.vml"/><Relationship Id="rId2" Type="http://schemas.openxmlformats.org/officeDocument/2006/relationships/hyperlink" Target="mailto:ben@hyde-park.com" TargetMode="External"/><Relationship Id="rId1" Type="http://schemas.openxmlformats.org/officeDocument/2006/relationships/hyperlink" Target="mailto:richard@fraplaster.com" TargetMode="External"/><Relationship Id="rId6" Type="http://schemas.openxmlformats.org/officeDocument/2006/relationships/printerSettings" Target="../printerSettings/printerSettings31.bin"/><Relationship Id="rId5" Type="http://schemas.openxmlformats.org/officeDocument/2006/relationships/hyperlink" Target="mailto:artspacenyc@yahoo.com" TargetMode="External"/><Relationship Id="rId4" Type="http://schemas.openxmlformats.org/officeDocument/2006/relationships/hyperlink" Target="mailto:%3cEstimating@russopainting.net" TargetMode="External"/></Relationships>
</file>

<file path=xl/worksheets/_rels/sheet32.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mailto:James@doradodrywall.com" TargetMode="External"/><Relationship Id="rId7" Type="http://schemas.openxmlformats.org/officeDocument/2006/relationships/vmlDrawing" Target="../drawings/vmlDrawing5.vml"/><Relationship Id="rId2" Type="http://schemas.openxmlformats.org/officeDocument/2006/relationships/hyperlink" Target="mailto:moliver@oceansidedrywall.com" TargetMode="External"/><Relationship Id="rId1" Type="http://schemas.openxmlformats.org/officeDocument/2006/relationships/hyperlink" Target="mailto:tony@rodriguesmetalframing.com" TargetMode="External"/><Relationship Id="rId6" Type="http://schemas.openxmlformats.org/officeDocument/2006/relationships/printerSettings" Target="../printerSettings/printerSettings32.bin"/><Relationship Id="rId5" Type="http://schemas.openxmlformats.org/officeDocument/2006/relationships/hyperlink" Target="mailto:lenin@clarosgroupinc.com" TargetMode="External"/><Relationship Id="rId4" Type="http://schemas.openxmlformats.org/officeDocument/2006/relationships/hyperlink" Target="mailto:frank@atlanticinteriorservices.com"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ailto:kkillian@profastflooring.com" TargetMode="External"/><Relationship Id="rId2" Type="http://schemas.openxmlformats.org/officeDocument/2006/relationships/hyperlink" Target="mailto:jramarble@gmail.com" TargetMode="External"/><Relationship Id="rId1" Type="http://schemas.openxmlformats.org/officeDocument/2006/relationships/hyperlink" Target="mailto:michael@jackwalshcarpets.com" TargetMode="External"/><Relationship Id="rId6" Type="http://schemas.openxmlformats.org/officeDocument/2006/relationships/printerSettings" Target="../printerSettings/printerSettings33.bin"/><Relationship Id="rId5" Type="http://schemas.openxmlformats.org/officeDocument/2006/relationships/hyperlink" Target="mailto:scolado@totalflooring.net" TargetMode="External"/><Relationship Id="rId4" Type="http://schemas.openxmlformats.org/officeDocument/2006/relationships/hyperlink" Target="mailto:nick@tileandmarbleworks.com"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mailto:David.Riviere@stonhard.com" TargetMode="External"/><Relationship Id="rId2" Type="http://schemas.openxmlformats.org/officeDocument/2006/relationships/hyperlink" Target="mailto:carissa@blackrockindustrial.com" TargetMode="External"/><Relationship Id="rId1" Type="http://schemas.openxmlformats.org/officeDocument/2006/relationships/hyperlink" Target="mailto:lcanary@durafloor.net"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James@doradodrywall.com" TargetMode="External"/><Relationship Id="rId2" Type="http://schemas.openxmlformats.org/officeDocument/2006/relationships/hyperlink" Target="mailto:aloymagarcia@acousti.com" TargetMode="External"/><Relationship Id="rId1" Type="http://schemas.openxmlformats.org/officeDocument/2006/relationships/hyperlink" Target="mailto:martinoffice@martinacoustics.net"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mailto:scolado@totalflooring.net" TargetMode="External"/><Relationship Id="rId2" Type="http://schemas.openxmlformats.org/officeDocument/2006/relationships/hyperlink" Target="mailto:kkillian@profastflooring.com" TargetMode="External"/><Relationship Id="rId1" Type="http://schemas.openxmlformats.org/officeDocument/2006/relationships/hyperlink" Target="mailto:michael@jackwalshcarpets.com"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mailto:kellum@absolutehardwoodflooring.com" TargetMode="External"/><Relationship Id="rId2" Type="http://schemas.openxmlformats.org/officeDocument/2006/relationships/hyperlink" Target="mailto:lisa@oneillbrothersflooring.com" TargetMode="External"/><Relationship Id="rId1" Type="http://schemas.openxmlformats.org/officeDocument/2006/relationships/hyperlink" Target="mailto:nahlbrecht@europeanflooring.com" TargetMode="External"/><Relationship Id="rId6" Type="http://schemas.openxmlformats.org/officeDocument/2006/relationships/printerSettings" Target="../printerSettings/printerSettings37.bin"/><Relationship Id="rId5" Type="http://schemas.openxmlformats.org/officeDocument/2006/relationships/hyperlink" Target="mailto:scolado@totalflooring.net" TargetMode="External"/><Relationship Id="rId4" Type="http://schemas.openxmlformats.org/officeDocument/2006/relationships/hyperlink" Target="mailto:michael@jackwalshcarpets.com"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mailto:estimating@newtouchofcolorcorp.com" TargetMode="External"/><Relationship Id="rId2" Type="http://schemas.openxmlformats.org/officeDocument/2006/relationships/hyperlink" Target="mailto:cquist@irawalden.com" TargetMode="External"/><Relationship Id="rId1" Type="http://schemas.openxmlformats.org/officeDocument/2006/relationships/hyperlink" Target="mailto:deggertsson@advanced-painting.com" TargetMode="External"/><Relationship Id="rId5" Type="http://schemas.openxmlformats.org/officeDocument/2006/relationships/printerSettings" Target="../printerSettings/printerSettings38.bin"/><Relationship Id="rId4" Type="http://schemas.openxmlformats.org/officeDocument/2006/relationships/hyperlink" Target="mailto:ricky@sunstatecontractors.com"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mailto:jshike@newtondistributing.com" TargetMode="External"/><Relationship Id="rId2" Type="http://schemas.openxmlformats.org/officeDocument/2006/relationships/hyperlink" Target="mailto:efigueroa@specialtiesdirect.com" TargetMode="External"/><Relationship Id="rId1" Type="http://schemas.openxmlformats.org/officeDocument/2006/relationships/hyperlink" Target="mailto:csmith@interiorspecialties.com"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Jose@hollman.com" TargetMode="External"/><Relationship Id="rId1" Type="http://schemas.openxmlformats.org/officeDocument/2006/relationships/hyperlink" Target="mailto:cbauer2@bellsouth.net" TargetMode="Externa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mailto:jcouchman@cheneybrothers.com" TargetMode="Externa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mailto:info@raiseshineblinds.com" TargetMode="External"/><Relationship Id="rId1" Type="http://schemas.openxmlformats.org/officeDocument/2006/relationships/hyperlink" Target="mailto:gil@shadesbydesign.com" TargetMode="External"/><Relationship Id="rId4" Type="http://schemas.openxmlformats.org/officeDocument/2006/relationships/drawing" Target="../drawings/drawing15.xml"/></Relationships>
</file>

<file path=xl/worksheets/_rels/sheet53.xml.rels><?xml version="1.0" encoding="UTF-8" standalone="yes"?>
<Relationships xmlns="http://schemas.openxmlformats.org/package/2006/relationships"><Relationship Id="rId8" Type="http://schemas.openxmlformats.org/officeDocument/2006/relationships/printerSettings" Target="../printerSettings/printerSettings53.bin"/><Relationship Id="rId3" Type="http://schemas.openxmlformats.org/officeDocument/2006/relationships/hyperlink" Target="mailto:daniel@poolcrafters.com" TargetMode="External"/><Relationship Id="rId7" Type="http://schemas.openxmlformats.org/officeDocument/2006/relationships/hyperlink" Target="mailto:frankagpools@hotmail.com" TargetMode="External"/><Relationship Id="rId2" Type="http://schemas.openxmlformats.org/officeDocument/2006/relationships/hyperlink" Target="mailto:kim@almarjacksonpools.com" TargetMode="External"/><Relationship Id="rId1" Type="http://schemas.openxmlformats.org/officeDocument/2006/relationships/hyperlink" Target="mailto:Nigel@rockstarpools.com" TargetMode="External"/><Relationship Id="rId6" Type="http://schemas.openxmlformats.org/officeDocument/2006/relationships/hyperlink" Target="mailto:KellyK@certifiedpools.net" TargetMode="External"/><Relationship Id="rId5" Type="http://schemas.openxmlformats.org/officeDocument/2006/relationships/hyperlink" Target="mailto:estimating@apexpavers.com" TargetMode="External"/><Relationship Id="rId4" Type="http://schemas.openxmlformats.org/officeDocument/2006/relationships/hyperlink" Target="mailto:josephstallone94@gmail.com" TargetMode="External"/><Relationship Id="rId9" Type="http://schemas.openxmlformats.org/officeDocument/2006/relationships/drawing" Target="../drawings/drawing16.xm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mailto:mwilliamson@designforleisure.com"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mailto:luis.gonzalez@otis.com"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mailto:kbayram@whrise.com"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ailto:dennisse.collazo@centuryfp.com" TargetMode="External"/><Relationship Id="rId2" Type="http://schemas.openxmlformats.org/officeDocument/2006/relationships/hyperlink" Target="mailto:Graham@tlcfireandsecurity.com" TargetMode="External"/><Relationship Id="rId1" Type="http://schemas.openxmlformats.org/officeDocument/2006/relationships/hyperlink" Target="mailto:Ccortiza@millbrookfireprotection.com" TargetMode="External"/><Relationship Id="rId5" Type="http://schemas.openxmlformats.org/officeDocument/2006/relationships/printerSettings" Target="../printerSettings/printerSettings57.bin"/><Relationship Id="rId4" Type="http://schemas.openxmlformats.org/officeDocument/2006/relationships/hyperlink" Target="mailto:rlee1@SummitFireSecurity.com"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mailto:epotts@theseverngroup.com" TargetMode="External"/><Relationship Id="rId7" Type="http://schemas.openxmlformats.org/officeDocument/2006/relationships/drawing" Target="../drawings/drawing17.xml"/><Relationship Id="rId2" Type="http://schemas.openxmlformats.org/officeDocument/2006/relationships/hyperlink" Target="mailto:jpease@anchormechanical.com" TargetMode="External"/><Relationship Id="rId1" Type="http://schemas.openxmlformats.org/officeDocument/2006/relationships/hyperlink" Target="mailto:cjanssen@medicairsystems.com" TargetMode="External"/><Relationship Id="rId6" Type="http://schemas.openxmlformats.org/officeDocument/2006/relationships/printerSettings" Target="../printerSettings/printerSettings58.bin"/><Relationship Id="rId5" Type="http://schemas.openxmlformats.org/officeDocument/2006/relationships/hyperlink" Target="mailto:jrizo@ameritechplumbing.com" TargetMode="External"/><Relationship Id="rId4" Type="http://schemas.openxmlformats.org/officeDocument/2006/relationships/hyperlink" Target="mailto:KCLplumbing@gmail.com" TargetMode="Externa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18.xml"/><Relationship Id="rId3" Type="http://schemas.openxmlformats.org/officeDocument/2006/relationships/hyperlink" Target="mailto:jmj@mechanicoolfl.com" TargetMode="External"/><Relationship Id="rId7" Type="http://schemas.openxmlformats.org/officeDocument/2006/relationships/printerSettings" Target="../printerSettings/printerSettings59.bin"/><Relationship Id="rId2" Type="http://schemas.openxmlformats.org/officeDocument/2006/relationships/hyperlink" Target="mailto:jkanov@coastalfloridamechanical.com" TargetMode="External"/><Relationship Id="rId1" Type="http://schemas.openxmlformats.org/officeDocument/2006/relationships/hyperlink" Target="mailto:RGliniewicz@everestmech.com" TargetMode="External"/><Relationship Id="rId6" Type="http://schemas.openxmlformats.org/officeDocument/2006/relationships/hyperlink" Target="mailto:cjanssen@medicairsystems.com" TargetMode="External"/><Relationship Id="rId5" Type="http://schemas.openxmlformats.org/officeDocument/2006/relationships/hyperlink" Target="mailto:rlanfair@anchormechanical.com" TargetMode="External"/><Relationship Id="rId4" Type="http://schemas.openxmlformats.org/officeDocument/2006/relationships/hyperlink" Target="mailto:estimating@flamech.com"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mailto:ken@ecsinc.biz" TargetMode="External"/><Relationship Id="rId2" Type="http://schemas.openxmlformats.org/officeDocument/2006/relationships/hyperlink" Target="mailto:jmarkham@blycoelectric.com" TargetMode="External"/><Relationship Id="rId1" Type="http://schemas.openxmlformats.org/officeDocument/2006/relationships/hyperlink" Target="mailto:smatthews@gerelco.com" TargetMode="External"/><Relationship Id="rId5" Type="http://schemas.openxmlformats.org/officeDocument/2006/relationships/printerSettings" Target="../printerSettings/printerSettings60.bin"/><Relationship Id="rId4" Type="http://schemas.openxmlformats.org/officeDocument/2006/relationships/hyperlink" Target="mailto:wjordan@anchormechanical.com" TargetMode="External"/></Relationships>
</file>

<file path=xl/worksheets/_rels/sheet61.xml.rels><?xml version="1.0" encoding="UTF-8" standalone="yes"?>
<Relationships xmlns="http://schemas.openxmlformats.org/package/2006/relationships"><Relationship Id="rId3" Type="http://schemas.openxmlformats.org/officeDocument/2006/relationships/hyperlink" Target="mailto:Jon@CASISystems.com" TargetMode="External"/><Relationship Id="rId2" Type="http://schemas.openxmlformats.org/officeDocument/2006/relationships/hyperlink" Target="mailto:johns@jade-com.com" TargetMode="External"/><Relationship Id="rId1" Type="http://schemas.openxmlformats.org/officeDocument/2006/relationships/hyperlink" Target="mailto:Carloslara@coranet.com" TargetMode="External"/><Relationship Id="rId5" Type="http://schemas.openxmlformats.org/officeDocument/2006/relationships/drawing" Target="../drawings/drawing19.xml"/><Relationship Id="rId4"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hyperlink" Target="mailto:jbarreto@peersonaudio.com" TargetMode="External"/><Relationship Id="rId2" Type="http://schemas.openxmlformats.org/officeDocument/2006/relationships/hyperlink" Target="mailto:johns@jade-com.com" TargetMode="External"/><Relationship Id="rId1" Type="http://schemas.openxmlformats.org/officeDocument/2006/relationships/hyperlink" Target="mailto:Carloslara@coranet.com" TargetMode="External"/><Relationship Id="rId5" Type="http://schemas.openxmlformats.org/officeDocument/2006/relationships/drawing" Target="../drawings/drawing20.xml"/><Relationship Id="rId4"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hyperlink" Target="mailto:jbradford@nautilusrf.com" TargetMode="External"/><Relationship Id="rId1" Type="http://schemas.openxmlformats.org/officeDocument/2006/relationships/hyperlink" Target="mailto:Carloslara@coranet.com"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hyperlink" Target="mailto:johns@jade-com.com" TargetMode="External"/><Relationship Id="rId1" Type="http://schemas.openxmlformats.org/officeDocument/2006/relationships/hyperlink" Target="mailto:Carloslara@coranet.com" TargetMode="External"/><Relationship Id="rId4" Type="http://schemas.openxmlformats.org/officeDocument/2006/relationships/drawing" Target="../drawings/drawing21.xml"/></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mailto:DUrbina@guettlerconstruction.com" TargetMode="Externa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8" Type="http://schemas.openxmlformats.org/officeDocument/2006/relationships/drawing" Target="../drawings/drawing23.xml"/><Relationship Id="rId3" Type="http://schemas.openxmlformats.org/officeDocument/2006/relationships/hyperlink" Target="mailto:sales@csepaving.com" TargetMode="External"/><Relationship Id="rId7" Type="http://schemas.openxmlformats.org/officeDocument/2006/relationships/printerSettings" Target="../printerSettings/printerSettings69.bin"/><Relationship Id="rId2" Type="http://schemas.openxmlformats.org/officeDocument/2006/relationships/hyperlink" Target="mailto:David@dwhardscapes.com" TargetMode="External"/><Relationship Id="rId1" Type="http://schemas.openxmlformats.org/officeDocument/2006/relationships/hyperlink" Target="mailto:estimating@apexpavers.com" TargetMode="External"/><Relationship Id="rId6" Type="http://schemas.openxmlformats.org/officeDocument/2006/relationships/hyperlink" Target="mailto:cissy.yang@perfectpavers.com" TargetMode="External"/><Relationship Id="rId5" Type="http://schemas.openxmlformats.org/officeDocument/2006/relationships/hyperlink" Target="mailto:niki@palmbeachcontractingservices.com" TargetMode="External"/><Relationship Id="rId4" Type="http://schemas.openxmlformats.org/officeDocument/2006/relationships/hyperlink" Target="mailto:Paul@marbon.com" TargetMode="External"/></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hyperlink" Target="mailto:bids@agreatfence.com" TargetMode="External"/></Relationships>
</file>

<file path=xl/worksheets/_rels/sheet71.xml.rels><?xml version="1.0" encoding="UTF-8" standalone="yes"?>
<Relationships xmlns="http://schemas.openxmlformats.org/package/2006/relationships"><Relationship Id="rId3" Type="http://schemas.openxmlformats.org/officeDocument/2006/relationships/hyperlink" Target="mailto:mmendez@tcirrigation.com" TargetMode="External"/><Relationship Id="rId2" Type="http://schemas.openxmlformats.org/officeDocument/2006/relationships/hyperlink" Target="mailto:geraldwenta@gmail.com" TargetMode="External"/><Relationship Id="rId1" Type="http://schemas.openxmlformats.org/officeDocument/2006/relationships/hyperlink" Target="mailto:Anna.Buttenschon@down2earthinc.com" TargetMode="External"/><Relationship Id="rId5" Type="http://schemas.openxmlformats.org/officeDocument/2006/relationships/printerSettings" Target="../printerSettings/printerSettings71.bin"/><Relationship Id="rId4" Type="http://schemas.openxmlformats.org/officeDocument/2006/relationships/hyperlink" Target="mailto:sjkross@aol.com" TargetMode="Externa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55A1-955E-4083-A962-2666B5FB57DD}">
  <sheetPr>
    <tabColor rgb="FFFFFF00"/>
  </sheetPr>
  <dimension ref="A1:L95"/>
  <sheetViews>
    <sheetView zoomScale="90" zoomScaleNormal="90" workbookViewId="0">
      <selection activeCell="D36" sqref="D36"/>
    </sheetView>
  </sheetViews>
  <sheetFormatPr defaultColWidth="8.85546875" defaultRowHeight="15"/>
  <cols>
    <col min="1" max="1" width="5.28515625" customWidth="1"/>
    <col min="2" max="2" width="37.85546875" customWidth="1"/>
    <col min="3" max="6" width="15.7109375" customWidth="1"/>
    <col min="8" max="10" width="9.140625" style="46"/>
    <col min="11" max="11" width="11.42578125" style="46" bestFit="1" customWidth="1"/>
    <col min="12" max="12" width="12" style="46" bestFit="1" customWidth="1"/>
  </cols>
  <sheetData>
    <row r="1" spans="1:12" ht="15.75" thickBot="1"/>
    <row r="2" spans="1:12" ht="22.5" customHeight="1" thickTop="1" thickBot="1">
      <c r="B2" s="367" t="s">
        <v>0</v>
      </c>
      <c r="E2" s="21"/>
      <c r="F2" s="21"/>
    </row>
    <row r="3" spans="1:12" ht="20.100000000000001" customHeight="1" thickTop="1">
      <c r="E3" s="21"/>
      <c r="F3" s="21"/>
    </row>
    <row r="4" spans="1:12" ht="19.5" customHeight="1">
      <c r="B4" s="847" t="s">
        <v>1</v>
      </c>
      <c r="C4" s="847"/>
      <c r="D4" s="847"/>
      <c r="E4" s="847"/>
      <c r="F4" s="847"/>
      <c r="G4" s="847"/>
    </row>
    <row r="5" spans="1:12" ht="19.5" customHeight="1">
      <c r="B5" s="846" t="s">
        <v>2</v>
      </c>
      <c r="C5" s="846"/>
      <c r="D5" s="846"/>
      <c r="E5" s="92" t="s">
        <v>3</v>
      </c>
      <c r="F5" s="1005">
        <f>D45</f>
        <v>88672</v>
      </c>
      <c r="G5" s="150"/>
      <c r="H5" s="611"/>
    </row>
    <row r="6" spans="1:12" ht="19.5" customHeight="1">
      <c r="B6" s="159"/>
      <c r="C6" s="159"/>
      <c r="D6" s="159"/>
      <c r="E6" s="92" t="s">
        <v>4</v>
      </c>
      <c r="F6" s="1005">
        <f>C45</f>
        <v>72629</v>
      </c>
      <c r="G6" s="150"/>
    </row>
    <row r="7" spans="1:12" ht="19.5" customHeight="1">
      <c r="B7" s="30"/>
      <c r="D7" s="22"/>
      <c r="E7" s="92" t="s">
        <v>5</v>
      </c>
      <c r="F7" s="1005">
        <f>E45</f>
        <v>0</v>
      </c>
      <c r="G7" s="150"/>
    </row>
    <row r="8" spans="1:12" s="24" customFormat="1" ht="15" customHeight="1">
      <c r="B8" s="31"/>
      <c r="E8" s="92" t="s">
        <v>6</v>
      </c>
      <c r="F8" s="1006">
        <v>1</v>
      </c>
      <c r="G8" s="150"/>
      <c r="H8" s="46"/>
      <c r="I8" s="46"/>
      <c r="J8" s="46"/>
      <c r="K8" s="46"/>
      <c r="L8" s="46"/>
    </row>
    <row r="9" spans="1:12" s="24" customFormat="1" ht="15" customHeight="1">
      <c r="B9" s="32"/>
      <c r="E9" s="92" t="s">
        <v>7</v>
      </c>
      <c r="F9" s="1005"/>
      <c r="G9" s="150"/>
      <c r="H9" s="46"/>
      <c r="I9" s="46"/>
      <c r="J9" s="46"/>
      <c r="K9" s="46"/>
      <c r="L9" s="46"/>
    </row>
    <row r="10" spans="1:12" s="24" customFormat="1" ht="15" customHeight="1">
      <c r="B10" s="147"/>
      <c r="E10" s="92" t="s">
        <v>8</v>
      </c>
      <c r="F10" s="1007"/>
      <c r="G10" s="150"/>
      <c r="H10" s="46"/>
      <c r="I10" s="46"/>
      <c r="J10" s="46"/>
      <c r="K10" s="46"/>
      <c r="L10" s="46"/>
    </row>
    <row r="11" spans="1:12" s="24" customFormat="1" ht="15" customHeight="1">
      <c r="B11" s="148"/>
      <c r="E11" s="92" t="s">
        <v>9</v>
      </c>
      <c r="F11" s="1007"/>
      <c r="G11" s="150"/>
      <c r="H11" s="46"/>
      <c r="I11" s="46"/>
      <c r="J11" s="46"/>
      <c r="K11" s="46"/>
      <c r="L11" s="46"/>
    </row>
    <row r="12" spans="1:12" s="24" customFormat="1" ht="15.75">
      <c r="B12" s="25"/>
      <c r="E12" s="23"/>
      <c r="F12" s="93"/>
      <c r="G12" s="150"/>
      <c r="H12" s="46"/>
      <c r="I12" s="46"/>
      <c r="J12" s="46"/>
      <c r="K12" s="46"/>
      <c r="L12" s="46"/>
    </row>
    <row r="13" spans="1:12" s="24" customFormat="1" ht="16.5" thickBot="1">
      <c r="B13" s="25"/>
      <c r="E13" s="23"/>
      <c r="F13" s="26"/>
      <c r="G13" s="150"/>
      <c r="H13" s="46"/>
      <c r="I13" s="46"/>
      <c r="J13" s="46"/>
      <c r="K13" s="46"/>
      <c r="L13" s="46"/>
    </row>
    <row r="14" spans="1:12" s="27" customFormat="1" ht="15" customHeight="1">
      <c r="A14" s="33" t="s">
        <v>10</v>
      </c>
      <c r="B14" s="1008" t="s">
        <v>11</v>
      </c>
      <c r="C14" s="69" t="s">
        <v>12</v>
      </c>
      <c r="D14" s="69" t="s">
        <v>13</v>
      </c>
      <c r="E14" s="69" t="s">
        <v>14</v>
      </c>
      <c r="F14" s="149"/>
      <c r="G14" s="24"/>
      <c r="H14" s="46"/>
      <c r="I14" s="46"/>
      <c r="J14" s="46"/>
      <c r="K14" s="46"/>
      <c r="L14" s="46"/>
    </row>
    <row r="15" spans="1:12" s="46" customFormat="1" ht="15" customHeight="1">
      <c r="B15" s="368" t="s">
        <v>15</v>
      </c>
      <c r="C15" s="206"/>
      <c r="D15" s="206"/>
      <c r="F15" s="207"/>
    </row>
    <row r="16" spans="1:12" s="208" customFormat="1" ht="15" customHeight="1">
      <c r="B16" s="369" t="s">
        <v>16</v>
      </c>
      <c r="C16" s="210">
        <f>D16</f>
        <v>7078</v>
      </c>
      <c r="D16" s="210">
        <v>7078</v>
      </c>
      <c r="E16" s="211"/>
      <c r="F16" s="207"/>
      <c r="G16" s="46"/>
      <c r="H16" s="46"/>
      <c r="I16" s="46"/>
      <c r="J16" s="46"/>
      <c r="K16" s="46"/>
      <c r="L16" s="57"/>
    </row>
    <row r="17" spans="2:12" s="208" customFormat="1" ht="15" customHeight="1">
      <c r="B17" s="369" t="s">
        <v>17</v>
      </c>
      <c r="C17" s="210"/>
      <c r="D17" s="210">
        <v>511</v>
      </c>
      <c r="E17" s="211"/>
      <c r="F17" s="207"/>
      <c r="G17" s="46"/>
      <c r="H17" s="46"/>
      <c r="I17" s="46"/>
      <c r="J17" s="46"/>
      <c r="K17" s="46"/>
      <c r="L17" s="46"/>
    </row>
    <row r="18" spans="2:12" s="208" customFormat="1" ht="15" customHeight="1">
      <c r="B18" s="369" t="s">
        <v>18</v>
      </c>
      <c r="C18" s="210"/>
      <c r="D18" s="210">
        <v>1078</v>
      </c>
      <c r="E18" s="211"/>
      <c r="F18" s="207"/>
      <c r="G18" s="46"/>
      <c r="H18" s="46"/>
      <c r="I18" s="46"/>
      <c r="J18" s="46"/>
      <c r="K18" s="46"/>
      <c r="L18" s="57"/>
    </row>
    <row r="19" spans="2:12" s="208" customFormat="1" ht="15" customHeight="1">
      <c r="B19" s="369" t="s">
        <v>19</v>
      </c>
      <c r="C19" s="210">
        <f>D19</f>
        <v>4746</v>
      </c>
      <c r="D19" s="210">
        <v>4746</v>
      </c>
      <c r="E19" s="211"/>
      <c r="F19" s="207"/>
      <c r="G19" s="46"/>
      <c r="H19" s="46"/>
      <c r="I19" s="46"/>
      <c r="J19" s="46"/>
      <c r="K19" s="46"/>
      <c r="L19" s="57"/>
    </row>
    <row r="20" spans="2:12" s="208" customFormat="1" ht="15" customHeight="1">
      <c r="B20" s="369" t="s">
        <v>20</v>
      </c>
      <c r="C20" s="210"/>
      <c r="D20" s="210">
        <v>889</v>
      </c>
      <c r="E20" s="211"/>
      <c r="F20" s="207"/>
      <c r="G20" s="46"/>
      <c r="H20" s="46"/>
      <c r="I20" s="46"/>
      <c r="J20" s="46"/>
      <c r="K20" s="46"/>
      <c r="L20" s="46"/>
    </row>
    <row r="21" spans="2:12" s="208" customFormat="1" ht="15" customHeight="1">
      <c r="B21" s="369" t="s">
        <v>21</v>
      </c>
      <c r="C21" s="210"/>
      <c r="D21" s="210">
        <v>1413</v>
      </c>
      <c r="E21" s="211"/>
      <c r="F21" s="207"/>
      <c r="G21" s="46"/>
      <c r="H21" s="46"/>
      <c r="I21" s="46"/>
      <c r="J21" s="46"/>
      <c r="K21" s="46"/>
      <c r="L21" s="57"/>
    </row>
    <row r="22" spans="2:12" s="208" customFormat="1" ht="15" customHeight="1">
      <c r="B22" s="369" t="s">
        <v>22</v>
      </c>
      <c r="C22" s="210"/>
      <c r="D22" s="210">
        <v>562</v>
      </c>
      <c r="E22" s="211"/>
      <c r="F22" s="207"/>
      <c r="G22" s="46"/>
      <c r="H22" s="46"/>
      <c r="I22" s="46"/>
      <c r="J22" s="46"/>
      <c r="K22" s="46"/>
      <c r="L22" s="46"/>
    </row>
    <row r="23" spans="2:12" s="208" customFormat="1" ht="15" customHeight="1">
      <c r="B23" s="369" t="s">
        <v>23</v>
      </c>
      <c r="C23" s="210"/>
      <c r="D23" s="210">
        <v>1521</v>
      </c>
      <c r="E23" s="211"/>
      <c r="F23" s="207"/>
      <c r="G23" s="46"/>
      <c r="H23" s="46"/>
      <c r="I23" s="46"/>
      <c r="J23" s="46"/>
      <c r="K23" s="46"/>
      <c r="L23" s="57"/>
    </row>
    <row r="24" spans="2:12" s="208" customFormat="1" ht="15" customHeight="1">
      <c r="B24" s="369" t="s">
        <v>24</v>
      </c>
      <c r="C24" s="210">
        <f>D24</f>
        <v>12861</v>
      </c>
      <c r="D24" s="210">
        <v>12861</v>
      </c>
      <c r="E24" s="211"/>
      <c r="F24" s="207"/>
      <c r="G24" s="46"/>
      <c r="H24" s="46"/>
      <c r="I24" s="46"/>
      <c r="J24" s="46"/>
      <c r="K24" s="46"/>
      <c r="L24" s="57"/>
    </row>
    <row r="25" spans="2:12" s="208" customFormat="1" ht="15" customHeight="1">
      <c r="B25" s="368" t="s">
        <v>25</v>
      </c>
      <c r="C25" s="210"/>
      <c r="D25" s="210"/>
      <c r="E25" s="211"/>
      <c r="F25" s="207"/>
      <c r="G25" s="46"/>
      <c r="H25" s="46"/>
      <c r="I25" s="46"/>
      <c r="J25" s="46"/>
      <c r="K25" s="46"/>
      <c r="L25" s="46"/>
    </row>
    <row r="26" spans="2:12" s="208" customFormat="1" ht="15" customHeight="1">
      <c r="B26" s="369" t="s">
        <v>26</v>
      </c>
      <c r="C26" s="210">
        <f>D26</f>
        <v>10905</v>
      </c>
      <c r="D26" s="210">
        <v>10905</v>
      </c>
      <c r="E26" s="211"/>
      <c r="F26" s="207"/>
      <c r="G26" s="46"/>
      <c r="H26" s="46"/>
      <c r="I26" s="46"/>
      <c r="J26" s="46"/>
      <c r="K26" s="46"/>
      <c r="L26" s="57"/>
    </row>
    <row r="27" spans="2:12" s="208" customFormat="1" ht="15" customHeight="1">
      <c r="B27" s="369" t="s">
        <v>27</v>
      </c>
      <c r="C27" s="210"/>
      <c r="D27" s="210">
        <v>3621</v>
      </c>
      <c r="E27" s="211"/>
      <c r="F27" s="207"/>
      <c r="G27" s="46"/>
      <c r="H27" s="46"/>
      <c r="I27" s="46"/>
      <c r="J27" s="46"/>
      <c r="K27" s="46"/>
      <c r="L27" s="57"/>
    </row>
    <row r="28" spans="2:12" s="208" customFormat="1" ht="15" customHeight="1">
      <c r="B28" s="369" t="s">
        <v>28</v>
      </c>
      <c r="C28" s="210">
        <f>D28</f>
        <v>7857</v>
      </c>
      <c r="D28" s="210">
        <v>7857</v>
      </c>
      <c r="E28" s="211"/>
      <c r="F28" s="207"/>
      <c r="G28" s="46"/>
      <c r="H28" s="46"/>
      <c r="I28" s="46"/>
      <c r="J28" s="46"/>
      <c r="K28" s="46"/>
      <c r="L28" s="57"/>
    </row>
    <row r="29" spans="2:12" s="208" customFormat="1" ht="15" customHeight="1">
      <c r="B29" s="369" t="s">
        <v>29</v>
      </c>
      <c r="C29" s="210"/>
      <c r="D29" s="210">
        <v>2615</v>
      </c>
      <c r="E29" s="211"/>
      <c r="F29" s="207"/>
      <c r="G29" s="46"/>
      <c r="H29" s="46"/>
      <c r="I29" s="46"/>
      <c r="J29" s="46"/>
      <c r="K29" s="46"/>
      <c r="L29" s="57"/>
    </row>
    <row r="30" spans="2:12" s="208" customFormat="1" ht="15" customHeight="1">
      <c r="B30" s="369" t="s">
        <v>30</v>
      </c>
      <c r="C30" s="210">
        <f>D30</f>
        <v>14954</v>
      </c>
      <c r="D30" s="210">
        <v>14954</v>
      </c>
      <c r="E30" s="211"/>
      <c r="F30" s="207"/>
      <c r="G30" s="46"/>
      <c r="H30" s="46"/>
      <c r="I30" s="46"/>
      <c r="J30" s="46"/>
      <c r="K30" s="46"/>
      <c r="L30" s="57"/>
    </row>
    <row r="31" spans="2:12" s="208" customFormat="1" ht="15" customHeight="1">
      <c r="B31" s="369" t="s">
        <v>31</v>
      </c>
      <c r="C31" s="210"/>
      <c r="D31" s="210">
        <v>1522</v>
      </c>
      <c r="E31" s="211"/>
      <c r="F31" s="207"/>
      <c r="G31" s="46"/>
      <c r="H31" s="46"/>
      <c r="I31" s="46"/>
      <c r="J31" s="46"/>
      <c r="K31" s="46"/>
      <c r="L31" s="57"/>
    </row>
    <row r="32" spans="2:12" s="208" customFormat="1" ht="15" customHeight="1">
      <c r="B32" s="368" t="s">
        <v>32</v>
      </c>
      <c r="C32" s="210"/>
      <c r="D32" s="210"/>
      <c r="E32" s="211"/>
      <c r="F32" s="207"/>
      <c r="G32" s="46"/>
      <c r="H32" s="46"/>
      <c r="I32" s="46"/>
      <c r="J32" s="46"/>
      <c r="K32" s="46"/>
      <c r="L32" s="46"/>
    </row>
    <row r="33" spans="1:12" s="208" customFormat="1" ht="15" customHeight="1">
      <c r="B33" s="369" t="s">
        <v>33</v>
      </c>
      <c r="C33" s="210">
        <f>D33</f>
        <v>3386</v>
      </c>
      <c r="D33" s="210">
        <v>3386</v>
      </c>
      <c r="E33" s="211"/>
      <c r="F33" s="207"/>
      <c r="G33" s="46"/>
      <c r="H33" s="46"/>
      <c r="I33" s="46"/>
      <c r="J33" s="46"/>
      <c r="K33" s="46"/>
      <c r="L33" s="57"/>
    </row>
    <row r="34" spans="1:12" s="208" customFormat="1" ht="15" customHeight="1">
      <c r="B34" s="369" t="s">
        <v>34</v>
      </c>
      <c r="C34" s="210"/>
      <c r="D34" s="210">
        <v>2032</v>
      </c>
      <c r="E34" s="211"/>
      <c r="F34" s="207"/>
      <c r="G34" s="46"/>
      <c r="H34" s="46"/>
      <c r="I34" s="46"/>
      <c r="J34" s="46"/>
      <c r="K34" s="46"/>
      <c r="L34" s="57"/>
    </row>
    <row r="35" spans="1:12" s="208" customFormat="1" ht="15" customHeight="1">
      <c r="B35" s="369" t="s">
        <v>35</v>
      </c>
      <c r="C35" s="210">
        <f>D35</f>
        <v>8314</v>
      </c>
      <c r="D35" s="210">
        <v>8314</v>
      </c>
      <c r="E35" s="211"/>
      <c r="F35" s="207"/>
      <c r="G35" s="46"/>
      <c r="H35" s="46"/>
      <c r="I35" s="46"/>
      <c r="J35" s="46"/>
      <c r="K35" s="46"/>
      <c r="L35" s="57"/>
    </row>
    <row r="36" spans="1:12" s="208" customFormat="1" ht="15" customHeight="1">
      <c r="B36" s="369" t="s">
        <v>36</v>
      </c>
      <c r="C36" s="210"/>
      <c r="D36" s="210">
        <v>279</v>
      </c>
      <c r="E36" s="211"/>
      <c r="F36" s="207"/>
      <c r="G36" s="46"/>
      <c r="H36" s="46"/>
      <c r="I36" s="46"/>
      <c r="J36" s="46"/>
      <c r="K36" s="46"/>
      <c r="L36" s="46"/>
    </row>
    <row r="37" spans="1:12" s="208" customFormat="1" ht="15" customHeight="1">
      <c r="B37" s="209"/>
      <c r="C37" s="210"/>
      <c r="D37" s="210"/>
      <c r="E37" s="211"/>
      <c r="F37" s="207"/>
      <c r="G37" s="46"/>
      <c r="H37" s="46"/>
      <c r="I37" s="46"/>
      <c r="J37" s="46"/>
      <c r="K37" s="46"/>
      <c r="L37" s="46"/>
    </row>
    <row r="38" spans="1:12" s="208" customFormat="1" ht="15" customHeight="1">
      <c r="B38" s="368" t="s">
        <v>37</v>
      </c>
      <c r="C38" s="210">
        <f>D38</f>
        <v>2528</v>
      </c>
      <c r="D38" s="210">
        <v>2528</v>
      </c>
      <c r="E38" s="211"/>
      <c r="F38" s="207"/>
      <c r="G38" s="46"/>
      <c r="H38" s="46"/>
      <c r="I38" s="46"/>
      <c r="J38" s="46"/>
      <c r="K38" s="46"/>
      <c r="L38" s="46"/>
    </row>
    <row r="39" spans="1:12" s="208" customFormat="1" ht="15" customHeight="1">
      <c r="B39" s="209"/>
      <c r="C39" s="210"/>
      <c r="D39" s="210"/>
      <c r="E39" s="211"/>
      <c r="F39" s="207"/>
      <c r="G39" s="46"/>
      <c r="H39" s="46"/>
      <c r="I39" s="46"/>
      <c r="J39" s="46"/>
      <c r="K39" s="46"/>
      <c r="L39" s="46"/>
    </row>
    <row r="40" spans="1:12" s="208" customFormat="1" ht="15" customHeight="1">
      <c r="B40" s="209"/>
      <c r="C40" s="210"/>
      <c r="D40" s="210"/>
      <c r="E40" s="211"/>
      <c r="F40" s="207"/>
      <c r="G40" s="46"/>
      <c r="H40" s="46"/>
      <c r="I40" s="46"/>
      <c r="J40" s="46"/>
      <c r="K40" s="46"/>
      <c r="L40" s="46"/>
    </row>
    <row r="41" spans="1:12" s="208" customFormat="1" ht="15" customHeight="1">
      <c r="B41" s="209"/>
      <c r="C41" s="210"/>
      <c r="D41" s="210"/>
      <c r="E41" s="211"/>
      <c r="F41" s="207"/>
      <c r="G41" s="46"/>
      <c r="H41" s="46"/>
      <c r="I41" s="46"/>
      <c r="J41" s="46"/>
      <c r="K41" s="46"/>
      <c r="L41" s="46"/>
    </row>
    <row r="42" spans="1:12" s="208" customFormat="1" ht="15" customHeight="1">
      <c r="B42" s="209"/>
      <c r="C42" s="210"/>
      <c r="D42" s="210"/>
      <c r="E42" s="211"/>
      <c r="F42" s="207"/>
      <c r="G42" s="46"/>
      <c r="H42" s="46"/>
      <c r="I42" s="46"/>
      <c r="J42" s="46"/>
      <c r="K42" s="46"/>
      <c r="L42" s="46"/>
    </row>
    <row r="43" spans="1:12" s="208" customFormat="1" ht="15" customHeight="1">
      <c r="B43" s="209"/>
      <c r="C43" s="212"/>
      <c r="F43" s="207"/>
      <c r="G43" s="46"/>
      <c r="H43" s="46"/>
      <c r="I43" s="46"/>
      <c r="J43" s="46"/>
      <c r="K43" s="46"/>
      <c r="L43" s="46"/>
    </row>
    <row r="44" spans="1:12" s="208" customFormat="1" ht="15" customHeight="1">
      <c r="B44" s="209"/>
      <c r="C44" s="212"/>
      <c r="F44" s="213"/>
      <c r="G44" s="46"/>
      <c r="H44" s="46"/>
      <c r="I44" s="46"/>
      <c r="J44" s="46"/>
      <c r="K44" s="46"/>
      <c r="L44" s="46"/>
    </row>
    <row r="45" spans="1:12" s="214" customFormat="1" ht="15" customHeight="1" thickBot="1">
      <c r="A45" s="46"/>
      <c r="B45" s="1009" t="s">
        <v>38</v>
      </c>
      <c r="C45" s="1010">
        <f t="shared" ref="C45:D45" si="0">SUM(C15:C44)</f>
        <v>72629</v>
      </c>
      <c r="D45" s="1010">
        <f t="shared" si="0"/>
        <v>88672</v>
      </c>
      <c r="E45" s="1011">
        <f>SUM(E15:E44)</f>
        <v>0</v>
      </c>
      <c r="F45" s="1012"/>
      <c r="H45" s="46"/>
      <c r="I45" s="46"/>
      <c r="J45" s="46"/>
      <c r="K45" s="46"/>
      <c r="L45" s="46"/>
    </row>
    <row r="46" spans="1:12" ht="15" customHeight="1" thickBot="1"/>
    <row r="47" spans="1:12" s="219" customFormat="1" ht="15" customHeight="1">
      <c r="A47" s="215" t="s">
        <v>39</v>
      </c>
      <c r="B47" s="1013"/>
      <c r="C47" s="216" t="s">
        <v>40</v>
      </c>
      <c r="D47" s="216" t="s">
        <v>41</v>
      </c>
      <c r="E47" s="216"/>
      <c r="F47" s="217"/>
      <c r="G47" s="218"/>
      <c r="H47" s="46"/>
      <c r="I47" s="46"/>
      <c r="J47" s="46"/>
      <c r="K47" s="46"/>
      <c r="L47" s="46"/>
    </row>
    <row r="48" spans="1:12" s="220" customFormat="1" ht="15" customHeight="1">
      <c r="B48" s="1014"/>
      <c r="C48" s="725"/>
      <c r="D48" s="725"/>
      <c r="E48" s="726"/>
      <c r="F48" s="727"/>
      <c r="G48" s="218"/>
      <c r="H48" s="46"/>
      <c r="I48" s="46"/>
      <c r="J48" s="46"/>
      <c r="K48" s="46"/>
      <c r="L48" s="46"/>
    </row>
    <row r="49" spans="1:12" s="46" customFormat="1" ht="15" customHeight="1">
      <c r="B49" s="40"/>
      <c r="F49" s="221"/>
    </row>
    <row r="50" spans="1:12" s="46" customFormat="1" ht="15" customHeight="1">
      <c r="B50" s="40"/>
      <c r="D50" s="222"/>
      <c r="E50" s="223"/>
      <c r="F50" s="207"/>
    </row>
    <row r="51" spans="1:12" s="46" customFormat="1" ht="15" customHeight="1">
      <c r="B51" s="40"/>
      <c r="C51" s="222"/>
      <c r="D51" s="223"/>
      <c r="F51" s="207"/>
    </row>
    <row r="52" spans="1:12" s="46" customFormat="1" ht="15" customHeight="1">
      <c r="B52" s="40"/>
      <c r="C52" s="222"/>
      <c r="D52" s="223"/>
      <c r="F52" s="207"/>
    </row>
    <row r="53" spans="1:12" s="46" customFormat="1" ht="15" customHeight="1">
      <c r="B53" s="40"/>
      <c r="C53" s="222"/>
      <c r="D53" s="223"/>
      <c r="F53" s="207"/>
    </row>
    <row r="54" spans="1:12" s="46" customFormat="1" ht="15" customHeight="1">
      <c r="B54" s="40"/>
      <c r="C54" s="222"/>
      <c r="D54" s="223"/>
      <c r="F54" s="207"/>
    </row>
    <row r="55" spans="1:12" s="46" customFormat="1" ht="15" customHeight="1">
      <c r="B55" s="40"/>
      <c r="C55" s="222"/>
      <c r="D55" s="223"/>
      <c r="F55" s="207"/>
    </row>
    <row r="56" spans="1:12" s="46" customFormat="1" ht="15" customHeight="1">
      <c r="B56" s="40"/>
      <c r="C56" s="222"/>
      <c r="D56" s="223"/>
      <c r="E56" s="223"/>
      <c r="F56" s="207"/>
    </row>
    <row r="57" spans="1:12" s="46" customFormat="1" ht="15" customHeight="1">
      <c r="B57" s="40"/>
      <c r="C57" s="222"/>
      <c r="D57" s="223"/>
      <c r="F57" s="207"/>
    </row>
    <row r="58" spans="1:12" s="46" customFormat="1" ht="15" customHeight="1">
      <c r="B58" s="40"/>
      <c r="C58" s="222"/>
      <c r="D58" s="223"/>
      <c r="F58" s="207"/>
    </row>
    <row r="59" spans="1:12" s="46" customFormat="1" ht="15" customHeight="1">
      <c r="B59" s="40"/>
      <c r="C59" s="222"/>
      <c r="D59" s="223"/>
      <c r="F59" s="207"/>
    </row>
    <row r="60" spans="1:12" s="46" customFormat="1" ht="15" customHeight="1">
      <c r="B60" s="40"/>
      <c r="D60" s="223"/>
      <c r="F60" s="221"/>
    </row>
    <row r="61" spans="1:12" s="214" customFormat="1" ht="15" customHeight="1" thickBot="1">
      <c r="A61" s="46"/>
      <c r="B61" s="1009" t="s">
        <v>42</v>
      </c>
      <c r="C61" s="1015">
        <f>SUM(C51:C59)</f>
        <v>0</v>
      </c>
      <c r="D61" s="1016">
        <f>SUM(D50:D60)</f>
        <v>0</v>
      </c>
      <c r="E61" s="1017"/>
      <c r="F61" s="1012"/>
      <c r="H61" s="46"/>
      <c r="I61" s="46"/>
      <c r="J61" s="46"/>
      <c r="K61" s="46"/>
      <c r="L61" s="46"/>
    </row>
    <row r="62" spans="1:12" s="29" customFormat="1" ht="15" customHeight="1">
      <c r="A62"/>
      <c r="B62" s="30"/>
      <c r="C62" s="67"/>
      <c r="D62" s="68"/>
      <c r="E62" s="66"/>
      <c r="F62" s="66"/>
      <c r="H62" s="46"/>
      <c r="I62" s="46"/>
      <c r="J62" s="46"/>
      <c r="K62" s="46"/>
      <c r="L62" s="46"/>
    </row>
    <row r="63" spans="1:12" s="29" customFormat="1" ht="15" customHeight="1">
      <c r="A63"/>
      <c r="B63" s="30"/>
      <c r="C63" s="67"/>
      <c r="D63" s="68"/>
      <c r="E63" s="66"/>
      <c r="F63" s="66"/>
      <c r="H63" s="46"/>
      <c r="I63" s="46"/>
      <c r="J63" s="46"/>
      <c r="K63" s="46"/>
      <c r="L63" s="46"/>
    </row>
    <row r="64" spans="1:12" s="29" customFormat="1" ht="21" customHeight="1">
      <c r="A64"/>
      <c r="B64" s="65"/>
      <c r="C64" s="65"/>
      <c r="D64" s="42"/>
      <c r="E64" s="66"/>
      <c r="F64" s="66"/>
      <c r="H64" s="46"/>
      <c r="I64" s="46"/>
      <c r="J64" s="46"/>
      <c r="K64" s="46"/>
      <c r="L64" s="46"/>
    </row>
    <row r="65" spans="1:12" s="27" customFormat="1" ht="15.75">
      <c r="G65" s="24"/>
      <c r="H65" s="46"/>
      <c r="I65" s="46"/>
      <c r="J65" s="46"/>
      <c r="K65" s="46"/>
      <c r="L65" s="46"/>
    </row>
    <row r="72" spans="1:12" s="29" customFormat="1">
      <c r="H72" s="46"/>
      <c r="I72" s="46"/>
      <c r="J72" s="46"/>
      <c r="K72" s="46"/>
      <c r="L72" s="46"/>
    </row>
    <row r="73" spans="1:12" s="29" customFormat="1">
      <c r="H73" s="46"/>
      <c r="I73" s="46"/>
      <c r="J73" s="46"/>
      <c r="K73" s="46"/>
      <c r="L73" s="46"/>
    </row>
    <row r="74" spans="1:12" s="29" customFormat="1" ht="18.75">
      <c r="A74"/>
      <c r="B74" s="65"/>
      <c r="C74" s="65"/>
      <c r="D74" s="42"/>
      <c r="E74" s="66"/>
      <c r="F74" s="66"/>
      <c r="H74" s="46"/>
      <c r="I74" s="46"/>
      <c r="J74" s="46"/>
      <c r="K74" s="46"/>
      <c r="L74" s="46"/>
    </row>
    <row r="75" spans="1:12" s="29" customFormat="1" ht="18.75">
      <c r="A75"/>
      <c r="B75" s="65"/>
      <c r="C75" s="65"/>
      <c r="D75" s="42"/>
      <c r="E75" s="66"/>
      <c r="F75" s="66"/>
      <c r="H75" s="46"/>
      <c r="I75" s="46"/>
      <c r="J75" s="46"/>
      <c r="K75" s="46"/>
      <c r="L75" s="46"/>
    </row>
    <row r="76" spans="1:12" s="29" customFormat="1" ht="18.75">
      <c r="A76"/>
      <c r="B76" s="65"/>
      <c r="C76" s="65"/>
      <c r="D76" s="42"/>
      <c r="E76" s="66"/>
      <c r="F76" s="66"/>
      <c r="H76" s="46"/>
      <c r="I76" s="46"/>
      <c r="J76" s="46"/>
      <c r="K76" s="46"/>
      <c r="L76" s="46"/>
    </row>
    <row r="78" spans="1:12" s="27" customFormat="1" ht="17.25" hidden="1" customHeight="1">
      <c r="A78" s="33" t="s">
        <v>43</v>
      </c>
      <c r="B78" s="612" t="s">
        <v>44</v>
      </c>
      <c r="C78" s="43"/>
      <c r="D78" s="43"/>
      <c r="E78" s="44" t="s">
        <v>45</v>
      </c>
      <c r="F78" s="45" t="s">
        <v>46</v>
      </c>
      <c r="G78" s="24"/>
      <c r="H78" s="46"/>
      <c r="I78" s="46"/>
      <c r="J78" s="46"/>
      <c r="K78" s="46"/>
      <c r="L78" s="46"/>
    </row>
    <row r="79" spans="1:12" s="28" customFormat="1" ht="15.75" hidden="1">
      <c r="B79" s="728"/>
      <c r="C79" s="729"/>
      <c r="D79" s="729"/>
      <c r="E79" s="730"/>
      <c r="F79" s="731"/>
      <c r="G79" s="24"/>
      <c r="H79" s="46"/>
      <c r="I79" s="46"/>
      <c r="J79" s="46"/>
      <c r="K79" s="46"/>
      <c r="L79" s="46"/>
    </row>
    <row r="80" spans="1:12" hidden="1"/>
    <row r="81" spans="1:12" hidden="1">
      <c r="B81" t="s">
        <v>47</v>
      </c>
      <c r="E81" t="s">
        <v>48</v>
      </c>
    </row>
    <row r="82" spans="1:12" hidden="1">
      <c r="B82" t="s">
        <v>49</v>
      </c>
    </row>
    <row r="83" spans="1:12" hidden="1">
      <c r="B83" t="s">
        <v>50</v>
      </c>
    </row>
    <row r="84" spans="1:12" hidden="1">
      <c r="B84" t="s">
        <v>51</v>
      </c>
    </row>
    <row r="85" spans="1:12" s="27" customFormat="1" ht="17.25" hidden="1" customHeight="1">
      <c r="A85" s="33" t="s">
        <v>52</v>
      </c>
      <c r="B85" s="612" t="s">
        <v>44</v>
      </c>
      <c r="C85" s="43"/>
      <c r="D85" s="43"/>
      <c r="E85" s="44" t="s">
        <v>45</v>
      </c>
      <c r="F85" s="45" t="s">
        <v>46</v>
      </c>
      <c r="G85" s="24"/>
      <c r="H85" s="46"/>
      <c r="I85" s="46"/>
      <c r="J85" s="46"/>
      <c r="K85" s="46"/>
      <c r="L85" s="46"/>
    </row>
    <row r="86" spans="1:12" hidden="1">
      <c r="B86" s="46" t="s">
        <v>53</v>
      </c>
    </row>
    <row r="87" spans="1:12" hidden="1">
      <c r="B87" s="46" t="s">
        <v>54</v>
      </c>
    </row>
    <row r="88" spans="1:12" hidden="1">
      <c r="B88" s="46" t="s">
        <v>55</v>
      </c>
    </row>
    <row r="89" spans="1:12" hidden="1">
      <c r="B89" s="46" t="s">
        <v>56</v>
      </c>
    </row>
    <row r="90" spans="1:12" ht="15.75" hidden="1">
      <c r="A90" s="33" t="s">
        <v>52</v>
      </c>
      <c r="B90" s="1018" t="s">
        <v>57</v>
      </c>
      <c r="C90" s="34"/>
      <c r="D90" s="34" t="s">
        <v>58</v>
      </c>
      <c r="E90" s="35"/>
      <c r="F90" s="36" t="s">
        <v>46</v>
      </c>
    </row>
    <row r="91" spans="1:12" hidden="1">
      <c r="B91" s="37"/>
      <c r="F91" s="38"/>
    </row>
    <row r="92" spans="1:12" hidden="1">
      <c r="B92" s="40"/>
      <c r="D92" s="41"/>
      <c r="F92" s="39" t="e">
        <f>D92/$F$9</f>
        <v>#DIV/0!</v>
      </c>
    </row>
    <row r="93" spans="1:12" hidden="1">
      <c r="B93" s="40"/>
      <c r="D93" s="41"/>
      <c r="F93" s="39" t="e">
        <f>D93/$F$9</f>
        <v>#DIV/0!</v>
      </c>
    </row>
    <row r="94" spans="1:12" hidden="1">
      <c r="B94" s="40"/>
      <c r="F94" s="38"/>
    </row>
    <row r="95" spans="1:12" ht="19.5" hidden="1" thickBot="1">
      <c r="B95" s="1019" t="s">
        <v>59</v>
      </c>
      <c r="C95" s="1020"/>
      <c r="D95" s="1021">
        <f>SUM(D92:D94)</f>
        <v>0</v>
      </c>
      <c r="E95" s="1022"/>
      <c r="F95" s="1023" t="e">
        <f>SUM(F92:F94)</f>
        <v>#DIV/0!</v>
      </c>
    </row>
  </sheetData>
  <mergeCells count="3">
    <mergeCell ref="B95:C95"/>
    <mergeCell ref="B5:D5"/>
    <mergeCell ref="B4:G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33E88-24C5-4431-9ABE-5E16026D77B6}">
  <sheetPr>
    <tabColor rgb="FFFFFF00"/>
  </sheetPr>
  <dimension ref="A2:B49"/>
  <sheetViews>
    <sheetView topLeftCell="B34" zoomScale="90" zoomScaleNormal="90" workbookViewId="0">
      <selection activeCell="B45" sqref="B45"/>
    </sheetView>
  </sheetViews>
  <sheetFormatPr defaultColWidth="8.85546875" defaultRowHeight="15"/>
  <cols>
    <col min="1" max="1" width="9.7109375" bestFit="1" customWidth="1"/>
    <col min="2" max="2" width="150.28515625" customWidth="1"/>
  </cols>
  <sheetData>
    <row r="2" spans="2:2">
      <c r="B2" t="s">
        <v>60</v>
      </c>
    </row>
    <row r="4" spans="2:2">
      <c r="B4" t="s">
        <v>61</v>
      </c>
    </row>
    <row r="14" spans="2:2">
      <c r="B14" s="1"/>
    </row>
    <row r="23" spans="1:2">
      <c r="B23" s="99" t="s">
        <v>62</v>
      </c>
    </row>
    <row r="24" spans="1:2">
      <c r="A24">
        <v>1</v>
      </c>
      <c r="B24" t="s">
        <v>63</v>
      </c>
    </row>
    <row r="25" spans="1:2">
      <c r="A25">
        <v>2</v>
      </c>
      <c r="B25" t="s">
        <v>64</v>
      </c>
    </row>
    <row r="26" spans="1:2">
      <c r="A26">
        <v>3</v>
      </c>
      <c r="B26" t="s">
        <v>65</v>
      </c>
    </row>
    <row r="27" spans="1:2">
      <c r="A27">
        <v>4</v>
      </c>
      <c r="B27" t="s">
        <v>66</v>
      </c>
    </row>
    <row r="28" spans="1:2">
      <c r="A28">
        <v>5</v>
      </c>
      <c r="B28" s="1" t="s">
        <v>67</v>
      </c>
    </row>
    <row r="29" spans="1:2">
      <c r="A29">
        <v>6</v>
      </c>
      <c r="B29" s="1" t="s">
        <v>68</v>
      </c>
    </row>
    <row r="30" spans="1:2">
      <c r="A30">
        <v>7</v>
      </c>
      <c r="B30" s="1" t="s">
        <v>69</v>
      </c>
    </row>
    <row r="31" spans="1:2">
      <c r="A31">
        <v>8</v>
      </c>
      <c r="B31" s="1" t="s">
        <v>70</v>
      </c>
    </row>
    <row r="32" spans="1:2">
      <c r="A32">
        <v>9</v>
      </c>
      <c r="B32" s="1" t="s">
        <v>71</v>
      </c>
    </row>
    <row r="33" spans="1:2">
      <c r="A33">
        <v>10</v>
      </c>
      <c r="B33" s="1" t="s">
        <v>72</v>
      </c>
    </row>
    <row r="34" spans="1:2" ht="18.75" customHeight="1">
      <c r="A34">
        <v>11</v>
      </c>
      <c r="B34" s="1" t="s">
        <v>73</v>
      </c>
    </row>
    <row r="35" spans="1:2" ht="18.75" customHeight="1">
      <c r="B35" s="1"/>
    </row>
    <row r="36" spans="1:2" ht="18.75" customHeight="1">
      <c r="B36" s="1"/>
    </row>
    <row r="37" spans="1:2" ht="18.75" customHeight="1">
      <c r="B37" s="1"/>
    </row>
    <row r="38" spans="1:2">
      <c r="B38" s="99" t="s">
        <v>74</v>
      </c>
    </row>
    <row r="39" spans="1:2">
      <c r="A39">
        <v>1</v>
      </c>
      <c r="B39" t="s">
        <v>75</v>
      </c>
    </row>
    <row r="40" spans="1:2">
      <c r="A40">
        <v>2</v>
      </c>
      <c r="B40" t="s">
        <v>76</v>
      </c>
    </row>
    <row r="41" spans="1:2">
      <c r="A41">
        <v>3</v>
      </c>
      <c r="B41" t="s">
        <v>77</v>
      </c>
    </row>
    <row r="42" spans="1:2">
      <c r="A42">
        <v>4</v>
      </c>
      <c r="B42" t="s">
        <v>78</v>
      </c>
    </row>
    <row r="43" spans="1:2">
      <c r="A43">
        <v>5</v>
      </c>
      <c r="B43" t="s">
        <v>79</v>
      </c>
    </row>
    <row r="44" spans="1:2">
      <c r="A44">
        <v>6</v>
      </c>
      <c r="B44" t="s">
        <v>80</v>
      </c>
    </row>
    <row r="45" spans="1:2">
      <c r="A45">
        <v>7</v>
      </c>
      <c r="B45" t="s">
        <v>81</v>
      </c>
    </row>
    <row r="46" spans="1:2">
      <c r="A46">
        <v>8</v>
      </c>
      <c r="B46" t="s">
        <v>82</v>
      </c>
    </row>
    <row r="47" spans="1:2">
      <c r="A47">
        <v>9</v>
      </c>
      <c r="B47" t="s">
        <v>83</v>
      </c>
    </row>
    <row r="49" spans="2:2">
      <c r="B49"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A7E24-FDD4-450C-BB83-FB9AB96D67ED}">
  <sheetPr>
    <tabColor rgb="FFFFFF00"/>
    <pageSetUpPr fitToPage="1"/>
  </sheetPr>
  <dimension ref="A1:V164"/>
  <sheetViews>
    <sheetView workbookViewId="0">
      <selection activeCell="N60" sqref="N60"/>
    </sheetView>
  </sheetViews>
  <sheetFormatPr defaultColWidth="8.85546875" defaultRowHeight="12.75"/>
  <cols>
    <col min="1" max="1" width="6.7109375" style="265" customWidth="1"/>
    <col min="2" max="3" width="25.7109375" style="285" customWidth="1"/>
    <col min="4" max="4" width="50.7109375" style="265" customWidth="1"/>
    <col min="5" max="5" width="9.7109375" style="286" bestFit="1" customWidth="1"/>
    <col min="6" max="6" width="40.7109375" style="265" customWidth="1"/>
    <col min="7" max="7" width="13.42578125" style="286" bestFit="1" customWidth="1"/>
    <col min="8" max="256" width="9.140625" style="265"/>
    <col min="257" max="257" width="6.7109375" style="265" customWidth="1"/>
    <col min="258" max="258" width="25.7109375" style="265" customWidth="1"/>
    <col min="259" max="259" width="23.7109375" style="265" customWidth="1"/>
    <col min="260" max="260" width="55.7109375" style="265" customWidth="1"/>
    <col min="261" max="261" width="9.7109375" style="265" bestFit="1" customWidth="1"/>
    <col min="262" max="262" width="55.7109375" style="265" customWidth="1"/>
    <col min="263" max="263" width="13.42578125" style="265" bestFit="1" customWidth="1"/>
    <col min="264" max="512" width="9.140625" style="265"/>
    <col min="513" max="513" width="6.7109375" style="265" customWidth="1"/>
    <col min="514" max="514" width="25.7109375" style="265" customWidth="1"/>
    <col min="515" max="515" width="23.7109375" style="265" customWidth="1"/>
    <col min="516" max="516" width="55.7109375" style="265" customWidth="1"/>
    <col min="517" max="517" width="9.7109375" style="265" bestFit="1" customWidth="1"/>
    <col min="518" max="518" width="55.7109375" style="265" customWidth="1"/>
    <col min="519" max="519" width="13.42578125" style="265" bestFit="1" customWidth="1"/>
    <col min="520" max="768" width="9.140625" style="265"/>
    <col min="769" max="769" width="6.7109375" style="265" customWidth="1"/>
    <col min="770" max="770" width="25.7109375" style="265" customWidth="1"/>
    <col min="771" max="771" width="23.7109375" style="265" customWidth="1"/>
    <col min="772" max="772" width="55.7109375" style="265" customWidth="1"/>
    <col min="773" max="773" width="9.7109375" style="265" bestFit="1" customWidth="1"/>
    <col min="774" max="774" width="55.7109375" style="265" customWidth="1"/>
    <col min="775" max="775" width="13.42578125" style="265" bestFit="1" customWidth="1"/>
    <col min="776" max="1024" width="9.140625" style="265"/>
    <col min="1025" max="1025" width="6.7109375" style="265" customWidth="1"/>
    <col min="1026" max="1026" width="25.7109375" style="265" customWidth="1"/>
    <col min="1027" max="1027" width="23.7109375" style="265" customWidth="1"/>
    <col min="1028" max="1028" width="55.7109375" style="265" customWidth="1"/>
    <col min="1029" max="1029" width="9.7109375" style="265" bestFit="1" customWidth="1"/>
    <col min="1030" max="1030" width="55.7109375" style="265" customWidth="1"/>
    <col min="1031" max="1031" width="13.42578125" style="265" bestFit="1" customWidth="1"/>
    <col min="1032" max="1280" width="9.140625" style="265"/>
    <col min="1281" max="1281" width="6.7109375" style="265" customWidth="1"/>
    <col min="1282" max="1282" width="25.7109375" style="265" customWidth="1"/>
    <col min="1283" max="1283" width="23.7109375" style="265" customWidth="1"/>
    <col min="1284" max="1284" width="55.7109375" style="265" customWidth="1"/>
    <col min="1285" max="1285" width="9.7109375" style="265" bestFit="1" customWidth="1"/>
    <col min="1286" max="1286" width="55.7109375" style="265" customWidth="1"/>
    <col min="1287" max="1287" width="13.42578125" style="265" bestFit="1" customWidth="1"/>
    <col min="1288" max="1536" width="9.140625" style="265"/>
    <col min="1537" max="1537" width="6.7109375" style="265" customWidth="1"/>
    <col min="1538" max="1538" width="25.7109375" style="265" customWidth="1"/>
    <col min="1539" max="1539" width="23.7109375" style="265" customWidth="1"/>
    <col min="1540" max="1540" width="55.7109375" style="265" customWidth="1"/>
    <col min="1541" max="1541" width="9.7109375" style="265" bestFit="1" customWidth="1"/>
    <col min="1542" max="1542" width="55.7109375" style="265" customWidth="1"/>
    <col min="1543" max="1543" width="13.42578125" style="265" bestFit="1" customWidth="1"/>
    <col min="1544" max="1792" width="9.140625" style="265"/>
    <col min="1793" max="1793" width="6.7109375" style="265" customWidth="1"/>
    <col min="1794" max="1794" width="25.7109375" style="265" customWidth="1"/>
    <col min="1795" max="1795" width="23.7109375" style="265" customWidth="1"/>
    <col min="1796" max="1796" width="55.7109375" style="265" customWidth="1"/>
    <col min="1797" max="1797" width="9.7109375" style="265" bestFit="1" customWidth="1"/>
    <col min="1798" max="1798" width="55.7109375" style="265" customWidth="1"/>
    <col min="1799" max="1799" width="13.42578125" style="265" bestFit="1" customWidth="1"/>
    <col min="1800" max="2048" width="9.140625" style="265"/>
    <col min="2049" max="2049" width="6.7109375" style="265" customWidth="1"/>
    <col min="2050" max="2050" width="25.7109375" style="265" customWidth="1"/>
    <col min="2051" max="2051" width="23.7109375" style="265" customWidth="1"/>
    <col min="2052" max="2052" width="55.7109375" style="265" customWidth="1"/>
    <col min="2053" max="2053" width="9.7109375" style="265" bestFit="1" customWidth="1"/>
    <col min="2054" max="2054" width="55.7109375" style="265" customWidth="1"/>
    <col min="2055" max="2055" width="13.42578125" style="265" bestFit="1" customWidth="1"/>
    <col min="2056" max="2304" width="9.140625" style="265"/>
    <col min="2305" max="2305" width="6.7109375" style="265" customWidth="1"/>
    <col min="2306" max="2306" width="25.7109375" style="265" customWidth="1"/>
    <col min="2307" max="2307" width="23.7109375" style="265" customWidth="1"/>
    <col min="2308" max="2308" width="55.7109375" style="265" customWidth="1"/>
    <col min="2309" max="2309" width="9.7109375" style="265" bestFit="1" customWidth="1"/>
    <col min="2310" max="2310" width="55.7109375" style="265" customWidth="1"/>
    <col min="2311" max="2311" width="13.42578125" style="265" bestFit="1" customWidth="1"/>
    <col min="2312" max="2560" width="9.140625" style="265"/>
    <col min="2561" max="2561" width="6.7109375" style="265" customWidth="1"/>
    <col min="2562" max="2562" width="25.7109375" style="265" customWidth="1"/>
    <col min="2563" max="2563" width="23.7109375" style="265" customWidth="1"/>
    <col min="2564" max="2564" width="55.7109375" style="265" customWidth="1"/>
    <col min="2565" max="2565" width="9.7109375" style="265" bestFit="1" customWidth="1"/>
    <col min="2566" max="2566" width="55.7109375" style="265" customWidth="1"/>
    <col min="2567" max="2567" width="13.42578125" style="265" bestFit="1" customWidth="1"/>
    <col min="2568" max="2816" width="9.140625" style="265"/>
    <col min="2817" max="2817" width="6.7109375" style="265" customWidth="1"/>
    <col min="2818" max="2818" width="25.7109375" style="265" customWidth="1"/>
    <col min="2819" max="2819" width="23.7109375" style="265" customWidth="1"/>
    <col min="2820" max="2820" width="55.7109375" style="265" customWidth="1"/>
    <col min="2821" max="2821" width="9.7109375" style="265" bestFit="1" customWidth="1"/>
    <col min="2822" max="2822" width="55.7109375" style="265" customWidth="1"/>
    <col min="2823" max="2823" width="13.42578125" style="265" bestFit="1" customWidth="1"/>
    <col min="2824" max="3072" width="9.140625" style="265"/>
    <col min="3073" max="3073" width="6.7109375" style="265" customWidth="1"/>
    <col min="3074" max="3074" width="25.7109375" style="265" customWidth="1"/>
    <col min="3075" max="3075" width="23.7109375" style="265" customWidth="1"/>
    <col min="3076" max="3076" width="55.7109375" style="265" customWidth="1"/>
    <col min="3077" max="3077" width="9.7109375" style="265" bestFit="1" customWidth="1"/>
    <col min="3078" max="3078" width="55.7109375" style="265" customWidth="1"/>
    <col min="3079" max="3079" width="13.42578125" style="265" bestFit="1" customWidth="1"/>
    <col min="3080" max="3328" width="9.140625" style="265"/>
    <col min="3329" max="3329" width="6.7109375" style="265" customWidth="1"/>
    <col min="3330" max="3330" width="25.7109375" style="265" customWidth="1"/>
    <col min="3331" max="3331" width="23.7109375" style="265" customWidth="1"/>
    <col min="3332" max="3332" width="55.7109375" style="265" customWidth="1"/>
    <col min="3333" max="3333" width="9.7109375" style="265" bestFit="1" customWidth="1"/>
    <col min="3334" max="3334" width="55.7109375" style="265" customWidth="1"/>
    <col min="3335" max="3335" width="13.42578125" style="265" bestFit="1" customWidth="1"/>
    <col min="3336" max="3584" width="9.140625" style="265"/>
    <col min="3585" max="3585" width="6.7109375" style="265" customWidth="1"/>
    <col min="3586" max="3586" width="25.7109375" style="265" customWidth="1"/>
    <col min="3587" max="3587" width="23.7109375" style="265" customWidth="1"/>
    <col min="3588" max="3588" width="55.7109375" style="265" customWidth="1"/>
    <col min="3589" max="3589" width="9.7109375" style="265" bestFit="1" customWidth="1"/>
    <col min="3590" max="3590" width="55.7109375" style="265" customWidth="1"/>
    <col min="3591" max="3591" width="13.42578125" style="265" bestFit="1" customWidth="1"/>
    <col min="3592" max="3840" width="9.140625" style="265"/>
    <col min="3841" max="3841" width="6.7109375" style="265" customWidth="1"/>
    <col min="3842" max="3842" width="25.7109375" style="265" customWidth="1"/>
    <col min="3843" max="3843" width="23.7109375" style="265" customWidth="1"/>
    <col min="3844" max="3844" width="55.7109375" style="265" customWidth="1"/>
    <col min="3845" max="3845" width="9.7109375" style="265" bestFit="1" customWidth="1"/>
    <col min="3846" max="3846" width="55.7109375" style="265" customWidth="1"/>
    <col min="3847" max="3847" width="13.42578125" style="265" bestFit="1" customWidth="1"/>
    <col min="3848" max="4096" width="9.140625" style="265"/>
    <col min="4097" max="4097" width="6.7109375" style="265" customWidth="1"/>
    <col min="4098" max="4098" width="25.7109375" style="265" customWidth="1"/>
    <col min="4099" max="4099" width="23.7109375" style="265" customWidth="1"/>
    <col min="4100" max="4100" width="55.7109375" style="265" customWidth="1"/>
    <col min="4101" max="4101" width="9.7109375" style="265" bestFit="1" customWidth="1"/>
    <col min="4102" max="4102" width="55.7109375" style="265" customWidth="1"/>
    <col min="4103" max="4103" width="13.42578125" style="265" bestFit="1" customWidth="1"/>
    <col min="4104" max="4352" width="9.140625" style="265"/>
    <col min="4353" max="4353" width="6.7109375" style="265" customWidth="1"/>
    <col min="4354" max="4354" width="25.7109375" style="265" customWidth="1"/>
    <col min="4355" max="4355" width="23.7109375" style="265" customWidth="1"/>
    <col min="4356" max="4356" width="55.7109375" style="265" customWidth="1"/>
    <col min="4357" max="4357" width="9.7109375" style="265" bestFit="1" customWidth="1"/>
    <col min="4358" max="4358" width="55.7109375" style="265" customWidth="1"/>
    <col min="4359" max="4359" width="13.42578125" style="265" bestFit="1" customWidth="1"/>
    <col min="4360" max="4608" width="9.140625" style="265"/>
    <col min="4609" max="4609" width="6.7109375" style="265" customWidth="1"/>
    <col min="4610" max="4610" width="25.7109375" style="265" customWidth="1"/>
    <col min="4611" max="4611" width="23.7109375" style="265" customWidth="1"/>
    <col min="4612" max="4612" width="55.7109375" style="265" customWidth="1"/>
    <col min="4613" max="4613" width="9.7109375" style="265" bestFit="1" customWidth="1"/>
    <col min="4614" max="4614" width="55.7109375" style="265" customWidth="1"/>
    <col min="4615" max="4615" width="13.42578125" style="265" bestFit="1" customWidth="1"/>
    <col min="4616" max="4864" width="9.140625" style="265"/>
    <col min="4865" max="4865" width="6.7109375" style="265" customWidth="1"/>
    <col min="4866" max="4866" width="25.7109375" style="265" customWidth="1"/>
    <col min="4867" max="4867" width="23.7109375" style="265" customWidth="1"/>
    <col min="4868" max="4868" width="55.7109375" style="265" customWidth="1"/>
    <col min="4869" max="4869" width="9.7109375" style="265" bestFit="1" customWidth="1"/>
    <col min="4870" max="4870" width="55.7109375" style="265" customWidth="1"/>
    <col min="4871" max="4871" width="13.42578125" style="265" bestFit="1" customWidth="1"/>
    <col min="4872" max="5120" width="9.140625" style="265"/>
    <col min="5121" max="5121" width="6.7109375" style="265" customWidth="1"/>
    <col min="5122" max="5122" width="25.7109375" style="265" customWidth="1"/>
    <col min="5123" max="5123" width="23.7109375" style="265" customWidth="1"/>
    <col min="5124" max="5124" width="55.7109375" style="265" customWidth="1"/>
    <col min="5125" max="5125" width="9.7109375" style="265" bestFit="1" customWidth="1"/>
    <col min="5126" max="5126" width="55.7109375" style="265" customWidth="1"/>
    <col min="5127" max="5127" width="13.42578125" style="265" bestFit="1" customWidth="1"/>
    <col min="5128" max="5376" width="9.140625" style="265"/>
    <col min="5377" max="5377" width="6.7109375" style="265" customWidth="1"/>
    <col min="5378" max="5378" width="25.7109375" style="265" customWidth="1"/>
    <col min="5379" max="5379" width="23.7109375" style="265" customWidth="1"/>
    <col min="5380" max="5380" width="55.7109375" style="265" customWidth="1"/>
    <col min="5381" max="5381" width="9.7109375" style="265" bestFit="1" customWidth="1"/>
    <col min="5382" max="5382" width="55.7109375" style="265" customWidth="1"/>
    <col min="5383" max="5383" width="13.42578125" style="265" bestFit="1" customWidth="1"/>
    <col min="5384" max="5632" width="9.140625" style="265"/>
    <col min="5633" max="5633" width="6.7109375" style="265" customWidth="1"/>
    <col min="5634" max="5634" width="25.7109375" style="265" customWidth="1"/>
    <col min="5635" max="5635" width="23.7109375" style="265" customWidth="1"/>
    <col min="5636" max="5636" width="55.7109375" style="265" customWidth="1"/>
    <col min="5637" max="5637" width="9.7109375" style="265" bestFit="1" customWidth="1"/>
    <col min="5638" max="5638" width="55.7109375" style="265" customWidth="1"/>
    <col min="5639" max="5639" width="13.42578125" style="265" bestFit="1" customWidth="1"/>
    <col min="5640" max="5888" width="9.140625" style="265"/>
    <col min="5889" max="5889" width="6.7109375" style="265" customWidth="1"/>
    <col min="5890" max="5890" width="25.7109375" style="265" customWidth="1"/>
    <col min="5891" max="5891" width="23.7109375" style="265" customWidth="1"/>
    <col min="5892" max="5892" width="55.7109375" style="265" customWidth="1"/>
    <col min="5893" max="5893" width="9.7109375" style="265" bestFit="1" customWidth="1"/>
    <col min="5894" max="5894" width="55.7109375" style="265" customWidth="1"/>
    <col min="5895" max="5895" width="13.42578125" style="265" bestFit="1" customWidth="1"/>
    <col min="5896" max="6144" width="9.140625" style="265"/>
    <col min="6145" max="6145" width="6.7109375" style="265" customWidth="1"/>
    <col min="6146" max="6146" width="25.7109375" style="265" customWidth="1"/>
    <col min="6147" max="6147" width="23.7109375" style="265" customWidth="1"/>
    <col min="6148" max="6148" width="55.7109375" style="265" customWidth="1"/>
    <col min="6149" max="6149" width="9.7109375" style="265" bestFit="1" customWidth="1"/>
    <col min="6150" max="6150" width="55.7109375" style="265" customWidth="1"/>
    <col min="6151" max="6151" width="13.42578125" style="265" bestFit="1" customWidth="1"/>
    <col min="6152" max="6400" width="9.140625" style="265"/>
    <col min="6401" max="6401" width="6.7109375" style="265" customWidth="1"/>
    <col min="6402" max="6402" width="25.7109375" style="265" customWidth="1"/>
    <col min="6403" max="6403" width="23.7109375" style="265" customWidth="1"/>
    <col min="6404" max="6404" width="55.7109375" style="265" customWidth="1"/>
    <col min="6405" max="6405" width="9.7109375" style="265" bestFit="1" customWidth="1"/>
    <col min="6406" max="6406" width="55.7109375" style="265" customWidth="1"/>
    <col min="6407" max="6407" width="13.42578125" style="265" bestFit="1" customWidth="1"/>
    <col min="6408" max="6656" width="9.140625" style="265"/>
    <col min="6657" max="6657" width="6.7109375" style="265" customWidth="1"/>
    <col min="6658" max="6658" width="25.7109375" style="265" customWidth="1"/>
    <col min="6659" max="6659" width="23.7109375" style="265" customWidth="1"/>
    <col min="6660" max="6660" width="55.7109375" style="265" customWidth="1"/>
    <col min="6661" max="6661" width="9.7109375" style="265" bestFit="1" customWidth="1"/>
    <col min="6662" max="6662" width="55.7109375" style="265" customWidth="1"/>
    <col min="6663" max="6663" width="13.42578125" style="265" bestFit="1" customWidth="1"/>
    <col min="6664" max="6912" width="9.140625" style="265"/>
    <col min="6913" max="6913" width="6.7109375" style="265" customWidth="1"/>
    <col min="6914" max="6914" width="25.7109375" style="265" customWidth="1"/>
    <col min="6915" max="6915" width="23.7109375" style="265" customWidth="1"/>
    <col min="6916" max="6916" width="55.7109375" style="265" customWidth="1"/>
    <col min="6917" max="6917" width="9.7109375" style="265" bestFit="1" customWidth="1"/>
    <col min="6918" max="6918" width="55.7109375" style="265" customWidth="1"/>
    <col min="6919" max="6919" width="13.42578125" style="265" bestFit="1" customWidth="1"/>
    <col min="6920" max="7168" width="9.140625" style="265"/>
    <col min="7169" max="7169" width="6.7109375" style="265" customWidth="1"/>
    <col min="7170" max="7170" width="25.7109375" style="265" customWidth="1"/>
    <col min="7171" max="7171" width="23.7109375" style="265" customWidth="1"/>
    <col min="7172" max="7172" width="55.7109375" style="265" customWidth="1"/>
    <col min="7173" max="7173" width="9.7109375" style="265" bestFit="1" customWidth="1"/>
    <col min="7174" max="7174" width="55.7109375" style="265" customWidth="1"/>
    <col min="7175" max="7175" width="13.42578125" style="265" bestFit="1" customWidth="1"/>
    <col min="7176" max="7424" width="9.140625" style="265"/>
    <col min="7425" max="7425" width="6.7109375" style="265" customWidth="1"/>
    <col min="7426" max="7426" width="25.7109375" style="265" customWidth="1"/>
    <col min="7427" max="7427" width="23.7109375" style="265" customWidth="1"/>
    <col min="7428" max="7428" width="55.7109375" style="265" customWidth="1"/>
    <col min="7429" max="7429" width="9.7109375" style="265" bestFit="1" customWidth="1"/>
    <col min="7430" max="7430" width="55.7109375" style="265" customWidth="1"/>
    <col min="7431" max="7431" width="13.42578125" style="265" bestFit="1" customWidth="1"/>
    <col min="7432" max="7680" width="9.140625" style="265"/>
    <col min="7681" max="7681" width="6.7109375" style="265" customWidth="1"/>
    <col min="7682" max="7682" width="25.7109375" style="265" customWidth="1"/>
    <col min="7683" max="7683" width="23.7109375" style="265" customWidth="1"/>
    <col min="7684" max="7684" width="55.7109375" style="265" customWidth="1"/>
    <col min="7685" max="7685" width="9.7109375" style="265" bestFit="1" customWidth="1"/>
    <col min="7686" max="7686" width="55.7109375" style="265" customWidth="1"/>
    <col min="7687" max="7687" width="13.42578125" style="265" bestFit="1" customWidth="1"/>
    <col min="7688" max="7936" width="9.140625" style="265"/>
    <col min="7937" max="7937" width="6.7109375" style="265" customWidth="1"/>
    <col min="7938" max="7938" width="25.7109375" style="265" customWidth="1"/>
    <col min="7939" max="7939" width="23.7109375" style="265" customWidth="1"/>
    <col min="7940" max="7940" width="55.7109375" style="265" customWidth="1"/>
    <col min="7941" max="7941" width="9.7109375" style="265" bestFit="1" customWidth="1"/>
    <col min="7942" max="7942" width="55.7109375" style="265" customWidth="1"/>
    <col min="7943" max="7943" width="13.42578125" style="265" bestFit="1" customWidth="1"/>
    <col min="7944" max="8192" width="9.140625" style="265"/>
    <col min="8193" max="8193" width="6.7109375" style="265" customWidth="1"/>
    <col min="8194" max="8194" width="25.7109375" style="265" customWidth="1"/>
    <col min="8195" max="8195" width="23.7109375" style="265" customWidth="1"/>
    <col min="8196" max="8196" width="55.7109375" style="265" customWidth="1"/>
    <col min="8197" max="8197" width="9.7109375" style="265" bestFit="1" customWidth="1"/>
    <col min="8198" max="8198" width="55.7109375" style="265" customWidth="1"/>
    <col min="8199" max="8199" width="13.42578125" style="265" bestFit="1" customWidth="1"/>
    <col min="8200" max="8448" width="9.140625" style="265"/>
    <col min="8449" max="8449" width="6.7109375" style="265" customWidth="1"/>
    <col min="8450" max="8450" width="25.7109375" style="265" customWidth="1"/>
    <col min="8451" max="8451" width="23.7109375" style="265" customWidth="1"/>
    <col min="8452" max="8452" width="55.7109375" style="265" customWidth="1"/>
    <col min="8453" max="8453" width="9.7109375" style="265" bestFit="1" customWidth="1"/>
    <col min="8454" max="8454" width="55.7109375" style="265" customWidth="1"/>
    <col min="8455" max="8455" width="13.42578125" style="265" bestFit="1" customWidth="1"/>
    <col min="8456" max="8704" width="9.140625" style="265"/>
    <col min="8705" max="8705" width="6.7109375" style="265" customWidth="1"/>
    <col min="8706" max="8706" width="25.7109375" style="265" customWidth="1"/>
    <col min="8707" max="8707" width="23.7109375" style="265" customWidth="1"/>
    <col min="8708" max="8708" width="55.7109375" style="265" customWidth="1"/>
    <col min="8709" max="8709" width="9.7109375" style="265" bestFit="1" customWidth="1"/>
    <col min="8710" max="8710" width="55.7109375" style="265" customWidth="1"/>
    <col min="8711" max="8711" width="13.42578125" style="265" bestFit="1" customWidth="1"/>
    <col min="8712" max="8960" width="9.140625" style="265"/>
    <col min="8961" max="8961" width="6.7109375" style="265" customWidth="1"/>
    <col min="8962" max="8962" width="25.7109375" style="265" customWidth="1"/>
    <col min="8963" max="8963" width="23.7109375" style="265" customWidth="1"/>
    <col min="8964" max="8964" width="55.7109375" style="265" customWidth="1"/>
    <col min="8965" max="8965" width="9.7109375" style="265" bestFit="1" customWidth="1"/>
    <col min="8966" max="8966" width="55.7109375" style="265" customWidth="1"/>
    <col min="8967" max="8967" width="13.42578125" style="265" bestFit="1" customWidth="1"/>
    <col min="8968" max="9216" width="9.140625" style="265"/>
    <col min="9217" max="9217" width="6.7109375" style="265" customWidth="1"/>
    <col min="9218" max="9218" width="25.7109375" style="265" customWidth="1"/>
    <col min="9219" max="9219" width="23.7109375" style="265" customWidth="1"/>
    <col min="9220" max="9220" width="55.7109375" style="265" customWidth="1"/>
    <col min="9221" max="9221" width="9.7109375" style="265" bestFit="1" customWidth="1"/>
    <col min="9222" max="9222" width="55.7109375" style="265" customWidth="1"/>
    <col min="9223" max="9223" width="13.42578125" style="265" bestFit="1" customWidth="1"/>
    <col min="9224" max="9472" width="9.140625" style="265"/>
    <col min="9473" max="9473" width="6.7109375" style="265" customWidth="1"/>
    <col min="9474" max="9474" width="25.7109375" style="265" customWidth="1"/>
    <col min="9475" max="9475" width="23.7109375" style="265" customWidth="1"/>
    <col min="9476" max="9476" width="55.7109375" style="265" customWidth="1"/>
    <col min="9477" max="9477" width="9.7109375" style="265" bestFit="1" customWidth="1"/>
    <col min="9478" max="9478" width="55.7109375" style="265" customWidth="1"/>
    <col min="9479" max="9479" width="13.42578125" style="265" bestFit="1" customWidth="1"/>
    <col min="9480" max="9728" width="9.140625" style="265"/>
    <col min="9729" max="9729" width="6.7109375" style="265" customWidth="1"/>
    <col min="9730" max="9730" width="25.7109375" style="265" customWidth="1"/>
    <col min="9731" max="9731" width="23.7109375" style="265" customWidth="1"/>
    <col min="9732" max="9732" width="55.7109375" style="265" customWidth="1"/>
    <col min="9733" max="9733" width="9.7109375" style="265" bestFit="1" customWidth="1"/>
    <col min="9734" max="9734" width="55.7109375" style="265" customWidth="1"/>
    <col min="9735" max="9735" width="13.42578125" style="265" bestFit="1" customWidth="1"/>
    <col min="9736" max="9984" width="9.140625" style="265"/>
    <col min="9985" max="9985" width="6.7109375" style="265" customWidth="1"/>
    <col min="9986" max="9986" width="25.7109375" style="265" customWidth="1"/>
    <col min="9987" max="9987" width="23.7109375" style="265" customWidth="1"/>
    <col min="9988" max="9988" width="55.7109375" style="265" customWidth="1"/>
    <col min="9989" max="9989" width="9.7109375" style="265" bestFit="1" customWidth="1"/>
    <col min="9990" max="9990" width="55.7109375" style="265" customWidth="1"/>
    <col min="9991" max="9991" width="13.42578125" style="265" bestFit="1" customWidth="1"/>
    <col min="9992" max="10240" width="9.140625" style="265"/>
    <col min="10241" max="10241" width="6.7109375" style="265" customWidth="1"/>
    <col min="10242" max="10242" width="25.7109375" style="265" customWidth="1"/>
    <col min="10243" max="10243" width="23.7109375" style="265" customWidth="1"/>
    <col min="10244" max="10244" width="55.7109375" style="265" customWidth="1"/>
    <col min="10245" max="10245" width="9.7109375" style="265" bestFit="1" customWidth="1"/>
    <col min="10246" max="10246" width="55.7109375" style="265" customWidth="1"/>
    <col min="10247" max="10247" width="13.42578125" style="265" bestFit="1" customWidth="1"/>
    <col min="10248" max="10496" width="9.140625" style="265"/>
    <col min="10497" max="10497" width="6.7109375" style="265" customWidth="1"/>
    <col min="10498" max="10498" width="25.7109375" style="265" customWidth="1"/>
    <col min="10499" max="10499" width="23.7109375" style="265" customWidth="1"/>
    <col min="10500" max="10500" width="55.7109375" style="265" customWidth="1"/>
    <col min="10501" max="10501" width="9.7109375" style="265" bestFit="1" customWidth="1"/>
    <col min="10502" max="10502" width="55.7109375" style="265" customWidth="1"/>
    <col min="10503" max="10503" width="13.42578125" style="265" bestFit="1" customWidth="1"/>
    <col min="10504" max="10752" width="9.140625" style="265"/>
    <col min="10753" max="10753" width="6.7109375" style="265" customWidth="1"/>
    <col min="10754" max="10754" width="25.7109375" style="265" customWidth="1"/>
    <col min="10755" max="10755" width="23.7109375" style="265" customWidth="1"/>
    <col min="10756" max="10756" width="55.7109375" style="265" customWidth="1"/>
    <col min="10757" max="10757" width="9.7109375" style="265" bestFit="1" customWidth="1"/>
    <col min="10758" max="10758" width="55.7109375" style="265" customWidth="1"/>
    <col min="10759" max="10759" width="13.42578125" style="265" bestFit="1" customWidth="1"/>
    <col min="10760" max="11008" width="9.140625" style="265"/>
    <col min="11009" max="11009" width="6.7109375" style="265" customWidth="1"/>
    <col min="11010" max="11010" width="25.7109375" style="265" customWidth="1"/>
    <col min="11011" max="11011" width="23.7109375" style="265" customWidth="1"/>
    <col min="11012" max="11012" width="55.7109375" style="265" customWidth="1"/>
    <col min="11013" max="11013" width="9.7109375" style="265" bestFit="1" customWidth="1"/>
    <col min="11014" max="11014" width="55.7109375" style="265" customWidth="1"/>
    <col min="11015" max="11015" width="13.42578125" style="265" bestFit="1" customWidth="1"/>
    <col min="11016" max="11264" width="9.140625" style="265"/>
    <col min="11265" max="11265" width="6.7109375" style="265" customWidth="1"/>
    <col min="11266" max="11266" width="25.7109375" style="265" customWidth="1"/>
    <col min="11267" max="11267" width="23.7109375" style="265" customWidth="1"/>
    <col min="11268" max="11268" width="55.7109375" style="265" customWidth="1"/>
    <col min="11269" max="11269" width="9.7109375" style="265" bestFit="1" customWidth="1"/>
    <col min="11270" max="11270" width="55.7109375" style="265" customWidth="1"/>
    <col min="11271" max="11271" width="13.42578125" style="265" bestFit="1" customWidth="1"/>
    <col min="11272" max="11520" width="9.140625" style="265"/>
    <col min="11521" max="11521" width="6.7109375" style="265" customWidth="1"/>
    <col min="11522" max="11522" width="25.7109375" style="265" customWidth="1"/>
    <col min="11523" max="11523" width="23.7109375" style="265" customWidth="1"/>
    <col min="11524" max="11524" width="55.7109375" style="265" customWidth="1"/>
    <col min="11525" max="11525" width="9.7109375" style="265" bestFit="1" customWidth="1"/>
    <col min="11526" max="11526" width="55.7109375" style="265" customWidth="1"/>
    <col min="11527" max="11527" width="13.42578125" style="265" bestFit="1" customWidth="1"/>
    <col min="11528" max="11776" width="9.140625" style="265"/>
    <col min="11777" max="11777" width="6.7109375" style="265" customWidth="1"/>
    <col min="11778" max="11778" width="25.7109375" style="265" customWidth="1"/>
    <col min="11779" max="11779" width="23.7109375" style="265" customWidth="1"/>
    <col min="11780" max="11780" width="55.7109375" style="265" customWidth="1"/>
    <col min="11781" max="11781" width="9.7109375" style="265" bestFit="1" customWidth="1"/>
    <col min="11782" max="11782" width="55.7109375" style="265" customWidth="1"/>
    <col min="11783" max="11783" width="13.42578125" style="265" bestFit="1" customWidth="1"/>
    <col min="11784" max="12032" width="9.140625" style="265"/>
    <col min="12033" max="12033" width="6.7109375" style="265" customWidth="1"/>
    <col min="12034" max="12034" width="25.7109375" style="265" customWidth="1"/>
    <col min="12035" max="12035" width="23.7109375" style="265" customWidth="1"/>
    <col min="12036" max="12036" width="55.7109375" style="265" customWidth="1"/>
    <col min="12037" max="12037" width="9.7109375" style="265" bestFit="1" customWidth="1"/>
    <col min="12038" max="12038" width="55.7109375" style="265" customWidth="1"/>
    <col min="12039" max="12039" width="13.42578125" style="265" bestFit="1" customWidth="1"/>
    <col min="12040" max="12288" width="9.140625" style="265"/>
    <col min="12289" max="12289" width="6.7109375" style="265" customWidth="1"/>
    <col min="12290" max="12290" width="25.7109375" style="265" customWidth="1"/>
    <col min="12291" max="12291" width="23.7109375" style="265" customWidth="1"/>
    <col min="12292" max="12292" width="55.7109375" style="265" customWidth="1"/>
    <col min="12293" max="12293" width="9.7109375" style="265" bestFit="1" customWidth="1"/>
    <col min="12294" max="12294" width="55.7109375" style="265" customWidth="1"/>
    <col min="12295" max="12295" width="13.42578125" style="265" bestFit="1" customWidth="1"/>
    <col min="12296" max="12544" width="9.140625" style="265"/>
    <col min="12545" max="12545" width="6.7109375" style="265" customWidth="1"/>
    <col min="12546" max="12546" width="25.7109375" style="265" customWidth="1"/>
    <col min="12547" max="12547" width="23.7109375" style="265" customWidth="1"/>
    <col min="12548" max="12548" width="55.7109375" style="265" customWidth="1"/>
    <col min="12549" max="12549" width="9.7109375" style="265" bestFit="1" customWidth="1"/>
    <col min="12550" max="12550" width="55.7109375" style="265" customWidth="1"/>
    <col min="12551" max="12551" width="13.42578125" style="265" bestFit="1" customWidth="1"/>
    <col min="12552" max="12800" width="9.140625" style="265"/>
    <col min="12801" max="12801" width="6.7109375" style="265" customWidth="1"/>
    <col min="12802" max="12802" width="25.7109375" style="265" customWidth="1"/>
    <col min="12803" max="12803" width="23.7109375" style="265" customWidth="1"/>
    <col min="12804" max="12804" width="55.7109375" style="265" customWidth="1"/>
    <col min="12805" max="12805" width="9.7109375" style="265" bestFit="1" customWidth="1"/>
    <col min="12806" max="12806" width="55.7109375" style="265" customWidth="1"/>
    <col min="12807" max="12807" width="13.42578125" style="265" bestFit="1" customWidth="1"/>
    <col min="12808" max="13056" width="9.140625" style="265"/>
    <col min="13057" max="13057" width="6.7109375" style="265" customWidth="1"/>
    <col min="13058" max="13058" width="25.7109375" style="265" customWidth="1"/>
    <col min="13059" max="13059" width="23.7109375" style="265" customWidth="1"/>
    <col min="13060" max="13060" width="55.7109375" style="265" customWidth="1"/>
    <col min="13061" max="13061" width="9.7109375" style="265" bestFit="1" customWidth="1"/>
    <col min="13062" max="13062" width="55.7109375" style="265" customWidth="1"/>
    <col min="13063" max="13063" width="13.42578125" style="265" bestFit="1" customWidth="1"/>
    <col min="13064" max="13312" width="9.140625" style="265"/>
    <col min="13313" max="13313" width="6.7109375" style="265" customWidth="1"/>
    <col min="13314" max="13314" width="25.7109375" style="265" customWidth="1"/>
    <col min="13315" max="13315" width="23.7109375" style="265" customWidth="1"/>
    <col min="13316" max="13316" width="55.7109375" style="265" customWidth="1"/>
    <col min="13317" max="13317" width="9.7109375" style="265" bestFit="1" customWidth="1"/>
    <col min="13318" max="13318" width="55.7109375" style="265" customWidth="1"/>
    <col min="13319" max="13319" width="13.42578125" style="265" bestFit="1" customWidth="1"/>
    <col min="13320" max="13568" width="9.140625" style="265"/>
    <col min="13569" max="13569" width="6.7109375" style="265" customWidth="1"/>
    <col min="13570" max="13570" width="25.7109375" style="265" customWidth="1"/>
    <col min="13571" max="13571" width="23.7109375" style="265" customWidth="1"/>
    <col min="13572" max="13572" width="55.7109375" style="265" customWidth="1"/>
    <col min="13573" max="13573" width="9.7109375" style="265" bestFit="1" customWidth="1"/>
    <col min="13574" max="13574" width="55.7109375" style="265" customWidth="1"/>
    <col min="13575" max="13575" width="13.42578125" style="265" bestFit="1" customWidth="1"/>
    <col min="13576" max="13824" width="9.140625" style="265"/>
    <col min="13825" max="13825" width="6.7109375" style="265" customWidth="1"/>
    <col min="13826" max="13826" width="25.7109375" style="265" customWidth="1"/>
    <col min="13827" max="13827" width="23.7109375" style="265" customWidth="1"/>
    <col min="13828" max="13828" width="55.7109375" style="265" customWidth="1"/>
    <col min="13829" max="13829" width="9.7109375" style="265" bestFit="1" customWidth="1"/>
    <col min="13830" max="13830" width="55.7109375" style="265" customWidth="1"/>
    <col min="13831" max="13831" width="13.42578125" style="265" bestFit="1" customWidth="1"/>
    <col min="13832" max="14080" width="9.140625" style="265"/>
    <col min="14081" max="14081" width="6.7109375" style="265" customWidth="1"/>
    <col min="14082" max="14082" width="25.7109375" style="265" customWidth="1"/>
    <col min="14083" max="14083" width="23.7109375" style="265" customWidth="1"/>
    <col min="14084" max="14084" width="55.7109375" style="265" customWidth="1"/>
    <col min="14085" max="14085" width="9.7109375" style="265" bestFit="1" customWidth="1"/>
    <col min="14086" max="14086" width="55.7109375" style="265" customWidth="1"/>
    <col min="14087" max="14087" width="13.42578125" style="265" bestFit="1" customWidth="1"/>
    <col min="14088" max="14336" width="9.140625" style="265"/>
    <col min="14337" max="14337" width="6.7109375" style="265" customWidth="1"/>
    <col min="14338" max="14338" width="25.7109375" style="265" customWidth="1"/>
    <col min="14339" max="14339" width="23.7109375" style="265" customWidth="1"/>
    <col min="14340" max="14340" width="55.7109375" style="265" customWidth="1"/>
    <col min="14341" max="14341" width="9.7109375" style="265" bestFit="1" customWidth="1"/>
    <col min="14342" max="14342" width="55.7109375" style="265" customWidth="1"/>
    <col min="14343" max="14343" width="13.42578125" style="265" bestFit="1" customWidth="1"/>
    <col min="14344" max="14592" width="9.140625" style="265"/>
    <col min="14593" max="14593" width="6.7109375" style="265" customWidth="1"/>
    <col min="14594" max="14594" width="25.7109375" style="265" customWidth="1"/>
    <col min="14595" max="14595" width="23.7109375" style="265" customWidth="1"/>
    <col min="14596" max="14596" width="55.7109375" style="265" customWidth="1"/>
    <col min="14597" max="14597" width="9.7109375" style="265" bestFit="1" customWidth="1"/>
    <col min="14598" max="14598" width="55.7109375" style="265" customWidth="1"/>
    <col min="14599" max="14599" width="13.42578125" style="265" bestFit="1" customWidth="1"/>
    <col min="14600" max="14848" width="9.140625" style="265"/>
    <col min="14849" max="14849" width="6.7109375" style="265" customWidth="1"/>
    <col min="14850" max="14850" width="25.7109375" style="265" customWidth="1"/>
    <col min="14851" max="14851" width="23.7109375" style="265" customWidth="1"/>
    <col min="14852" max="14852" width="55.7109375" style="265" customWidth="1"/>
    <col min="14853" max="14853" width="9.7109375" style="265" bestFit="1" customWidth="1"/>
    <col min="14854" max="14854" width="55.7109375" style="265" customWidth="1"/>
    <col min="14855" max="14855" width="13.42578125" style="265" bestFit="1" customWidth="1"/>
    <col min="14856" max="15104" width="9.140625" style="265"/>
    <col min="15105" max="15105" width="6.7109375" style="265" customWidth="1"/>
    <col min="15106" max="15106" width="25.7109375" style="265" customWidth="1"/>
    <col min="15107" max="15107" width="23.7109375" style="265" customWidth="1"/>
    <col min="15108" max="15108" width="55.7109375" style="265" customWidth="1"/>
    <col min="15109" max="15109" width="9.7109375" style="265" bestFit="1" customWidth="1"/>
    <col min="15110" max="15110" width="55.7109375" style="265" customWidth="1"/>
    <col min="15111" max="15111" width="13.42578125" style="265" bestFit="1" customWidth="1"/>
    <col min="15112" max="15360" width="9.140625" style="265"/>
    <col min="15361" max="15361" width="6.7109375" style="265" customWidth="1"/>
    <col min="15362" max="15362" width="25.7109375" style="265" customWidth="1"/>
    <col min="15363" max="15363" width="23.7109375" style="265" customWidth="1"/>
    <col min="15364" max="15364" width="55.7109375" style="265" customWidth="1"/>
    <col min="15365" max="15365" width="9.7109375" style="265" bestFit="1" customWidth="1"/>
    <col min="15366" max="15366" width="55.7109375" style="265" customWidth="1"/>
    <col min="15367" max="15367" width="13.42578125" style="265" bestFit="1" customWidth="1"/>
    <col min="15368" max="15616" width="9.140625" style="265"/>
    <col min="15617" max="15617" width="6.7109375" style="265" customWidth="1"/>
    <col min="15618" max="15618" width="25.7109375" style="265" customWidth="1"/>
    <col min="15619" max="15619" width="23.7109375" style="265" customWidth="1"/>
    <col min="15620" max="15620" width="55.7109375" style="265" customWidth="1"/>
    <col min="15621" max="15621" width="9.7109375" style="265" bestFit="1" customWidth="1"/>
    <col min="15622" max="15622" width="55.7109375" style="265" customWidth="1"/>
    <col min="15623" max="15623" width="13.42578125" style="265" bestFit="1" customWidth="1"/>
    <col min="15624" max="15872" width="9.140625" style="265"/>
    <col min="15873" max="15873" width="6.7109375" style="265" customWidth="1"/>
    <col min="15874" max="15874" width="25.7109375" style="265" customWidth="1"/>
    <col min="15875" max="15875" width="23.7109375" style="265" customWidth="1"/>
    <col min="15876" max="15876" width="55.7109375" style="265" customWidth="1"/>
    <col min="15877" max="15877" width="9.7109375" style="265" bestFit="1" customWidth="1"/>
    <col min="15878" max="15878" width="55.7109375" style="265" customWidth="1"/>
    <col min="15879" max="15879" width="13.42578125" style="265" bestFit="1" customWidth="1"/>
    <col min="15880" max="16128" width="9.140625" style="265"/>
    <col min="16129" max="16129" width="6.7109375" style="265" customWidth="1"/>
    <col min="16130" max="16130" width="25.7109375" style="265" customWidth="1"/>
    <col min="16131" max="16131" width="23.7109375" style="265" customWidth="1"/>
    <col min="16132" max="16132" width="55.7109375" style="265" customWidth="1"/>
    <col min="16133" max="16133" width="9.7109375" style="265" bestFit="1" customWidth="1"/>
    <col min="16134" max="16134" width="55.7109375" style="265" customWidth="1"/>
    <col min="16135" max="16135" width="13.42578125" style="265" bestFit="1" customWidth="1"/>
    <col min="16136" max="16384" width="9.140625" style="265"/>
  </cols>
  <sheetData>
    <row r="1" spans="1:22" s="184" customFormat="1" ht="14.25">
      <c r="A1" s="183"/>
      <c r="B1" s="183"/>
      <c r="C1" s="183"/>
      <c r="D1" s="262"/>
      <c r="E1" s="263"/>
      <c r="F1" s="262"/>
      <c r="G1" s="264"/>
    </row>
    <row r="2" spans="1:22" s="184" customFormat="1" ht="14.25">
      <c r="A2" s="183"/>
      <c r="B2" s="183"/>
      <c r="C2" s="183"/>
      <c r="D2" s="262"/>
      <c r="E2" s="263"/>
      <c r="F2" s="262"/>
      <c r="G2" s="264"/>
    </row>
    <row r="3" spans="1:22" s="184" customFormat="1" ht="14.25">
      <c r="A3" s="183"/>
      <c r="B3" s="183"/>
      <c r="C3" s="183"/>
      <c r="D3" s="262"/>
      <c r="E3" s="263"/>
      <c r="F3" s="262"/>
      <c r="G3" s="264"/>
    </row>
    <row r="4" spans="1:22" s="184" customFormat="1" ht="6" customHeight="1">
      <c r="A4" s="732"/>
      <c r="B4" s="733"/>
      <c r="C4" s="733"/>
      <c r="D4" s="733"/>
      <c r="E4" s="734"/>
      <c r="F4" s="733"/>
      <c r="G4" s="735"/>
      <c r="J4" s="265"/>
      <c r="K4" s="265"/>
      <c r="L4" s="265"/>
    </row>
    <row r="5" spans="1:22" s="184" customFormat="1" ht="18">
      <c r="A5" s="848" t="s">
        <v>84</v>
      </c>
      <c r="B5" s="848"/>
      <c r="C5" s="848"/>
      <c r="D5" s="848"/>
      <c r="E5" s="289"/>
      <c r="F5" s="288"/>
      <c r="G5" s="290"/>
      <c r="H5" s="185"/>
      <c r="I5" s="186"/>
      <c r="J5" s="265"/>
      <c r="K5" s="265"/>
      <c r="L5" s="265"/>
    </row>
    <row r="6" spans="1:22" ht="14.25">
      <c r="A6" s="162" t="s">
        <v>2</v>
      </c>
      <c r="B6" s="162"/>
      <c r="C6" s="162"/>
      <c r="D6" s="162"/>
      <c r="E6" s="266"/>
      <c r="F6" s="162"/>
      <c r="G6" s="267"/>
      <c r="H6" s="268"/>
      <c r="I6" s="269"/>
      <c r="M6" s="269"/>
      <c r="N6" s="269"/>
      <c r="O6" s="269"/>
      <c r="P6" s="270"/>
      <c r="Q6" s="268"/>
      <c r="R6" s="270"/>
      <c r="S6" s="268"/>
      <c r="T6" s="271"/>
      <c r="U6" s="268"/>
      <c r="V6" s="271"/>
    </row>
    <row r="7" spans="1:22" ht="15.75">
      <c r="A7" s="849" t="s">
        <v>85</v>
      </c>
      <c r="B7" s="849"/>
      <c r="C7" s="849"/>
      <c r="D7" s="849"/>
      <c r="E7" s="273"/>
      <c r="F7" s="272"/>
      <c r="G7" s="267"/>
      <c r="H7" s="268"/>
      <c r="I7" s="269"/>
      <c r="J7" s="269"/>
      <c r="K7" s="269"/>
      <c r="L7" s="269"/>
      <c r="M7" s="269"/>
      <c r="N7" s="269"/>
      <c r="O7" s="269"/>
      <c r="P7" s="270"/>
      <c r="Q7" s="268"/>
      <c r="R7" s="270"/>
      <c r="S7" s="268"/>
      <c r="T7" s="271"/>
      <c r="U7" s="268"/>
      <c r="V7" s="271"/>
    </row>
    <row r="8" spans="1:22">
      <c r="A8" s="850">
        <f ca="1">TODAY()</f>
        <v>46146</v>
      </c>
      <c r="B8" s="850"/>
      <c r="C8" s="850"/>
      <c r="D8" s="850"/>
      <c r="E8" s="275"/>
      <c r="F8" s="274"/>
      <c r="G8" s="276"/>
      <c r="H8" s="268"/>
      <c r="I8" s="269"/>
      <c r="J8" s="269"/>
      <c r="K8" s="269"/>
      <c r="L8" s="269"/>
      <c r="M8" s="269"/>
      <c r="N8" s="269"/>
      <c r="O8" s="269"/>
      <c r="P8" s="270"/>
      <c r="Q8" s="268"/>
      <c r="R8" s="270"/>
      <c r="S8" s="268"/>
      <c r="T8" s="271"/>
      <c r="U8" s="268"/>
      <c r="V8" s="271"/>
    </row>
    <row r="9" spans="1:22" s="277" customFormat="1" ht="30">
      <c r="A9" s="1024" t="s">
        <v>86</v>
      </c>
      <c r="B9" s="1024" t="s">
        <v>87</v>
      </c>
      <c r="C9" s="1024" t="s">
        <v>88</v>
      </c>
      <c r="D9" s="1025" t="s">
        <v>89</v>
      </c>
      <c r="E9" s="1026" t="s">
        <v>90</v>
      </c>
      <c r="F9" s="1025" t="s">
        <v>91</v>
      </c>
      <c r="G9" s="1027" t="s">
        <v>92</v>
      </c>
    </row>
    <row r="10" spans="1:22" s="278" customFormat="1" ht="38.25">
      <c r="A10" s="385">
        <v>1</v>
      </c>
      <c r="B10" s="386" t="s">
        <v>93</v>
      </c>
      <c r="C10" s="386" t="s">
        <v>94</v>
      </c>
      <c r="D10" s="387" t="s">
        <v>95</v>
      </c>
      <c r="E10" s="388">
        <v>45670</v>
      </c>
      <c r="F10" s="387" t="s">
        <v>96</v>
      </c>
      <c r="G10" s="284">
        <v>45688</v>
      </c>
    </row>
    <row r="11" spans="1:22" s="278" customFormat="1" ht="63.75">
      <c r="A11" s="279">
        <f t="shared" ref="A11:A28" si="0">1+A10</f>
        <v>2</v>
      </c>
      <c r="B11" s="280" t="s">
        <v>97</v>
      </c>
      <c r="C11" s="280" t="s">
        <v>98</v>
      </c>
      <c r="D11" s="282" t="s">
        <v>99</v>
      </c>
      <c r="E11" s="313">
        <v>45670</v>
      </c>
      <c r="F11" s="282" t="s">
        <v>100</v>
      </c>
      <c r="G11" s="284">
        <v>45688</v>
      </c>
    </row>
    <row r="12" spans="1:22" s="278" customFormat="1" ht="51">
      <c r="A12" s="279">
        <f t="shared" si="0"/>
        <v>3</v>
      </c>
      <c r="B12" s="280" t="s">
        <v>101</v>
      </c>
      <c r="C12" s="280" t="s">
        <v>102</v>
      </c>
      <c r="D12" s="282" t="s">
        <v>103</v>
      </c>
      <c r="E12" s="313">
        <v>45670</v>
      </c>
      <c r="F12" s="282"/>
      <c r="G12" s="284"/>
    </row>
    <row r="13" spans="1:22" s="278" customFormat="1" ht="153">
      <c r="A13" s="279">
        <f>1+A15</f>
        <v>6</v>
      </c>
      <c r="B13" s="280" t="s">
        <v>104</v>
      </c>
      <c r="C13" s="280" t="s">
        <v>105</v>
      </c>
      <c r="D13" s="282" t="s">
        <v>106</v>
      </c>
      <c r="E13" s="313">
        <v>45670</v>
      </c>
      <c r="F13" s="282" t="s">
        <v>107</v>
      </c>
      <c r="G13" s="284">
        <v>45688</v>
      </c>
    </row>
    <row r="14" spans="1:22" s="278" customFormat="1" ht="51">
      <c r="A14" s="279">
        <f>1+A12</f>
        <v>4</v>
      </c>
      <c r="B14" s="280" t="s">
        <v>108</v>
      </c>
      <c r="C14" s="280" t="s">
        <v>109</v>
      </c>
      <c r="D14" s="282" t="s">
        <v>110</v>
      </c>
      <c r="E14" s="313">
        <v>45670</v>
      </c>
      <c r="F14" s="282" t="s">
        <v>111</v>
      </c>
      <c r="G14" s="284">
        <v>45688</v>
      </c>
    </row>
    <row r="15" spans="1:22" s="278" customFormat="1" ht="102">
      <c r="A15" s="279">
        <f t="shared" si="0"/>
        <v>5</v>
      </c>
      <c r="B15" s="280" t="s">
        <v>112</v>
      </c>
      <c r="C15" s="280" t="s">
        <v>109</v>
      </c>
      <c r="D15" s="282" t="s">
        <v>113</v>
      </c>
      <c r="E15" s="313">
        <v>45670</v>
      </c>
      <c r="F15" s="282" t="s">
        <v>114</v>
      </c>
      <c r="G15" s="284">
        <v>45688</v>
      </c>
    </row>
    <row r="16" spans="1:22" s="278" customFormat="1" ht="89.25">
      <c r="A16" s="279">
        <f t="shared" si="0"/>
        <v>6</v>
      </c>
      <c r="B16" s="280" t="s">
        <v>115</v>
      </c>
      <c r="C16" s="280" t="s">
        <v>116</v>
      </c>
      <c r="D16" s="282" t="s">
        <v>117</v>
      </c>
      <c r="E16" s="313">
        <v>45670</v>
      </c>
      <c r="F16" s="282" t="s">
        <v>118</v>
      </c>
      <c r="G16" s="284">
        <v>45688</v>
      </c>
    </row>
    <row r="17" spans="1:7" s="278" customFormat="1" ht="89.25">
      <c r="A17" s="279">
        <f t="shared" si="0"/>
        <v>7</v>
      </c>
      <c r="B17" s="280" t="s">
        <v>119</v>
      </c>
      <c r="C17" s="280" t="s">
        <v>120</v>
      </c>
      <c r="D17" s="282" t="s">
        <v>121</v>
      </c>
      <c r="E17" s="313">
        <v>45670</v>
      </c>
      <c r="F17" s="282" t="s">
        <v>122</v>
      </c>
      <c r="G17" s="284">
        <v>45688</v>
      </c>
    </row>
    <row r="18" spans="1:7" s="278" customFormat="1" ht="38.25">
      <c r="A18" s="279">
        <f t="shared" si="0"/>
        <v>8</v>
      </c>
      <c r="B18" s="280" t="s">
        <v>123</v>
      </c>
      <c r="C18" s="280" t="s">
        <v>124</v>
      </c>
      <c r="D18" s="282" t="s">
        <v>125</v>
      </c>
      <c r="E18" s="313">
        <v>45670</v>
      </c>
      <c r="F18" s="282" t="s">
        <v>126</v>
      </c>
      <c r="G18" s="284">
        <v>45688</v>
      </c>
    </row>
    <row r="19" spans="1:7" s="278" customFormat="1" ht="102">
      <c r="A19" s="279">
        <f t="shared" si="0"/>
        <v>9</v>
      </c>
      <c r="B19" s="280" t="s">
        <v>127</v>
      </c>
      <c r="C19" s="280" t="s">
        <v>128</v>
      </c>
      <c r="D19" s="282" t="s">
        <v>129</v>
      </c>
      <c r="E19" s="313">
        <v>45670</v>
      </c>
      <c r="F19" s="282" t="s">
        <v>130</v>
      </c>
      <c r="G19" s="284">
        <v>45688</v>
      </c>
    </row>
    <row r="20" spans="1:7" s="278" customFormat="1" ht="51">
      <c r="A20" s="279">
        <f t="shared" si="0"/>
        <v>10</v>
      </c>
      <c r="B20" s="280" t="s">
        <v>131</v>
      </c>
      <c r="C20" s="280" t="s">
        <v>132</v>
      </c>
      <c r="D20" s="282" t="s">
        <v>133</v>
      </c>
      <c r="E20" s="313">
        <v>45670</v>
      </c>
      <c r="F20" s="282" t="s">
        <v>134</v>
      </c>
      <c r="G20" s="284">
        <v>45688</v>
      </c>
    </row>
    <row r="21" spans="1:7" s="278" customFormat="1" ht="51">
      <c r="A21" s="279">
        <f t="shared" si="0"/>
        <v>11</v>
      </c>
      <c r="B21" s="280" t="s">
        <v>131</v>
      </c>
      <c r="C21" s="280" t="s">
        <v>132</v>
      </c>
      <c r="D21" s="282" t="s">
        <v>135</v>
      </c>
      <c r="E21" s="313">
        <v>45670</v>
      </c>
      <c r="F21" s="282" t="s">
        <v>136</v>
      </c>
      <c r="G21" s="284">
        <v>45688</v>
      </c>
    </row>
    <row r="22" spans="1:7" s="278" customFormat="1" ht="76.5">
      <c r="A22" s="279">
        <f t="shared" si="0"/>
        <v>12</v>
      </c>
      <c r="B22" s="280" t="s">
        <v>137</v>
      </c>
      <c r="C22" s="280" t="s">
        <v>138</v>
      </c>
      <c r="D22" s="282" t="s">
        <v>139</v>
      </c>
      <c r="E22" s="313">
        <v>45670</v>
      </c>
      <c r="F22" s="282" t="s">
        <v>140</v>
      </c>
      <c r="G22" s="284">
        <v>45688</v>
      </c>
    </row>
    <row r="23" spans="1:7" s="278" customFormat="1" ht="38.25">
      <c r="A23" s="279">
        <f t="shared" si="0"/>
        <v>13</v>
      </c>
      <c r="B23" s="280" t="s">
        <v>141</v>
      </c>
      <c r="C23" s="280" t="s">
        <v>142</v>
      </c>
      <c r="D23" s="282" t="s">
        <v>143</v>
      </c>
      <c r="E23" s="313">
        <v>45670</v>
      </c>
      <c r="F23" s="283" t="s">
        <v>144</v>
      </c>
      <c r="G23" s="284">
        <v>45688</v>
      </c>
    </row>
    <row r="24" spans="1:7" s="278" customFormat="1" ht="51">
      <c r="A24" s="279">
        <f t="shared" si="0"/>
        <v>14</v>
      </c>
      <c r="B24" s="280" t="s">
        <v>145</v>
      </c>
      <c r="C24" s="280"/>
      <c r="D24" s="282" t="s">
        <v>146</v>
      </c>
      <c r="E24" s="313">
        <v>45670</v>
      </c>
      <c r="F24" s="282" t="s">
        <v>147</v>
      </c>
      <c r="G24" s="284">
        <v>45688</v>
      </c>
    </row>
    <row r="25" spans="1:7" s="278" customFormat="1" ht="76.5">
      <c r="A25" s="279">
        <f t="shared" si="0"/>
        <v>15</v>
      </c>
      <c r="B25" s="280" t="s">
        <v>148</v>
      </c>
      <c r="C25" s="280"/>
      <c r="D25" s="280" t="s">
        <v>149</v>
      </c>
      <c r="E25" s="313">
        <v>45670</v>
      </c>
      <c r="F25" s="282" t="s">
        <v>150</v>
      </c>
      <c r="G25" s="284">
        <v>45688</v>
      </c>
    </row>
    <row r="26" spans="1:7" s="278" customFormat="1" ht="63.75">
      <c r="A26" s="279">
        <f t="shared" si="0"/>
        <v>16</v>
      </c>
      <c r="B26" s="280" t="s">
        <v>151</v>
      </c>
      <c r="C26" s="280"/>
      <c r="D26" s="282" t="s">
        <v>152</v>
      </c>
      <c r="E26" s="313">
        <v>45670</v>
      </c>
      <c r="F26" s="282" t="s">
        <v>153</v>
      </c>
      <c r="G26" s="284">
        <v>45688</v>
      </c>
    </row>
    <row r="27" spans="1:7" s="278" customFormat="1" ht="63.75">
      <c r="A27" s="279">
        <f t="shared" si="0"/>
        <v>17</v>
      </c>
      <c r="B27" s="280" t="s">
        <v>154</v>
      </c>
      <c r="C27" s="281" t="s">
        <v>155</v>
      </c>
      <c r="D27" s="282" t="s">
        <v>156</v>
      </c>
      <c r="E27" s="313">
        <v>45670</v>
      </c>
      <c r="F27" s="282" t="s">
        <v>157</v>
      </c>
      <c r="G27" s="284">
        <v>45688</v>
      </c>
    </row>
    <row r="28" spans="1:7" s="278" customFormat="1" ht="63.75">
      <c r="A28" s="279">
        <f t="shared" si="0"/>
        <v>18</v>
      </c>
      <c r="B28" s="280" t="s">
        <v>158</v>
      </c>
      <c r="C28" s="281" t="s">
        <v>159</v>
      </c>
      <c r="D28" s="282" t="s">
        <v>160</v>
      </c>
      <c r="E28" s="313">
        <v>45670</v>
      </c>
      <c r="F28" s="282" t="s">
        <v>161</v>
      </c>
      <c r="G28" s="284">
        <v>45688</v>
      </c>
    </row>
    <row r="29" spans="1:7" s="278" customFormat="1" ht="25.5">
      <c r="A29" s="279">
        <f>1+A28</f>
        <v>19</v>
      </c>
      <c r="B29" s="280" t="s">
        <v>162</v>
      </c>
      <c r="C29" s="281"/>
      <c r="D29" s="282" t="s">
        <v>163</v>
      </c>
      <c r="E29" s="313">
        <v>45670</v>
      </c>
      <c r="F29" s="282" t="s">
        <v>164</v>
      </c>
      <c r="G29" s="284">
        <v>45688</v>
      </c>
    </row>
    <row r="30" spans="1:7" s="278" customFormat="1" ht="38.25">
      <c r="A30" s="279">
        <f t="shared" ref="A30:A93" si="1">1+A29</f>
        <v>20</v>
      </c>
      <c r="B30" s="281" t="s">
        <v>165</v>
      </c>
      <c r="C30" s="281" t="s">
        <v>166</v>
      </c>
      <c r="D30" s="282" t="s">
        <v>167</v>
      </c>
      <c r="E30" s="313">
        <v>45670</v>
      </c>
      <c r="F30" s="282" t="s">
        <v>168</v>
      </c>
      <c r="G30" s="284">
        <v>45688</v>
      </c>
    </row>
    <row r="31" spans="1:7" s="278" customFormat="1" ht="63.75">
      <c r="A31" s="279">
        <f t="shared" si="1"/>
        <v>21</v>
      </c>
      <c r="B31" s="281" t="s">
        <v>169</v>
      </c>
      <c r="C31" s="281" t="s">
        <v>170</v>
      </c>
      <c r="D31" s="282" t="s">
        <v>171</v>
      </c>
      <c r="E31" s="313">
        <v>45670</v>
      </c>
      <c r="F31" s="282" t="s">
        <v>172</v>
      </c>
      <c r="G31" s="284">
        <v>45688</v>
      </c>
    </row>
    <row r="32" spans="1:7" s="278" customFormat="1" ht="89.25">
      <c r="A32" s="279">
        <f t="shared" si="1"/>
        <v>22</v>
      </c>
      <c r="B32" s="281" t="s">
        <v>173</v>
      </c>
      <c r="C32" s="281" t="s">
        <v>174</v>
      </c>
      <c r="D32" s="282" t="s">
        <v>175</v>
      </c>
      <c r="E32" s="313">
        <v>45673</v>
      </c>
      <c r="F32" s="282" t="s">
        <v>176</v>
      </c>
      <c r="G32" s="284">
        <v>45688</v>
      </c>
    </row>
    <row r="33" spans="1:7" s="278" customFormat="1" ht="63.75">
      <c r="A33" s="279">
        <f t="shared" si="1"/>
        <v>23</v>
      </c>
      <c r="B33" s="280" t="s">
        <v>104</v>
      </c>
      <c r="C33" s="280" t="s">
        <v>105</v>
      </c>
      <c r="D33" s="282" t="s">
        <v>177</v>
      </c>
      <c r="E33" s="313">
        <v>45673</v>
      </c>
      <c r="F33" s="283" t="s">
        <v>178</v>
      </c>
      <c r="G33" s="284">
        <v>45688</v>
      </c>
    </row>
    <row r="34" spans="1:7" s="278" customFormat="1" ht="89.25">
      <c r="A34" s="279">
        <f t="shared" si="1"/>
        <v>24</v>
      </c>
      <c r="B34" s="280" t="s">
        <v>179</v>
      </c>
      <c r="C34" s="280" t="s">
        <v>180</v>
      </c>
      <c r="D34" s="282" t="s">
        <v>181</v>
      </c>
      <c r="E34" s="313">
        <v>45673</v>
      </c>
      <c r="F34" s="282" t="s">
        <v>182</v>
      </c>
      <c r="G34" s="284">
        <v>45688</v>
      </c>
    </row>
    <row r="35" spans="1:7" s="278" customFormat="1" ht="63.75">
      <c r="A35" s="279">
        <f t="shared" si="1"/>
        <v>25</v>
      </c>
      <c r="B35" s="280" t="s">
        <v>183</v>
      </c>
      <c r="C35" s="280" t="s">
        <v>184</v>
      </c>
      <c r="D35" s="282" t="s">
        <v>185</v>
      </c>
      <c r="E35" s="313">
        <v>45673</v>
      </c>
      <c r="F35" s="282" t="s">
        <v>186</v>
      </c>
      <c r="G35" s="284">
        <v>45688</v>
      </c>
    </row>
    <row r="36" spans="1:7" s="278" customFormat="1" ht="63.75">
      <c r="A36" s="279">
        <f t="shared" si="1"/>
        <v>26</v>
      </c>
      <c r="B36" s="280" t="s">
        <v>187</v>
      </c>
      <c r="C36" s="280"/>
      <c r="D36" s="282" t="s">
        <v>188</v>
      </c>
      <c r="E36" s="313">
        <v>45673</v>
      </c>
      <c r="F36" s="282" t="s">
        <v>189</v>
      </c>
      <c r="G36" s="284">
        <v>45688</v>
      </c>
    </row>
    <row r="37" spans="1:7" s="278" customFormat="1" ht="38.25">
      <c r="A37" s="279">
        <f t="shared" si="1"/>
        <v>27</v>
      </c>
      <c r="B37" s="280" t="s">
        <v>190</v>
      </c>
      <c r="C37" s="280" t="s">
        <v>191</v>
      </c>
      <c r="D37" s="282" t="s">
        <v>192</v>
      </c>
      <c r="E37" s="313">
        <v>45673</v>
      </c>
      <c r="F37" s="282" t="s">
        <v>193</v>
      </c>
      <c r="G37" s="284">
        <v>45688</v>
      </c>
    </row>
    <row r="38" spans="1:7" s="278" customFormat="1" ht="173.25">
      <c r="A38" s="279">
        <f t="shared" si="1"/>
        <v>28</v>
      </c>
      <c r="B38" s="280" t="s">
        <v>194</v>
      </c>
      <c r="C38" s="280"/>
      <c r="D38" s="282" t="s">
        <v>195</v>
      </c>
      <c r="E38" s="313">
        <v>45673</v>
      </c>
      <c r="F38" s="282" t="s">
        <v>196</v>
      </c>
      <c r="G38" s="284">
        <v>45707</v>
      </c>
    </row>
    <row r="39" spans="1:7" s="278" customFormat="1" ht="51">
      <c r="A39" s="279">
        <f t="shared" si="1"/>
        <v>29</v>
      </c>
      <c r="B39" s="280" t="s">
        <v>197</v>
      </c>
      <c r="C39" s="280" t="s">
        <v>198</v>
      </c>
      <c r="D39" s="282" t="s">
        <v>199</v>
      </c>
      <c r="E39" s="313">
        <v>45673</v>
      </c>
      <c r="F39" s="282" t="s">
        <v>200</v>
      </c>
      <c r="G39" s="284">
        <v>45688</v>
      </c>
    </row>
    <row r="40" spans="1:7" s="278" customFormat="1" ht="38.25">
      <c r="A40" s="279">
        <f t="shared" si="1"/>
        <v>30</v>
      </c>
      <c r="B40" s="280" t="s">
        <v>201</v>
      </c>
      <c r="C40" s="280" t="s">
        <v>202</v>
      </c>
      <c r="D40" s="282" t="s">
        <v>203</v>
      </c>
      <c r="E40" s="313">
        <v>45673</v>
      </c>
      <c r="F40" s="282" t="s">
        <v>204</v>
      </c>
      <c r="G40" s="284">
        <v>45688</v>
      </c>
    </row>
    <row r="41" spans="1:7" s="278" customFormat="1" ht="165.75">
      <c r="A41" s="279">
        <f t="shared" si="1"/>
        <v>31</v>
      </c>
      <c r="B41" s="280" t="s">
        <v>205</v>
      </c>
      <c r="C41" s="280"/>
      <c r="D41" s="282" t="s">
        <v>206</v>
      </c>
      <c r="E41" s="313">
        <v>45673</v>
      </c>
      <c r="F41" s="282" t="s">
        <v>207</v>
      </c>
      <c r="G41" s="284">
        <v>45688</v>
      </c>
    </row>
    <row r="42" spans="1:7" s="278" customFormat="1" ht="38.25">
      <c r="A42" s="279">
        <f t="shared" si="1"/>
        <v>32</v>
      </c>
      <c r="B42" s="280" t="s">
        <v>208</v>
      </c>
      <c r="C42" s="280" t="s">
        <v>209</v>
      </c>
      <c r="D42" s="282" t="s">
        <v>210</v>
      </c>
      <c r="E42" s="313">
        <v>45673</v>
      </c>
      <c r="F42" s="282" t="s">
        <v>211</v>
      </c>
      <c r="G42" s="284">
        <v>45688</v>
      </c>
    </row>
    <row r="43" spans="1:7" s="278" customFormat="1" ht="38.25">
      <c r="A43" s="279">
        <f t="shared" si="1"/>
        <v>33</v>
      </c>
      <c r="B43" s="280" t="s">
        <v>212</v>
      </c>
      <c r="C43" s="280" t="s">
        <v>213</v>
      </c>
      <c r="D43" s="282" t="s">
        <v>214</v>
      </c>
      <c r="E43" s="313">
        <v>45673</v>
      </c>
      <c r="F43" s="282" t="s">
        <v>215</v>
      </c>
      <c r="G43" s="284">
        <v>45688</v>
      </c>
    </row>
    <row r="44" spans="1:7" s="278" customFormat="1">
      <c r="A44" s="279">
        <f t="shared" si="1"/>
        <v>34</v>
      </c>
      <c r="B44" s="280" t="s">
        <v>212</v>
      </c>
      <c r="C44" s="280" t="s">
        <v>216</v>
      </c>
      <c r="D44" s="282" t="s">
        <v>217</v>
      </c>
      <c r="E44" s="313">
        <v>45673</v>
      </c>
      <c r="F44" s="283" t="s">
        <v>218</v>
      </c>
      <c r="G44" s="284">
        <v>45688</v>
      </c>
    </row>
    <row r="45" spans="1:7" s="278" customFormat="1" ht="38.25">
      <c r="A45" s="279">
        <f t="shared" si="1"/>
        <v>35</v>
      </c>
      <c r="B45" s="280" t="s">
        <v>219</v>
      </c>
      <c r="C45" s="280" t="s">
        <v>220</v>
      </c>
      <c r="D45" s="282" t="s">
        <v>221</v>
      </c>
      <c r="E45" s="313">
        <v>45673</v>
      </c>
      <c r="F45" s="282" t="s">
        <v>222</v>
      </c>
      <c r="G45" s="284">
        <v>45688</v>
      </c>
    </row>
    <row r="46" spans="1:7" s="278" customFormat="1" ht="38.25">
      <c r="A46" s="279">
        <f t="shared" si="1"/>
        <v>36</v>
      </c>
      <c r="B46" s="280" t="s">
        <v>219</v>
      </c>
      <c r="C46" s="280" t="s">
        <v>220</v>
      </c>
      <c r="D46" s="282" t="s">
        <v>223</v>
      </c>
      <c r="E46" s="313">
        <v>45673</v>
      </c>
      <c r="F46" s="282" t="s">
        <v>224</v>
      </c>
      <c r="G46" s="284">
        <v>45688</v>
      </c>
    </row>
    <row r="47" spans="1:7" s="278" customFormat="1" ht="25.5">
      <c r="A47" s="279">
        <f t="shared" si="1"/>
        <v>37</v>
      </c>
      <c r="B47" s="280" t="s">
        <v>225</v>
      </c>
      <c r="C47" s="280" t="s">
        <v>226</v>
      </c>
      <c r="D47" s="282" t="s">
        <v>227</v>
      </c>
      <c r="E47" s="313">
        <v>45673</v>
      </c>
      <c r="F47" s="282" t="s">
        <v>228</v>
      </c>
      <c r="G47" s="284">
        <v>45688</v>
      </c>
    </row>
    <row r="48" spans="1:7" s="278" customFormat="1" ht="38.25">
      <c r="A48" s="279">
        <f t="shared" si="1"/>
        <v>38</v>
      </c>
      <c r="B48" s="280" t="s">
        <v>229</v>
      </c>
      <c r="C48" s="280" t="s">
        <v>230</v>
      </c>
      <c r="D48" s="282" t="s">
        <v>231</v>
      </c>
      <c r="E48" s="313">
        <v>45673</v>
      </c>
      <c r="F48" s="282" t="s">
        <v>232</v>
      </c>
      <c r="G48" s="284">
        <v>45688</v>
      </c>
    </row>
    <row r="49" spans="1:7" s="278" customFormat="1" ht="38.25">
      <c r="A49" s="279">
        <f t="shared" si="1"/>
        <v>39</v>
      </c>
      <c r="B49" s="280" t="s">
        <v>233</v>
      </c>
      <c r="C49" s="280" t="s">
        <v>234</v>
      </c>
      <c r="D49" s="282" t="s">
        <v>235</v>
      </c>
      <c r="E49" s="313">
        <v>45673</v>
      </c>
      <c r="F49" s="282"/>
      <c r="G49" s="284"/>
    </row>
    <row r="50" spans="1:7" s="278" customFormat="1" ht="25.5">
      <c r="A50" s="279">
        <f t="shared" si="1"/>
        <v>40</v>
      </c>
      <c r="B50" s="280" t="s">
        <v>236</v>
      </c>
      <c r="C50" s="280" t="s">
        <v>237</v>
      </c>
      <c r="D50" s="282" t="s">
        <v>238</v>
      </c>
      <c r="E50" s="313">
        <v>45673</v>
      </c>
      <c r="F50" s="283" t="s">
        <v>239</v>
      </c>
      <c r="G50" s="284">
        <v>45688</v>
      </c>
    </row>
    <row r="51" spans="1:7" s="278" customFormat="1" ht="38.25">
      <c r="A51" s="279">
        <f t="shared" si="1"/>
        <v>41</v>
      </c>
      <c r="B51" s="280" t="s">
        <v>240</v>
      </c>
      <c r="C51" s="280" t="s">
        <v>241</v>
      </c>
      <c r="D51" s="282" t="s">
        <v>242</v>
      </c>
      <c r="E51" s="313">
        <v>45673</v>
      </c>
      <c r="F51" s="282" t="s">
        <v>243</v>
      </c>
      <c r="G51" s="284">
        <v>45707</v>
      </c>
    </row>
    <row r="52" spans="1:7" s="278" customFormat="1" ht="51">
      <c r="A52" s="279">
        <f t="shared" si="1"/>
        <v>42</v>
      </c>
      <c r="B52" s="280" t="s">
        <v>244</v>
      </c>
      <c r="C52" s="280"/>
      <c r="D52" s="282" t="s">
        <v>245</v>
      </c>
      <c r="E52" s="313">
        <v>45678</v>
      </c>
      <c r="F52" s="282" t="s">
        <v>246</v>
      </c>
      <c r="G52" s="284">
        <v>45688</v>
      </c>
    </row>
    <row r="53" spans="1:7" s="278" customFormat="1" ht="63.75">
      <c r="A53" s="279">
        <f t="shared" si="1"/>
        <v>43</v>
      </c>
      <c r="B53" s="280" t="s">
        <v>247</v>
      </c>
      <c r="C53" s="280" t="s">
        <v>248</v>
      </c>
      <c r="D53" s="282" t="s">
        <v>249</v>
      </c>
      <c r="E53" s="313">
        <v>45678</v>
      </c>
      <c r="F53" s="283"/>
      <c r="G53" s="284"/>
    </row>
    <row r="54" spans="1:7" s="278" customFormat="1" ht="51">
      <c r="A54" s="279">
        <f t="shared" si="1"/>
        <v>44</v>
      </c>
      <c r="B54" s="280" t="s">
        <v>250</v>
      </c>
      <c r="C54" s="280" t="s">
        <v>251</v>
      </c>
      <c r="D54" s="282" t="s">
        <v>252</v>
      </c>
      <c r="E54" s="313">
        <v>45678</v>
      </c>
      <c r="F54" s="282" t="s">
        <v>253</v>
      </c>
      <c r="G54" s="284">
        <v>45688</v>
      </c>
    </row>
    <row r="55" spans="1:7" s="278" customFormat="1" ht="25.5">
      <c r="A55" s="279">
        <f t="shared" si="1"/>
        <v>45</v>
      </c>
      <c r="B55" s="280" t="s">
        <v>254</v>
      </c>
      <c r="C55" s="280" t="s">
        <v>255</v>
      </c>
      <c r="D55" s="282" t="s">
        <v>256</v>
      </c>
      <c r="E55" s="313">
        <v>45678</v>
      </c>
      <c r="F55" s="283"/>
      <c r="G55" s="284"/>
    </row>
    <row r="56" spans="1:7" s="278" customFormat="1" ht="38.25">
      <c r="A56" s="279">
        <f t="shared" si="1"/>
        <v>46</v>
      </c>
      <c r="B56" s="280" t="s">
        <v>254</v>
      </c>
      <c r="C56" s="280" t="s">
        <v>255</v>
      </c>
      <c r="D56" s="282" t="s">
        <v>257</v>
      </c>
      <c r="E56" s="313">
        <v>45678</v>
      </c>
      <c r="F56" s="283"/>
      <c r="G56" s="284"/>
    </row>
    <row r="57" spans="1:7" s="278" customFormat="1" ht="25.5">
      <c r="A57" s="279">
        <f t="shared" si="1"/>
        <v>47</v>
      </c>
      <c r="B57" s="280" t="s">
        <v>258</v>
      </c>
      <c r="C57" s="280" t="s">
        <v>259</v>
      </c>
      <c r="D57" s="282" t="s">
        <v>260</v>
      </c>
      <c r="E57" s="313">
        <v>45678</v>
      </c>
      <c r="F57" s="283"/>
      <c r="G57" s="284"/>
    </row>
    <row r="58" spans="1:7" s="278" customFormat="1" ht="38.25">
      <c r="A58" s="279">
        <f t="shared" si="1"/>
        <v>48</v>
      </c>
      <c r="B58" s="280" t="s">
        <v>261</v>
      </c>
      <c r="C58" s="280" t="s">
        <v>259</v>
      </c>
      <c r="D58" s="282" t="s">
        <v>262</v>
      </c>
      <c r="E58" s="313">
        <v>45678</v>
      </c>
      <c r="F58" s="283"/>
      <c r="G58" s="284"/>
    </row>
    <row r="59" spans="1:7" s="278" customFormat="1" ht="89.25">
      <c r="A59" s="279">
        <f t="shared" si="1"/>
        <v>49</v>
      </c>
      <c r="B59" s="280" t="s">
        <v>263</v>
      </c>
      <c r="C59" s="280"/>
      <c r="D59" s="282" t="s">
        <v>264</v>
      </c>
      <c r="E59" s="313">
        <v>45678</v>
      </c>
      <c r="F59" s="283"/>
      <c r="G59" s="284"/>
    </row>
    <row r="60" spans="1:7" s="278" customFormat="1" ht="76.5">
      <c r="A60" s="279">
        <f t="shared" si="1"/>
        <v>50</v>
      </c>
      <c r="B60" s="280" t="s">
        <v>265</v>
      </c>
      <c r="C60" s="280" t="s">
        <v>266</v>
      </c>
      <c r="D60" s="282" t="s">
        <v>267</v>
      </c>
      <c r="E60" s="313">
        <v>45678</v>
      </c>
      <c r="F60" s="283"/>
      <c r="G60" s="284"/>
    </row>
    <row r="61" spans="1:7" s="278" customFormat="1" ht="51">
      <c r="A61" s="279">
        <f t="shared" si="1"/>
        <v>51</v>
      </c>
      <c r="B61" s="280" t="s">
        <v>268</v>
      </c>
      <c r="C61" s="280" t="s">
        <v>269</v>
      </c>
      <c r="D61" s="282" t="s">
        <v>270</v>
      </c>
      <c r="E61" s="313">
        <v>45678</v>
      </c>
      <c r="F61" s="283" t="s">
        <v>271</v>
      </c>
      <c r="G61" s="284">
        <v>45707</v>
      </c>
    </row>
    <row r="62" spans="1:7" s="278" customFormat="1" ht="63.75">
      <c r="A62" s="279">
        <f t="shared" si="1"/>
        <v>52</v>
      </c>
      <c r="B62" s="280" t="s">
        <v>272</v>
      </c>
      <c r="C62" s="280" t="s">
        <v>273</v>
      </c>
      <c r="D62" s="282" t="s">
        <v>274</v>
      </c>
      <c r="E62" s="313">
        <v>45678</v>
      </c>
      <c r="F62" s="283"/>
      <c r="G62" s="284"/>
    </row>
    <row r="63" spans="1:7" s="278" customFormat="1" ht="63.75">
      <c r="A63" s="279">
        <f t="shared" si="1"/>
        <v>53</v>
      </c>
      <c r="B63" s="280" t="s">
        <v>272</v>
      </c>
      <c r="C63" s="280" t="s">
        <v>273</v>
      </c>
      <c r="D63" s="282" t="s">
        <v>275</v>
      </c>
      <c r="E63" s="313">
        <v>45678</v>
      </c>
      <c r="F63" s="283"/>
      <c r="G63" s="284"/>
    </row>
    <row r="64" spans="1:7" s="278" customFormat="1" ht="38.25">
      <c r="A64" s="279">
        <f t="shared" si="1"/>
        <v>54</v>
      </c>
      <c r="B64" s="280" t="s">
        <v>62</v>
      </c>
      <c r="C64" s="280"/>
      <c r="D64" s="282" t="s">
        <v>276</v>
      </c>
      <c r="E64" s="313">
        <v>45678</v>
      </c>
      <c r="F64" s="282" t="s">
        <v>277</v>
      </c>
      <c r="G64" s="284">
        <v>45707</v>
      </c>
    </row>
    <row r="65" spans="1:7" s="278" customFormat="1">
      <c r="A65" s="279">
        <f t="shared" si="1"/>
        <v>55</v>
      </c>
      <c r="B65" s="280" t="s">
        <v>278</v>
      </c>
      <c r="C65" s="280" t="s">
        <v>279</v>
      </c>
      <c r="D65" s="282" t="s">
        <v>280</v>
      </c>
      <c r="E65" s="313">
        <v>45678</v>
      </c>
      <c r="F65" s="283"/>
      <c r="G65" s="284"/>
    </row>
    <row r="66" spans="1:7" s="278" customFormat="1" ht="38.25">
      <c r="A66" s="279">
        <f t="shared" si="1"/>
        <v>56</v>
      </c>
      <c r="B66" s="280" t="s">
        <v>281</v>
      </c>
      <c r="C66" s="280" t="s">
        <v>282</v>
      </c>
      <c r="D66" s="282" t="s">
        <v>283</v>
      </c>
      <c r="E66" s="313">
        <v>45679</v>
      </c>
      <c r="F66" s="283" t="s">
        <v>284</v>
      </c>
      <c r="G66" s="284">
        <v>45707</v>
      </c>
    </row>
    <row r="67" spans="1:7" s="278" customFormat="1" ht="25.5">
      <c r="A67" s="279">
        <f t="shared" si="1"/>
        <v>57</v>
      </c>
      <c r="B67" s="280" t="s">
        <v>285</v>
      </c>
      <c r="C67" s="280" t="s">
        <v>286</v>
      </c>
      <c r="D67" s="282" t="s">
        <v>287</v>
      </c>
      <c r="E67" s="313">
        <v>45679</v>
      </c>
      <c r="F67" s="283" t="s">
        <v>288</v>
      </c>
      <c r="G67" s="284">
        <v>45707</v>
      </c>
    </row>
    <row r="68" spans="1:7" s="278" customFormat="1" ht="25.5">
      <c r="A68" s="279">
        <f t="shared" si="1"/>
        <v>58</v>
      </c>
      <c r="B68" s="280" t="s">
        <v>285</v>
      </c>
      <c r="C68" s="280" t="s">
        <v>286</v>
      </c>
      <c r="D68" s="282" t="s">
        <v>289</v>
      </c>
      <c r="E68" s="313">
        <v>45679</v>
      </c>
      <c r="F68" s="283"/>
      <c r="G68" s="284"/>
    </row>
    <row r="69" spans="1:7" s="278" customFormat="1" ht="51">
      <c r="A69" s="279">
        <f t="shared" si="1"/>
        <v>59</v>
      </c>
      <c r="B69" s="280" t="s">
        <v>290</v>
      </c>
      <c r="C69" s="280" t="s">
        <v>291</v>
      </c>
      <c r="D69" s="282" t="s">
        <v>292</v>
      </c>
      <c r="E69" s="313">
        <v>45679</v>
      </c>
      <c r="F69" s="282" t="s">
        <v>293</v>
      </c>
      <c r="G69" s="284">
        <v>45707</v>
      </c>
    </row>
    <row r="70" spans="1:7" s="278" customFormat="1" ht="38.25">
      <c r="A70" s="279">
        <f t="shared" si="1"/>
        <v>60</v>
      </c>
      <c r="B70" s="280" t="s">
        <v>294</v>
      </c>
      <c r="C70" s="280" t="s">
        <v>295</v>
      </c>
      <c r="D70" s="282" t="s">
        <v>296</v>
      </c>
      <c r="E70" s="313">
        <v>45679</v>
      </c>
      <c r="F70" s="283" t="s">
        <v>297</v>
      </c>
      <c r="G70" s="284">
        <v>45707</v>
      </c>
    </row>
    <row r="71" spans="1:7" s="278" customFormat="1" ht="51">
      <c r="A71" s="279">
        <f t="shared" si="1"/>
        <v>61</v>
      </c>
      <c r="B71" s="280" t="s">
        <v>298</v>
      </c>
      <c r="C71" s="280" t="s">
        <v>299</v>
      </c>
      <c r="D71" s="282" t="s">
        <v>300</v>
      </c>
      <c r="E71" s="313">
        <v>45679</v>
      </c>
      <c r="F71" s="282" t="s">
        <v>301</v>
      </c>
      <c r="G71" s="284">
        <v>45707</v>
      </c>
    </row>
    <row r="72" spans="1:7" s="278" customFormat="1" ht="38.25">
      <c r="A72" s="279">
        <f t="shared" si="1"/>
        <v>62</v>
      </c>
      <c r="B72" s="280" t="s">
        <v>302</v>
      </c>
      <c r="C72" s="280" t="s">
        <v>303</v>
      </c>
      <c r="D72" s="282" t="s">
        <v>304</v>
      </c>
      <c r="E72" s="313">
        <v>45679</v>
      </c>
      <c r="F72" s="283"/>
      <c r="G72" s="284"/>
    </row>
    <row r="73" spans="1:7" s="278" customFormat="1" ht="25.5">
      <c r="A73" s="279">
        <f t="shared" si="1"/>
        <v>63</v>
      </c>
      <c r="B73" s="280" t="s">
        <v>302</v>
      </c>
      <c r="C73" s="280" t="s">
        <v>303</v>
      </c>
      <c r="D73" s="282" t="s">
        <v>305</v>
      </c>
      <c r="E73" s="313">
        <v>45679</v>
      </c>
      <c r="F73" s="283"/>
      <c r="G73" s="284"/>
    </row>
    <row r="74" spans="1:7" s="278" customFormat="1" ht="51">
      <c r="A74" s="279">
        <f t="shared" si="1"/>
        <v>64</v>
      </c>
      <c r="B74" s="280" t="s">
        <v>306</v>
      </c>
      <c r="C74" s="280" t="s">
        <v>303</v>
      </c>
      <c r="D74" s="282" t="s">
        <v>307</v>
      </c>
      <c r="E74" s="313">
        <v>45679</v>
      </c>
      <c r="F74" s="283" t="s">
        <v>308</v>
      </c>
      <c r="G74" s="284">
        <v>45707</v>
      </c>
    </row>
    <row r="75" spans="1:7" s="278" customFormat="1" ht="51">
      <c r="A75" s="279">
        <f t="shared" si="1"/>
        <v>65</v>
      </c>
      <c r="B75" s="280" t="s">
        <v>309</v>
      </c>
      <c r="C75" s="280"/>
      <c r="D75" s="282" t="s">
        <v>310</v>
      </c>
      <c r="E75" s="313">
        <v>45679</v>
      </c>
      <c r="F75" s="282" t="s">
        <v>311</v>
      </c>
      <c r="G75" s="284">
        <v>45707</v>
      </c>
    </row>
    <row r="76" spans="1:7" s="278" customFormat="1">
      <c r="A76" s="279">
        <f t="shared" si="1"/>
        <v>66</v>
      </c>
      <c r="B76" s="280" t="s">
        <v>312</v>
      </c>
      <c r="C76" s="280" t="s">
        <v>313</v>
      </c>
      <c r="D76" s="282" t="s">
        <v>314</v>
      </c>
      <c r="E76" s="313">
        <v>45679</v>
      </c>
      <c r="F76" s="283"/>
      <c r="G76" s="284"/>
    </row>
    <row r="77" spans="1:7" s="278" customFormat="1" ht="38.25">
      <c r="A77" s="279">
        <f t="shared" si="1"/>
        <v>67</v>
      </c>
      <c r="B77" s="280" t="s">
        <v>315</v>
      </c>
      <c r="C77" s="280" t="s">
        <v>316</v>
      </c>
      <c r="D77" s="282" t="s">
        <v>317</v>
      </c>
      <c r="E77" s="313">
        <v>45679</v>
      </c>
      <c r="F77" s="283"/>
      <c r="G77" s="284"/>
    </row>
    <row r="78" spans="1:7" s="278" customFormat="1" ht="25.5">
      <c r="A78" s="279">
        <f t="shared" si="1"/>
        <v>68</v>
      </c>
      <c r="B78" s="280" t="s">
        <v>318</v>
      </c>
      <c r="C78" s="280" t="s">
        <v>319</v>
      </c>
      <c r="D78" s="282" t="s">
        <v>320</v>
      </c>
      <c r="E78" s="313">
        <v>45679</v>
      </c>
      <c r="F78" s="283"/>
      <c r="G78" s="284"/>
    </row>
    <row r="79" spans="1:7" s="278" customFormat="1" ht="25.5">
      <c r="A79" s="279">
        <f t="shared" si="1"/>
        <v>69</v>
      </c>
      <c r="B79" s="280" t="s">
        <v>321</v>
      </c>
      <c r="C79" s="280" t="s">
        <v>322</v>
      </c>
      <c r="D79" s="282" t="s">
        <v>323</v>
      </c>
      <c r="E79" s="313">
        <v>45679</v>
      </c>
      <c r="F79" s="283"/>
      <c r="G79" s="284"/>
    </row>
    <row r="80" spans="1:7" s="278" customFormat="1" ht="25.5">
      <c r="A80" s="279">
        <f t="shared" si="1"/>
        <v>70</v>
      </c>
      <c r="B80" s="281" t="s">
        <v>324</v>
      </c>
      <c r="C80" s="281" t="s">
        <v>325</v>
      </c>
      <c r="D80" s="282" t="s">
        <v>326</v>
      </c>
      <c r="E80" s="313">
        <v>45684</v>
      </c>
      <c r="F80" s="283" t="s">
        <v>327</v>
      </c>
      <c r="G80" s="284">
        <v>45707</v>
      </c>
    </row>
    <row r="81" spans="1:9" s="278" customFormat="1" ht="51">
      <c r="A81" s="279">
        <f t="shared" si="1"/>
        <v>71</v>
      </c>
      <c r="B81" s="280" t="s">
        <v>328</v>
      </c>
      <c r="C81" s="280" t="s">
        <v>329</v>
      </c>
      <c r="D81" s="282" t="s">
        <v>330</v>
      </c>
      <c r="E81" s="313">
        <v>45684</v>
      </c>
      <c r="F81" s="282" t="s">
        <v>331</v>
      </c>
      <c r="G81" s="284">
        <v>45707</v>
      </c>
    </row>
    <row r="82" spans="1:9" s="278" customFormat="1" ht="51">
      <c r="A82" s="279">
        <f t="shared" si="1"/>
        <v>72</v>
      </c>
      <c r="B82" s="293" t="s">
        <v>312</v>
      </c>
      <c r="C82" s="293" t="s">
        <v>313</v>
      </c>
      <c r="D82" s="294" t="s">
        <v>332</v>
      </c>
      <c r="E82" s="313">
        <v>45684</v>
      </c>
      <c r="F82" s="295"/>
      <c r="G82" s="296"/>
    </row>
    <row r="83" spans="1:9" s="278" customFormat="1" ht="38.25">
      <c r="A83" s="279">
        <f t="shared" si="1"/>
        <v>73</v>
      </c>
      <c r="B83" s="281" t="s">
        <v>333</v>
      </c>
      <c r="C83" s="281" t="s">
        <v>334</v>
      </c>
      <c r="D83" s="282" t="s">
        <v>335</v>
      </c>
      <c r="E83" s="313">
        <v>45684</v>
      </c>
      <c r="F83" s="283"/>
      <c r="G83" s="284"/>
    </row>
    <row r="84" spans="1:9" s="278" customFormat="1" ht="51">
      <c r="A84" s="279">
        <f t="shared" si="1"/>
        <v>74</v>
      </c>
      <c r="B84" s="293" t="s">
        <v>336</v>
      </c>
      <c r="C84" s="314" t="s">
        <v>337</v>
      </c>
      <c r="D84" s="294" t="s">
        <v>338</v>
      </c>
      <c r="E84" s="313">
        <v>45684</v>
      </c>
      <c r="F84" s="294" t="s">
        <v>339</v>
      </c>
      <c r="G84" s="296">
        <v>45707</v>
      </c>
    </row>
    <row r="85" spans="1:9" s="278" customFormat="1" ht="38.25">
      <c r="A85" s="279">
        <f t="shared" si="1"/>
        <v>75</v>
      </c>
      <c r="B85" s="314" t="s">
        <v>340</v>
      </c>
      <c r="C85" s="314" t="s">
        <v>341</v>
      </c>
      <c r="D85" s="294" t="s">
        <v>342</v>
      </c>
      <c r="E85" s="313">
        <v>45684</v>
      </c>
      <c r="F85" s="295" t="s">
        <v>343</v>
      </c>
      <c r="G85" s="296">
        <v>45707</v>
      </c>
    </row>
    <row r="86" spans="1:9" s="278" customFormat="1" ht="51">
      <c r="A86" s="279">
        <f t="shared" si="1"/>
        <v>76</v>
      </c>
      <c r="B86" s="314" t="s">
        <v>344</v>
      </c>
      <c r="C86" s="314" t="s">
        <v>345</v>
      </c>
      <c r="D86" s="294" t="s">
        <v>346</v>
      </c>
      <c r="E86" s="313">
        <v>45684</v>
      </c>
      <c r="F86" s="295"/>
      <c r="G86" s="296"/>
    </row>
    <row r="87" spans="1:9" s="278" customFormat="1" ht="76.5">
      <c r="A87" s="279">
        <f t="shared" si="1"/>
        <v>77</v>
      </c>
      <c r="B87" s="314" t="s">
        <v>347</v>
      </c>
      <c r="C87" s="314" t="s">
        <v>348</v>
      </c>
      <c r="D87" s="294" t="s">
        <v>349</v>
      </c>
      <c r="E87" s="313">
        <v>45684</v>
      </c>
      <c r="F87" s="294" t="s">
        <v>350</v>
      </c>
      <c r="G87" s="296">
        <v>45707</v>
      </c>
      <c r="I87" s="362"/>
    </row>
    <row r="88" spans="1:9" s="278" customFormat="1" ht="43.5" customHeight="1">
      <c r="A88" s="279">
        <f t="shared" si="1"/>
        <v>78</v>
      </c>
      <c r="B88" s="314" t="s">
        <v>351</v>
      </c>
      <c r="C88" s="314"/>
      <c r="D88" s="294" t="s">
        <v>352</v>
      </c>
      <c r="E88" s="313">
        <v>45684</v>
      </c>
      <c r="F88" s="294" t="s">
        <v>353</v>
      </c>
      <c r="G88" s="296">
        <v>45707</v>
      </c>
      <c r="I88" s="362"/>
    </row>
    <row r="89" spans="1:9" s="278" customFormat="1" ht="25.5">
      <c r="A89" s="279">
        <f t="shared" si="1"/>
        <v>79</v>
      </c>
      <c r="B89" s="314" t="s">
        <v>354</v>
      </c>
      <c r="C89" s="314"/>
      <c r="D89" s="294" t="s">
        <v>355</v>
      </c>
      <c r="E89" s="313">
        <v>45684</v>
      </c>
      <c r="F89" s="295"/>
      <c r="G89" s="296"/>
      <c r="I89" s="362"/>
    </row>
    <row r="90" spans="1:9" s="278" customFormat="1" ht="38.25">
      <c r="A90" s="279">
        <f t="shared" si="1"/>
        <v>80</v>
      </c>
      <c r="B90" s="314" t="s">
        <v>356</v>
      </c>
      <c r="C90" s="314"/>
      <c r="D90" s="294" t="s">
        <v>357</v>
      </c>
      <c r="E90" s="313">
        <v>45684</v>
      </c>
      <c r="F90" s="294" t="s">
        <v>358</v>
      </c>
      <c r="G90" s="296">
        <v>45707</v>
      </c>
      <c r="I90" s="362"/>
    </row>
    <row r="91" spans="1:9" s="278" customFormat="1" ht="63.75">
      <c r="A91" s="279">
        <f t="shared" si="1"/>
        <v>81</v>
      </c>
      <c r="B91" s="314" t="s">
        <v>359</v>
      </c>
      <c r="C91" s="314" t="s">
        <v>360</v>
      </c>
      <c r="D91" s="294" t="s">
        <v>361</v>
      </c>
      <c r="E91" s="313">
        <v>45684</v>
      </c>
      <c r="F91" s="294" t="s">
        <v>362</v>
      </c>
      <c r="G91" s="296">
        <v>45707</v>
      </c>
      <c r="I91" s="362"/>
    </row>
    <row r="92" spans="1:9" s="278" customFormat="1" ht="76.5">
      <c r="A92" s="279">
        <f t="shared" si="1"/>
        <v>82</v>
      </c>
      <c r="B92" s="293" t="s">
        <v>363</v>
      </c>
      <c r="C92" s="314" t="s">
        <v>364</v>
      </c>
      <c r="D92" s="294" t="s">
        <v>365</v>
      </c>
      <c r="E92" s="313">
        <v>45684</v>
      </c>
      <c r="F92" s="294" t="s">
        <v>366</v>
      </c>
      <c r="G92" s="296">
        <v>45707</v>
      </c>
      <c r="I92" s="362"/>
    </row>
    <row r="93" spans="1:9" s="278" customFormat="1" ht="76.5">
      <c r="A93" s="279">
        <f t="shared" si="1"/>
        <v>83</v>
      </c>
      <c r="B93" s="293" t="s">
        <v>367</v>
      </c>
      <c r="C93" s="314" t="s">
        <v>368</v>
      </c>
      <c r="D93" s="294" t="s">
        <v>369</v>
      </c>
      <c r="E93" s="313">
        <v>45684</v>
      </c>
      <c r="F93" s="294" t="s">
        <v>370</v>
      </c>
      <c r="G93" s="296">
        <v>45707</v>
      </c>
      <c r="I93" s="362"/>
    </row>
    <row r="94" spans="1:9" s="278" customFormat="1" ht="25.5">
      <c r="A94" s="279">
        <f t="shared" ref="A94:A157" si="2">1+A93</f>
        <v>84</v>
      </c>
      <c r="B94" s="314" t="s">
        <v>371</v>
      </c>
      <c r="C94" s="314" t="s">
        <v>372</v>
      </c>
      <c r="D94" s="294" t="s">
        <v>373</v>
      </c>
      <c r="E94" s="313">
        <v>45684</v>
      </c>
      <c r="F94" s="295"/>
      <c r="G94" s="296"/>
    </row>
    <row r="95" spans="1:9" s="278" customFormat="1" ht="38.25">
      <c r="A95" s="279">
        <f t="shared" si="2"/>
        <v>85</v>
      </c>
      <c r="B95" s="314" t="s">
        <v>374</v>
      </c>
      <c r="C95" s="314" t="s">
        <v>375</v>
      </c>
      <c r="D95" s="294" t="s">
        <v>376</v>
      </c>
      <c r="E95" s="313">
        <v>45684</v>
      </c>
      <c r="F95" s="295"/>
      <c r="G95" s="296"/>
    </row>
    <row r="96" spans="1:9" s="278" customFormat="1" ht="51">
      <c r="A96" s="279">
        <f t="shared" si="2"/>
        <v>86</v>
      </c>
      <c r="B96" s="314" t="s">
        <v>377</v>
      </c>
      <c r="C96" s="293" t="s">
        <v>378</v>
      </c>
      <c r="D96" s="294" t="s">
        <v>379</v>
      </c>
      <c r="E96" s="313">
        <v>45684</v>
      </c>
      <c r="F96" s="295"/>
      <c r="G96" s="296"/>
    </row>
    <row r="97" spans="1:7" s="278" customFormat="1" ht="38.25">
      <c r="A97" s="279">
        <f t="shared" si="2"/>
        <v>87</v>
      </c>
      <c r="B97" s="293" t="s">
        <v>380</v>
      </c>
      <c r="C97" s="314" t="s">
        <v>381</v>
      </c>
      <c r="D97" s="294" t="s">
        <v>382</v>
      </c>
      <c r="E97" s="313">
        <v>45684</v>
      </c>
      <c r="F97" s="294" t="s">
        <v>383</v>
      </c>
      <c r="G97" s="296">
        <v>45707</v>
      </c>
    </row>
    <row r="98" spans="1:7" s="278" customFormat="1" ht="38.25">
      <c r="A98" s="279">
        <f t="shared" si="2"/>
        <v>88</v>
      </c>
      <c r="B98" s="280" t="s">
        <v>384</v>
      </c>
      <c r="C98" s="314" t="s">
        <v>385</v>
      </c>
      <c r="D98" s="363" t="s">
        <v>386</v>
      </c>
      <c r="E98" s="313">
        <v>45684</v>
      </c>
      <c r="F98" s="294" t="s">
        <v>387</v>
      </c>
      <c r="G98" s="296">
        <v>45707</v>
      </c>
    </row>
    <row r="99" spans="1:7" s="278" customFormat="1" ht="63.75">
      <c r="A99" s="279">
        <f t="shared" si="2"/>
        <v>89</v>
      </c>
      <c r="B99" s="281" t="s">
        <v>388</v>
      </c>
      <c r="C99" s="314" t="s">
        <v>389</v>
      </c>
      <c r="D99" s="294" t="s">
        <v>390</v>
      </c>
      <c r="E99" s="313">
        <v>45684</v>
      </c>
      <c r="F99" s="294" t="s">
        <v>391</v>
      </c>
      <c r="G99" s="296">
        <v>45707</v>
      </c>
    </row>
    <row r="100" spans="1:7" s="278" customFormat="1" ht="94.5" customHeight="1">
      <c r="A100" s="279">
        <f t="shared" si="2"/>
        <v>90</v>
      </c>
      <c r="B100" s="314" t="s">
        <v>392</v>
      </c>
      <c r="C100" s="314" t="s">
        <v>393</v>
      </c>
      <c r="D100" s="294" t="s">
        <v>394</v>
      </c>
      <c r="E100" s="313">
        <v>45684</v>
      </c>
      <c r="F100" s="295"/>
      <c r="G100" s="296"/>
    </row>
    <row r="101" spans="1:7" s="278" customFormat="1" ht="38.25">
      <c r="A101" s="279">
        <f t="shared" si="2"/>
        <v>91</v>
      </c>
      <c r="B101" s="314" t="s">
        <v>395</v>
      </c>
      <c r="C101" s="314" t="s">
        <v>396</v>
      </c>
      <c r="D101" s="294" t="s">
        <v>397</v>
      </c>
      <c r="E101" s="313">
        <v>45684</v>
      </c>
      <c r="F101" s="294" t="s">
        <v>398</v>
      </c>
      <c r="G101" s="296">
        <v>45707</v>
      </c>
    </row>
    <row r="102" spans="1:7" s="278" customFormat="1" ht="51">
      <c r="A102" s="279">
        <f t="shared" si="2"/>
        <v>92</v>
      </c>
      <c r="B102" s="281" t="s">
        <v>399</v>
      </c>
      <c r="C102" s="281" t="s">
        <v>337</v>
      </c>
      <c r="D102" s="282" t="s">
        <v>400</v>
      </c>
      <c r="E102" s="313">
        <v>45686</v>
      </c>
      <c r="F102" s="282" t="s">
        <v>401</v>
      </c>
      <c r="G102" s="284">
        <v>45707</v>
      </c>
    </row>
    <row r="103" spans="1:7" s="278" customFormat="1" ht="90" customHeight="1">
      <c r="A103" s="279">
        <f t="shared" si="2"/>
        <v>93</v>
      </c>
      <c r="B103" s="281" t="s">
        <v>402</v>
      </c>
      <c r="C103" s="281" t="s">
        <v>393</v>
      </c>
      <c r="D103" s="282" t="s">
        <v>403</v>
      </c>
      <c r="E103" s="313">
        <v>45686</v>
      </c>
      <c r="F103" s="283"/>
      <c r="G103" s="284"/>
    </row>
    <row r="104" spans="1:7" s="278" customFormat="1" ht="51">
      <c r="A104" s="279">
        <f t="shared" si="2"/>
        <v>94</v>
      </c>
      <c r="B104" s="281" t="s">
        <v>404</v>
      </c>
      <c r="C104" s="281" t="s">
        <v>405</v>
      </c>
      <c r="D104" s="282" t="s">
        <v>406</v>
      </c>
      <c r="E104" s="313">
        <v>45686</v>
      </c>
      <c r="F104" s="282" t="s">
        <v>407</v>
      </c>
      <c r="G104" s="284">
        <v>45707</v>
      </c>
    </row>
    <row r="105" spans="1:7" s="278" customFormat="1" ht="51">
      <c r="A105" s="279">
        <f t="shared" si="2"/>
        <v>95</v>
      </c>
      <c r="B105" s="281" t="s">
        <v>408</v>
      </c>
      <c r="C105" s="281" t="s">
        <v>409</v>
      </c>
      <c r="D105" s="282" t="s">
        <v>410</v>
      </c>
      <c r="E105" s="313">
        <v>45686</v>
      </c>
      <c r="F105" s="282" t="s">
        <v>411</v>
      </c>
      <c r="G105" s="284">
        <v>45707</v>
      </c>
    </row>
    <row r="106" spans="1:7" s="278" customFormat="1" ht="25.5">
      <c r="A106" s="279">
        <f t="shared" si="2"/>
        <v>96</v>
      </c>
      <c r="B106" s="281" t="s">
        <v>412</v>
      </c>
      <c r="C106" s="281" t="s">
        <v>413</v>
      </c>
      <c r="D106" s="282" t="s">
        <v>414</v>
      </c>
      <c r="E106" s="313">
        <v>45686</v>
      </c>
      <c r="F106" s="283"/>
      <c r="G106" s="284"/>
    </row>
    <row r="107" spans="1:7" s="278" customFormat="1" ht="76.5">
      <c r="A107" s="279">
        <f t="shared" si="2"/>
        <v>97</v>
      </c>
      <c r="B107" s="281" t="s">
        <v>415</v>
      </c>
      <c r="C107" s="281" t="s">
        <v>416</v>
      </c>
      <c r="D107" s="282" t="s">
        <v>417</v>
      </c>
      <c r="E107" s="313">
        <v>45686</v>
      </c>
      <c r="F107" s="282" t="s">
        <v>418</v>
      </c>
      <c r="G107" s="284">
        <v>45707</v>
      </c>
    </row>
    <row r="108" spans="1:7" s="278" customFormat="1" ht="38.25">
      <c r="A108" s="279">
        <f t="shared" si="2"/>
        <v>98</v>
      </c>
      <c r="B108" s="281" t="s">
        <v>419</v>
      </c>
      <c r="C108" s="281"/>
      <c r="D108" s="282" t="s">
        <v>420</v>
      </c>
      <c r="E108" s="313">
        <v>45686</v>
      </c>
      <c r="F108" s="283"/>
      <c r="G108" s="284"/>
    </row>
    <row r="109" spans="1:7" s="278" customFormat="1" ht="38.25">
      <c r="A109" s="279">
        <f t="shared" si="2"/>
        <v>99</v>
      </c>
      <c r="B109" s="281" t="s">
        <v>421</v>
      </c>
      <c r="C109" s="281"/>
      <c r="D109" s="282" t="s">
        <v>422</v>
      </c>
      <c r="E109" s="313">
        <v>45686</v>
      </c>
      <c r="F109" s="283"/>
      <c r="G109" s="284"/>
    </row>
    <row r="110" spans="1:7" s="278" customFormat="1" ht="63.75">
      <c r="A110" s="279">
        <f t="shared" si="2"/>
        <v>100</v>
      </c>
      <c r="B110" s="366" t="s">
        <v>423</v>
      </c>
      <c r="C110" s="281"/>
      <c r="D110" s="282" t="s">
        <v>424</v>
      </c>
      <c r="E110" s="313">
        <v>45686</v>
      </c>
      <c r="F110" s="282" t="s">
        <v>425</v>
      </c>
      <c r="G110" s="284">
        <v>45707</v>
      </c>
    </row>
    <row r="111" spans="1:7" ht="63.75">
      <c r="A111" s="279">
        <f t="shared" si="2"/>
        <v>101</v>
      </c>
      <c r="B111" s="281" t="s">
        <v>426</v>
      </c>
      <c r="C111" s="281" t="s">
        <v>427</v>
      </c>
      <c r="D111" s="282" t="s">
        <v>428</v>
      </c>
      <c r="E111" s="313">
        <v>45693</v>
      </c>
      <c r="F111" s="282" t="s">
        <v>429</v>
      </c>
      <c r="G111" s="284">
        <v>45707</v>
      </c>
    </row>
    <row r="112" spans="1:7">
      <c r="A112" s="279">
        <f t="shared" si="2"/>
        <v>102</v>
      </c>
      <c r="B112" s="281" t="s">
        <v>430</v>
      </c>
      <c r="C112" s="281" t="s">
        <v>431</v>
      </c>
      <c r="D112" s="282" t="s">
        <v>432</v>
      </c>
      <c r="E112" s="313">
        <v>45693</v>
      </c>
      <c r="F112" s="283" t="s">
        <v>433</v>
      </c>
      <c r="G112" s="284">
        <v>45707</v>
      </c>
    </row>
    <row r="113" spans="1:7" ht="38.25">
      <c r="A113" s="279">
        <f t="shared" si="2"/>
        <v>103</v>
      </c>
      <c r="B113" s="281" t="s">
        <v>434</v>
      </c>
      <c r="C113" s="281"/>
      <c r="D113" s="282" t="s">
        <v>435</v>
      </c>
      <c r="E113" s="313">
        <v>45693</v>
      </c>
      <c r="F113" s="282" t="s">
        <v>436</v>
      </c>
      <c r="G113" s="284">
        <v>45707</v>
      </c>
    </row>
    <row r="114" spans="1:7" ht="25.5">
      <c r="A114" s="279">
        <f t="shared" si="2"/>
        <v>104</v>
      </c>
      <c r="B114" s="281" t="s">
        <v>437</v>
      </c>
      <c r="C114" s="281"/>
      <c r="D114" s="282" t="s">
        <v>438</v>
      </c>
      <c r="E114" s="313">
        <v>45693</v>
      </c>
      <c r="F114" s="283" t="s">
        <v>439</v>
      </c>
      <c r="G114" s="284">
        <v>45707</v>
      </c>
    </row>
    <row r="115" spans="1:7" ht="127.5">
      <c r="A115" s="279">
        <f t="shared" si="2"/>
        <v>105</v>
      </c>
      <c r="B115" s="281" t="s">
        <v>440</v>
      </c>
      <c r="C115" s="280" t="s">
        <v>441</v>
      </c>
      <c r="D115" s="282" t="s">
        <v>442</v>
      </c>
      <c r="E115" s="313">
        <v>45693</v>
      </c>
      <c r="F115" s="282" t="s">
        <v>443</v>
      </c>
      <c r="G115" s="284">
        <v>45707</v>
      </c>
    </row>
    <row r="116" spans="1:7" ht="102">
      <c r="A116" s="279">
        <f t="shared" si="2"/>
        <v>106</v>
      </c>
      <c r="B116" s="281" t="s">
        <v>444</v>
      </c>
      <c r="C116" s="280" t="s">
        <v>445</v>
      </c>
      <c r="D116" s="282" t="s">
        <v>446</v>
      </c>
      <c r="E116" s="313">
        <v>45693</v>
      </c>
      <c r="F116" s="282" t="s">
        <v>447</v>
      </c>
      <c r="G116" s="284">
        <v>45707</v>
      </c>
    </row>
    <row r="117" spans="1:7" ht="89.25">
      <c r="A117" s="279">
        <f t="shared" si="2"/>
        <v>107</v>
      </c>
      <c r="B117" s="281" t="s">
        <v>448</v>
      </c>
      <c r="C117" s="280" t="s">
        <v>449</v>
      </c>
      <c r="D117" s="282" t="s">
        <v>450</v>
      </c>
      <c r="E117" s="313">
        <v>45693</v>
      </c>
      <c r="F117" s="282" t="s">
        <v>451</v>
      </c>
      <c r="G117" s="284">
        <v>45707</v>
      </c>
    </row>
    <row r="118" spans="1:7" ht="51">
      <c r="A118" s="279">
        <f t="shared" si="2"/>
        <v>108</v>
      </c>
      <c r="B118" s="281" t="s">
        <v>452</v>
      </c>
      <c r="C118" s="281"/>
      <c r="D118" s="282" t="s">
        <v>453</v>
      </c>
      <c r="E118" s="313">
        <v>45693</v>
      </c>
      <c r="F118" s="282" t="s">
        <v>454</v>
      </c>
      <c r="G118" s="284">
        <v>45707</v>
      </c>
    </row>
    <row r="119" spans="1:7" ht="152.25" customHeight="1">
      <c r="A119" s="279">
        <f t="shared" si="2"/>
        <v>109</v>
      </c>
      <c r="B119" s="281" t="s">
        <v>455</v>
      </c>
      <c r="C119" s="281"/>
      <c r="D119" s="282" t="s">
        <v>456</v>
      </c>
      <c r="E119" s="313">
        <v>45693</v>
      </c>
      <c r="F119" s="283"/>
      <c r="G119" s="284"/>
    </row>
    <row r="120" spans="1:7" ht="25.5">
      <c r="A120" s="279">
        <f t="shared" si="2"/>
        <v>110</v>
      </c>
      <c r="B120" s="281" t="s">
        <v>457</v>
      </c>
      <c r="C120" s="280"/>
      <c r="D120" s="282" t="s">
        <v>458</v>
      </c>
      <c r="E120" s="313">
        <v>45693</v>
      </c>
      <c r="F120" s="282" t="s">
        <v>459</v>
      </c>
      <c r="G120" s="284">
        <v>45707</v>
      </c>
    </row>
    <row r="121" spans="1:7" ht="63.75">
      <c r="A121" s="279">
        <f t="shared" si="2"/>
        <v>111</v>
      </c>
      <c r="B121" s="280" t="s">
        <v>460</v>
      </c>
      <c r="C121" s="281"/>
      <c r="D121" s="282" t="s">
        <v>461</v>
      </c>
      <c r="E121" s="313">
        <v>45693</v>
      </c>
      <c r="F121" s="282" t="s">
        <v>462</v>
      </c>
      <c r="G121" s="284">
        <v>45707</v>
      </c>
    </row>
    <row r="122" spans="1:7" ht="38.25">
      <c r="A122" s="279">
        <f t="shared" si="2"/>
        <v>112</v>
      </c>
      <c r="B122" s="280" t="s">
        <v>463</v>
      </c>
      <c r="C122" s="280"/>
      <c r="D122" s="282" t="s">
        <v>464</v>
      </c>
      <c r="E122" s="313">
        <v>45693</v>
      </c>
      <c r="F122" s="282" t="s">
        <v>465</v>
      </c>
      <c r="G122" s="384"/>
    </row>
    <row r="123" spans="1:7" ht="51">
      <c r="A123" s="279">
        <f t="shared" si="2"/>
        <v>113</v>
      </c>
      <c r="B123" s="280" t="s">
        <v>466</v>
      </c>
      <c r="C123" s="280" t="s">
        <v>467</v>
      </c>
      <c r="D123" s="282" t="s">
        <v>468</v>
      </c>
      <c r="E123" s="313">
        <v>45693</v>
      </c>
      <c r="F123" s="282" t="s">
        <v>469</v>
      </c>
      <c r="G123" s="384">
        <v>45707</v>
      </c>
    </row>
    <row r="124" spans="1:7" ht="38.25">
      <c r="A124" s="279">
        <f t="shared" si="2"/>
        <v>114</v>
      </c>
      <c r="B124" s="280" t="s">
        <v>466</v>
      </c>
      <c r="C124" s="280" t="s">
        <v>470</v>
      </c>
      <c r="D124" s="282" t="s">
        <v>471</v>
      </c>
      <c r="E124" s="313">
        <v>45693</v>
      </c>
      <c r="F124" s="282" t="s">
        <v>472</v>
      </c>
      <c r="G124" s="384">
        <v>45707</v>
      </c>
    </row>
    <row r="125" spans="1:7" ht="38.25">
      <c r="A125" s="279">
        <f t="shared" si="2"/>
        <v>115</v>
      </c>
      <c r="B125" s="280" t="s">
        <v>473</v>
      </c>
      <c r="C125" s="280" t="s">
        <v>474</v>
      </c>
      <c r="D125" s="282" t="s">
        <v>475</v>
      </c>
      <c r="E125" s="313">
        <v>45693</v>
      </c>
      <c r="F125" s="282" t="s">
        <v>476</v>
      </c>
      <c r="G125" s="384">
        <v>45707</v>
      </c>
    </row>
    <row r="126" spans="1:7" ht="25.5">
      <c r="A126" s="279">
        <f t="shared" si="2"/>
        <v>116</v>
      </c>
      <c r="B126" s="280" t="s">
        <v>466</v>
      </c>
      <c r="C126" s="280" t="s">
        <v>477</v>
      </c>
      <c r="D126" s="282" t="s">
        <v>478</v>
      </c>
      <c r="E126" s="313">
        <v>45693</v>
      </c>
      <c r="F126" s="282" t="s">
        <v>479</v>
      </c>
      <c r="G126" s="384">
        <v>45707</v>
      </c>
    </row>
    <row r="127" spans="1:7" ht="38.25">
      <c r="A127" s="279">
        <f t="shared" si="2"/>
        <v>117</v>
      </c>
      <c r="B127" s="280" t="s">
        <v>466</v>
      </c>
      <c r="C127" s="280" t="s">
        <v>480</v>
      </c>
      <c r="D127" s="282" t="s">
        <v>481</v>
      </c>
      <c r="E127" s="313">
        <v>45693</v>
      </c>
      <c r="F127" s="282" t="s">
        <v>482</v>
      </c>
      <c r="G127" s="384">
        <v>45707</v>
      </c>
    </row>
    <row r="128" spans="1:7" ht="63.75">
      <c r="A128" s="279">
        <f t="shared" si="2"/>
        <v>118</v>
      </c>
      <c r="B128" s="280" t="s">
        <v>62</v>
      </c>
      <c r="C128" s="280" t="s">
        <v>483</v>
      </c>
      <c r="D128" s="280" t="s">
        <v>484</v>
      </c>
      <c r="E128" s="313">
        <v>45693</v>
      </c>
      <c r="F128" s="282" t="s">
        <v>485</v>
      </c>
      <c r="G128" s="384">
        <v>45707</v>
      </c>
    </row>
    <row r="129" spans="1:7" ht="51">
      <c r="A129" s="279">
        <f t="shared" si="2"/>
        <v>119</v>
      </c>
      <c r="B129" s="280" t="s">
        <v>62</v>
      </c>
      <c r="C129" s="280" t="s">
        <v>486</v>
      </c>
      <c r="D129" s="282" t="s">
        <v>487</v>
      </c>
      <c r="E129" s="313">
        <v>45693</v>
      </c>
      <c r="F129" s="282" t="s">
        <v>488</v>
      </c>
      <c r="G129" s="384">
        <v>45707</v>
      </c>
    </row>
    <row r="130" spans="1:7" ht="51">
      <c r="A130" s="279">
        <f t="shared" si="2"/>
        <v>120</v>
      </c>
      <c r="B130" s="280" t="s">
        <v>62</v>
      </c>
      <c r="C130" s="280" t="s">
        <v>489</v>
      </c>
      <c r="D130" s="282" t="s">
        <v>490</v>
      </c>
      <c r="E130" s="313">
        <v>45693</v>
      </c>
      <c r="F130" s="282" t="s">
        <v>491</v>
      </c>
      <c r="G130" s="384">
        <v>45707</v>
      </c>
    </row>
    <row r="131" spans="1:7" ht="25.5">
      <c r="A131" s="279">
        <f t="shared" si="2"/>
        <v>121</v>
      </c>
      <c r="B131" s="280" t="s">
        <v>466</v>
      </c>
      <c r="C131" s="280" t="s">
        <v>492</v>
      </c>
      <c r="D131" s="282" t="s">
        <v>493</v>
      </c>
      <c r="E131" s="313">
        <v>45693</v>
      </c>
      <c r="F131" s="282" t="s">
        <v>494</v>
      </c>
      <c r="G131" s="384">
        <v>45707</v>
      </c>
    </row>
    <row r="132" spans="1:7" ht="38.25">
      <c r="A132" s="279">
        <f t="shared" si="2"/>
        <v>122</v>
      </c>
      <c r="B132" s="280" t="s">
        <v>466</v>
      </c>
      <c r="C132" s="280" t="s">
        <v>495</v>
      </c>
      <c r="D132" s="282" t="s">
        <v>493</v>
      </c>
      <c r="E132" s="313">
        <v>45693</v>
      </c>
      <c r="F132" s="282" t="s">
        <v>496</v>
      </c>
      <c r="G132" s="384">
        <v>45707</v>
      </c>
    </row>
    <row r="133" spans="1:7" ht="25.5">
      <c r="A133" s="279">
        <f t="shared" si="2"/>
        <v>123</v>
      </c>
      <c r="B133" s="280" t="s">
        <v>466</v>
      </c>
      <c r="C133" s="280" t="s">
        <v>497</v>
      </c>
      <c r="D133" s="282" t="s">
        <v>498</v>
      </c>
      <c r="E133" s="313">
        <v>45693</v>
      </c>
      <c r="F133" s="282" t="s">
        <v>499</v>
      </c>
      <c r="G133" s="384">
        <v>45707</v>
      </c>
    </row>
    <row r="134" spans="1:7" ht="63.75">
      <c r="A134" s="279">
        <f t="shared" si="2"/>
        <v>124</v>
      </c>
      <c r="B134" s="280" t="s">
        <v>500</v>
      </c>
      <c r="C134" s="280" t="s">
        <v>501</v>
      </c>
      <c r="D134" s="282" t="s">
        <v>502</v>
      </c>
      <c r="E134" s="313">
        <v>45693</v>
      </c>
      <c r="F134" s="282" t="s">
        <v>503</v>
      </c>
      <c r="G134" s="384">
        <v>45707</v>
      </c>
    </row>
    <row r="135" spans="1:7" s="278" customFormat="1" ht="38.25">
      <c r="A135" s="279">
        <f t="shared" si="2"/>
        <v>125</v>
      </c>
      <c r="B135" s="281" t="s">
        <v>504</v>
      </c>
      <c r="C135" s="281" t="s">
        <v>505</v>
      </c>
      <c r="D135" s="282" t="s">
        <v>506</v>
      </c>
      <c r="E135" s="313">
        <v>45693</v>
      </c>
      <c r="F135" s="283" t="s">
        <v>507</v>
      </c>
      <c r="G135" s="284">
        <v>45707</v>
      </c>
    </row>
    <row r="136" spans="1:7" s="278" customFormat="1" ht="25.5">
      <c r="A136" s="279">
        <f t="shared" si="2"/>
        <v>126</v>
      </c>
      <c r="B136" s="281" t="s">
        <v>508</v>
      </c>
      <c r="C136" s="281" t="s">
        <v>509</v>
      </c>
      <c r="D136" s="282" t="s">
        <v>510</v>
      </c>
      <c r="E136" s="313">
        <v>45693</v>
      </c>
      <c r="F136" s="282" t="s">
        <v>511</v>
      </c>
      <c r="G136" s="284">
        <v>45707</v>
      </c>
    </row>
    <row r="137" spans="1:7" s="278" customFormat="1" ht="25.5">
      <c r="A137" s="279">
        <f t="shared" si="2"/>
        <v>127</v>
      </c>
      <c r="B137" s="280" t="s">
        <v>512</v>
      </c>
      <c r="C137" s="280"/>
      <c r="D137" s="282" t="s">
        <v>513</v>
      </c>
      <c r="E137" s="313">
        <v>45693</v>
      </c>
      <c r="F137" s="282" t="s">
        <v>514</v>
      </c>
      <c r="G137" s="284">
        <v>45707</v>
      </c>
    </row>
    <row r="138" spans="1:7" s="278" customFormat="1" ht="38.25">
      <c r="A138" s="279">
        <f t="shared" si="2"/>
        <v>128</v>
      </c>
      <c r="B138" s="280" t="s">
        <v>466</v>
      </c>
      <c r="C138" s="280" t="s">
        <v>515</v>
      </c>
      <c r="D138" s="282" t="s">
        <v>516</v>
      </c>
      <c r="E138" s="313">
        <v>45695</v>
      </c>
      <c r="F138" s="282" t="s">
        <v>517</v>
      </c>
      <c r="G138" s="284">
        <v>45707</v>
      </c>
    </row>
    <row r="139" spans="1:7" s="278" customFormat="1" ht="38.25">
      <c r="A139" s="279">
        <f t="shared" si="2"/>
        <v>129</v>
      </c>
      <c r="B139" s="280" t="s">
        <v>466</v>
      </c>
      <c r="C139" s="280" t="s">
        <v>518</v>
      </c>
      <c r="D139" s="282" t="s">
        <v>493</v>
      </c>
      <c r="E139" s="313">
        <v>45695</v>
      </c>
      <c r="F139" s="282" t="s">
        <v>519</v>
      </c>
      <c r="G139" s="284">
        <v>45707</v>
      </c>
    </row>
    <row r="140" spans="1:7" s="278" customFormat="1" ht="30.75" customHeight="1">
      <c r="A140" s="279">
        <f t="shared" si="2"/>
        <v>130</v>
      </c>
      <c r="B140" s="280" t="s">
        <v>466</v>
      </c>
      <c r="C140" s="280" t="s">
        <v>520</v>
      </c>
      <c r="D140" s="282" t="s">
        <v>516</v>
      </c>
      <c r="E140" s="313">
        <v>45695</v>
      </c>
      <c r="F140" s="282" t="s">
        <v>521</v>
      </c>
      <c r="G140" s="284">
        <v>45707</v>
      </c>
    </row>
    <row r="141" spans="1:7" s="278" customFormat="1" ht="38.25">
      <c r="A141" s="279">
        <f t="shared" si="2"/>
        <v>131</v>
      </c>
      <c r="B141" s="281" t="s">
        <v>522</v>
      </c>
      <c r="C141" s="281" t="s">
        <v>523</v>
      </c>
      <c r="D141" s="282" t="s">
        <v>524</v>
      </c>
      <c r="E141" s="313">
        <v>45695</v>
      </c>
      <c r="F141" s="283" t="s">
        <v>525</v>
      </c>
      <c r="G141" s="284">
        <v>45707</v>
      </c>
    </row>
    <row r="142" spans="1:7" s="278" customFormat="1" ht="51">
      <c r="A142" s="279">
        <f t="shared" si="2"/>
        <v>132</v>
      </c>
      <c r="B142" s="281" t="s">
        <v>526</v>
      </c>
      <c r="C142" s="281" t="s">
        <v>527</v>
      </c>
      <c r="D142" s="282" t="s">
        <v>528</v>
      </c>
      <c r="E142" s="313">
        <v>45695</v>
      </c>
      <c r="F142" s="282" t="s">
        <v>529</v>
      </c>
      <c r="G142" s="284">
        <v>45707</v>
      </c>
    </row>
    <row r="143" spans="1:7" s="278" customFormat="1" ht="51">
      <c r="A143" s="279">
        <f t="shared" si="2"/>
        <v>133</v>
      </c>
      <c r="B143" s="281" t="s">
        <v>526</v>
      </c>
      <c r="C143" s="281" t="s">
        <v>530</v>
      </c>
      <c r="D143" s="282" t="s">
        <v>531</v>
      </c>
      <c r="E143" s="313">
        <v>45695</v>
      </c>
      <c r="F143" s="282" t="s">
        <v>529</v>
      </c>
      <c r="G143" s="284">
        <v>45707</v>
      </c>
    </row>
    <row r="144" spans="1:7" s="278" customFormat="1" ht="25.5">
      <c r="A144" s="279">
        <f t="shared" si="2"/>
        <v>134</v>
      </c>
      <c r="B144" s="281" t="s">
        <v>532</v>
      </c>
      <c r="C144" s="281" t="s">
        <v>527</v>
      </c>
      <c r="D144" s="282" t="s">
        <v>533</v>
      </c>
      <c r="E144" s="313">
        <v>45695</v>
      </c>
      <c r="F144" s="282" t="s">
        <v>534</v>
      </c>
      <c r="G144" s="284">
        <v>45707</v>
      </c>
    </row>
    <row r="145" spans="1:7" s="278" customFormat="1" ht="114.75">
      <c r="A145" s="279">
        <f t="shared" si="2"/>
        <v>135</v>
      </c>
      <c r="B145" s="280" t="s">
        <v>535</v>
      </c>
      <c r="C145" s="280" t="s">
        <v>536</v>
      </c>
      <c r="D145" s="282" t="s">
        <v>537</v>
      </c>
      <c r="E145" s="313">
        <v>45695</v>
      </c>
      <c r="F145" s="282" t="s">
        <v>538</v>
      </c>
      <c r="G145" s="284">
        <v>45707</v>
      </c>
    </row>
    <row r="146" spans="1:7" s="278" customFormat="1" ht="38.25">
      <c r="A146" s="279">
        <f t="shared" si="2"/>
        <v>136</v>
      </c>
      <c r="B146" s="280" t="s">
        <v>539</v>
      </c>
      <c r="C146" s="280" t="s">
        <v>540</v>
      </c>
      <c r="D146" s="282" t="s">
        <v>541</v>
      </c>
      <c r="E146" s="313">
        <v>45695</v>
      </c>
      <c r="F146" s="282" t="s">
        <v>542</v>
      </c>
      <c r="G146" s="284">
        <v>45707</v>
      </c>
    </row>
    <row r="147" spans="1:7" s="278" customFormat="1" ht="25.5">
      <c r="A147" s="279">
        <f t="shared" si="2"/>
        <v>137</v>
      </c>
      <c r="B147" s="280" t="s">
        <v>543</v>
      </c>
      <c r="C147" s="280" t="s">
        <v>544</v>
      </c>
      <c r="D147" s="282" t="s">
        <v>545</v>
      </c>
      <c r="E147" s="313">
        <v>45695</v>
      </c>
      <c r="F147" s="282" t="s">
        <v>546</v>
      </c>
      <c r="G147" s="284">
        <v>45707</v>
      </c>
    </row>
    <row r="148" spans="1:7" s="278" customFormat="1" ht="76.5">
      <c r="A148" s="279">
        <f t="shared" si="2"/>
        <v>138</v>
      </c>
      <c r="B148" s="280" t="s">
        <v>547</v>
      </c>
      <c r="C148" s="280" t="s">
        <v>548</v>
      </c>
      <c r="D148" s="282" t="s">
        <v>549</v>
      </c>
      <c r="E148" s="313">
        <v>45695</v>
      </c>
      <c r="F148" s="282" t="s">
        <v>550</v>
      </c>
      <c r="G148" s="284">
        <v>45707</v>
      </c>
    </row>
    <row r="149" spans="1:7" s="278" customFormat="1" ht="51">
      <c r="A149" s="279">
        <f t="shared" si="2"/>
        <v>139</v>
      </c>
      <c r="B149" s="293" t="s">
        <v>551</v>
      </c>
      <c r="C149" s="293" t="s">
        <v>552</v>
      </c>
      <c r="D149" s="294" t="s">
        <v>553</v>
      </c>
      <c r="E149" s="486">
        <v>45701</v>
      </c>
      <c r="F149" s="295"/>
      <c r="G149" s="296"/>
    </row>
    <row r="150" spans="1:7" s="278" customFormat="1" ht="38.25">
      <c r="A150" s="279">
        <f t="shared" si="2"/>
        <v>140</v>
      </c>
      <c r="B150" s="293" t="s">
        <v>554</v>
      </c>
      <c r="C150" s="293" t="s">
        <v>555</v>
      </c>
      <c r="D150" s="294" t="s">
        <v>556</v>
      </c>
      <c r="E150" s="486">
        <v>45701</v>
      </c>
      <c r="F150" s="295"/>
      <c r="G150" s="296"/>
    </row>
    <row r="151" spans="1:7" s="278" customFormat="1" ht="89.25">
      <c r="A151" s="279">
        <f t="shared" si="2"/>
        <v>141</v>
      </c>
      <c r="B151" s="293" t="s">
        <v>557</v>
      </c>
      <c r="C151" s="293"/>
      <c r="D151" s="294" t="s">
        <v>558</v>
      </c>
      <c r="E151" s="486">
        <v>45701</v>
      </c>
      <c r="F151" s="295"/>
      <c r="G151" s="296"/>
    </row>
    <row r="152" spans="1:7" s="278" customFormat="1" ht="76.5">
      <c r="A152" s="279">
        <f t="shared" si="2"/>
        <v>142</v>
      </c>
      <c r="B152" s="293" t="s">
        <v>559</v>
      </c>
      <c r="C152" s="293"/>
      <c r="D152" s="294" t="s">
        <v>560</v>
      </c>
      <c r="E152" s="486">
        <v>45701</v>
      </c>
      <c r="F152" s="295"/>
      <c r="G152" s="296"/>
    </row>
    <row r="153" spans="1:7" s="278" customFormat="1" ht="51">
      <c r="A153" s="279">
        <f t="shared" si="2"/>
        <v>143</v>
      </c>
      <c r="B153" s="293" t="s">
        <v>561</v>
      </c>
      <c r="C153" s="293" t="s">
        <v>562</v>
      </c>
      <c r="D153" s="294" t="s">
        <v>563</v>
      </c>
      <c r="E153" s="486">
        <v>45701</v>
      </c>
      <c r="F153" s="295"/>
      <c r="G153" s="296"/>
    </row>
    <row r="154" spans="1:7" s="278" customFormat="1" ht="38.25">
      <c r="A154" s="279">
        <f t="shared" si="2"/>
        <v>144</v>
      </c>
      <c r="B154" s="293" t="s">
        <v>564</v>
      </c>
      <c r="C154" s="293" t="s">
        <v>565</v>
      </c>
      <c r="D154" s="294" t="s">
        <v>566</v>
      </c>
      <c r="E154" s="486">
        <v>45701</v>
      </c>
      <c r="F154" s="295"/>
      <c r="G154" s="296"/>
    </row>
    <row r="155" spans="1:7" s="278" customFormat="1" ht="51">
      <c r="A155" s="279">
        <f t="shared" si="2"/>
        <v>145</v>
      </c>
      <c r="B155" s="293" t="s">
        <v>567</v>
      </c>
      <c r="C155" s="293" t="s">
        <v>303</v>
      </c>
      <c r="D155" s="294" t="s">
        <v>568</v>
      </c>
      <c r="E155" s="486">
        <v>45701</v>
      </c>
      <c r="F155" s="295"/>
      <c r="G155" s="296"/>
    </row>
    <row r="156" spans="1:7" s="278" customFormat="1" ht="51">
      <c r="A156" s="279">
        <f t="shared" si="2"/>
        <v>146</v>
      </c>
      <c r="B156" s="293" t="s">
        <v>236</v>
      </c>
      <c r="C156" s="293" t="s">
        <v>569</v>
      </c>
      <c r="D156" s="294" t="s">
        <v>570</v>
      </c>
      <c r="E156" s="486">
        <v>45701</v>
      </c>
      <c r="F156" s="295"/>
      <c r="G156" s="296"/>
    </row>
    <row r="157" spans="1:7" ht="51">
      <c r="A157" s="279">
        <f t="shared" si="2"/>
        <v>147</v>
      </c>
      <c r="B157" s="293" t="s">
        <v>236</v>
      </c>
      <c r="C157" s="293" t="s">
        <v>571</v>
      </c>
      <c r="D157" s="294" t="s">
        <v>572</v>
      </c>
      <c r="E157" s="486">
        <v>45701</v>
      </c>
      <c r="F157" s="295"/>
      <c r="G157" s="296"/>
    </row>
    <row r="158" spans="1:7" s="278" customFormat="1" ht="25.5">
      <c r="A158" s="279">
        <f t="shared" ref="A158:A163" si="3">1+A157</f>
        <v>148</v>
      </c>
      <c r="B158" s="293" t="s">
        <v>236</v>
      </c>
      <c r="C158" s="293" t="s">
        <v>571</v>
      </c>
      <c r="D158" s="294" t="s">
        <v>573</v>
      </c>
      <c r="E158" s="486">
        <v>45701</v>
      </c>
      <c r="F158" s="295"/>
      <c r="G158" s="296"/>
    </row>
    <row r="159" spans="1:7" s="278" customFormat="1" ht="38.25">
      <c r="A159" s="279">
        <f t="shared" si="3"/>
        <v>149</v>
      </c>
      <c r="B159" s="293" t="s">
        <v>574</v>
      </c>
      <c r="C159" s="293" t="s">
        <v>575</v>
      </c>
      <c r="D159" s="294" t="s">
        <v>576</v>
      </c>
      <c r="E159" s="486">
        <v>45701</v>
      </c>
      <c r="F159" s="295"/>
      <c r="G159" s="296"/>
    </row>
    <row r="160" spans="1:7" s="278" customFormat="1" ht="25.5">
      <c r="A160" s="279">
        <f t="shared" si="3"/>
        <v>150</v>
      </c>
      <c r="B160" s="293" t="s">
        <v>62</v>
      </c>
      <c r="C160" s="293" t="s">
        <v>575</v>
      </c>
      <c r="D160" s="294" t="s">
        <v>577</v>
      </c>
      <c r="E160" s="486">
        <v>45701</v>
      </c>
      <c r="F160" s="295"/>
      <c r="G160" s="296"/>
    </row>
    <row r="161" spans="1:7" s="278" customFormat="1" ht="25.5">
      <c r="A161" s="279">
        <f t="shared" si="3"/>
        <v>151</v>
      </c>
      <c r="B161" s="293" t="s">
        <v>578</v>
      </c>
      <c r="C161" s="293" t="s">
        <v>579</v>
      </c>
      <c r="D161" s="294" t="s">
        <v>580</v>
      </c>
      <c r="E161" s="486">
        <v>45701</v>
      </c>
      <c r="F161" s="295"/>
      <c r="G161" s="296"/>
    </row>
    <row r="162" spans="1:7" s="278" customFormat="1" ht="38.25">
      <c r="A162" s="279">
        <f t="shared" si="3"/>
        <v>152</v>
      </c>
      <c r="B162" s="293" t="s">
        <v>581</v>
      </c>
      <c r="C162" s="293" t="s">
        <v>582</v>
      </c>
      <c r="D162" s="294" t="s">
        <v>583</v>
      </c>
      <c r="E162" s="486">
        <v>45701</v>
      </c>
      <c r="F162" s="295"/>
      <c r="G162" s="296"/>
    </row>
    <row r="163" spans="1:7" s="278" customFormat="1" ht="38.25">
      <c r="A163" s="279">
        <f t="shared" si="3"/>
        <v>153</v>
      </c>
      <c r="B163" s="293" t="s">
        <v>466</v>
      </c>
      <c r="C163" s="293" t="s">
        <v>584</v>
      </c>
      <c r="D163" s="294" t="s">
        <v>585</v>
      </c>
      <c r="E163" s="486">
        <v>45701</v>
      </c>
      <c r="F163" s="295"/>
      <c r="G163" s="296"/>
    </row>
    <row r="164" spans="1:7" s="278" customFormat="1">
      <c r="A164" s="393"/>
      <c r="B164" s="487"/>
      <c r="C164" s="487"/>
      <c r="D164" s="389"/>
      <c r="E164" s="390"/>
      <c r="F164" s="391"/>
      <c r="G164" s="392"/>
    </row>
  </sheetData>
  <mergeCells count="3">
    <mergeCell ref="A5:D5"/>
    <mergeCell ref="A7:D7"/>
    <mergeCell ref="A8:D8"/>
  </mergeCells>
  <pageMargins left="0.2" right="0.2" top="0.25" bottom="0.5" header="0.3" footer="0.25"/>
  <pageSetup scale="77" fitToHeight="0" orientation="landscape" r:id="rId1"/>
  <headerFooter>
    <oddFooter>&amp;CPage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1C1CC-7DE6-47B6-AAE7-955606F3BF1F}">
  <sheetPr>
    <tabColor rgb="FFFFFF00"/>
    <pageSetUpPr fitToPage="1"/>
  </sheetPr>
  <dimension ref="A1:H1463"/>
  <sheetViews>
    <sheetView zoomScaleNormal="100" workbookViewId="0">
      <selection activeCell="G25" sqref="G25"/>
    </sheetView>
  </sheetViews>
  <sheetFormatPr defaultColWidth="8.85546875" defaultRowHeight="15"/>
  <cols>
    <col min="1" max="1" width="17.42578125" bestFit="1" customWidth="1"/>
    <col min="2" max="2" width="66.7109375" bestFit="1" customWidth="1"/>
    <col min="3" max="5" width="15.7109375" customWidth="1"/>
  </cols>
  <sheetData>
    <row r="1" spans="1:8" s="203" customFormat="1" ht="45" customHeight="1">
      <c r="A1" s="202"/>
    </row>
    <row r="2" spans="1:8" s="203" customFormat="1" ht="6" customHeight="1">
      <c r="A2" s="853"/>
      <c r="B2" s="853"/>
      <c r="C2" s="853"/>
      <c r="D2" s="853"/>
      <c r="E2" s="853"/>
      <c r="F2" s="162"/>
      <c r="G2" s="162"/>
      <c r="H2" s="162"/>
    </row>
    <row r="3" spans="1:8" s="203" customFormat="1" ht="18" customHeight="1">
      <c r="A3" s="854" t="str">
        <f>'Area Calculations'!B4</f>
        <v>Atlantic Fields Club Core / Dock Bar / Spa Pods / Water Features</v>
      </c>
      <c r="B3" s="854"/>
      <c r="C3" s="854"/>
      <c r="D3" s="854"/>
      <c r="E3" s="854"/>
      <c r="F3" s="162"/>
      <c r="G3" s="162"/>
      <c r="H3" s="162"/>
    </row>
    <row r="4" spans="1:8">
      <c r="A4" s="162" t="str">
        <f>'Area Calculations'!B5</f>
        <v>Hobe Sound</v>
      </c>
      <c r="B4" s="162"/>
      <c r="C4" s="250"/>
    </row>
    <row r="5" spans="1:8">
      <c r="A5" s="851" t="s">
        <v>586</v>
      </c>
      <c r="B5" s="851"/>
      <c r="C5" s="250"/>
    </row>
    <row r="6" spans="1:8">
      <c r="A6" s="852">
        <f ca="1">TODAY()</f>
        <v>46146</v>
      </c>
      <c r="B6" s="852"/>
      <c r="C6" s="250"/>
    </row>
    <row r="7" spans="1:8">
      <c r="A7" s="1028" t="s">
        <v>587</v>
      </c>
      <c r="B7" s="1028" t="s">
        <v>588</v>
      </c>
      <c r="C7" s="1028" t="s">
        <v>589</v>
      </c>
      <c r="D7" s="1028" t="s">
        <v>590</v>
      </c>
      <c r="E7" s="1028" t="s">
        <v>591</v>
      </c>
    </row>
    <row r="8" spans="1:8">
      <c r="A8" s="1029"/>
      <c r="B8" s="1030" t="s">
        <v>592</v>
      </c>
      <c r="C8" s="1031"/>
      <c r="D8" s="1031"/>
      <c r="E8" s="1031"/>
    </row>
    <row r="9" spans="1:8">
      <c r="A9" s="1032"/>
      <c r="B9" s="1033" t="s">
        <v>593</v>
      </c>
      <c r="C9" s="1034"/>
      <c r="D9" s="1034"/>
      <c r="E9" s="1034"/>
    </row>
    <row r="10" spans="1:8">
      <c r="A10" s="1032" t="s">
        <v>594</v>
      </c>
      <c r="B10" s="1035" t="s">
        <v>595</v>
      </c>
      <c r="C10" s="1036">
        <v>45681</v>
      </c>
      <c r="D10" s="1037">
        <v>45708</v>
      </c>
      <c r="E10" s="1038"/>
    </row>
    <row r="11" spans="1:8">
      <c r="A11" s="1039" t="s">
        <v>596</v>
      </c>
      <c r="B11" s="1035" t="s">
        <v>597</v>
      </c>
      <c r="C11" s="1036">
        <v>45681</v>
      </c>
      <c r="D11" s="1037">
        <v>45708</v>
      </c>
      <c r="E11" s="1038"/>
    </row>
    <row r="12" spans="1:8">
      <c r="A12" s="1039" t="s">
        <v>598</v>
      </c>
      <c r="B12" s="1035" t="s">
        <v>597</v>
      </c>
      <c r="C12" s="1036">
        <v>45681</v>
      </c>
      <c r="D12" s="1037">
        <v>45708</v>
      </c>
      <c r="E12" s="1038"/>
    </row>
    <row r="13" spans="1:8">
      <c r="A13" s="1039" t="s">
        <v>599</v>
      </c>
      <c r="B13" s="1035" t="s">
        <v>600</v>
      </c>
      <c r="C13" s="1036">
        <v>45681</v>
      </c>
      <c r="D13" s="1037">
        <v>45708</v>
      </c>
      <c r="E13" s="1038"/>
    </row>
    <row r="14" spans="1:8">
      <c r="A14" s="1039" t="s">
        <v>601</v>
      </c>
      <c r="B14" s="1035" t="s">
        <v>602</v>
      </c>
      <c r="C14" s="1036">
        <v>45681</v>
      </c>
      <c r="D14" s="1037">
        <v>45708</v>
      </c>
      <c r="E14" s="1038"/>
    </row>
    <row r="15" spans="1:8">
      <c r="A15" s="1039" t="s">
        <v>603</v>
      </c>
      <c r="B15" s="1040" t="s">
        <v>604</v>
      </c>
      <c r="C15" s="1036">
        <v>45681</v>
      </c>
      <c r="D15" s="1037">
        <v>45708</v>
      </c>
      <c r="E15" s="1038"/>
    </row>
    <row r="16" spans="1:8">
      <c r="A16" s="1039" t="s">
        <v>605</v>
      </c>
      <c r="B16" s="1040" t="s">
        <v>606</v>
      </c>
      <c r="C16" s="1036">
        <v>45681</v>
      </c>
      <c r="D16" s="1037">
        <v>45708</v>
      </c>
      <c r="E16" s="1038"/>
    </row>
    <row r="17" spans="1:5">
      <c r="A17" s="1039" t="s">
        <v>607</v>
      </c>
      <c r="B17" s="1040" t="s">
        <v>608</v>
      </c>
      <c r="C17" s="1036">
        <v>45681</v>
      </c>
      <c r="D17" s="1037">
        <v>45708</v>
      </c>
      <c r="E17" s="1038"/>
    </row>
    <row r="18" spans="1:5">
      <c r="A18" s="1039" t="s">
        <v>609</v>
      </c>
      <c r="B18" s="1040" t="s">
        <v>610</v>
      </c>
      <c r="C18" s="1036">
        <v>45681</v>
      </c>
      <c r="D18" s="1037">
        <v>45708</v>
      </c>
      <c r="E18" s="1038"/>
    </row>
    <row r="19" spans="1:5">
      <c r="A19" s="1039" t="s">
        <v>611</v>
      </c>
      <c r="B19" s="1040" t="s">
        <v>610</v>
      </c>
      <c r="C19" s="1036">
        <v>45681</v>
      </c>
      <c r="D19" s="1037">
        <v>45708</v>
      </c>
      <c r="E19" s="1038"/>
    </row>
    <row r="20" spans="1:5">
      <c r="A20" s="1039" t="s">
        <v>612</v>
      </c>
      <c r="B20" s="1040" t="s">
        <v>613</v>
      </c>
      <c r="C20" s="1036">
        <v>45681</v>
      </c>
      <c r="D20" s="1037">
        <v>45708</v>
      </c>
      <c r="E20" s="1038"/>
    </row>
    <row r="21" spans="1:5">
      <c r="A21" s="1039" t="s">
        <v>614</v>
      </c>
      <c r="B21" s="1040" t="s">
        <v>615</v>
      </c>
      <c r="C21" s="1036">
        <v>45681</v>
      </c>
      <c r="D21" s="1037">
        <v>45708</v>
      </c>
      <c r="E21" s="1038"/>
    </row>
    <row r="22" spans="1:5">
      <c r="A22" s="1039" t="s">
        <v>616</v>
      </c>
      <c r="B22" s="1040" t="s">
        <v>617</v>
      </c>
      <c r="C22" s="1036">
        <v>45681</v>
      </c>
      <c r="D22" s="1037">
        <v>45708</v>
      </c>
      <c r="E22" s="1038"/>
    </row>
    <row r="23" spans="1:5">
      <c r="A23" s="1039" t="s">
        <v>618</v>
      </c>
      <c r="B23" s="1040" t="s">
        <v>619</v>
      </c>
      <c r="C23" s="1036">
        <v>45681</v>
      </c>
      <c r="D23" s="1037">
        <v>45708</v>
      </c>
      <c r="E23" s="1038"/>
    </row>
    <row r="24" spans="1:5">
      <c r="A24" s="1039" t="s">
        <v>620</v>
      </c>
      <c r="B24" s="1040" t="s">
        <v>621</v>
      </c>
      <c r="C24" s="1036">
        <v>45681</v>
      </c>
      <c r="D24" s="1037">
        <v>45708</v>
      </c>
      <c r="E24" s="1038"/>
    </row>
    <row r="25" spans="1:5">
      <c r="A25" s="1039" t="s">
        <v>622</v>
      </c>
      <c r="B25" s="1040" t="s">
        <v>623</v>
      </c>
      <c r="C25" s="1036">
        <v>45681</v>
      </c>
      <c r="D25" s="1037">
        <v>45708</v>
      </c>
      <c r="E25" s="1038"/>
    </row>
    <row r="26" spans="1:5">
      <c r="A26" s="1039" t="s">
        <v>624</v>
      </c>
      <c r="B26" s="1040" t="s">
        <v>625</v>
      </c>
      <c r="C26" s="1036">
        <v>45681</v>
      </c>
      <c r="D26" s="1037">
        <v>45708</v>
      </c>
      <c r="E26" s="1038"/>
    </row>
    <row r="27" spans="1:5">
      <c r="A27" s="1039" t="s">
        <v>626</v>
      </c>
      <c r="B27" s="1040" t="s">
        <v>627</v>
      </c>
      <c r="C27" s="1036">
        <v>45681</v>
      </c>
      <c r="D27" s="1037">
        <v>45708</v>
      </c>
      <c r="E27" s="1038"/>
    </row>
    <row r="28" spans="1:5">
      <c r="A28" s="1039" t="s">
        <v>628</v>
      </c>
      <c r="B28" s="1040" t="s">
        <v>629</v>
      </c>
      <c r="C28" s="1036">
        <v>45681</v>
      </c>
      <c r="D28" s="1037">
        <v>45708</v>
      </c>
      <c r="E28" s="1038"/>
    </row>
    <row r="29" spans="1:5">
      <c r="A29" s="1039" t="s">
        <v>630</v>
      </c>
      <c r="B29" s="1040" t="s">
        <v>631</v>
      </c>
      <c r="C29" s="1036">
        <v>45681</v>
      </c>
      <c r="D29" s="1037">
        <v>45708</v>
      </c>
      <c r="E29" s="1038"/>
    </row>
    <row r="30" spans="1:5">
      <c r="A30" s="1039" t="s">
        <v>632</v>
      </c>
      <c r="B30" s="1040" t="s">
        <v>633</v>
      </c>
      <c r="C30" s="1036">
        <v>45681</v>
      </c>
      <c r="D30" s="1037">
        <v>45708</v>
      </c>
      <c r="E30" s="1038"/>
    </row>
    <row r="31" spans="1:5">
      <c r="A31" s="1039" t="s">
        <v>634</v>
      </c>
      <c r="B31" s="1040" t="s">
        <v>635</v>
      </c>
      <c r="C31" s="1036">
        <v>45681</v>
      </c>
      <c r="D31" s="1037">
        <v>45708</v>
      </c>
      <c r="E31" s="1038"/>
    </row>
    <row r="32" spans="1:5">
      <c r="A32" s="1039" t="s">
        <v>636</v>
      </c>
      <c r="B32" s="1040" t="s">
        <v>637</v>
      </c>
      <c r="C32" s="1036">
        <v>45681</v>
      </c>
      <c r="D32" s="1037">
        <v>45708</v>
      </c>
      <c r="E32" s="1038"/>
    </row>
    <row r="33" spans="1:5">
      <c r="A33" s="1039" t="s">
        <v>638</v>
      </c>
      <c r="B33" s="1040" t="s">
        <v>639</v>
      </c>
      <c r="C33" s="1036">
        <v>45681</v>
      </c>
      <c r="D33" s="1037">
        <v>45708</v>
      </c>
      <c r="E33" s="1038">
        <v>45723</v>
      </c>
    </row>
    <row r="34" spans="1:5">
      <c r="A34" s="1039" t="s">
        <v>640</v>
      </c>
      <c r="B34" s="1040" t="s">
        <v>641</v>
      </c>
      <c r="C34" s="1036">
        <v>45681</v>
      </c>
      <c r="D34" s="1037">
        <v>45708</v>
      </c>
      <c r="E34" s="1038">
        <v>45723</v>
      </c>
    </row>
    <row r="35" spans="1:5">
      <c r="A35" s="1039" t="s">
        <v>642</v>
      </c>
      <c r="B35" s="1040" t="s">
        <v>643</v>
      </c>
      <c r="C35" s="1036">
        <v>45681</v>
      </c>
      <c r="D35" s="1037">
        <v>45708</v>
      </c>
      <c r="E35" s="1038">
        <v>45723</v>
      </c>
    </row>
    <row r="36" spans="1:5">
      <c r="A36" s="1039" t="s">
        <v>644</v>
      </c>
      <c r="B36" s="1040" t="s">
        <v>645</v>
      </c>
      <c r="C36" s="1036">
        <v>45681</v>
      </c>
      <c r="D36" s="1037">
        <v>45708</v>
      </c>
      <c r="E36" s="1038">
        <v>45723</v>
      </c>
    </row>
    <row r="37" spans="1:5">
      <c r="A37" s="1039" t="s">
        <v>646</v>
      </c>
      <c r="B37" s="1040" t="s">
        <v>645</v>
      </c>
      <c r="C37" s="1036">
        <v>45681</v>
      </c>
      <c r="D37" s="1037">
        <v>45708</v>
      </c>
      <c r="E37" s="1038">
        <v>45723</v>
      </c>
    </row>
    <row r="38" spans="1:5" ht="15.75">
      <c r="A38" s="1039" t="s">
        <v>647</v>
      </c>
      <c r="B38" s="1041" t="s">
        <v>648</v>
      </c>
      <c r="C38" s="1036">
        <v>45681</v>
      </c>
      <c r="D38" s="1037">
        <v>45708</v>
      </c>
      <c r="E38" s="1038">
        <v>45723</v>
      </c>
    </row>
    <row r="39" spans="1:5" ht="15.75">
      <c r="A39" s="1039" t="s">
        <v>649</v>
      </c>
      <c r="B39" s="1041" t="s">
        <v>650</v>
      </c>
      <c r="C39" s="1036">
        <v>45681</v>
      </c>
      <c r="D39" s="1037">
        <v>45708</v>
      </c>
      <c r="E39" s="1038">
        <v>45723</v>
      </c>
    </row>
    <row r="40" spans="1:5" ht="15.75">
      <c r="A40" s="1039" t="s">
        <v>651</v>
      </c>
      <c r="B40" s="1041" t="s">
        <v>650</v>
      </c>
      <c r="C40" s="1036">
        <v>45681</v>
      </c>
      <c r="D40" s="1037">
        <v>45708</v>
      </c>
      <c r="E40" s="1038">
        <v>45723</v>
      </c>
    </row>
    <row r="41" spans="1:5">
      <c r="A41" s="1039" t="s">
        <v>652</v>
      </c>
      <c r="B41" s="1040" t="s">
        <v>653</v>
      </c>
      <c r="C41" s="1036">
        <v>45681</v>
      </c>
      <c r="D41" s="1037">
        <v>45708</v>
      </c>
      <c r="E41" s="1038">
        <v>45723</v>
      </c>
    </row>
    <row r="42" spans="1:5">
      <c r="A42" s="1039" t="s">
        <v>654</v>
      </c>
      <c r="B42" s="1040" t="s">
        <v>653</v>
      </c>
      <c r="C42" s="1036">
        <v>45681</v>
      </c>
      <c r="D42" s="1037">
        <v>45708</v>
      </c>
      <c r="E42" s="1038">
        <v>45723</v>
      </c>
    </row>
    <row r="43" spans="1:5">
      <c r="A43" s="1039" t="s">
        <v>655</v>
      </c>
      <c r="B43" s="1040" t="s">
        <v>656</v>
      </c>
      <c r="C43" s="1036">
        <v>45681</v>
      </c>
      <c r="D43" s="1037">
        <v>45708</v>
      </c>
      <c r="E43" s="1038">
        <v>45723</v>
      </c>
    </row>
    <row r="44" spans="1:5">
      <c r="A44" s="1039" t="s">
        <v>657</v>
      </c>
      <c r="B44" s="1040" t="s">
        <v>658</v>
      </c>
      <c r="C44" s="1036">
        <v>45681</v>
      </c>
      <c r="D44" s="1037">
        <v>45708</v>
      </c>
      <c r="E44" s="1038"/>
    </row>
    <row r="45" spans="1:5">
      <c r="A45" s="1039" t="s">
        <v>659</v>
      </c>
      <c r="B45" s="1040" t="s">
        <v>660</v>
      </c>
      <c r="C45" s="1036">
        <v>45681</v>
      </c>
      <c r="D45" s="1037">
        <v>45708</v>
      </c>
      <c r="E45" s="1038">
        <v>45723</v>
      </c>
    </row>
    <row r="46" spans="1:5">
      <c r="A46" s="1039" t="s">
        <v>661</v>
      </c>
      <c r="B46" s="1040" t="s">
        <v>660</v>
      </c>
      <c r="C46" s="1036"/>
      <c r="D46" s="1037"/>
      <c r="E46" s="1038">
        <v>45723</v>
      </c>
    </row>
    <row r="47" spans="1:5">
      <c r="A47" s="1039" t="s">
        <v>662</v>
      </c>
      <c r="B47" s="1040" t="s">
        <v>660</v>
      </c>
      <c r="C47" s="1036"/>
      <c r="D47" s="1037"/>
      <c r="E47" s="1038">
        <v>45723</v>
      </c>
    </row>
    <row r="48" spans="1:5">
      <c r="A48" s="1039" t="s">
        <v>663</v>
      </c>
      <c r="B48" s="1040" t="s">
        <v>664</v>
      </c>
      <c r="C48" s="1036">
        <v>45681</v>
      </c>
      <c r="D48" s="1037">
        <v>45708</v>
      </c>
      <c r="E48" s="1038"/>
    </row>
    <row r="49" spans="1:5">
      <c r="A49" s="1039" t="s">
        <v>665</v>
      </c>
      <c r="B49" s="1040" t="s">
        <v>664</v>
      </c>
      <c r="C49" s="1036">
        <v>45681</v>
      </c>
      <c r="D49" s="1037">
        <v>45708</v>
      </c>
      <c r="E49" s="1038"/>
    </row>
    <row r="50" spans="1:5">
      <c r="A50" s="1039" t="s">
        <v>666</v>
      </c>
      <c r="B50" s="1040" t="s">
        <v>664</v>
      </c>
      <c r="C50" s="1036">
        <v>45681</v>
      </c>
      <c r="D50" s="1037">
        <v>45708</v>
      </c>
      <c r="E50" s="1038"/>
    </row>
    <row r="51" spans="1:5">
      <c r="A51" s="1039" t="s">
        <v>667</v>
      </c>
      <c r="B51" s="1040" t="s">
        <v>668</v>
      </c>
      <c r="C51" s="1036">
        <v>45681</v>
      </c>
      <c r="D51" s="1037">
        <v>45708</v>
      </c>
      <c r="E51" s="1038"/>
    </row>
    <row r="52" spans="1:5">
      <c r="A52" s="1039" t="s">
        <v>669</v>
      </c>
      <c r="B52" s="1040" t="s">
        <v>670</v>
      </c>
      <c r="C52" s="1036">
        <v>45681</v>
      </c>
      <c r="D52" s="1037">
        <v>45708</v>
      </c>
      <c r="E52" s="1038"/>
    </row>
    <row r="53" spans="1:5">
      <c r="A53" s="1039" t="s">
        <v>671</v>
      </c>
      <c r="B53" s="1040" t="s">
        <v>672</v>
      </c>
      <c r="C53" s="1036">
        <v>45681</v>
      </c>
      <c r="D53" s="1037">
        <v>45708</v>
      </c>
      <c r="E53" s="1038"/>
    </row>
    <row r="54" spans="1:5">
      <c r="A54" s="1039" t="s">
        <v>303</v>
      </c>
      <c r="B54" s="1040" t="s">
        <v>673</v>
      </c>
      <c r="C54" s="1036">
        <v>45681</v>
      </c>
      <c r="D54" s="1037">
        <v>45708</v>
      </c>
      <c r="E54" s="1038">
        <v>45723</v>
      </c>
    </row>
    <row r="55" spans="1:5">
      <c r="A55" s="1039" t="s">
        <v>674</v>
      </c>
      <c r="B55" s="1040" t="s">
        <v>675</v>
      </c>
      <c r="C55" s="1036">
        <v>45681</v>
      </c>
      <c r="D55" s="1037">
        <v>45708</v>
      </c>
      <c r="E55" s="1038"/>
    </row>
    <row r="56" spans="1:5">
      <c r="A56" s="1039" t="s">
        <v>676</v>
      </c>
      <c r="B56" s="1040" t="s">
        <v>677</v>
      </c>
      <c r="C56" s="1036">
        <v>45681</v>
      </c>
      <c r="D56" s="1037">
        <v>45708</v>
      </c>
      <c r="E56" s="1038"/>
    </row>
    <row r="57" spans="1:5">
      <c r="A57" s="1039" t="s">
        <v>678</v>
      </c>
      <c r="B57" s="1040" t="s">
        <v>679</v>
      </c>
      <c r="C57" s="1036">
        <v>45681</v>
      </c>
      <c r="D57" s="1037">
        <v>45708</v>
      </c>
      <c r="E57" s="1038"/>
    </row>
    <row r="58" spans="1:5">
      <c r="A58" s="1039" t="s">
        <v>680</v>
      </c>
      <c r="B58" s="1040" t="s">
        <v>681</v>
      </c>
      <c r="C58" s="1036">
        <v>45681</v>
      </c>
      <c r="D58" s="1037">
        <v>45708</v>
      </c>
      <c r="E58" s="1038"/>
    </row>
    <row r="59" spans="1:5">
      <c r="A59" s="1039" t="s">
        <v>682</v>
      </c>
      <c r="B59" s="1040" t="s">
        <v>683</v>
      </c>
      <c r="C59" s="1036">
        <v>45681</v>
      </c>
      <c r="D59" s="1037">
        <v>45708</v>
      </c>
      <c r="E59" s="1038"/>
    </row>
    <row r="60" spans="1:5">
      <c r="A60" s="1039" t="s">
        <v>684</v>
      </c>
      <c r="B60" s="1040" t="s">
        <v>685</v>
      </c>
      <c r="C60" s="1036">
        <v>45681</v>
      </c>
      <c r="D60" s="1037">
        <v>45708</v>
      </c>
      <c r="E60" s="1038"/>
    </row>
    <row r="61" spans="1:5">
      <c r="A61" s="1039" t="s">
        <v>686</v>
      </c>
      <c r="B61" s="1040" t="s">
        <v>687</v>
      </c>
      <c r="C61" s="1036">
        <v>45681</v>
      </c>
      <c r="D61" s="1037">
        <v>45708</v>
      </c>
      <c r="E61" s="1038"/>
    </row>
    <row r="62" spans="1:5">
      <c r="A62" s="1039" t="s">
        <v>688</v>
      </c>
      <c r="B62" s="1040" t="s">
        <v>689</v>
      </c>
      <c r="C62" s="1036">
        <v>45681</v>
      </c>
      <c r="D62" s="1037">
        <v>45708</v>
      </c>
      <c r="E62" s="1038"/>
    </row>
    <row r="63" spans="1:5">
      <c r="A63" s="1039" t="s">
        <v>282</v>
      </c>
      <c r="B63" s="1040" t="s">
        <v>690</v>
      </c>
      <c r="C63" s="1036">
        <v>45681</v>
      </c>
      <c r="D63" s="1037">
        <v>45708</v>
      </c>
      <c r="E63" s="1038"/>
    </row>
    <row r="64" spans="1:5">
      <c r="A64" s="1039" t="s">
        <v>691</v>
      </c>
      <c r="B64" s="1040" t="s">
        <v>692</v>
      </c>
      <c r="C64" s="1036">
        <v>45681</v>
      </c>
      <c r="D64" s="1037">
        <v>45708</v>
      </c>
      <c r="E64" s="1038"/>
    </row>
    <row r="65" spans="1:5">
      <c r="A65" s="1039" t="s">
        <v>693</v>
      </c>
      <c r="B65" s="1040" t="s">
        <v>694</v>
      </c>
      <c r="C65" s="1036">
        <v>45681</v>
      </c>
      <c r="D65" s="1037">
        <v>45708</v>
      </c>
      <c r="E65" s="1038"/>
    </row>
    <row r="66" spans="1:5">
      <c r="A66" s="1039" t="s">
        <v>695</v>
      </c>
      <c r="B66" s="1040" t="s">
        <v>696</v>
      </c>
      <c r="C66" s="1036">
        <v>45681</v>
      </c>
      <c r="D66" s="1037">
        <v>45708</v>
      </c>
      <c r="E66" s="1038"/>
    </row>
    <row r="67" spans="1:5">
      <c r="A67" s="1039" t="s">
        <v>697</v>
      </c>
      <c r="B67" s="1040" t="s">
        <v>698</v>
      </c>
      <c r="C67" s="1036">
        <v>45681</v>
      </c>
      <c r="D67" s="1037">
        <v>45708</v>
      </c>
      <c r="E67" s="1038"/>
    </row>
    <row r="68" spans="1:5">
      <c r="A68" s="1039" t="s">
        <v>699</v>
      </c>
      <c r="B68" s="1040" t="s">
        <v>700</v>
      </c>
      <c r="C68" s="1036">
        <v>45681</v>
      </c>
      <c r="D68" s="1037">
        <v>45708</v>
      </c>
      <c r="E68" s="1038"/>
    </row>
    <row r="69" spans="1:5">
      <c r="A69" s="1039" t="s">
        <v>409</v>
      </c>
      <c r="B69" s="1040" t="s">
        <v>701</v>
      </c>
      <c r="C69" s="1036">
        <v>45681</v>
      </c>
      <c r="D69" s="1037">
        <v>45708</v>
      </c>
      <c r="E69" s="1038"/>
    </row>
    <row r="70" spans="1:5">
      <c r="A70" s="1039" t="s">
        <v>702</v>
      </c>
      <c r="B70" s="1040" t="s">
        <v>703</v>
      </c>
      <c r="C70" s="1036">
        <v>45681</v>
      </c>
      <c r="D70" s="1037">
        <v>45708</v>
      </c>
      <c r="E70" s="1038"/>
    </row>
    <row r="71" spans="1:5">
      <c r="A71" s="1039" t="s">
        <v>704</v>
      </c>
      <c r="B71" s="1040" t="s">
        <v>705</v>
      </c>
      <c r="C71" s="1036">
        <v>45681</v>
      </c>
      <c r="D71" s="1037">
        <v>45708</v>
      </c>
      <c r="E71" s="1038"/>
    </row>
    <row r="72" spans="1:5">
      <c r="A72" s="1039" t="s">
        <v>706</v>
      </c>
      <c r="B72" s="1040" t="s">
        <v>707</v>
      </c>
      <c r="C72" s="1036">
        <v>45681</v>
      </c>
      <c r="D72" s="1037">
        <v>45708</v>
      </c>
      <c r="E72" s="1038"/>
    </row>
    <row r="73" spans="1:5">
      <c r="A73" s="1039" t="s">
        <v>708</v>
      </c>
      <c r="B73" s="1040" t="s">
        <v>709</v>
      </c>
      <c r="C73" s="1036">
        <v>45681</v>
      </c>
      <c r="D73" s="1037">
        <v>45708</v>
      </c>
      <c r="E73" s="1038"/>
    </row>
    <row r="74" spans="1:5">
      <c r="A74" s="1039" t="s">
        <v>710</v>
      </c>
      <c r="B74" s="1040" t="s">
        <v>711</v>
      </c>
      <c r="C74" s="1036">
        <v>45681</v>
      </c>
      <c r="D74" s="1037">
        <v>45708</v>
      </c>
      <c r="E74" s="1038"/>
    </row>
    <row r="75" spans="1:5">
      <c r="A75" s="1039" t="s">
        <v>712</v>
      </c>
      <c r="B75" s="1040" t="s">
        <v>713</v>
      </c>
      <c r="C75" s="1036">
        <v>45681</v>
      </c>
      <c r="D75" s="1037">
        <v>45708</v>
      </c>
      <c r="E75" s="1038"/>
    </row>
    <row r="76" spans="1:5">
      <c r="A76" s="1039" t="s">
        <v>714</v>
      </c>
      <c r="B76" s="1040" t="s">
        <v>715</v>
      </c>
      <c r="C76" s="1036">
        <v>45681</v>
      </c>
      <c r="D76" s="1037">
        <v>45708</v>
      </c>
      <c r="E76" s="1038"/>
    </row>
    <row r="77" spans="1:5">
      <c r="A77" s="1039" t="s">
        <v>716</v>
      </c>
      <c r="B77" s="1040" t="s">
        <v>717</v>
      </c>
      <c r="C77" s="1036">
        <v>45681</v>
      </c>
      <c r="D77" s="1037">
        <v>45708</v>
      </c>
      <c r="E77" s="1038">
        <v>45723</v>
      </c>
    </row>
    <row r="78" spans="1:5">
      <c r="A78" s="1039" t="s">
        <v>718</v>
      </c>
      <c r="B78" s="1040" t="s">
        <v>719</v>
      </c>
      <c r="C78" s="1036">
        <v>45681</v>
      </c>
      <c r="D78" s="1037">
        <v>45708</v>
      </c>
      <c r="E78" s="1038"/>
    </row>
    <row r="79" spans="1:5">
      <c r="A79" s="1039" t="s">
        <v>720</v>
      </c>
      <c r="B79" s="1040" t="s">
        <v>721</v>
      </c>
      <c r="C79" s="1036">
        <v>45681</v>
      </c>
      <c r="D79" s="1037">
        <v>45708</v>
      </c>
      <c r="E79" s="1038"/>
    </row>
    <row r="80" spans="1:5">
      <c r="A80" s="1039" t="s">
        <v>722</v>
      </c>
      <c r="B80" s="1040" t="s">
        <v>723</v>
      </c>
      <c r="C80" s="1036">
        <v>45681</v>
      </c>
      <c r="D80" s="1037">
        <v>45708</v>
      </c>
      <c r="E80" s="1038"/>
    </row>
    <row r="81" spans="1:5">
      <c r="A81" s="1039" t="s">
        <v>724</v>
      </c>
      <c r="B81" s="1040" t="s">
        <v>725</v>
      </c>
      <c r="C81" s="1036">
        <v>45681</v>
      </c>
      <c r="D81" s="1037">
        <v>45708</v>
      </c>
      <c r="E81" s="1038"/>
    </row>
    <row r="82" spans="1:5">
      <c r="A82" s="1039" t="s">
        <v>726</v>
      </c>
      <c r="B82" s="1040" t="s">
        <v>727</v>
      </c>
      <c r="C82" s="1036">
        <v>45681</v>
      </c>
      <c r="D82" s="1037">
        <v>45708</v>
      </c>
      <c r="E82" s="1038"/>
    </row>
    <row r="83" spans="1:5">
      <c r="A83" s="1039" t="s">
        <v>728</v>
      </c>
      <c r="B83" s="1040" t="s">
        <v>729</v>
      </c>
      <c r="C83" s="1036">
        <v>45681</v>
      </c>
      <c r="D83" s="1037">
        <v>45708</v>
      </c>
      <c r="E83" s="1038"/>
    </row>
    <row r="84" spans="1:5">
      <c r="A84" s="1039" t="s">
        <v>730</v>
      </c>
      <c r="B84" s="1040" t="s">
        <v>731</v>
      </c>
      <c r="C84" s="1036">
        <v>45681</v>
      </c>
      <c r="D84" s="1037">
        <v>45708</v>
      </c>
      <c r="E84" s="1038"/>
    </row>
    <row r="85" spans="1:5">
      <c r="A85" s="1039" t="s">
        <v>732</v>
      </c>
      <c r="B85" s="1040" t="s">
        <v>733</v>
      </c>
      <c r="C85" s="1036">
        <v>45681</v>
      </c>
      <c r="D85" s="1037">
        <v>45708</v>
      </c>
      <c r="E85" s="1038"/>
    </row>
    <row r="86" spans="1:5">
      <c r="A86" s="1039" t="s">
        <v>734</v>
      </c>
      <c r="B86" s="1040" t="s">
        <v>735</v>
      </c>
      <c r="C86" s="1036">
        <v>45681</v>
      </c>
      <c r="D86" s="1037">
        <v>45708</v>
      </c>
      <c r="E86" s="1038"/>
    </row>
    <row r="87" spans="1:5">
      <c r="A87" s="1039" t="s">
        <v>736</v>
      </c>
      <c r="B87" s="1040" t="s">
        <v>737</v>
      </c>
      <c r="C87" s="1036">
        <v>45681</v>
      </c>
      <c r="D87" s="1037">
        <v>45708</v>
      </c>
      <c r="E87" s="1038"/>
    </row>
    <row r="88" spans="1:5">
      <c r="A88" s="1039" t="s">
        <v>738</v>
      </c>
      <c r="B88" s="1040" t="s">
        <v>739</v>
      </c>
      <c r="C88" s="1036">
        <v>45681</v>
      </c>
      <c r="D88" s="1037">
        <v>45708</v>
      </c>
      <c r="E88" s="1038"/>
    </row>
    <row r="89" spans="1:5">
      <c r="A89" s="1039" t="s">
        <v>740</v>
      </c>
      <c r="B89" s="1040" t="s">
        <v>741</v>
      </c>
      <c r="C89" s="1036">
        <v>45681</v>
      </c>
      <c r="D89" s="1037">
        <v>45708</v>
      </c>
      <c r="E89" s="1038"/>
    </row>
    <row r="90" spans="1:5">
      <c r="A90" s="1039" t="s">
        <v>742</v>
      </c>
      <c r="B90" s="1040" t="s">
        <v>743</v>
      </c>
      <c r="C90" s="1036">
        <v>45681</v>
      </c>
      <c r="D90" s="1037">
        <v>45708</v>
      </c>
      <c r="E90" s="1038"/>
    </row>
    <row r="91" spans="1:5">
      <c r="A91" s="1039" t="s">
        <v>744</v>
      </c>
      <c r="B91" s="1040" t="s">
        <v>745</v>
      </c>
      <c r="C91" s="1036">
        <v>45681</v>
      </c>
      <c r="D91" s="1037">
        <v>45708</v>
      </c>
      <c r="E91" s="1038"/>
    </row>
    <row r="92" spans="1:5">
      <c r="A92" s="1039" t="s">
        <v>746</v>
      </c>
      <c r="B92" s="1040" t="s">
        <v>747</v>
      </c>
      <c r="C92" s="1036">
        <v>45681</v>
      </c>
      <c r="D92" s="1037">
        <v>45708</v>
      </c>
      <c r="E92" s="1038"/>
    </row>
    <row r="93" spans="1:5">
      <c r="A93" s="1039" t="s">
        <v>748</v>
      </c>
      <c r="B93" s="1040" t="s">
        <v>749</v>
      </c>
      <c r="C93" s="1036">
        <v>45681</v>
      </c>
      <c r="D93" s="1037">
        <v>45708</v>
      </c>
      <c r="E93" s="1038"/>
    </row>
    <row r="94" spans="1:5">
      <c r="A94" s="1039" t="s">
        <v>750</v>
      </c>
      <c r="B94" s="1040" t="s">
        <v>751</v>
      </c>
      <c r="C94" s="1036">
        <v>45681</v>
      </c>
      <c r="D94" s="1037">
        <v>45708</v>
      </c>
      <c r="E94" s="1038"/>
    </row>
    <row r="95" spans="1:5">
      <c r="A95" s="1039" t="s">
        <v>269</v>
      </c>
      <c r="B95" s="1040" t="s">
        <v>752</v>
      </c>
      <c r="C95" s="1036">
        <v>45681</v>
      </c>
      <c r="D95" s="1037">
        <v>45708</v>
      </c>
      <c r="E95" s="1038"/>
    </row>
    <row r="96" spans="1:5">
      <c r="A96" s="1039" t="s">
        <v>753</v>
      </c>
      <c r="B96" s="1040" t="s">
        <v>754</v>
      </c>
      <c r="C96" s="1036">
        <v>45681</v>
      </c>
      <c r="D96" s="1037">
        <v>45708</v>
      </c>
      <c r="E96" s="1038"/>
    </row>
    <row r="97" spans="1:5">
      <c r="A97" s="1039" t="s">
        <v>755</v>
      </c>
      <c r="B97" s="1040" t="s">
        <v>756</v>
      </c>
      <c r="C97" s="1036">
        <v>45681</v>
      </c>
      <c r="D97" s="1037">
        <v>45708</v>
      </c>
      <c r="E97" s="1038"/>
    </row>
    <row r="98" spans="1:5">
      <c r="A98" s="1039" t="s">
        <v>757</v>
      </c>
      <c r="B98" s="1040" t="s">
        <v>758</v>
      </c>
      <c r="C98" s="1036">
        <v>45681</v>
      </c>
      <c r="D98" s="1037">
        <v>45708</v>
      </c>
      <c r="E98" s="1038"/>
    </row>
    <row r="99" spans="1:5">
      <c r="A99" s="1039" t="s">
        <v>759</v>
      </c>
      <c r="B99" s="1040" t="s">
        <v>760</v>
      </c>
      <c r="C99" s="1036">
        <v>45681</v>
      </c>
      <c r="D99" s="1037">
        <v>45708</v>
      </c>
      <c r="E99" s="1038"/>
    </row>
    <row r="100" spans="1:5">
      <c r="A100" s="1039" t="s">
        <v>761</v>
      </c>
      <c r="B100" s="1040" t="s">
        <v>762</v>
      </c>
      <c r="C100" s="1036">
        <v>45681</v>
      </c>
      <c r="D100" s="1037">
        <v>45708</v>
      </c>
      <c r="E100" s="1038"/>
    </row>
    <row r="101" spans="1:5">
      <c r="A101" s="1039" t="s">
        <v>763</v>
      </c>
      <c r="B101" s="1040" t="s">
        <v>764</v>
      </c>
      <c r="C101" s="1036">
        <v>45681</v>
      </c>
      <c r="D101" s="1037">
        <v>45708</v>
      </c>
      <c r="E101" s="1038"/>
    </row>
    <row r="102" spans="1:5">
      <c r="A102" s="1039" t="s">
        <v>765</v>
      </c>
      <c r="B102" s="1040" t="s">
        <v>766</v>
      </c>
      <c r="C102" s="1036">
        <v>45681</v>
      </c>
      <c r="D102" s="1037">
        <v>45708</v>
      </c>
      <c r="E102" s="1038"/>
    </row>
    <row r="103" spans="1:5">
      <c r="A103" s="1039" t="s">
        <v>767</v>
      </c>
      <c r="B103" s="1040" t="s">
        <v>768</v>
      </c>
      <c r="C103" s="1036">
        <v>45681</v>
      </c>
      <c r="D103" s="1037">
        <v>45708</v>
      </c>
      <c r="E103" s="1038"/>
    </row>
    <row r="104" spans="1:5">
      <c r="A104" s="1039" t="s">
        <v>769</v>
      </c>
      <c r="B104" s="1040" t="s">
        <v>770</v>
      </c>
      <c r="C104" s="1036">
        <v>45681</v>
      </c>
      <c r="D104" s="1037">
        <v>45708</v>
      </c>
      <c r="E104" s="1038"/>
    </row>
    <row r="105" spans="1:5">
      <c r="A105" s="1039" t="s">
        <v>771</v>
      </c>
      <c r="B105" s="1040" t="s">
        <v>772</v>
      </c>
      <c r="C105" s="1036">
        <v>45681</v>
      </c>
      <c r="D105" s="1037">
        <v>45708</v>
      </c>
      <c r="E105" s="1038">
        <v>45723</v>
      </c>
    </row>
    <row r="106" spans="1:5">
      <c r="A106" s="1039" t="s">
        <v>773</v>
      </c>
      <c r="B106" s="1040" t="s">
        <v>774</v>
      </c>
      <c r="C106" s="1036">
        <v>45681</v>
      </c>
      <c r="D106" s="1037">
        <v>45708</v>
      </c>
      <c r="E106" s="1038"/>
    </row>
    <row r="107" spans="1:5">
      <c r="A107" s="1039" t="s">
        <v>775</v>
      </c>
      <c r="B107" s="1040" t="s">
        <v>776</v>
      </c>
      <c r="C107" s="1036">
        <v>45681</v>
      </c>
      <c r="D107" s="1037">
        <v>45708</v>
      </c>
      <c r="E107" s="1038"/>
    </row>
    <row r="108" spans="1:5">
      <c r="A108" s="1039" t="s">
        <v>777</v>
      </c>
      <c r="B108" s="1040" t="s">
        <v>778</v>
      </c>
      <c r="C108" s="1036">
        <v>45681</v>
      </c>
      <c r="D108" s="1037">
        <v>45708</v>
      </c>
      <c r="E108" s="1038"/>
    </row>
    <row r="109" spans="1:5">
      <c r="A109" s="1039" t="s">
        <v>779</v>
      </c>
      <c r="B109" s="1040" t="s">
        <v>780</v>
      </c>
      <c r="C109" s="1036">
        <v>45681</v>
      </c>
      <c r="D109" s="1037">
        <v>45708</v>
      </c>
      <c r="E109" s="1038">
        <v>45723</v>
      </c>
    </row>
    <row r="110" spans="1:5">
      <c r="A110" s="1039" t="s">
        <v>781</v>
      </c>
      <c r="B110" s="1040" t="s">
        <v>782</v>
      </c>
      <c r="C110" s="1036">
        <v>45681</v>
      </c>
      <c r="D110" s="1037">
        <v>45708</v>
      </c>
      <c r="E110" s="1038">
        <v>45723</v>
      </c>
    </row>
    <row r="111" spans="1:5">
      <c r="A111" s="1039" t="s">
        <v>783</v>
      </c>
      <c r="B111" s="1040" t="s">
        <v>782</v>
      </c>
      <c r="C111" s="1036">
        <v>45681</v>
      </c>
      <c r="D111" s="1037">
        <v>45708</v>
      </c>
      <c r="E111" s="1038">
        <v>45723</v>
      </c>
    </row>
    <row r="112" spans="1:5">
      <c r="A112" s="1039" t="s">
        <v>784</v>
      </c>
      <c r="B112" s="1040" t="s">
        <v>785</v>
      </c>
      <c r="C112" s="1036">
        <v>45681</v>
      </c>
      <c r="D112" s="1037">
        <v>45708</v>
      </c>
      <c r="E112" s="1038">
        <v>45723</v>
      </c>
    </row>
    <row r="113" spans="1:5">
      <c r="A113" s="1039" t="s">
        <v>786</v>
      </c>
      <c r="B113" s="1040" t="s">
        <v>787</v>
      </c>
      <c r="C113" s="1036">
        <v>45681</v>
      </c>
      <c r="D113" s="1037">
        <v>45708</v>
      </c>
      <c r="E113" s="1038">
        <v>45723</v>
      </c>
    </row>
    <row r="114" spans="1:5">
      <c r="A114" s="1039" t="s">
        <v>788</v>
      </c>
      <c r="B114" s="1040" t="s">
        <v>787</v>
      </c>
      <c r="C114" s="1036">
        <v>45681</v>
      </c>
      <c r="D114" s="1037">
        <v>45708</v>
      </c>
      <c r="E114" s="1038">
        <v>45723</v>
      </c>
    </row>
    <row r="115" spans="1:5">
      <c r="A115" s="1039" t="s">
        <v>789</v>
      </c>
      <c r="B115" s="1040" t="s">
        <v>790</v>
      </c>
      <c r="C115" s="1036">
        <v>45681</v>
      </c>
      <c r="D115" s="1037">
        <v>45708</v>
      </c>
      <c r="E115" s="1038">
        <v>45723</v>
      </c>
    </row>
    <row r="116" spans="1:5">
      <c r="A116" s="1039" t="s">
        <v>791</v>
      </c>
      <c r="B116" s="1040" t="s">
        <v>792</v>
      </c>
      <c r="C116" s="1036">
        <v>45681</v>
      </c>
      <c r="D116" s="1037">
        <v>45708</v>
      </c>
      <c r="E116" s="1038">
        <v>45723</v>
      </c>
    </row>
    <row r="117" spans="1:5">
      <c r="A117" s="1039" t="s">
        <v>793</v>
      </c>
      <c r="B117" s="1040" t="s">
        <v>792</v>
      </c>
      <c r="C117" s="1036">
        <v>45681</v>
      </c>
      <c r="D117" s="1037">
        <v>45708</v>
      </c>
      <c r="E117" s="1038">
        <v>45723</v>
      </c>
    </row>
    <row r="118" spans="1:5">
      <c r="A118" s="1039" t="s">
        <v>794</v>
      </c>
      <c r="B118" s="1040" t="s">
        <v>792</v>
      </c>
      <c r="C118" s="1036">
        <v>45681</v>
      </c>
      <c r="D118" s="1037">
        <v>45708</v>
      </c>
      <c r="E118" s="1038">
        <v>45723</v>
      </c>
    </row>
    <row r="119" spans="1:5">
      <c r="A119" s="1039" t="s">
        <v>795</v>
      </c>
      <c r="B119" s="1040" t="s">
        <v>792</v>
      </c>
      <c r="C119" s="1036">
        <v>45681</v>
      </c>
      <c r="D119" s="1037">
        <v>45708</v>
      </c>
      <c r="E119" s="1038">
        <v>45723</v>
      </c>
    </row>
    <row r="120" spans="1:5">
      <c r="A120" s="1039" t="s">
        <v>427</v>
      </c>
      <c r="B120" s="1040" t="s">
        <v>792</v>
      </c>
      <c r="C120" s="1036">
        <v>45681</v>
      </c>
      <c r="D120" s="1037">
        <v>45708</v>
      </c>
      <c r="E120" s="1038">
        <v>45723</v>
      </c>
    </row>
    <row r="121" spans="1:5">
      <c r="A121" s="1039" t="s">
        <v>796</v>
      </c>
      <c r="B121" s="1040" t="s">
        <v>797</v>
      </c>
      <c r="C121" s="1036">
        <v>45681</v>
      </c>
      <c r="D121" s="1037">
        <v>45708</v>
      </c>
      <c r="E121" s="1038">
        <v>45723</v>
      </c>
    </row>
    <row r="122" spans="1:5">
      <c r="A122" s="1039" t="s">
        <v>798</v>
      </c>
      <c r="B122" s="1040" t="s">
        <v>797</v>
      </c>
      <c r="C122" s="1036">
        <v>45681</v>
      </c>
      <c r="D122" s="1037">
        <v>45708</v>
      </c>
      <c r="E122" s="1038">
        <v>45723</v>
      </c>
    </row>
    <row r="123" spans="1:5">
      <c r="A123" s="1039" t="s">
        <v>799</v>
      </c>
      <c r="B123" s="1040" t="s">
        <v>800</v>
      </c>
      <c r="C123" s="1036">
        <v>45681</v>
      </c>
      <c r="D123" s="1037">
        <v>45708</v>
      </c>
      <c r="E123" s="1038">
        <v>45723</v>
      </c>
    </row>
    <row r="124" spans="1:5">
      <c r="A124" s="1039" t="s">
        <v>801</v>
      </c>
      <c r="B124" s="1040" t="s">
        <v>800</v>
      </c>
      <c r="C124" s="1036">
        <v>45681</v>
      </c>
      <c r="D124" s="1037">
        <v>45708</v>
      </c>
      <c r="E124" s="1038">
        <v>45723</v>
      </c>
    </row>
    <row r="125" spans="1:5">
      <c r="A125" s="1039" t="s">
        <v>802</v>
      </c>
      <c r="B125" s="1040" t="s">
        <v>803</v>
      </c>
      <c r="C125" s="1036">
        <v>45681</v>
      </c>
      <c r="D125" s="1037">
        <v>45708</v>
      </c>
      <c r="E125" s="1038">
        <v>45723</v>
      </c>
    </row>
    <row r="126" spans="1:5">
      <c r="A126" s="1039" t="s">
        <v>804</v>
      </c>
      <c r="B126" s="1040" t="s">
        <v>803</v>
      </c>
      <c r="C126" s="1036">
        <v>45681</v>
      </c>
      <c r="D126" s="1037">
        <v>45708</v>
      </c>
      <c r="E126" s="1038">
        <v>45723</v>
      </c>
    </row>
    <row r="127" spans="1:5">
      <c r="A127" s="1039" t="s">
        <v>805</v>
      </c>
      <c r="B127" s="1040" t="s">
        <v>806</v>
      </c>
      <c r="C127" s="1036">
        <v>45681</v>
      </c>
      <c r="D127" s="1037">
        <v>45708</v>
      </c>
      <c r="E127" s="1038">
        <v>45723</v>
      </c>
    </row>
    <row r="128" spans="1:5">
      <c r="A128" s="1039" t="s">
        <v>807</v>
      </c>
      <c r="B128" s="1040" t="s">
        <v>808</v>
      </c>
      <c r="C128" s="1036">
        <v>45681</v>
      </c>
      <c r="D128" s="1037">
        <v>45708</v>
      </c>
      <c r="E128" s="1038"/>
    </row>
    <row r="129" spans="1:5">
      <c r="A129" s="1039" t="s">
        <v>809</v>
      </c>
      <c r="B129" s="1040" t="s">
        <v>808</v>
      </c>
      <c r="C129" s="1036">
        <v>45681</v>
      </c>
      <c r="D129" s="1037">
        <v>45708</v>
      </c>
      <c r="E129" s="1038"/>
    </row>
    <row r="130" spans="1:5">
      <c r="A130" s="1039" t="s">
        <v>810</v>
      </c>
      <c r="B130" s="1040" t="s">
        <v>811</v>
      </c>
      <c r="C130" s="1036">
        <v>45681</v>
      </c>
      <c r="D130" s="1037">
        <v>45708</v>
      </c>
      <c r="E130" s="1038"/>
    </row>
    <row r="131" spans="1:5">
      <c r="A131" s="1039" t="s">
        <v>812</v>
      </c>
      <c r="B131" s="1040" t="s">
        <v>811</v>
      </c>
      <c r="C131" s="1036">
        <v>45681</v>
      </c>
      <c r="D131" s="1037">
        <v>45708</v>
      </c>
      <c r="E131" s="1038"/>
    </row>
    <row r="132" spans="1:5">
      <c r="A132" s="1039" t="s">
        <v>813</v>
      </c>
      <c r="B132" s="1040" t="s">
        <v>814</v>
      </c>
      <c r="C132" s="1036">
        <v>45681</v>
      </c>
      <c r="D132" s="1037">
        <v>45708</v>
      </c>
      <c r="E132" s="1038">
        <v>45723</v>
      </c>
    </row>
    <row r="133" spans="1:5">
      <c r="A133" s="1039" t="s">
        <v>815</v>
      </c>
      <c r="B133" s="1040" t="s">
        <v>814</v>
      </c>
      <c r="C133" s="1036">
        <v>45681</v>
      </c>
      <c r="D133" s="1037">
        <v>45708</v>
      </c>
      <c r="E133" s="1038"/>
    </row>
    <row r="134" spans="1:5">
      <c r="A134" s="1039" t="s">
        <v>816</v>
      </c>
      <c r="B134" s="1040" t="s">
        <v>814</v>
      </c>
      <c r="C134" s="1036">
        <v>45681</v>
      </c>
      <c r="D134" s="1037">
        <v>45708</v>
      </c>
      <c r="E134" s="1038"/>
    </row>
    <row r="135" spans="1:5">
      <c r="A135" s="1039" t="s">
        <v>817</v>
      </c>
      <c r="B135" s="1040" t="s">
        <v>814</v>
      </c>
      <c r="C135" s="1036">
        <v>45681</v>
      </c>
      <c r="D135" s="1037">
        <v>45708</v>
      </c>
      <c r="E135" s="1038"/>
    </row>
    <row r="136" spans="1:5">
      <c r="A136" s="1039" t="s">
        <v>818</v>
      </c>
      <c r="B136" s="1040" t="s">
        <v>819</v>
      </c>
      <c r="C136" s="1036">
        <v>45681</v>
      </c>
      <c r="D136" s="1037">
        <v>45708</v>
      </c>
      <c r="E136" s="1038"/>
    </row>
    <row r="137" spans="1:5">
      <c r="A137" s="1039" t="s">
        <v>820</v>
      </c>
      <c r="B137" s="1040" t="s">
        <v>819</v>
      </c>
      <c r="C137" s="1036">
        <v>45681</v>
      </c>
      <c r="D137" s="1037">
        <v>45708</v>
      </c>
      <c r="E137" s="1038"/>
    </row>
    <row r="138" spans="1:5">
      <c r="A138" s="1039" t="s">
        <v>821</v>
      </c>
      <c r="B138" s="1040" t="s">
        <v>822</v>
      </c>
      <c r="C138" s="1036">
        <v>45681</v>
      </c>
      <c r="D138" s="1037">
        <v>45708</v>
      </c>
      <c r="E138" s="1038"/>
    </row>
    <row r="139" spans="1:5">
      <c r="A139" s="1039" t="s">
        <v>823</v>
      </c>
      <c r="B139" s="1040" t="s">
        <v>822</v>
      </c>
      <c r="C139" s="1036">
        <v>45681</v>
      </c>
      <c r="D139" s="1037">
        <v>45708</v>
      </c>
      <c r="E139" s="1038"/>
    </row>
    <row r="140" spans="1:5">
      <c r="A140" s="1039" t="s">
        <v>824</v>
      </c>
      <c r="B140" s="1040" t="s">
        <v>822</v>
      </c>
      <c r="C140" s="1036">
        <v>45681</v>
      </c>
      <c r="D140" s="1037">
        <v>45708</v>
      </c>
      <c r="E140" s="1038"/>
    </row>
    <row r="141" spans="1:5">
      <c r="A141" s="1039" t="s">
        <v>825</v>
      </c>
      <c r="B141" s="1040" t="s">
        <v>822</v>
      </c>
      <c r="C141" s="1036">
        <v>45681</v>
      </c>
      <c r="D141" s="1037">
        <v>45708</v>
      </c>
      <c r="E141" s="1038"/>
    </row>
    <row r="142" spans="1:5">
      <c r="A142" s="1039" t="s">
        <v>166</v>
      </c>
      <c r="B142" s="1040" t="s">
        <v>822</v>
      </c>
      <c r="C142" s="1036">
        <v>45681</v>
      </c>
      <c r="D142" s="1037">
        <v>45708</v>
      </c>
      <c r="E142" s="1038"/>
    </row>
    <row r="143" spans="1:5">
      <c r="A143" s="1039" t="s">
        <v>826</v>
      </c>
      <c r="B143" s="1040" t="s">
        <v>827</v>
      </c>
      <c r="C143" s="1036">
        <v>45681</v>
      </c>
      <c r="D143" s="1037">
        <v>45708</v>
      </c>
      <c r="E143" s="1038">
        <v>45723</v>
      </c>
    </row>
    <row r="144" spans="1:5">
      <c r="A144" s="1039" t="s">
        <v>828</v>
      </c>
      <c r="B144" s="1040" t="s">
        <v>827</v>
      </c>
      <c r="C144" s="1036">
        <v>45681</v>
      </c>
      <c r="D144" s="1037">
        <v>45708</v>
      </c>
      <c r="E144" s="1038"/>
    </row>
    <row r="145" spans="1:5">
      <c r="A145" s="1039" t="s">
        <v>341</v>
      </c>
      <c r="B145" s="1040" t="s">
        <v>829</v>
      </c>
      <c r="C145" s="1036">
        <v>45681</v>
      </c>
      <c r="D145" s="1037">
        <v>45708</v>
      </c>
      <c r="E145" s="1038">
        <v>45723</v>
      </c>
    </row>
    <row r="146" spans="1:5">
      <c r="A146" s="1039" t="s">
        <v>286</v>
      </c>
      <c r="B146" s="1040" t="s">
        <v>829</v>
      </c>
      <c r="C146" s="1036">
        <v>45681</v>
      </c>
      <c r="D146" s="1037">
        <v>45708</v>
      </c>
      <c r="E146" s="1038">
        <v>45723</v>
      </c>
    </row>
    <row r="147" spans="1:5">
      <c r="A147" s="1039" t="s">
        <v>830</v>
      </c>
      <c r="B147" s="1040" t="s">
        <v>831</v>
      </c>
      <c r="C147" s="1036">
        <v>45681</v>
      </c>
      <c r="D147" s="1037">
        <v>45708</v>
      </c>
      <c r="E147" s="1038"/>
    </row>
    <row r="148" spans="1:5">
      <c r="A148" s="1039" t="s">
        <v>832</v>
      </c>
      <c r="B148" s="1040" t="s">
        <v>833</v>
      </c>
      <c r="C148" s="1036">
        <v>45681</v>
      </c>
      <c r="D148" s="1037">
        <v>45708</v>
      </c>
      <c r="E148" s="1038">
        <v>45723</v>
      </c>
    </row>
    <row r="149" spans="1:5">
      <c r="A149" s="1039" t="s">
        <v>834</v>
      </c>
      <c r="B149" s="1040" t="s">
        <v>835</v>
      </c>
      <c r="C149" s="1036">
        <v>45681</v>
      </c>
      <c r="D149" s="1037">
        <v>45708</v>
      </c>
      <c r="E149" s="1038"/>
    </row>
    <row r="150" spans="1:5">
      <c r="A150" s="1039" t="s">
        <v>241</v>
      </c>
      <c r="B150" s="1040" t="s">
        <v>836</v>
      </c>
      <c r="C150" s="1036">
        <v>45681</v>
      </c>
      <c r="D150" s="1037">
        <v>45708</v>
      </c>
      <c r="E150" s="1038"/>
    </row>
    <row r="151" spans="1:5">
      <c r="A151" s="1039" t="s">
        <v>837</v>
      </c>
      <c r="B151" s="1040" t="s">
        <v>838</v>
      </c>
      <c r="C151" s="1036">
        <v>45681</v>
      </c>
      <c r="D151" s="1037">
        <v>45708</v>
      </c>
      <c r="E151" s="1038">
        <v>45723</v>
      </c>
    </row>
    <row r="152" spans="1:5">
      <c r="A152" s="1039" t="s">
        <v>839</v>
      </c>
      <c r="B152" s="1040" t="s">
        <v>840</v>
      </c>
      <c r="C152" s="1036">
        <v>45681</v>
      </c>
      <c r="D152" s="1037">
        <v>45708</v>
      </c>
      <c r="E152" s="1038"/>
    </row>
    <row r="153" spans="1:5">
      <c r="A153" s="1039" t="s">
        <v>841</v>
      </c>
      <c r="B153" s="1040" t="s">
        <v>842</v>
      </c>
      <c r="C153" s="1036">
        <v>45681</v>
      </c>
      <c r="D153" s="1037">
        <v>45708</v>
      </c>
      <c r="E153" s="1038">
        <v>45723</v>
      </c>
    </row>
    <row r="154" spans="1:5">
      <c r="A154" s="1039" t="s">
        <v>843</v>
      </c>
      <c r="B154" s="1040" t="s">
        <v>844</v>
      </c>
      <c r="C154" s="1036"/>
      <c r="D154" s="1037"/>
      <c r="E154" s="1038"/>
    </row>
    <row r="155" spans="1:5">
      <c r="A155" s="1039" t="s">
        <v>845</v>
      </c>
      <c r="B155" s="1040" t="s">
        <v>846</v>
      </c>
      <c r="C155" s="1036">
        <v>45681</v>
      </c>
      <c r="D155" s="1037">
        <v>45708</v>
      </c>
      <c r="E155" s="1038"/>
    </row>
    <row r="156" spans="1:5">
      <c r="A156" s="1039" t="s">
        <v>847</v>
      </c>
      <c r="B156" s="1040" t="s">
        <v>848</v>
      </c>
      <c r="C156" s="1036">
        <v>45681</v>
      </c>
      <c r="D156" s="1037">
        <v>45708</v>
      </c>
      <c r="E156" s="1038"/>
    </row>
    <row r="157" spans="1:5">
      <c r="A157" s="1039" t="s">
        <v>849</v>
      </c>
      <c r="B157" s="1040" t="s">
        <v>850</v>
      </c>
      <c r="C157" s="1036">
        <v>45681</v>
      </c>
      <c r="D157" s="1037">
        <v>45708</v>
      </c>
      <c r="E157" s="1038"/>
    </row>
    <row r="158" spans="1:5">
      <c r="A158" s="1039" t="s">
        <v>851</v>
      </c>
      <c r="B158" s="1040" t="s">
        <v>852</v>
      </c>
      <c r="C158" s="1036">
        <v>45681</v>
      </c>
      <c r="D158" s="1037">
        <v>45708</v>
      </c>
      <c r="E158" s="1038"/>
    </row>
    <row r="159" spans="1:5">
      <c r="A159" s="1039" t="s">
        <v>853</v>
      </c>
      <c r="B159" s="1040" t="s">
        <v>854</v>
      </c>
      <c r="C159" s="1036">
        <v>45681</v>
      </c>
      <c r="D159" s="1037">
        <v>45708</v>
      </c>
      <c r="E159" s="1038">
        <v>45723</v>
      </c>
    </row>
    <row r="160" spans="1:5">
      <c r="A160" s="1039" t="s">
        <v>855</v>
      </c>
      <c r="B160" s="1040" t="s">
        <v>856</v>
      </c>
      <c r="C160" s="1036"/>
      <c r="D160" s="1037"/>
      <c r="E160" s="1038"/>
    </row>
    <row r="161" spans="1:5">
      <c r="A161" s="1039" t="s">
        <v>857</v>
      </c>
      <c r="B161" s="1040" t="s">
        <v>858</v>
      </c>
      <c r="C161" s="1036">
        <v>45681</v>
      </c>
      <c r="D161" s="1037">
        <v>45708</v>
      </c>
      <c r="E161" s="1038"/>
    </row>
    <row r="162" spans="1:5">
      <c r="A162" s="1039" t="s">
        <v>859</v>
      </c>
      <c r="B162" s="1040" t="s">
        <v>860</v>
      </c>
      <c r="C162" s="1036">
        <v>45681</v>
      </c>
      <c r="D162" s="1037">
        <v>45708</v>
      </c>
      <c r="E162" s="1038"/>
    </row>
    <row r="163" spans="1:5">
      <c r="A163" s="1039" t="s">
        <v>861</v>
      </c>
      <c r="B163" s="1040" t="s">
        <v>862</v>
      </c>
      <c r="C163" s="1036">
        <v>45681</v>
      </c>
      <c r="D163" s="1037">
        <v>45708</v>
      </c>
      <c r="E163" s="1038"/>
    </row>
    <row r="164" spans="1:5">
      <c r="A164" s="1039" t="s">
        <v>863</v>
      </c>
      <c r="B164" s="1040" t="s">
        <v>864</v>
      </c>
      <c r="C164" s="1036">
        <v>45681</v>
      </c>
      <c r="D164" s="1037">
        <v>45708</v>
      </c>
      <c r="E164" s="1038"/>
    </row>
    <row r="165" spans="1:5">
      <c r="A165" s="1039" t="s">
        <v>865</v>
      </c>
      <c r="B165" s="1040" t="s">
        <v>866</v>
      </c>
      <c r="C165" s="1036">
        <v>45681</v>
      </c>
      <c r="D165" s="1037">
        <v>45708</v>
      </c>
      <c r="E165" s="1038"/>
    </row>
    <row r="166" spans="1:5">
      <c r="A166" s="1039" t="s">
        <v>867</v>
      </c>
      <c r="B166" s="1040" t="s">
        <v>868</v>
      </c>
      <c r="C166" s="1036">
        <v>45681</v>
      </c>
      <c r="D166" s="1037">
        <v>45708</v>
      </c>
      <c r="E166" s="1038">
        <v>45723</v>
      </c>
    </row>
    <row r="167" spans="1:5">
      <c r="A167" s="1039" t="s">
        <v>869</v>
      </c>
      <c r="B167" s="1040" t="s">
        <v>870</v>
      </c>
      <c r="C167" s="1036">
        <v>45681</v>
      </c>
      <c r="D167" s="1037">
        <v>45708</v>
      </c>
      <c r="E167" s="1038"/>
    </row>
    <row r="168" spans="1:5">
      <c r="A168" s="1039" t="s">
        <v>871</v>
      </c>
      <c r="B168" s="1040" t="s">
        <v>872</v>
      </c>
      <c r="C168" s="1036">
        <v>45681</v>
      </c>
      <c r="D168" s="1037">
        <v>45708</v>
      </c>
      <c r="E168" s="1038"/>
    </row>
    <row r="169" spans="1:5">
      <c r="A169" s="1039" t="s">
        <v>873</v>
      </c>
      <c r="B169" s="1040" t="s">
        <v>874</v>
      </c>
      <c r="C169" s="1036">
        <v>45681</v>
      </c>
      <c r="D169" s="1037">
        <v>45708</v>
      </c>
      <c r="E169" s="1038"/>
    </row>
    <row r="170" spans="1:5">
      <c r="A170" s="1039" t="s">
        <v>875</v>
      </c>
      <c r="B170" s="1040" t="s">
        <v>876</v>
      </c>
      <c r="C170" s="1036">
        <v>45681</v>
      </c>
      <c r="D170" s="1037">
        <v>45708</v>
      </c>
      <c r="E170" s="1038"/>
    </row>
    <row r="171" spans="1:5">
      <c r="A171" s="1039" t="s">
        <v>877</v>
      </c>
      <c r="B171" s="1040" t="s">
        <v>878</v>
      </c>
      <c r="C171" s="1036">
        <v>45681</v>
      </c>
      <c r="D171" s="1037">
        <v>45708</v>
      </c>
      <c r="E171" s="1038">
        <v>45723</v>
      </c>
    </row>
    <row r="172" spans="1:5">
      <c r="A172" s="1039" t="s">
        <v>879</v>
      </c>
      <c r="B172" s="1040" t="s">
        <v>880</v>
      </c>
      <c r="C172" s="1036">
        <v>45681</v>
      </c>
      <c r="D172" s="1037">
        <v>45708</v>
      </c>
      <c r="E172" s="1038"/>
    </row>
    <row r="173" spans="1:5">
      <c r="A173" s="1039" t="s">
        <v>881</v>
      </c>
      <c r="B173" s="1040" t="s">
        <v>882</v>
      </c>
      <c r="C173" s="1036">
        <v>45681</v>
      </c>
      <c r="D173" s="1037">
        <v>45708</v>
      </c>
      <c r="E173" s="1038"/>
    </row>
    <row r="174" spans="1:5">
      <c r="A174" s="1039" t="s">
        <v>883</v>
      </c>
      <c r="B174" s="1040" t="s">
        <v>884</v>
      </c>
      <c r="C174" s="1036">
        <v>45681</v>
      </c>
      <c r="D174" s="1037">
        <v>45708</v>
      </c>
      <c r="E174" s="1038"/>
    </row>
    <row r="175" spans="1:5">
      <c r="A175" s="1039" t="s">
        <v>885</v>
      </c>
      <c r="B175" s="1040" t="s">
        <v>886</v>
      </c>
      <c r="C175" s="1036">
        <v>45681</v>
      </c>
      <c r="D175" s="1037">
        <v>45708</v>
      </c>
      <c r="E175" s="1038"/>
    </row>
    <row r="176" spans="1:5">
      <c r="A176" s="1039" t="s">
        <v>887</v>
      </c>
      <c r="B176" s="1040" t="s">
        <v>888</v>
      </c>
      <c r="C176" s="1036">
        <v>45681</v>
      </c>
      <c r="D176" s="1037">
        <v>45708</v>
      </c>
      <c r="E176" s="1038"/>
    </row>
    <row r="177" spans="1:5">
      <c r="A177" s="1039" t="s">
        <v>889</v>
      </c>
      <c r="B177" s="1040" t="s">
        <v>890</v>
      </c>
      <c r="C177" s="1036">
        <v>45681</v>
      </c>
      <c r="D177" s="1037">
        <v>45708</v>
      </c>
      <c r="E177" s="1038"/>
    </row>
    <row r="178" spans="1:5">
      <c r="A178" s="1039" t="s">
        <v>891</v>
      </c>
      <c r="B178" s="1040" t="s">
        <v>892</v>
      </c>
      <c r="C178" s="1036">
        <v>45681</v>
      </c>
      <c r="D178" s="1037">
        <v>45708</v>
      </c>
      <c r="E178" s="1038"/>
    </row>
    <row r="179" spans="1:5">
      <c r="A179" s="1039" t="s">
        <v>883</v>
      </c>
      <c r="B179" s="1040" t="s">
        <v>893</v>
      </c>
      <c r="C179" s="1036">
        <v>45681</v>
      </c>
      <c r="D179" s="1037">
        <v>45708</v>
      </c>
      <c r="E179" s="1038"/>
    </row>
    <row r="180" spans="1:5">
      <c r="A180" s="1039" t="s">
        <v>894</v>
      </c>
      <c r="B180" s="1040" t="s">
        <v>895</v>
      </c>
      <c r="C180" s="1036">
        <v>45681</v>
      </c>
      <c r="D180" s="1037">
        <v>45708</v>
      </c>
      <c r="E180" s="1038"/>
    </row>
    <row r="181" spans="1:5">
      <c r="A181" s="1039" t="s">
        <v>198</v>
      </c>
      <c r="B181" s="1040" t="s">
        <v>896</v>
      </c>
      <c r="C181" s="1036">
        <v>45681</v>
      </c>
      <c r="D181" s="1037">
        <v>45708</v>
      </c>
      <c r="E181" s="1038">
        <v>45723</v>
      </c>
    </row>
    <row r="182" spans="1:5">
      <c r="A182" s="1039" t="s">
        <v>897</v>
      </c>
      <c r="B182" s="1040" t="s">
        <v>898</v>
      </c>
      <c r="C182" s="1036">
        <v>45681</v>
      </c>
      <c r="D182" s="1037">
        <v>45708</v>
      </c>
      <c r="E182" s="1038"/>
    </row>
    <row r="183" spans="1:5">
      <c r="A183" s="1039" t="s">
        <v>899</v>
      </c>
      <c r="B183" s="1040" t="s">
        <v>900</v>
      </c>
      <c r="C183" s="1036">
        <v>45681</v>
      </c>
      <c r="D183" s="1037">
        <v>45708</v>
      </c>
      <c r="E183" s="1038"/>
    </row>
    <row r="184" spans="1:5">
      <c r="A184" s="1039" t="s">
        <v>901</v>
      </c>
      <c r="B184" s="1040" t="s">
        <v>902</v>
      </c>
      <c r="C184" s="1036">
        <v>45681</v>
      </c>
      <c r="D184" s="1037">
        <v>45708</v>
      </c>
      <c r="E184" s="1038"/>
    </row>
    <row r="185" spans="1:5">
      <c r="A185" s="1039" t="s">
        <v>903</v>
      </c>
      <c r="B185" s="1040" t="s">
        <v>904</v>
      </c>
      <c r="C185" s="1036">
        <v>45681</v>
      </c>
      <c r="D185" s="1037">
        <v>45708</v>
      </c>
      <c r="E185" s="1038">
        <v>45723</v>
      </c>
    </row>
    <row r="186" spans="1:5">
      <c r="A186" s="1039" t="s">
        <v>905</v>
      </c>
      <c r="B186" s="1040" t="s">
        <v>906</v>
      </c>
      <c r="C186" s="1036">
        <v>45681</v>
      </c>
      <c r="D186" s="1037">
        <v>45708</v>
      </c>
      <c r="E186" s="1038">
        <v>45723</v>
      </c>
    </row>
    <row r="187" spans="1:5">
      <c r="A187" s="1039" t="s">
        <v>907</v>
      </c>
      <c r="B187" s="1040" t="s">
        <v>908</v>
      </c>
      <c r="C187" s="1036">
        <v>45681</v>
      </c>
      <c r="D187" s="1037">
        <v>45708</v>
      </c>
      <c r="E187" s="1038">
        <v>45723</v>
      </c>
    </row>
    <row r="188" spans="1:5">
      <c r="A188" s="1039" t="s">
        <v>909</v>
      </c>
      <c r="B188" s="1040" t="s">
        <v>910</v>
      </c>
      <c r="C188" s="1036">
        <v>45681</v>
      </c>
      <c r="D188" s="1037">
        <v>45708</v>
      </c>
      <c r="E188" s="1038"/>
    </row>
    <row r="189" spans="1:5">
      <c r="A189" s="1039" t="s">
        <v>911</v>
      </c>
      <c r="B189" s="1040" t="s">
        <v>912</v>
      </c>
      <c r="C189" s="1036">
        <v>45681</v>
      </c>
      <c r="D189" s="1037">
        <v>45708</v>
      </c>
      <c r="E189" s="1038">
        <v>45723</v>
      </c>
    </row>
    <row r="190" spans="1:5">
      <c r="A190" s="1039" t="s">
        <v>913</v>
      </c>
      <c r="B190" s="1040" t="s">
        <v>914</v>
      </c>
      <c r="C190" s="1036">
        <v>45681</v>
      </c>
      <c r="D190" s="1037">
        <v>45708</v>
      </c>
      <c r="E190" s="1038"/>
    </row>
    <row r="191" spans="1:5">
      <c r="A191" s="1039" t="s">
        <v>915</v>
      </c>
      <c r="B191" s="1040" t="s">
        <v>916</v>
      </c>
      <c r="C191" s="1036">
        <v>45681</v>
      </c>
      <c r="D191" s="1037">
        <v>45708</v>
      </c>
      <c r="E191" s="1038"/>
    </row>
    <row r="192" spans="1:5">
      <c r="A192" s="1039" t="s">
        <v>917</v>
      </c>
      <c r="B192" s="1040" t="s">
        <v>918</v>
      </c>
      <c r="C192" s="1036"/>
      <c r="D192" s="1037"/>
      <c r="E192" s="1038">
        <v>45723</v>
      </c>
    </row>
    <row r="193" spans="1:5">
      <c r="A193" s="1039" t="s">
        <v>919</v>
      </c>
      <c r="B193" s="1040" t="s">
        <v>918</v>
      </c>
      <c r="C193" s="1036"/>
      <c r="D193" s="1037"/>
      <c r="E193" s="1038">
        <v>45723</v>
      </c>
    </row>
    <row r="194" spans="1:5">
      <c r="A194" s="1039" t="s">
        <v>920</v>
      </c>
      <c r="B194" s="1040" t="s">
        <v>918</v>
      </c>
      <c r="C194" s="1036"/>
      <c r="D194" s="1037"/>
      <c r="E194" s="1038">
        <v>45723</v>
      </c>
    </row>
    <row r="195" spans="1:5">
      <c r="A195" s="1039" t="s">
        <v>921</v>
      </c>
      <c r="B195" s="1040" t="s">
        <v>922</v>
      </c>
      <c r="C195" s="1036">
        <v>45681</v>
      </c>
      <c r="D195" s="1037">
        <v>45708</v>
      </c>
      <c r="E195" s="1038"/>
    </row>
    <row r="196" spans="1:5">
      <c r="A196" s="1039" t="s">
        <v>923</v>
      </c>
      <c r="B196" s="1040" t="s">
        <v>922</v>
      </c>
      <c r="C196" s="1036">
        <v>45681</v>
      </c>
      <c r="D196" s="1037">
        <v>45708</v>
      </c>
      <c r="E196" s="1038"/>
    </row>
    <row r="197" spans="1:5">
      <c r="A197" s="1039" t="s">
        <v>413</v>
      </c>
      <c r="B197" s="1040" t="s">
        <v>922</v>
      </c>
      <c r="C197" s="1036">
        <v>45681</v>
      </c>
      <c r="D197" s="1037">
        <v>45708</v>
      </c>
      <c r="E197" s="1038">
        <v>45723</v>
      </c>
    </row>
    <row r="198" spans="1:5">
      <c r="A198" s="1039" t="s">
        <v>924</v>
      </c>
      <c r="B198" s="1040" t="s">
        <v>925</v>
      </c>
      <c r="C198" s="1036">
        <v>45681</v>
      </c>
      <c r="D198" s="1037">
        <v>45708</v>
      </c>
      <c r="E198" s="1038"/>
    </row>
    <row r="199" spans="1:5">
      <c r="A199" s="1039" t="s">
        <v>926</v>
      </c>
      <c r="B199" s="1040" t="s">
        <v>925</v>
      </c>
      <c r="C199" s="1036">
        <v>45681</v>
      </c>
      <c r="D199" s="1037">
        <v>45708</v>
      </c>
      <c r="E199" s="1038"/>
    </row>
    <row r="200" spans="1:5">
      <c r="A200" s="1039" t="s">
        <v>927</v>
      </c>
      <c r="B200" s="1040" t="s">
        <v>925</v>
      </c>
      <c r="C200" s="1036">
        <v>45681</v>
      </c>
      <c r="D200" s="1037">
        <v>45708</v>
      </c>
      <c r="E200" s="1038"/>
    </row>
    <row r="201" spans="1:5">
      <c r="A201" s="1039" t="s">
        <v>928</v>
      </c>
      <c r="B201" s="1040" t="s">
        <v>925</v>
      </c>
      <c r="C201" s="1036">
        <v>45681</v>
      </c>
      <c r="D201" s="1037">
        <v>45708</v>
      </c>
      <c r="E201" s="1038"/>
    </row>
    <row r="202" spans="1:5">
      <c r="A202" s="1039" t="s">
        <v>929</v>
      </c>
      <c r="B202" s="1040" t="s">
        <v>930</v>
      </c>
      <c r="C202" s="1036">
        <v>45681</v>
      </c>
      <c r="D202" s="1037">
        <v>45708</v>
      </c>
      <c r="E202" s="1038"/>
    </row>
    <row r="203" spans="1:5">
      <c r="A203" s="1039" t="s">
        <v>931</v>
      </c>
      <c r="B203" s="1040" t="s">
        <v>932</v>
      </c>
      <c r="C203" s="1036">
        <v>45681</v>
      </c>
      <c r="D203" s="1037">
        <v>45708</v>
      </c>
      <c r="E203" s="1038"/>
    </row>
    <row r="204" spans="1:5">
      <c r="A204" s="1039" t="s">
        <v>933</v>
      </c>
      <c r="B204" s="1040" t="s">
        <v>932</v>
      </c>
      <c r="C204" s="1036">
        <v>45681</v>
      </c>
      <c r="D204" s="1037">
        <v>45708</v>
      </c>
      <c r="E204" s="1038"/>
    </row>
    <row r="205" spans="1:5">
      <c r="A205" s="1039" t="s">
        <v>934</v>
      </c>
      <c r="B205" s="1040" t="s">
        <v>932</v>
      </c>
      <c r="C205" s="1036">
        <v>45681</v>
      </c>
      <c r="D205" s="1037">
        <v>45708</v>
      </c>
      <c r="E205" s="1038"/>
    </row>
    <row r="206" spans="1:5">
      <c r="A206" s="1039" t="s">
        <v>935</v>
      </c>
      <c r="B206" s="1040" t="s">
        <v>932</v>
      </c>
      <c r="C206" s="1036">
        <v>45681</v>
      </c>
      <c r="D206" s="1037">
        <v>45708</v>
      </c>
      <c r="E206" s="1038"/>
    </row>
    <row r="207" spans="1:5">
      <c r="A207" s="1039" t="s">
        <v>936</v>
      </c>
      <c r="B207" s="1040" t="s">
        <v>937</v>
      </c>
      <c r="C207" s="1036">
        <v>45681</v>
      </c>
      <c r="D207" s="1037">
        <v>45708</v>
      </c>
      <c r="E207" s="1038"/>
    </row>
    <row r="208" spans="1:5">
      <c r="A208" s="1039" t="s">
        <v>938</v>
      </c>
      <c r="B208" s="1040" t="s">
        <v>939</v>
      </c>
      <c r="C208" s="1036">
        <v>45681</v>
      </c>
      <c r="D208" s="1037">
        <v>45708</v>
      </c>
      <c r="E208" s="1038"/>
    </row>
    <row r="209" spans="1:5">
      <c r="A209" s="1039" t="s">
        <v>940</v>
      </c>
      <c r="B209" s="1040" t="s">
        <v>941</v>
      </c>
      <c r="C209" s="1036">
        <v>45681</v>
      </c>
      <c r="D209" s="1037">
        <v>45708</v>
      </c>
      <c r="E209" s="1038"/>
    </row>
    <row r="210" spans="1:5">
      <c r="A210" s="1039" t="s">
        <v>942</v>
      </c>
      <c r="B210" s="1040" t="s">
        <v>941</v>
      </c>
      <c r="C210" s="1036">
        <v>45681</v>
      </c>
      <c r="D210" s="1037">
        <v>45708</v>
      </c>
      <c r="E210" s="1038"/>
    </row>
    <row r="211" spans="1:5">
      <c r="A211" s="1039" t="s">
        <v>943</v>
      </c>
      <c r="B211" s="1040" t="s">
        <v>941</v>
      </c>
      <c r="C211" s="1036">
        <v>45681</v>
      </c>
      <c r="D211" s="1037">
        <v>45708</v>
      </c>
      <c r="E211" s="1038"/>
    </row>
    <row r="212" spans="1:5">
      <c r="A212" s="1039" t="s">
        <v>944</v>
      </c>
      <c r="B212" s="1040" t="s">
        <v>945</v>
      </c>
      <c r="C212" s="1036">
        <v>45681</v>
      </c>
      <c r="D212" s="1037">
        <v>45708</v>
      </c>
      <c r="E212" s="1038">
        <v>45723</v>
      </c>
    </row>
    <row r="213" spans="1:5">
      <c r="A213" s="1039" t="s">
        <v>946</v>
      </c>
      <c r="B213" s="1040" t="s">
        <v>945</v>
      </c>
      <c r="C213" s="1036">
        <v>45681</v>
      </c>
      <c r="D213" s="1037">
        <v>45708</v>
      </c>
      <c r="E213" s="1038"/>
    </row>
    <row r="214" spans="1:5">
      <c r="A214" s="1039" t="s">
        <v>947</v>
      </c>
      <c r="B214" s="1040" t="s">
        <v>948</v>
      </c>
      <c r="C214" s="1036">
        <v>45681</v>
      </c>
      <c r="D214" s="1037">
        <v>45708</v>
      </c>
      <c r="E214" s="1038"/>
    </row>
    <row r="215" spans="1:5">
      <c r="A215" s="1039" t="s">
        <v>949</v>
      </c>
      <c r="B215" s="1040" t="s">
        <v>948</v>
      </c>
      <c r="C215" s="1036">
        <v>45681</v>
      </c>
      <c r="D215" s="1037">
        <v>45708</v>
      </c>
      <c r="E215" s="1038"/>
    </row>
    <row r="216" spans="1:5">
      <c r="A216" s="1039" t="s">
        <v>950</v>
      </c>
      <c r="B216" s="1040" t="s">
        <v>948</v>
      </c>
      <c r="C216" s="1036">
        <v>45681</v>
      </c>
      <c r="D216" s="1037">
        <v>45708</v>
      </c>
      <c r="E216" s="1038"/>
    </row>
    <row r="217" spans="1:5">
      <c r="A217" s="1039" t="s">
        <v>951</v>
      </c>
      <c r="B217" s="1040" t="s">
        <v>948</v>
      </c>
      <c r="C217" s="1036">
        <v>45681</v>
      </c>
      <c r="D217" s="1037">
        <v>45708</v>
      </c>
      <c r="E217" s="1038"/>
    </row>
    <row r="218" spans="1:5">
      <c r="A218" s="1039" t="s">
        <v>952</v>
      </c>
      <c r="B218" s="1040" t="s">
        <v>948</v>
      </c>
      <c r="C218" s="1036">
        <v>45681</v>
      </c>
      <c r="D218" s="1037">
        <v>45708</v>
      </c>
      <c r="E218" s="1038"/>
    </row>
    <row r="219" spans="1:5">
      <c r="A219" s="1039" t="s">
        <v>953</v>
      </c>
      <c r="B219" s="1040" t="s">
        <v>948</v>
      </c>
      <c r="C219" s="1036">
        <v>45681</v>
      </c>
      <c r="D219" s="1037">
        <v>45708</v>
      </c>
      <c r="E219" s="1038"/>
    </row>
    <row r="220" spans="1:5">
      <c r="A220" s="1039" t="s">
        <v>954</v>
      </c>
      <c r="B220" s="1040" t="s">
        <v>948</v>
      </c>
      <c r="C220" s="1036">
        <v>45681</v>
      </c>
      <c r="D220" s="1037">
        <v>45708</v>
      </c>
      <c r="E220" s="1038"/>
    </row>
    <row r="221" spans="1:5">
      <c r="A221" s="1039" t="s">
        <v>955</v>
      </c>
      <c r="B221" s="1040" t="s">
        <v>956</v>
      </c>
      <c r="C221" s="1036">
        <v>45681</v>
      </c>
      <c r="D221" s="1037">
        <v>45708</v>
      </c>
      <c r="E221" s="1038">
        <v>45723</v>
      </c>
    </row>
    <row r="222" spans="1:5">
      <c r="A222" s="1039" t="s">
        <v>957</v>
      </c>
      <c r="B222" s="1040" t="s">
        <v>956</v>
      </c>
      <c r="C222" s="1036">
        <v>45681</v>
      </c>
      <c r="D222" s="1037">
        <v>45708</v>
      </c>
      <c r="E222" s="1038">
        <v>45723</v>
      </c>
    </row>
    <row r="223" spans="1:5">
      <c r="A223" s="1039" t="s">
        <v>958</v>
      </c>
      <c r="B223" s="1040" t="s">
        <v>956</v>
      </c>
      <c r="C223" s="1036">
        <v>45681</v>
      </c>
      <c r="D223" s="1037">
        <v>45708</v>
      </c>
      <c r="E223" s="1038">
        <v>45723</v>
      </c>
    </row>
    <row r="224" spans="1:5">
      <c r="A224" s="1039" t="s">
        <v>959</v>
      </c>
      <c r="B224" s="1040" t="s">
        <v>956</v>
      </c>
      <c r="C224" s="1036">
        <v>45681</v>
      </c>
      <c r="D224" s="1037">
        <v>45708</v>
      </c>
      <c r="E224" s="1038">
        <v>45723</v>
      </c>
    </row>
    <row r="225" spans="1:5">
      <c r="A225" s="1039" t="s">
        <v>960</v>
      </c>
      <c r="B225" s="1040" t="s">
        <v>956</v>
      </c>
      <c r="C225" s="1036">
        <v>45681</v>
      </c>
      <c r="D225" s="1037">
        <v>45708</v>
      </c>
      <c r="E225" s="1038">
        <v>45723</v>
      </c>
    </row>
    <row r="226" spans="1:5">
      <c r="A226" s="1039" t="s">
        <v>961</v>
      </c>
      <c r="B226" s="1040" t="s">
        <v>956</v>
      </c>
      <c r="C226" s="1036">
        <v>45681</v>
      </c>
      <c r="D226" s="1037">
        <v>45708</v>
      </c>
      <c r="E226" s="1038">
        <v>45723</v>
      </c>
    </row>
    <row r="227" spans="1:5">
      <c r="A227" s="1039" t="s">
        <v>962</v>
      </c>
      <c r="B227" s="1040" t="s">
        <v>963</v>
      </c>
      <c r="C227" s="1036">
        <v>45681</v>
      </c>
      <c r="D227" s="1037">
        <v>45708</v>
      </c>
      <c r="E227" s="1038">
        <v>45723</v>
      </c>
    </row>
    <row r="228" spans="1:5">
      <c r="A228" s="1039"/>
      <c r="B228" s="1040"/>
      <c r="C228" s="1036"/>
      <c r="D228" s="1037"/>
      <c r="E228" s="1042"/>
    </row>
    <row r="229" spans="1:5">
      <c r="A229" s="1039"/>
      <c r="B229" s="1043" t="s">
        <v>964</v>
      </c>
      <c r="C229" s="1040"/>
      <c r="D229" s="1034"/>
      <c r="E229" s="1042"/>
    </row>
    <row r="230" spans="1:5">
      <c r="A230" s="1039" t="s">
        <v>965</v>
      </c>
      <c r="B230" s="1040" t="s">
        <v>966</v>
      </c>
      <c r="C230" s="1044">
        <v>45505</v>
      </c>
      <c r="D230" s="1037">
        <v>45708</v>
      </c>
      <c r="E230" s="1042"/>
    </row>
    <row r="231" spans="1:5">
      <c r="A231" s="1039">
        <v>1</v>
      </c>
      <c r="B231" s="1040" t="s">
        <v>967</v>
      </c>
      <c r="C231" s="1044">
        <v>45505</v>
      </c>
      <c r="D231" s="1037">
        <v>45708</v>
      </c>
      <c r="E231" s="1042"/>
    </row>
    <row r="232" spans="1:5">
      <c r="A232" s="1039">
        <v>2</v>
      </c>
      <c r="B232" s="1040" t="s">
        <v>968</v>
      </c>
      <c r="C232" s="1044">
        <v>45505</v>
      </c>
      <c r="D232" s="1037">
        <v>45708</v>
      </c>
      <c r="E232" s="1042"/>
    </row>
    <row r="233" spans="1:5">
      <c r="A233" s="1039">
        <v>3</v>
      </c>
      <c r="B233" s="1040" t="s">
        <v>968</v>
      </c>
      <c r="C233" s="1044">
        <v>45505</v>
      </c>
      <c r="D233" s="1037">
        <v>45708</v>
      </c>
      <c r="E233" s="1042"/>
    </row>
    <row r="234" spans="1:5">
      <c r="A234" s="1039">
        <v>4</v>
      </c>
      <c r="B234" s="1040" t="s">
        <v>968</v>
      </c>
      <c r="C234" s="1044">
        <v>45505</v>
      </c>
      <c r="D234" s="1037">
        <v>45708</v>
      </c>
      <c r="E234" s="1042"/>
    </row>
    <row r="235" spans="1:5">
      <c r="A235" s="1039">
        <v>5</v>
      </c>
      <c r="B235" s="1040" t="s">
        <v>968</v>
      </c>
      <c r="C235" s="1044">
        <v>45505</v>
      </c>
      <c r="D235" s="1037">
        <v>45708</v>
      </c>
      <c r="E235" s="1042"/>
    </row>
    <row r="236" spans="1:5">
      <c r="A236" s="1039">
        <v>6</v>
      </c>
      <c r="B236" s="1040" t="s">
        <v>968</v>
      </c>
      <c r="C236" s="1044">
        <v>45505</v>
      </c>
      <c r="D236" s="1037">
        <v>45708</v>
      </c>
      <c r="E236" s="1042"/>
    </row>
    <row r="237" spans="1:5">
      <c r="A237" s="1039">
        <v>7</v>
      </c>
      <c r="B237" s="1040" t="s">
        <v>968</v>
      </c>
      <c r="C237" s="1044">
        <v>45505</v>
      </c>
      <c r="D237" s="1037">
        <v>45708</v>
      </c>
      <c r="E237" s="1042"/>
    </row>
    <row r="238" spans="1:5">
      <c r="A238" s="1039">
        <v>8</v>
      </c>
      <c r="B238" s="1040" t="s">
        <v>968</v>
      </c>
      <c r="C238" s="1044">
        <v>45505</v>
      </c>
      <c r="D238" s="1037">
        <v>45708</v>
      </c>
      <c r="E238" s="1042"/>
    </row>
    <row r="239" spans="1:5">
      <c r="A239" s="1039">
        <v>9</v>
      </c>
      <c r="B239" s="1040" t="s">
        <v>969</v>
      </c>
      <c r="C239" s="1044">
        <v>45505</v>
      </c>
      <c r="D239" s="1037">
        <v>45708</v>
      </c>
      <c r="E239" s="1042"/>
    </row>
    <row r="240" spans="1:5">
      <c r="A240" s="1039">
        <v>10</v>
      </c>
      <c r="B240" s="1040" t="s">
        <v>970</v>
      </c>
      <c r="C240" s="1044">
        <v>45505</v>
      </c>
      <c r="D240" s="1037">
        <v>45708</v>
      </c>
      <c r="E240" s="1042"/>
    </row>
    <row r="241" spans="1:5">
      <c r="A241" s="1039">
        <v>11</v>
      </c>
      <c r="B241" s="1040" t="s">
        <v>970</v>
      </c>
      <c r="C241" s="1044">
        <v>45505</v>
      </c>
      <c r="D241" s="1037">
        <v>45708</v>
      </c>
      <c r="E241" s="1042"/>
    </row>
    <row r="242" spans="1:5">
      <c r="A242" s="1039">
        <v>12</v>
      </c>
      <c r="B242" s="1040" t="s">
        <v>970</v>
      </c>
      <c r="C242" s="1044">
        <v>45505</v>
      </c>
      <c r="D242" s="1037">
        <v>45708</v>
      </c>
      <c r="E242" s="1042"/>
    </row>
    <row r="243" spans="1:5">
      <c r="A243" s="1039">
        <v>13</v>
      </c>
      <c r="B243" s="1040" t="s">
        <v>970</v>
      </c>
      <c r="C243" s="1044">
        <v>45505</v>
      </c>
      <c r="D243" s="1037">
        <v>45708</v>
      </c>
      <c r="E243" s="1042"/>
    </row>
    <row r="244" spans="1:5">
      <c r="A244" s="1039">
        <v>14</v>
      </c>
      <c r="B244" s="1040" t="s">
        <v>970</v>
      </c>
      <c r="C244" s="1044">
        <v>45505</v>
      </c>
      <c r="D244" s="1037">
        <v>45708</v>
      </c>
      <c r="E244" s="1042"/>
    </row>
    <row r="245" spans="1:5">
      <c r="A245" s="1039">
        <v>15</v>
      </c>
      <c r="B245" s="1040" t="s">
        <v>970</v>
      </c>
      <c r="C245" s="1044">
        <v>45505</v>
      </c>
      <c r="D245" s="1037">
        <v>45708</v>
      </c>
      <c r="E245" s="1042"/>
    </row>
    <row r="246" spans="1:5">
      <c r="A246" s="1039">
        <v>16</v>
      </c>
      <c r="B246" s="1040" t="s">
        <v>970</v>
      </c>
      <c r="C246" s="1044">
        <v>45505</v>
      </c>
      <c r="D246" s="1037">
        <v>45708</v>
      </c>
      <c r="E246" s="1042"/>
    </row>
    <row r="247" spans="1:5">
      <c r="A247" s="1039">
        <v>17</v>
      </c>
      <c r="B247" s="1040" t="s">
        <v>971</v>
      </c>
      <c r="C247" s="1044">
        <v>45505</v>
      </c>
      <c r="D247" s="1037">
        <v>45708</v>
      </c>
      <c r="E247" s="1042"/>
    </row>
    <row r="248" spans="1:5">
      <c r="A248" s="1039">
        <v>18</v>
      </c>
      <c r="B248" s="1040" t="s">
        <v>971</v>
      </c>
      <c r="C248" s="1044">
        <v>45505</v>
      </c>
      <c r="D248" s="1037">
        <v>45708</v>
      </c>
      <c r="E248" s="1042"/>
    </row>
    <row r="249" spans="1:5">
      <c r="A249" s="1039">
        <v>19</v>
      </c>
      <c r="B249" s="1040" t="s">
        <v>971</v>
      </c>
      <c r="C249" s="1044">
        <v>45505</v>
      </c>
      <c r="D249" s="1037">
        <v>45708</v>
      </c>
      <c r="E249" s="1042"/>
    </row>
    <row r="250" spans="1:5">
      <c r="A250" s="1039">
        <v>20</v>
      </c>
      <c r="B250" s="1040" t="s">
        <v>971</v>
      </c>
      <c r="C250" s="1044">
        <v>45505</v>
      </c>
      <c r="D250" s="1037">
        <v>45708</v>
      </c>
      <c r="E250" s="1042"/>
    </row>
    <row r="251" spans="1:5">
      <c r="A251" s="1039">
        <v>21</v>
      </c>
      <c r="B251" s="1040" t="s">
        <v>971</v>
      </c>
      <c r="C251" s="1044">
        <v>45505</v>
      </c>
      <c r="D251" s="1037">
        <v>45708</v>
      </c>
      <c r="E251" s="1042"/>
    </row>
    <row r="252" spans="1:5">
      <c r="A252" s="1039">
        <v>22</v>
      </c>
      <c r="B252" s="1040" t="s">
        <v>971</v>
      </c>
      <c r="C252" s="1044">
        <v>45505</v>
      </c>
      <c r="D252" s="1037">
        <v>45708</v>
      </c>
      <c r="E252" s="1042"/>
    </row>
    <row r="253" spans="1:5">
      <c r="A253" s="1039">
        <v>23</v>
      </c>
      <c r="B253" s="1040" t="s">
        <v>972</v>
      </c>
      <c r="C253" s="1044">
        <v>45505</v>
      </c>
      <c r="D253" s="1037">
        <v>45708</v>
      </c>
      <c r="E253" s="1042"/>
    </row>
    <row r="254" spans="1:5">
      <c r="A254" s="1039">
        <v>24</v>
      </c>
      <c r="B254" s="1040" t="s">
        <v>972</v>
      </c>
      <c r="C254" s="1044">
        <v>45505</v>
      </c>
      <c r="D254" s="1037">
        <v>45708</v>
      </c>
      <c r="E254" s="1042"/>
    </row>
    <row r="255" spans="1:5">
      <c r="A255" s="1039">
        <v>25</v>
      </c>
      <c r="B255" s="1040" t="s">
        <v>973</v>
      </c>
      <c r="C255" s="1044">
        <v>45505</v>
      </c>
      <c r="D255" s="1037">
        <v>45708</v>
      </c>
      <c r="E255" s="1042"/>
    </row>
    <row r="256" spans="1:5">
      <c r="A256" s="1039">
        <v>26</v>
      </c>
      <c r="B256" s="1040" t="s">
        <v>973</v>
      </c>
      <c r="C256" s="1044">
        <v>45505</v>
      </c>
      <c r="D256" s="1037">
        <v>45708</v>
      </c>
      <c r="E256" s="1042"/>
    </row>
    <row r="257" spans="1:5">
      <c r="A257" s="1039">
        <v>27</v>
      </c>
      <c r="B257" s="1040" t="s">
        <v>973</v>
      </c>
      <c r="C257" s="1044">
        <v>45505</v>
      </c>
      <c r="D257" s="1037">
        <v>45708</v>
      </c>
      <c r="E257" s="1042"/>
    </row>
    <row r="258" spans="1:5">
      <c r="A258" s="1039">
        <v>28</v>
      </c>
      <c r="B258" s="1040" t="s">
        <v>973</v>
      </c>
      <c r="C258" s="1044">
        <v>45505</v>
      </c>
      <c r="D258" s="1037">
        <v>45708</v>
      </c>
      <c r="E258" s="1042"/>
    </row>
    <row r="259" spans="1:5">
      <c r="A259" s="1039">
        <v>29</v>
      </c>
      <c r="B259" s="1040" t="s">
        <v>973</v>
      </c>
      <c r="C259" s="1044">
        <v>45505</v>
      </c>
      <c r="D259" s="1037">
        <v>45708</v>
      </c>
      <c r="E259" s="1042"/>
    </row>
    <row r="260" spans="1:5">
      <c r="A260" s="1039">
        <v>30</v>
      </c>
      <c r="B260" s="1040" t="s">
        <v>973</v>
      </c>
      <c r="C260" s="1044">
        <v>45505</v>
      </c>
      <c r="D260" s="1037">
        <v>45708</v>
      </c>
      <c r="E260" s="1042"/>
    </row>
    <row r="261" spans="1:5">
      <c r="A261" s="1039">
        <v>31</v>
      </c>
      <c r="B261" s="1040" t="s">
        <v>973</v>
      </c>
      <c r="C261" s="1044">
        <v>45505</v>
      </c>
      <c r="D261" s="1037">
        <v>45708</v>
      </c>
      <c r="E261" s="1042"/>
    </row>
    <row r="262" spans="1:5">
      <c r="A262" s="1039">
        <v>32</v>
      </c>
      <c r="B262" s="1040" t="s">
        <v>973</v>
      </c>
      <c r="C262" s="1044">
        <v>45505</v>
      </c>
      <c r="D262" s="1037">
        <v>45708</v>
      </c>
      <c r="E262" s="1042"/>
    </row>
    <row r="263" spans="1:5">
      <c r="A263" s="1039">
        <v>33</v>
      </c>
      <c r="B263" s="1040" t="s">
        <v>973</v>
      </c>
      <c r="C263" s="1044">
        <v>45505</v>
      </c>
      <c r="D263" s="1037">
        <v>45708</v>
      </c>
      <c r="E263" s="1042"/>
    </row>
    <row r="264" spans="1:5">
      <c r="A264" s="1039">
        <v>34</v>
      </c>
      <c r="B264" s="1040" t="s">
        <v>973</v>
      </c>
      <c r="C264" s="1044">
        <v>45505</v>
      </c>
      <c r="D264" s="1037">
        <v>45708</v>
      </c>
      <c r="E264" s="1042"/>
    </row>
    <row r="265" spans="1:5">
      <c r="A265" s="1039">
        <v>35</v>
      </c>
      <c r="B265" s="1040" t="s">
        <v>974</v>
      </c>
      <c r="C265" s="1044">
        <v>45505</v>
      </c>
      <c r="D265" s="1037">
        <v>45708</v>
      </c>
      <c r="E265" s="1042"/>
    </row>
    <row r="266" spans="1:5">
      <c r="A266" s="1039">
        <v>36</v>
      </c>
      <c r="B266" s="1040" t="s">
        <v>975</v>
      </c>
      <c r="C266" s="1044">
        <v>45505</v>
      </c>
      <c r="D266" s="1037">
        <v>45708</v>
      </c>
      <c r="E266" s="1042"/>
    </row>
    <row r="267" spans="1:5">
      <c r="A267" s="1039"/>
      <c r="B267" s="1040"/>
      <c r="C267" s="1040"/>
      <c r="D267" s="1034"/>
      <c r="E267" s="1042"/>
    </row>
    <row r="268" spans="1:5">
      <c r="A268" s="1039"/>
      <c r="B268" s="1043" t="s">
        <v>976</v>
      </c>
      <c r="C268" s="1040"/>
      <c r="D268" s="1034"/>
      <c r="E268" s="1042"/>
    </row>
    <row r="269" spans="1:5">
      <c r="A269" s="1039">
        <v>30</v>
      </c>
      <c r="B269" s="1040" t="s">
        <v>977</v>
      </c>
      <c r="C269" s="1044">
        <v>45505</v>
      </c>
      <c r="D269" s="1037">
        <v>45708</v>
      </c>
      <c r="E269" s="1042"/>
    </row>
    <row r="270" spans="1:5">
      <c r="A270" s="1039"/>
      <c r="B270" s="1040"/>
      <c r="C270" s="1040"/>
      <c r="D270" s="1034"/>
      <c r="E270" s="1042"/>
    </row>
    <row r="271" spans="1:5">
      <c r="A271" s="1039"/>
      <c r="B271" s="1043" t="s">
        <v>978</v>
      </c>
      <c r="C271" s="1040"/>
      <c r="D271" s="1034"/>
      <c r="E271" s="1042"/>
    </row>
    <row r="272" spans="1:5">
      <c r="A272" s="1039" t="s">
        <v>979</v>
      </c>
      <c r="B272" s="1040" t="s">
        <v>980</v>
      </c>
      <c r="C272" s="1044">
        <v>45646</v>
      </c>
      <c r="D272" s="1037">
        <v>45708</v>
      </c>
      <c r="E272" s="1038">
        <v>45716</v>
      </c>
    </row>
    <row r="273" spans="1:5">
      <c r="A273" s="1039" t="s">
        <v>981</v>
      </c>
      <c r="B273" s="1040" t="s">
        <v>982</v>
      </c>
      <c r="C273" s="1044">
        <v>45646</v>
      </c>
      <c r="D273" s="1037">
        <v>45708</v>
      </c>
      <c r="E273" s="1038">
        <v>45716</v>
      </c>
    </row>
    <row r="274" spans="1:5">
      <c r="A274" s="1039" t="s">
        <v>983</v>
      </c>
      <c r="B274" s="1040" t="s">
        <v>984</v>
      </c>
      <c r="C274" s="1044">
        <v>45646</v>
      </c>
      <c r="D274" s="1037">
        <v>45708</v>
      </c>
      <c r="E274" s="1042"/>
    </row>
    <row r="275" spans="1:5">
      <c r="A275" s="1039" t="s">
        <v>985</v>
      </c>
      <c r="B275" s="1040" t="s">
        <v>986</v>
      </c>
      <c r="C275" s="1044">
        <v>45646</v>
      </c>
      <c r="D275" s="1037">
        <v>45708</v>
      </c>
      <c r="E275" s="1042"/>
    </row>
    <row r="276" spans="1:5">
      <c r="A276" s="1039" t="s">
        <v>987</v>
      </c>
      <c r="B276" s="1040" t="s">
        <v>988</v>
      </c>
      <c r="C276" s="1044">
        <v>45646</v>
      </c>
      <c r="D276" s="1037">
        <v>45708</v>
      </c>
      <c r="E276" s="1038">
        <v>45716</v>
      </c>
    </row>
    <row r="277" spans="1:5">
      <c r="A277" s="1039" t="s">
        <v>989</v>
      </c>
      <c r="B277" s="1040" t="s">
        <v>990</v>
      </c>
      <c r="C277" s="1044">
        <v>45646</v>
      </c>
      <c r="D277" s="1037">
        <v>45708</v>
      </c>
      <c r="E277" s="1038">
        <v>45716</v>
      </c>
    </row>
    <row r="278" spans="1:5">
      <c r="A278" s="1039" t="s">
        <v>991</v>
      </c>
      <c r="B278" s="1040" t="s">
        <v>992</v>
      </c>
      <c r="C278" s="1044">
        <v>45646</v>
      </c>
      <c r="D278" s="1037">
        <v>45708</v>
      </c>
      <c r="E278" s="1038">
        <v>45716</v>
      </c>
    </row>
    <row r="279" spans="1:5">
      <c r="A279" s="1039" t="s">
        <v>993</v>
      </c>
      <c r="B279" s="1040" t="s">
        <v>994</v>
      </c>
      <c r="C279" s="1044">
        <v>45646</v>
      </c>
      <c r="D279" s="1037">
        <v>45708</v>
      </c>
      <c r="E279" s="1042"/>
    </row>
    <row r="280" spans="1:5">
      <c r="A280" s="1039" t="s">
        <v>995</v>
      </c>
      <c r="B280" s="1040" t="s">
        <v>996</v>
      </c>
      <c r="C280" s="1044">
        <v>45646</v>
      </c>
      <c r="D280" s="1037">
        <v>45708</v>
      </c>
      <c r="E280" s="1042"/>
    </row>
    <row r="281" spans="1:5">
      <c r="A281" s="1039" t="s">
        <v>997</v>
      </c>
      <c r="B281" s="1040" t="s">
        <v>998</v>
      </c>
      <c r="C281" s="1044">
        <v>45646</v>
      </c>
      <c r="D281" s="1037">
        <v>45708</v>
      </c>
      <c r="E281" s="1042"/>
    </row>
    <row r="282" spans="1:5">
      <c r="A282" s="1039" t="s">
        <v>999</v>
      </c>
      <c r="B282" s="1040" t="s">
        <v>1000</v>
      </c>
      <c r="C282" s="1044">
        <v>45646</v>
      </c>
      <c r="D282" s="1037">
        <v>45708</v>
      </c>
      <c r="E282" s="1042"/>
    </row>
    <row r="283" spans="1:5">
      <c r="A283" s="1039" t="s">
        <v>1001</v>
      </c>
      <c r="B283" s="1040" t="s">
        <v>1002</v>
      </c>
      <c r="C283" s="1044">
        <v>45646</v>
      </c>
      <c r="D283" s="1037">
        <v>45708</v>
      </c>
      <c r="E283" s="1042"/>
    </row>
    <row r="284" spans="1:5">
      <c r="A284" s="1039" t="s">
        <v>1003</v>
      </c>
      <c r="B284" s="1040" t="s">
        <v>1004</v>
      </c>
      <c r="C284" s="1044">
        <v>45646</v>
      </c>
      <c r="D284" s="1037">
        <v>45708</v>
      </c>
      <c r="E284" s="1042"/>
    </row>
    <row r="285" spans="1:5">
      <c r="A285" s="1039" t="s">
        <v>1005</v>
      </c>
      <c r="B285" s="1040" t="s">
        <v>1006</v>
      </c>
      <c r="C285" s="1044">
        <v>45646</v>
      </c>
      <c r="D285" s="1037">
        <v>45708</v>
      </c>
      <c r="E285" s="1038">
        <v>45716</v>
      </c>
    </row>
    <row r="286" spans="1:5">
      <c r="A286" s="1039" t="s">
        <v>1007</v>
      </c>
      <c r="B286" s="1040" t="s">
        <v>1008</v>
      </c>
      <c r="C286" s="1044">
        <v>45646</v>
      </c>
      <c r="D286" s="1037">
        <v>45708</v>
      </c>
      <c r="E286" s="1038">
        <v>45716</v>
      </c>
    </row>
    <row r="287" spans="1:5">
      <c r="A287" s="1039" t="s">
        <v>1009</v>
      </c>
      <c r="B287" s="1040" t="s">
        <v>1010</v>
      </c>
      <c r="C287" s="1044">
        <v>45646</v>
      </c>
      <c r="D287" s="1037">
        <v>45708</v>
      </c>
      <c r="E287" s="1038">
        <v>45716</v>
      </c>
    </row>
    <row r="288" spans="1:5">
      <c r="A288" s="1039" t="s">
        <v>1011</v>
      </c>
      <c r="B288" s="1040" t="s">
        <v>1012</v>
      </c>
      <c r="C288" s="1044">
        <v>45646</v>
      </c>
      <c r="D288" s="1037">
        <v>45708</v>
      </c>
      <c r="E288" s="1042"/>
    </row>
    <row r="289" spans="1:5">
      <c r="A289" s="1039" t="s">
        <v>1013</v>
      </c>
      <c r="B289" s="1040" t="s">
        <v>1014</v>
      </c>
      <c r="C289" s="1044">
        <v>45646</v>
      </c>
      <c r="D289" s="1037">
        <v>45708</v>
      </c>
      <c r="E289" s="1042"/>
    </row>
    <row r="290" spans="1:5">
      <c r="A290" s="1039" t="s">
        <v>1015</v>
      </c>
      <c r="B290" s="1040" t="s">
        <v>1016</v>
      </c>
      <c r="C290" s="1044">
        <v>45646</v>
      </c>
      <c r="D290" s="1037">
        <v>45708</v>
      </c>
      <c r="E290" s="1042"/>
    </row>
    <row r="291" spans="1:5">
      <c r="A291" s="1039" t="s">
        <v>1017</v>
      </c>
      <c r="B291" s="1040" t="s">
        <v>1018</v>
      </c>
      <c r="C291" s="1044">
        <v>45646</v>
      </c>
      <c r="D291" s="1037">
        <v>45708</v>
      </c>
      <c r="E291" s="1042"/>
    </row>
    <row r="292" spans="1:5">
      <c r="A292" s="1039" t="s">
        <v>1019</v>
      </c>
      <c r="B292" s="1040" t="s">
        <v>1020</v>
      </c>
      <c r="C292" s="1044">
        <v>45646</v>
      </c>
      <c r="D292" s="1037">
        <v>45708</v>
      </c>
      <c r="E292" s="1042"/>
    </row>
    <row r="293" spans="1:5">
      <c r="A293" s="1039" t="s">
        <v>1021</v>
      </c>
      <c r="B293" s="1040" t="s">
        <v>1022</v>
      </c>
      <c r="C293" s="1044">
        <v>45646</v>
      </c>
      <c r="D293" s="1037">
        <v>45708</v>
      </c>
      <c r="E293" s="1042"/>
    </row>
    <row r="294" spans="1:5">
      <c r="A294" s="1039" t="s">
        <v>1023</v>
      </c>
      <c r="B294" s="1040" t="s">
        <v>1024</v>
      </c>
      <c r="C294" s="1044">
        <v>45646</v>
      </c>
      <c r="D294" s="1037">
        <v>45708</v>
      </c>
      <c r="E294" s="1038">
        <v>45716</v>
      </c>
    </row>
    <row r="295" spans="1:5">
      <c r="A295" s="1039" t="s">
        <v>1025</v>
      </c>
      <c r="B295" s="1040" t="s">
        <v>1026</v>
      </c>
      <c r="C295" s="1044">
        <v>45646</v>
      </c>
      <c r="D295" s="1037">
        <v>45708</v>
      </c>
      <c r="E295" s="1038">
        <v>45716</v>
      </c>
    </row>
    <row r="296" spans="1:5">
      <c r="A296" s="1039" t="s">
        <v>1027</v>
      </c>
      <c r="B296" s="1040" t="s">
        <v>1028</v>
      </c>
      <c r="C296" s="1044">
        <v>45646</v>
      </c>
      <c r="D296" s="1037">
        <v>45708</v>
      </c>
      <c r="E296" s="1038">
        <v>45716</v>
      </c>
    </row>
    <row r="297" spans="1:5">
      <c r="A297" s="1039" t="s">
        <v>1029</v>
      </c>
      <c r="B297" s="1040" t="s">
        <v>1030</v>
      </c>
      <c r="C297" s="1044">
        <v>45646</v>
      </c>
      <c r="D297" s="1037">
        <v>45708</v>
      </c>
      <c r="E297" s="1038">
        <v>45716</v>
      </c>
    </row>
    <row r="298" spans="1:5">
      <c r="A298" s="1039" t="s">
        <v>1031</v>
      </c>
      <c r="B298" s="1040" t="s">
        <v>1032</v>
      </c>
      <c r="C298" s="1044">
        <v>45646</v>
      </c>
      <c r="D298" s="1037">
        <v>45708</v>
      </c>
      <c r="E298" s="1042"/>
    </row>
    <row r="299" spans="1:5">
      <c r="A299" s="1039" t="s">
        <v>1033</v>
      </c>
      <c r="B299" s="1040" t="s">
        <v>1034</v>
      </c>
      <c r="C299" s="1044">
        <v>45646</v>
      </c>
      <c r="D299" s="1037">
        <v>45708</v>
      </c>
      <c r="E299" s="1042"/>
    </row>
    <row r="300" spans="1:5">
      <c r="A300" s="1039" t="s">
        <v>1035</v>
      </c>
      <c r="B300" s="1040" t="s">
        <v>1036</v>
      </c>
      <c r="C300" s="1044">
        <v>45646</v>
      </c>
      <c r="D300" s="1037">
        <v>45708</v>
      </c>
      <c r="E300" s="1042"/>
    </row>
    <row r="301" spans="1:5">
      <c r="A301" s="1039" t="s">
        <v>1037</v>
      </c>
      <c r="B301" s="1040" t="s">
        <v>1038</v>
      </c>
      <c r="C301" s="1044">
        <v>45646</v>
      </c>
      <c r="D301" s="1037">
        <v>45708</v>
      </c>
      <c r="E301" s="1042"/>
    </row>
    <row r="302" spans="1:5">
      <c r="A302" s="1039" t="s">
        <v>1039</v>
      </c>
      <c r="B302" s="1040" t="s">
        <v>1040</v>
      </c>
      <c r="C302" s="1044">
        <v>45646</v>
      </c>
      <c r="D302" s="1037">
        <v>45708</v>
      </c>
      <c r="E302" s="1042"/>
    </row>
    <row r="303" spans="1:5">
      <c r="A303" s="1039" t="s">
        <v>1041</v>
      </c>
      <c r="B303" s="1040" t="s">
        <v>1042</v>
      </c>
      <c r="C303" s="1044">
        <v>45646</v>
      </c>
      <c r="D303" s="1037">
        <v>45708</v>
      </c>
      <c r="E303" s="1042"/>
    </row>
    <row r="304" spans="1:5">
      <c r="A304" s="1039" t="s">
        <v>1043</v>
      </c>
      <c r="B304" s="1040" t="s">
        <v>1044</v>
      </c>
      <c r="C304" s="1044">
        <v>45646</v>
      </c>
      <c r="D304" s="1037">
        <v>45708</v>
      </c>
      <c r="E304" s="1042"/>
    </row>
    <row r="305" spans="1:5">
      <c r="A305" s="1039" t="s">
        <v>1045</v>
      </c>
      <c r="B305" s="1040" t="s">
        <v>1046</v>
      </c>
      <c r="C305" s="1044">
        <v>45646</v>
      </c>
      <c r="D305" s="1037">
        <v>45708</v>
      </c>
      <c r="E305" s="1042"/>
    </row>
    <row r="306" spans="1:5">
      <c r="A306" s="1039" t="s">
        <v>1047</v>
      </c>
      <c r="B306" s="1040" t="s">
        <v>1048</v>
      </c>
      <c r="C306" s="1044">
        <v>45646</v>
      </c>
      <c r="D306" s="1037">
        <v>45708</v>
      </c>
      <c r="E306" s="1042"/>
    </row>
    <row r="307" spans="1:5">
      <c r="A307" s="1039" t="s">
        <v>1049</v>
      </c>
      <c r="B307" s="1040" t="s">
        <v>1050</v>
      </c>
      <c r="C307" s="1044">
        <v>45646</v>
      </c>
      <c r="D307" s="1037">
        <v>45708</v>
      </c>
      <c r="E307" s="1042"/>
    </row>
    <row r="308" spans="1:5">
      <c r="A308" s="1039" t="s">
        <v>1051</v>
      </c>
      <c r="B308" s="1040" t="s">
        <v>1052</v>
      </c>
      <c r="C308" s="1044">
        <v>45646</v>
      </c>
      <c r="D308" s="1037">
        <v>45708</v>
      </c>
      <c r="E308" s="1038">
        <v>45716</v>
      </c>
    </row>
    <row r="309" spans="1:5">
      <c r="A309" s="1039" t="s">
        <v>1053</v>
      </c>
      <c r="B309" s="1040" t="s">
        <v>1052</v>
      </c>
      <c r="C309" s="1044">
        <v>45646</v>
      </c>
      <c r="D309" s="1037">
        <v>45708</v>
      </c>
      <c r="E309" s="1038">
        <v>45716</v>
      </c>
    </row>
    <row r="310" spans="1:5">
      <c r="A310" s="1039" t="s">
        <v>1054</v>
      </c>
      <c r="B310" s="1040" t="s">
        <v>1052</v>
      </c>
      <c r="C310" s="1044">
        <v>45646</v>
      </c>
      <c r="D310" s="1037">
        <v>45708</v>
      </c>
      <c r="E310" s="1038">
        <v>45716</v>
      </c>
    </row>
    <row r="311" spans="1:5">
      <c r="A311" s="1039" t="s">
        <v>1055</v>
      </c>
      <c r="B311" s="1040" t="s">
        <v>1052</v>
      </c>
      <c r="C311" s="1044">
        <v>45646</v>
      </c>
      <c r="D311" s="1037">
        <v>45708</v>
      </c>
      <c r="E311" s="1038">
        <v>45716</v>
      </c>
    </row>
    <row r="312" spans="1:5">
      <c r="A312" s="1039" t="s">
        <v>1056</v>
      </c>
      <c r="B312" s="1040" t="s">
        <v>1052</v>
      </c>
      <c r="C312" s="1044">
        <v>45646</v>
      </c>
      <c r="D312" s="1037">
        <v>45708</v>
      </c>
      <c r="E312" s="1038">
        <v>45716</v>
      </c>
    </row>
    <row r="313" spans="1:5">
      <c r="A313" s="1039" t="s">
        <v>1057</v>
      </c>
      <c r="B313" s="1040" t="s">
        <v>1052</v>
      </c>
      <c r="C313" s="1044">
        <v>45646</v>
      </c>
      <c r="D313" s="1037">
        <v>45708</v>
      </c>
      <c r="E313" s="1038">
        <v>45716</v>
      </c>
    </row>
    <row r="314" spans="1:5">
      <c r="A314" s="1039" t="s">
        <v>1058</v>
      </c>
      <c r="B314" s="1040" t="s">
        <v>1052</v>
      </c>
      <c r="C314" s="1044"/>
      <c r="D314" s="1037"/>
      <c r="E314" s="1038">
        <v>45716</v>
      </c>
    </row>
    <row r="315" spans="1:5">
      <c r="A315" s="1039" t="s">
        <v>1059</v>
      </c>
      <c r="B315" s="1040" t="s">
        <v>1060</v>
      </c>
      <c r="C315" s="1044">
        <v>45646</v>
      </c>
      <c r="D315" s="1037">
        <v>45708</v>
      </c>
      <c r="E315" s="1038">
        <v>45716</v>
      </c>
    </row>
    <row r="316" spans="1:5">
      <c r="A316" s="1039" t="s">
        <v>1061</v>
      </c>
      <c r="B316" s="1040" t="s">
        <v>1062</v>
      </c>
      <c r="C316" s="1044">
        <v>45646</v>
      </c>
      <c r="D316" s="1037">
        <v>45708</v>
      </c>
      <c r="E316" s="1038">
        <v>45716</v>
      </c>
    </row>
    <row r="317" spans="1:5">
      <c r="A317" s="1039" t="s">
        <v>1063</v>
      </c>
      <c r="B317" s="1040" t="s">
        <v>1064</v>
      </c>
      <c r="C317" s="1044">
        <v>45646</v>
      </c>
      <c r="D317" s="1037">
        <v>45708</v>
      </c>
      <c r="E317" s="1042"/>
    </row>
    <row r="318" spans="1:5">
      <c r="A318" s="1039" t="s">
        <v>1065</v>
      </c>
      <c r="B318" s="1040" t="s">
        <v>1064</v>
      </c>
      <c r="C318" s="1044">
        <v>45646</v>
      </c>
      <c r="D318" s="1037">
        <v>45708</v>
      </c>
      <c r="E318" s="1042"/>
    </row>
    <row r="319" spans="1:5">
      <c r="A319" s="1039" t="s">
        <v>1066</v>
      </c>
      <c r="B319" s="1040" t="s">
        <v>1064</v>
      </c>
      <c r="C319" s="1044">
        <v>45646</v>
      </c>
      <c r="D319" s="1037">
        <v>45708</v>
      </c>
      <c r="E319" s="1042"/>
    </row>
    <row r="320" spans="1:5">
      <c r="A320" s="1039" t="s">
        <v>1067</v>
      </c>
      <c r="B320" s="1040" t="s">
        <v>1064</v>
      </c>
      <c r="C320" s="1044">
        <v>45646</v>
      </c>
      <c r="D320" s="1037">
        <v>45708</v>
      </c>
      <c r="E320" s="1042"/>
    </row>
    <row r="321" spans="1:5">
      <c r="A321" s="1039" t="s">
        <v>1068</v>
      </c>
      <c r="B321" s="1040" t="s">
        <v>1064</v>
      </c>
      <c r="C321" s="1044">
        <v>45646</v>
      </c>
      <c r="D321" s="1037">
        <v>45708</v>
      </c>
      <c r="E321" s="1042"/>
    </row>
    <row r="322" spans="1:5">
      <c r="A322" s="1039" t="s">
        <v>1069</v>
      </c>
      <c r="B322" s="1040" t="s">
        <v>1064</v>
      </c>
      <c r="C322" s="1044">
        <v>45646</v>
      </c>
      <c r="D322" s="1037">
        <v>45708</v>
      </c>
      <c r="E322" s="1042"/>
    </row>
    <row r="323" spans="1:5">
      <c r="A323" s="1039" t="s">
        <v>1070</v>
      </c>
      <c r="B323" s="1040" t="s">
        <v>1064</v>
      </c>
      <c r="C323" s="1044">
        <v>45646</v>
      </c>
      <c r="D323" s="1037">
        <v>45708</v>
      </c>
      <c r="E323" s="1042"/>
    </row>
    <row r="324" spans="1:5">
      <c r="A324" s="1039" t="s">
        <v>1071</v>
      </c>
      <c r="B324" s="1040" t="s">
        <v>1064</v>
      </c>
      <c r="C324" s="1044">
        <v>45646</v>
      </c>
      <c r="D324" s="1037">
        <v>45708</v>
      </c>
      <c r="E324" s="1042"/>
    </row>
    <row r="325" spans="1:5">
      <c r="A325" s="1039" t="s">
        <v>1072</v>
      </c>
      <c r="B325" s="1040" t="s">
        <v>1064</v>
      </c>
      <c r="C325" s="1044">
        <v>45646</v>
      </c>
      <c r="D325" s="1037">
        <v>45708</v>
      </c>
      <c r="E325" s="1042"/>
    </row>
    <row r="326" spans="1:5">
      <c r="A326" s="1039" t="s">
        <v>1073</v>
      </c>
      <c r="B326" s="1040" t="s">
        <v>1064</v>
      </c>
      <c r="C326" s="1044">
        <v>45646</v>
      </c>
      <c r="D326" s="1037">
        <v>45708</v>
      </c>
      <c r="E326" s="1042"/>
    </row>
    <row r="327" spans="1:5">
      <c r="A327" s="1039" t="s">
        <v>1074</v>
      </c>
      <c r="B327" s="1040" t="s">
        <v>1064</v>
      </c>
      <c r="C327" s="1044">
        <v>45646</v>
      </c>
      <c r="D327" s="1037">
        <v>45708</v>
      </c>
      <c r="E327" s="1042"/>
    </row>
    <row r="328" spans="1:5">
      <c r="A328" s="1039" t="s">
        <v>1075</v>
      </c>
      <c r="B328" s="1040" t="s">
        <v>1076</v>
      </c>
      <c r="C328" s="1044">
        <v>45646</v>
      </c>
      <c r="D328" s="1037">
        <v>45708</v>
      </c>
      <c r="E328" s="1042"/>
    </row>
    <row r="329" spans="1:5">
      <c r="A329" s="1039" t="s">
        <v>1077</v>
      </c>
      <c r="B329" s="1040" t="s">
        <v>1078</v>
      </c>
      <c r="C329" s="1044">
        <v>45646</v>
      </c>
      <c r="D329" s="1037">
        <v>45708</v>
      </c>
      <c r="E329" s="1042"/>
    </row>
    <row r="330" spans="1:5">
      <c r="A330" s="1039" t="s">
        <v>1079</v>
      </c>
      <c r="B330" s="1040" t="s">
        <v>1078</v>
      </c>
      <c r="C330" s="1044">
        <v>45646</v>
      </c>
      <c r="D330" s="1037">
        <v>45708</v>
      </c>
      <c r="E330" s="1042"/>
    </row>
    <row r="331" spans="1:5">
      <c r="A331" s="1039" t="s">
        <v>1080</v>
      </c>
      <c r="B331" s="1040" t="s">
        <v>1078</v>
      </c>
      <c r="C331" s="1044">
        <v>45646</v>
      </c>
      <c r="D331" s="1037">
        <v>45708</v>
      </c>
      <c r="E331" s="1042"/>
    </row>
    <row r="332" spans="1:5">
      <c r="A332" s="1039" t="s">
        <v>1081</v>
      </c>
      <c r="B332" s="1040" t="s">
        <v>1078</v>
      </c>
      <c r="C332" s="1044">
        <v>45646</v>
      </c>
      <c r="D332" s="1037">
        <v>45708</v>
      </c>
      <c r="E332" s="1042"/>
    </row>
    <row r="333" spans="1:5">
      <c r="A333" s="1039" t="s">
        <v>1082</v>
      </c>
      <c r="B333" s="1040" t="s">
        <v>1078</v>
      </c>
      <c r="C333" s="1044">
        <v>45646</v>
      </c>
      <c r="D333" s="1037">
        <v>45708</v>
      </c>
      <c r="E333" s="1042"/>
    </row>
    <row r="334" spans="1:5">
      <c r="A334" s="1039" t="s">
        <v>1083</v>
      </c>
      <c r="B334" s="1040" t="s">
        <v>1078</v>
      </c>
      <c r="C334" s="1044">
        <v>45646</v>
      </c>
      <c r="D334" s="1037">
        <v>45708</v>
      </c>
      <c r="E334" s="1042"/>
    </row>
    <row r="335" spans="1:5">
      <c r="A335" s="1039" t="s">
        <v>1084</v>
      </c>
      <c r="B335" s="1040" t="s">
        <v>1078</v>
      </c>
      <c r="C335" s="1044">
        <v>45646</v>
      </c>
      <c r="D335" s="1037">
        <v>45708</v>
      </c>
      <c r="E335" s="1042"/>
    </row>
    <row r="336" spans="1:5">
      <c r="A336" s="1039" t="s">
        <v>1085</v>
      </c>
      <c r="B336" s="1040" t="s">
        <v>1078</v>
      </c>
      <c r="C336" s="1044">
        <v>45646</v>
      </c>
      <c r="D336" s="1037"/>
      <c r="E336" s="1038">
        <v>45716</v>
      </c>
    </row>
    <row r="337" spans="1:5">
      <c r="A337" s="1039"/>
      <c r="B337" s="1040"/>
      <c r="C337" s="1044"/>
      <c r="D337" s="1037"/>
      <c r="E337" s="1042"/>
    </row>
    <row r="338" spans="1:5">
      <c r="A338" s="1039"/>
      <c r="B338" s="1043" t="s">
        <v>1086</v>
      </c>
      <c r="C338" s="1044"/>
      <c r="D338" s="1037"/>
      <c r="E338" s="1042"/>
    </row>
    <row r="339" spans="1:5">
      <c r="A339" s="1039" t="s">
        <v>1087</v>
      </c>
      <c r="B339" s="1040" t="s">
        <v>1088</v>
      </c>
      <c r="C339" s="1044">
        <v>45646</v>
      </c>
      <c r="D339" s="1037">
        <v>45663</v>
      </c>
      <c r="E339" s="1042"/>
    </row>
    <row r="340" spans="1:5">
      <c r="A340" s="1039" t="s">
        <v>1089</v>
      </c>
      <c r="B340" s="1040" t="s">
        <v>1090</v>
      </c>
      <c r="C340" s="1044">
        <v>45646</v>
      </c>
      <c r="D340" s="1037">
        <v>45663</v>
      </c>
      <c r="E340" s="1042"/>
    </row>
    <row r="341" spans="1:5">
      <c r="A341" s="1039" t="s">
        <v>1091</v>
      </c>
      <c r="B341" s="1040" t="s">
        <v>1092</v>
      </c>
      <c r="C341" s="1044">
        <v>45646</v>
      </c>
      <c r="D341" s="1037">
        <v>45663</v>
      </c>
      <c r="E341" s="1042"/>
    </row>
    <row r="342" spans="1:5">
      <c r="A342" s="1039" t="s">
        <v>1093</v>
      </c>
      <c r="B342" s="1040" t="s">
        <v>1094</v>
      </c>
      <c r="C342" s="1044">
        <v>45646</v>
      </c>
      <c r="D342" s="1037">
        <v>45663</v>
      </c>
      <c r="E342" s="1042"/>
    </row>
    <row r="343" spans="1:5">
      <c r="A343" s="1039" t="s">
        <v>1095</v>
      </c>
      <c r="B343" s="1040" t="s">
        <v>1096</v>
      </c>
      <c r="C343" s="1044">
        <v>45646</v>
      </c>
      <c r="D343" s="1037">
        <v>45663</v>
      </c>
      <c r="E343" s="1042"/>
    </row>
    <row r="344" spans="1:5">
      <c r="A344" s="1039" t="s">
        <v>1097</v>
      </c>
      <c r="B344" s="1040" t="s">
        <v>1098</v>
      </c>
      <c r="C344" s="1044">
        <v>45646</v>
      </c>
      <c r="D344" s="1037">
        <v>45663</v>
      </c>
      <c r="E344" s="1042"/>
    </row>
    <row r="345" spans="1:5">
      <c r="A345" s="1039" t="s">
        <v>1099</v>
      </c>
      <c r="B345" s="1040" t="s">
        <v>1096</v>
      </c>
      <c r="C345" s="1044">
        <v>45646</v>
      </c>
      <c r="D345" s="1037">
        <v>45663</v>
      </c>
      <c r="E345" s="1042"/>
    </row>
    <row r="346" spans="1:5">
      <c r="A346" s="1039" t="s">
        <v>1100</v>
      </c>
      <c r="B346" s="1040" t="s">
        <v>1096</v>
      </c>
      <c r="C346" s="1044">
        <v>45646</v>
      </c>
      <c r="D346" s="1037">
        <v>45663</v>
      </c>
      <c r="E346" s="1042"/>
    </row>
    <row r="347" spans="1:5">
      <c r="A347" s="1039" t="s">
        <v>1101</v>
      </c>
      <c r="B347" s="1040" t="s">
        <v>1102</v>
      </c>
      <c r="C347" s="1044">
        <v>45646</v>
      </c>
      <c r="D347" s="1037">
        <v>45663</v>
      </c>
      <c r="E347" s="1042"/>
    </row>
    <row r="348" spans="1:5">
      <c r="A348" s="1039" t="s">
        <v>1103</v>
      </c>
      <c r="B348" s="1040" t="s">
        <v>1104</v>
      </c>
      <c r="C348" s="1044">
        <v>45646</v>
      </c>
      <c r="D348" s="1037">
        <v>45663</v>
      </c>
      <c r="E348" s="1042"/>
    </row>
    <row r="349" spans="1:5">
      <c r="A349" s="1039"/>
      <c r="B349" s="1040"/>
      <c r="C349" s="1044"/>
      <c r="D349" s="1034"/>
      <c r="E349" s="1042"/>
    </row>
    <row r="350" spans="1:5">
      <c r="A350" s="1039"/>
      <c r="B350" s="1043" t="s">
        <v>1105</v>
      </c>
      <c r="C350" s="1044"/>
      <c r="D350" s="1034"/>
      <c r="E350" s="1042"/>
    </row>
    <row r="351" spans="1:5">
      <c r="A351" s="1039" t="s">
        <v>1106</v>
      </c>
      <c r="B351" s="1040" t="s">
        <v>1107</v>
      </c>
      <c r="C351" s="1044">
        <v>45646</v>
      </c>
      <c r="D351" s="1037">
        <v>45663</v>
      </c>
      <c r="E351" s="1042"/>
    </row>
    <row r="352" spans="1:5">
      <c r="A352" s="1039" t="s">
        <v>1108</v>
      </c>
      <c r="B352" s="1040" t="s">
        <v>1109</v>
      </c>
      <c r="C352" s="1044">
        <v>45646</v>
      </c>
      <c r="D352" s="1037">
        <v>45663</v>
      </c>
      <c r="E352" s="1042"/>
    </row>
    <row r="353" spans="1:5">
      <c r="A353" s="1039" t="s">
        <v>1110</v>
      </c>
      <c r="B353" s="1040" t="s">
        <v>1111</v>
      </c>
      <c r="C353" s="1044">
        <v>45646</v>
      </c>
      <c r="D353" s="1037">
        <v>45663</v>
      </c>
      <c r="E353" s="1042"/>
    </row>
    <row r="354" spans="1:5">
      <c r="A354" s="1039" t="s">
        <v>1112</v>
      </c>
      <c r="B354" s="1040" t="s">
        <v>1113</v>
      </c>
      <c r="C354" s="1044">
        <v>45646</v>
      </c>
      <c r="D354" s="1037">
        <v>45663</v>
      </c>
      <c r="E354" s="1042"/>
    </row>
    <row r="355" spans="1:5">
      <c r="A355" s="1039" t="s">
        <v>1114</v>
      </c>
      <c r="B355" s="1040" t="s">
        <v>1115</v>
      </c>
      <c r="C355" s="1044">
        <v>45646</v>
      </c>
      <c r="D355" s="1037">
        <v>45663</v>
      </c>
      <c r="E355" s="1042"/>
    </row>
    <row r="356" spans="1:5">
      <c r="A356" s="1039" t="s">
        <v>1116</v>
      </c>
      <c r="B356" s="1040" t="s">
        <v>1117</v>
      </c>
      <c r="C356" s="1044">
        <v>45646</v>
      </c>
      <c r="D356" s="1037">
        <v>45663</v>
      </c>
      <c r="E356" s="1042"/>
    </row>
    <row r="357" spans="1:5">
      <c r="A357" s="1039" t="s">
        <v>1118</v>
      </c>
      <c r="B357" s="1040" t="s">
        <v>1119</v>
      </c>
      <c r="C357" s="1044">
        <v>45646</v>
      </c>
      <c r="D357" s="1037">
        <v>45663</v>
      </c>
      <c r="E357" s="1042"/>
    </row>
    <row r="358" spans="1:5">
      <c r="A358" s="1039" t="s">
        <v>1120</v>
      </c>
      <c r="B358" s="1040" t="s">
        <v>1121</v>
      </c>
      <c r="C358" s="1044">
        <v>45646</v>
      </c>
      <c r="D358" s="1037">
        <v>45663</v>
      </c>
      <c r="E358" s="1042"/>
    </row>
    <row r="359" spans="1:5">
      <c r="A359" s="1039" t="s">
        <v>1122</v>
      </c>
      <c r="B359" s="1040" t="s">
        <v>1123</v>
      </c>
      <c r="C359" s="1044">
        <v>45646</v>
      </c>
      <c r="D359" s="1037">
        <v>45663</v>
      </c>
      <c r="E359" s="1042"/>
    </row>
    <row r="360" spans="1:5">
      <c r="A360" s="1039"/>
      <c r="B360" s="1040"/>
      <c r="C360" s="1044"/>
      <c r="D360" s="1034"/>
      <c r="E360" s="1042"/>
    </row>
    <row r="361" spans="1:5">
      <c r="A361" s="1039"/>
      <c r="B361" s="1043" t="s">
        <v>1124</v>
      </c>
      <c r="C361" s="1044"/>
      <c r="D361" s="1034"/>
      <c r="E361" s="1042"/>
    </row>
    <row r="362" spans="1:5">
      <c r="A362" s="1039" t="s">
        <v>1125</v>
      </c>
      <c r="B362" s="1040" t="s">
        <v>1126</v>
      </c>
      <c r="C362" s="1044">
        <v>45646</v>
      </c>
      <c r="D362" s="1037">
        <v>45708</v>
      </c>
      <c r="E362" s="1042"/>
    </row>
    <row r="363" spans="1:5">
      <c r="A363" s="1039" t="s">
        <v>1127</v>
      </c>
      <c r="B363" s="1040" t="s">
        <v>1128</v>
      </c>
      <c r="C363" s="1044">
        <v>45646</v>
      </c>
      <c r="D363" s="1037">
        <v>45708</v>
      </c>
      <c r="E363" s="1042"/>
    </row>
    <row r="364" spans="1:5">
      <c r="A364" s="1039" t="s">
        <v>1129</v>
      </c>
      <c r="B364" s="1040" t="s">
        <v>1130</v>
      </c>
      <c r="C364" s="1044">
        <v>45646</v>
      </c>
      <c r="D364" s="1037">
        <v>45708</v>
      </c>
      <c r="E364" s="1042"/>
    </row>
    <row r="365" spans="1:5">
      <c r="A365" s="1039" t="s">
        <v>1131</v>
      </c>
      <c r="B365" s="1040" t="s">
        <v>1132</v>
      </c>
      <c r="C365" s="1044">
        <v>45646</v>
      </c>
      <c r="D365" s="1037">
        <v>45708</v>
      </c>
      <c r="E365" s="1042"/>
    </row>
    <row r="366" spans="1:5">
      <c r="A366" s="1039" t="s">
        <v>1133</v>
      </c>
      <c r="B366" s="1040" t="s">
        <v>1134</v>
      </c>
      <c r="C366" s="1044">
        <v>45646</v>
      </c>
      <c r="D366" s="1037">
        <v>45708</v>
      </c>
      <c r="E366" s="1042"/>
    </row>
    <row r="367" spans="1:5">
      <c r="A367" s="1039" t="s">
        <v>1135</v>
      </c>
      <c r="B367" s="1040" t="s">
        <v>1136</v>
      </c>
      <c r="C367" s="1044">
        <v>45646</v>
      </c>
      <c r="D367" s="1037">
        <v>45708</v>
      </c>
      <c r="E367" s="1042"/>
    </row>
    <row r="368" spans="1:5">
      <c r="A368" s="1039" t="s">
        <v>1137</v>
      </c>
      <c r="B368" s="1040" t="s">
        <v>1138</v>
      </c>
      <c r="C368" s="1044">
        <v>45646</v>
      </c>
      <c r="D368" s="1037">
        <v>45708</v>
      </c>
      <c r="E368" s="1042"/>
    </row>
    <row r="369" spans="1:5">
      <c r="A369" s="1039" t="s">
        <v>1139</v>
      </c>
      <c r="B369" s="1040" t="s">
        <v>1140</v>
      </c>
      <c r="C369" s="1044">
        <v>45646</v>
      </c>
      <c r="D369" s="1037">
        <v>45708</v>
      </c>
      <c r="E369" s="1042"/>
    </row>
    <row r="370" spans="1:5">
      <c r="A370" s="1039" t="s">
        <v>1141</v>
      </c>
      <c r="B370" s="1040" t="s">
        <v>1142</v>
      </c>
      <c r="C370" s="1044">
        <v>45646</v>
      </c>
      <c r="D370" s="1037">
        <v>45708</v>
      </c>
      <c r="E370" s="1042"/>
    </row>
    <row r="371" spans="1:5">
      <c r="A371" s="1039" t="s">
        <v>1143</v>
      </c>
      <c r="B371" s="1040" t="s">
        <v>1144</v>
      </c>
      <c r="C371" s="1044">
        <v>45646</v>
      </c>
      <c r="D371" s="1037">
        <v>45708</v>
      </c>
      <c r="E371" s="1042"/>
    </row>
    <row r="372" spans="1:5">
      <c r="A372" s="1039" t="s">
        <v>1145</v>
      </c>
      <c r="B372" s="1040" t="s">
        <v>1146</v>
      </c>
      <c r="C372" s="1044">
        <v>45646</v>
      </c>
      <c r="D372" s="1037">
        <v>45708</v>
      </c>
      <c r="E372" s="1042"/>
    </row>
    <row r="373" spans="1:5">
      <c r="A373" s="1039" t="s">
        <v>1147</v>
      </c>
      <c r="B373" s="1040" t="s">
        <v>1148</v>
      </c>
      <c r="C373" s="1044">
        <v>45646</v>
      </c>
      <c r="D373" s="1037">
        <v>45708</v>
      </c>
      <c r="E373" s="1042"/>
    </row>
    <row r="374" spans="1:5">
      <c r="A374" s="1039" t="s">
        <v>1149</v>
      </c>
      <c r="B374" s="1040" t="s">
        <v>1150</v>
      </c>
      <c r="C374" s="1044">
        <v>45646</v>
      </c>
      <c r="D374" s="1037">
        <v>45708</v>
      </c>
      <c r="E374" s="1042"/>
    </row>
    <row r="375" spans="1:5">
      <c r="A375" s="1039" t="s">
        <v>1151</v>
      </c>
      <c r="B375" s="1040" t="s">
        <v>1152</v>
      </c>
      <c r="C375" s="1044">
        <v>45646</v>
      </c>
      <c r="D375" s="1037">
        <v>45708</v>
      </c>
      <c r="E375" s="1042"/>
    </row>
    <row r="376" spans="1:5">
      <c r="A376" s="1039" t="s">
        <v>1153</v>
      </c>
      <c r="B376" s="1040" t="s">
        <v>1154</v>
      </c>
      <c r="C376" s="1044">
        <v>45646</v>
      </c>
      <c r="D376" s="1037">
        <v>45708</v>
      </c>
      <c r="E376" s="1042"/>
    </row>
    <row r="377" spans="1:5">
      <c r="A377" s="1039" t="s">
        <v>1155</v>
      </c>
      <c r="B377" s="1040" t="s">
        <v>1156</v>
      </c>
      <c r="C377" s="1044">
        <v>45646</v>
      </c>
      <c r="D377" s="1037">
        <v>45708</v>
      </c>
      <c r="E377" s="1042"/>
    </row>
    <row r="378" spans="1:5">
      <c r="A378" s="1039" t="s">
        <v>1157</v>
      </c>
      <c r="B378" s="1040" t="s">
        <v>1158</v>
      </c>
      <c r="C378" s="1044">
        <v>45646</v>
      </c>
      <c r="D378" s="1037">
        <v>45708</v>
      </c>
      <c r="E378" s="1042"/>
    </row>
    <row r="379" spans="1:5">
      <c r="A379" s="1039" t="s">
        <v>1159</v>
      </c>
      <c r="B379" s="1040" t="s">
        <v>1160</v>
      </c>
      <c r="C379" s="1044">
        <v>45646</v>
      </c>
      <c r="D379" s="1037">
        <v>45708</v>
      </c>
      <c r="E379" s="1042"/>
    </row>
    <row r="380" spans="1:5">
      <c r="A380" s="1039" t="s">
        <v>1161</v>
      </c>
      <c r="B380" s="1040" t="s">
        <v>1162</v>
      </c>
      <c r="C380" s="1044">
        <v>45646</v>
      </c>
      <c r="D380" s="1037">
        <v>45708</v>
      </c>
      <c r="E380" s="1042"/>
    </row>
    <row r="381" spans="1:5">
      <c r="A381" s="1039" t="s">
        <v>1163</v>
      </c>
      <c r="B381" s="1040" t="s">
        <v>1164</v>
      </c>
      <c r="C381" s="1044">
        <v>45646</v>
      </c>
      <c r="D381" s="1037">
        <v>45708</v>
      </c>
      <c r="E381" s="1042"/>
    </row>
    <row r="382" spans="1:5">
      <c r="A382" s="1039" t="s">
        <v>1165</v>
      </c>
      <c r="B382" s="1040" t="s">
        <v>1166</v>
      </c>
      <c r="C382" s="1044">
        <v>45646</v>
      </c>
      <c r="D382" s="1037">
        <v>45708</v>
      </c>
      <c r="E382" s="1042"/>
    </row>
    <row r="383" spans="1:5">
      <c r="A383" s="1039" t="s">
        <v>1167</v>
      </c>
      <c r="B383" s="1040" t="s">
        <v>1168</v>
      </c>
      <c r="C383" s="1044">
        <v>45646</v>
      </c>
      <c r="D383" s="1037">
        <v>45708</v>
      </c>
      <c r="E383" s="1042"/>
    </row>
    <row r="384" spans="1:5">
      <c r="A384" s="1039" t="s">
        <v>1169</v>
      </c>
      <c r="B384" s="1040" t="s">
        <v>1170</v>
      </c>
      <c r="C384" s="1044">
        <v>45646</v>
      </c>
      <c r="D384" s="1037">
        <v>45708</v>
      </c>
      <c r="E384" s="1042"/>
    </row>
    <row r="385" spans="1:5">
      <c r="A385" s="1039" t="s">
        <v>1171</v>
      </c>
      <c r="B385" s="1040" t="s">
        <v>1172</v>
      </c>
      <c r="C385" s="1044">
        <v>45646</v>
      </c>
      <c r="D385" s="1037">
        <v>45708</v>
      </c>
      <c r="E385" s="1042"/>
    </row>
    <row r="386" spans="1:5">
      <c r="A386" s="1039" t="s">
        <v>1173</v>
      </c>
      <c r="B386" s="1040" t="s">
        <v>1174</v>
      </c>
      <c r="C386" s="1044">
        <v>45646</v>
      </c>
      <c r="D386" s="1037">
        <v>45708</v>
      </c>
      <c r="E386" s="1042"/>
    </row>
    <row r="387" spans="1:5">
      <c r="A387" s="1039" t="s">
        <v>1175</v>
      </c>
      <c r="B387" s="1040" t="s">
        <v>1176</v>
      </c>
      <c r="C387" s="1044">
        <v>45646</v>
      </c>
      <c r="D387" s="1037">
        <v>45708</v>
      </c>
      <c r="E387" s="1042"/>
    </row>
    <row r="388" spans="1:5">
      <c r="A388" s="1039" t="s">
        <v>1177</v>
      </c>
      <c r="B388" s="1040" t="s">
        <v>1178</v>
      </c>
      <c r="C388" s="1044">
        <v>45646</v>
      </c>
      <c r="D388" s="1037">
        <v>45708</v>
      </c>
      <c r="E388" s="1042"/>
    </row>
    <row r="389" spans="1:5">
      <c r="A389" s="1039" t="s">
        <v>1179</v>
      </c>
      <c r="B389" s="1040" t="s">
        <v>1180</v>
      </c>
      <c r="C389" s="1044">
        <v>45646</v>
      </c>
      <c r="D389" s="1037">
        <v>45708</v>
      </c>
      <c r="E389" s="1042"/>
    </row>
    <row r="390" spans="1:5">
      <c r="A390" s="1039" t="s">
        <v>1181</v>
      </c>
      <c r="B390" s="1040" t="s">
        <v>1182</v>
      </c>
      <c r="C390" s="1044">
        <v>45646</v>
      </c>
      <c r="D390" s="1037">
        <v>45708</v>
      </c>
      <c r="E390" s="1042"/>
    </row>
    <row r="391" spans="1:5">
      <c r="A391" s="1039" t="s">
        <v>1183</v>
      </c>
      <c r="B391" s="1040" t="s">
        <v>1184</v>
      </c>
      <c r="C391" s="1044">
        <v>45646</v>
      </c>
      <c r="D391" s="1037">
        <v>45708</v>
      </c>
      <c r="E391" s="1042"/>
    </row>
    <row r="392" spans="1:5">
      <c r="A392" s="1039" t="s">
        <v>1185</v>
      </c>
      <c r="B392" s="1040" t="s">
        <v>1186</v>
      </c>
      <c r="C392" s="1044">
        <v>45646</v>
      </c>
      <c r="D392" s="1037">
        <v>45708</v>
      </c>
      <c r="E392" s="1042"/>
    </row>
    <row r="393" spans="1:5">
      <c r="A393" s="1039" t="s">
        <v>1187</v>
      </c>
      <c r="B393" s="1040" t="s">
        <v>1188</v>
      </c>
      <c r="C393" s="1044">
        <v>45646</v>
      </c>
      <c r="D393" s="1037">
        <v>45708</v>
      </c>
      <c r="E393" s="1042"/>
    </row>
    <row r="394" spans="1:5">
      <c r="A394" s="1039" t="s">
        <v>1189</v>
      </c>
      <c r="B394" s="1040" t="s">
        <v>1190</v>
      </c>
      <c r="C394" s="1044">
        <v>45646</v>
      </c>
      <c r="D394" s="1037">
        <v>45708</v>
      </c>
      <c r="E394" s="1042"/>
    </row>
    <row r="395" spans="1:5">
      <c r="A395" s="1039" t="s">
        <v>1191</v>
      </c>
      <c r="B395" s="1040" t="s">
        <v>1192</v>
      </c>
      <c r="C395" s="1044">
        <v>45646</v>
      </c>
      <c r="D395" s="1037">
        <v>45708</v>
      </c>
      <c r="E395" s="1042"/>
    </row>
    <row r="396" spans="1:5">
      <c r="A396" s="1039" t="s">
        <v>1193</v>
      </c>
      <c r="B396" s="1040" t="s">
        <v>1194</v>
      </c>
      <c r="C396" s="1044">
        <v>45646</v>
      </c>
      <c r="D396" s="1037">
        <v>45708</v>
      </c>
      <c r="E396" s="1042"/>
    </row>
    <row r="397" spans="1:5">
      <c r="A397" s="1039" t="s">
        <v>1195</v>
      </c>
      <c r="B397" s="1040" t="s">
        <v>1194</v>
      </c>
      <c r="C397" s="1044">
        <v>45646</v>
      </c>
      <c r="D397" s="1037">
        <v>45708</v>
      </c>
      <c r="E397" s="1042"/>
    </row>
    <row r="398" spans="1:5">
      <c r="A398" s="1039" t="s">
        <v>1196</v>
      </c>
      <c r="B398" s="1040" t="s">
        <v>1194</v>
      </c>
      <c r="C398" s="1044">
        <v>45646</v>
      </c>
      <c r="D398" s="1037">
        <v>45708</v>
      </c>
      <c r="E398" s="1042"/>
    </row>
    <row r="399" spans="1:5">
      <c r="A399" s="1039" t="s">
        <v>1197</v>
      </c>
      <c r="B399" s="1040" t="s">
        <v>1194</v>
      </c>
      <c r="C399" s="1044">
        <v>45646</v>
      </c>
      <c r="D399" s="1037">
        <v>45708</v>
      </c>
      <c r="E399" s="1042"/>
    </row>
    <row r="400" spans="1:5">
      <c r="A400" s="1039" t="s">
        <v>1198</v>
      </c>
      <c r="B400" s="1040" t="s">
        <v>1194</v>
      </c>
      <c r="C400" s="1044">
        <v>45646</v>
      </c>
      <c r="D400" s="1037">
        <v>45708</v>
      </c>
      <c r="E400" s="1042"/>
    </row>
    <row r="401" spans="1:5">
      <c r="A401" s="1039" t="s">
        <v>1199</v>
      </c>
      <c r="B401" s="1040" t="s">
        <v>1194</v>
      </c>
      <c r="C401" s="1044">
        <v>45646</v>
      </c>
      <c r="D401" s="1037">
        <v>45708</v>
      </c>
      <c r="E401" s="1042"/>
    </row>
    <row r="402" spans="1:5">
      <c r="A402" s="1039" t="s">
        <v>1200</v>
      </c>
      <c r="B402" s="1040" t="s">
        <v>1194</v>
      </c>
      <c r="C402" s="1044">
        <v>45646</v>
      </c>
      <c r="D402" s="1037">
        <v>45708</v>
      </c>
      <c r="E402" s="1042"/>
    </row>
    <row r="403" spans="1:5">
      <c r="A403" s="1039" t="s">
        <v>1201</v>
      </c>
      <c r="B403" s="1040" t="s">
        <v>1194</v>
      </c>
      <c r="C403" s="1044">
        <v>45646</v>
      </c>
      <c r="D403" s="1037">
        <v>45708</v>
      </c>
      <c r="E403" s="1042"/>
    </row>
    <row r="404" spans="1:5">
      <c r="A404" s="1039" t="s">
        <v>1202</v>
      </c>
      <c r="B404" s="1040" t="s">
        <v>1203</v>
      </c>
      <c r="C404" s="1044">
        <v>45646</v>
      </c>
      <c r="D404" s="1037">
        <v>45708</v>
      </c>
      <c r="E404" s="1042"/>
    </row>
    <row r="405" spans="1:5">
      <c r="A405" s="1039" t="s">
        <v>1204</v>
      </c>
      <c r="B405" s="1040" t="s">
        <v>1203</v>
      </c>
      <c r="C405" s="1044">
        <v>45646</v>
      </c>
      <c r="D405" s="1037">
        <v>45708</v>
      </c>
      <c r="E405" s="1042"/>
    </row>
    <row r="406" spans="1:5">
      <c r="A406" s="1039" t="s">
        <v>1205</v>
      </c>
      <c r="B406" s="1040" t="s">
        <v>1206</v>
      </c>
      <c r="C406" s="1044">
        <v>45646</v>
      </c>
      <c r="D406" s="1037">
        <v>45708</v>
      </c>
      <c r="E406" s="1042"/>
    </row>
    <row r="407" spans="1:5">
      <c r="A407" s="1039" t="s">
        <v>1207</v>
      </c>
      <c r="B407" s="1040" t="s">
        <v>1206</v>
      </c>
      <c r="C407" s="1044">
        <v>45646</v>
      </c>
      <c r="D407" s="1037">
        <v>45708</v>
      </c>
      <c r="E407" s="1042"/>
    </row>
    <row r="408" spans="1:5">
      <c r="A408" s="1039" t="s">
        <v>1208</v>
      </c>
      <c r="B408" s="1040" t="s">
        <v>1206</v>
      </c>
      <c r="C408" s="1044">
        <v>45646</v>
      </c>
      <c r="D408" s="1037">
        <v>45708</v>
      </c>
      <c r="E408" s="1042"/>
    </row>
    <row r="409" spans="1:5">
      <c r="A409" s="1039" t="s">
        <v>1209</v>
      </c>
      <c r="B409" s="1040" t="s">
        <v>1206</v>
      </c>
      <c r="C409" s="1044">
        <v>45646</v>
      </c>
      <c r="D409" s="1037">
        <v>45708</v>
      </c>
      <c r="E409" s="1042"/>
    </row>
    <row r="410" spans="1:5">
      <c r="A410" s="1039" t="s">
        <v>1210</v>
      </c>
      <c r="B410" s="1040" t="s">
        <v>1206</v>
      </c>
      <c r="C410" s="1044">
        <v>45646</v>
      </c>
      <c r="D410" s="1037">
        <v>45708</v>
      </c>
      <c r="E410" s="1042"/>
    </row>
    <row r="411" spans="1:5">
      <c r="A411" s="1039" t="s">
        <v>1211</v>
      </c>
      <c r="B411" s="1040" t="s">
        <v>1212</v>
      </c>
      <c r="C411" s="1044">
        <v>45646</v>
      </c>
      <c r="D411" s="1037">
        <v>45708</v>
      </c>
      <c r="E411" s="1042"/>
    </row>
    <row r="412" spans="1:5">
      <c r="A412" s="1039" t="s">
        <v>1213</v>
      </c>
      <c r="B412" s="1040" t="s">
        <v>1212</v>
      </c>
      <c r="C412" s="1044">
        <v>45646</v>
      </c>
      <c r="D412" s="1037">
        <v>45708</v>
      </c>
      <c r="E412" s="1042"/>
    </row>
    <row r="413" spans="1:5">
      <c r="A413" s="1039" t="s">
        <v>1214</v>
      </c>
      <c r="B413" s="1040" t="s">
        <v>1212</v>
      </c>
      <c r="C413" s="1044">
        <v>45646</v>
      </c>
      <c r="D413" s="1037">
        <v>45708</v>
      </c>
      <c r="E413" s="1042"/>
    </row>
    <row r="414" spans="1:5">
      <c r="A414" s="1039" t="s">
        <v>1215</v>
      </c>
      <c r="B414" s="1040" t="s">
        <v>1212</v>
      </c>
      <c r="C414" s="1044">
        <v>45646</v>
      </c>
      <c r="D414" s="1037">
        <v>45708</v>
      </c>
      <c r="E414" s="1042"/>
    </row>
    <row r="415" spans="1:5">
      <c r="A415" s="1039" t="s">
        <v>1216</v>
      </c>
      <c r="B415" s="1040" t="s">
        <v>1212</v>
      </c>
      <c r="C415" s="1044">
        <v>45646</v>
      </c>
      <c r="D415" s="1037">
        <v>45708</v>
      </c>
      <c r="E415" s="1042"/>
    </row>
    <row r="416" spans="1:5">
      <c r="A416" s="1039" t="s">
        <v>1217</v>
      </c>
      <c r="B416" s="1040" t="s">
        <v>1218</v>
      </c>
      <c r="C416" s="1044">
        <v>45646</v>
      </c>
      <c r="D416" s="1037">
        <v>45708</v>
      </c>
      <c r="E416" s="1042"/>
    </row>
    <row r="417" spans="1:5">
      <c r="A417" s="1039" t="s">
        <v>1219</v>
      </c>
      <c r="B417" s="1040" t="s">
        <v>1220</v>
      </c>
      <c r="C417" s="1044">
        <v>45646</v>
      </c>
      <c r="D417" s="1037">
        <v>45708</v>
      </c>
      <c r="E417" s="1042"/>
    </row>
    <row r="418" spans="1:5">
      <c r="A418" s="1039" t="s">
        <v>1221</v>
      </c>
      <c r="B418" s="1040" t="s">
        <v>1220</v>
      </c>
      <c r="C418" s="1044">
        <v>45646</v>
      </c>
      <c r="D418" s="1037">
        <v>45708</v>
      </c>
      <c r="E418" s="1042"/>
    </row>
    <row r="419" spans="1:5">
      <c r="A419" s="1039" t="s">
        <v>1222</v>
      </c>
      <c r="B419" s="1040" t="s">
        <v>1220</v>
      </c>
      <c r="C419" s="1044">
        <v>45646</v>
      </c>
      <c r="D419" s="1037">
        <v>45708</v>
      </c>
      <c r="E419" s="1042"/>
    </row>
    <row r="420" spans="1:5">
      <c r="A420" s="1039" t="s">
        <v>1223</v>
      </c>
      <c r="B420" s="1040" t="s">
        <v>1220</v>
      </c>
      <c r="C420" s="1044">
        <v>45646</v>
      </c>
      <c r="D420" s="1037">
        <v>45708</v>
      </c>
      <c r="E420" s="1042"/>
    </row>
    <row r="421" spans="1:5">
      <c r="A421" s="1039" t="s">
        <v>1224</v>
      </c>
      <c r="B421" s="1040" t="s">
        <v>1220</v>
      </c>
      <c r="C421" s="1044">
        <v>45646</v>
      </c>
      <c r="D421" s="1037">
        <v>45708</v>
      </c>
      <c r="E421" s="1042"/>
    </row>
    <row r="422" spans="1:5">
      <c r="A422" s="1039" t="s">
        <v>1225</v>
      </c>
      <c r="B422" s="1040" t="s">
        <v>1220</v>
      </c>
      <c r="C422" s="1044">
        <v>45646</v>
      </c>
      <c r="D422" s="1037">
        <v>45708</v>
      </c>
      <c r="E422" s="1042"/>
    </row>
    <row r="423" spans="1:5">
      <c r="A423" s="1039" t="s">
        <v>1226</v>
      </c>
      <c r="B423" s="1040" t="s">
        <v>1220</v>
      </c>
      <c r="C423" s="1044">
        <v>45646</v>
      </c>
      <c r="D423" s="1037">
        <v>45708</v>
      </c>
      <c r="E423" s="1042"/>
    </row>
    <row r="424" spans="1:5">
      <c r="A424" s="1039" t="s">
        <v>1227</v>
      </c>
      <c r="B424" s="1040" t="s">
        <v>1220</v>
      </c>
      <c r="C424" s="1044">
        <v>45646</v>
      </c>
      <c r="D424" s="1037">
        <v>45708</v>
      </c>
      <c r="E424" s="1042"/>
    </row>
    <row r="425" spans="1:5">
      <c r="A425" s="1039" t="s">
        <v>1228</v>
      </c>
      <c r="B425" s="1040" t="s">
        <v>1220</v>
      </c>
      <c r="C425" s="1044">
        <v>45646</v>
      </c>
      <c r="D425" s="1037">
        <v>45708</v>
      </c>
      <c r="E425" s="1042"/>
    </row>
    <row r="426" spans="1:5">
      <c r="A426" s="1039" t="s">
        <v>1229</v>
      </c>
      <c r="B426" s="1040" t="s">
        <v>1220</v>
      </c>
      <c r="C426" s="1044">
        <v>45646</v>
      </c>
      <c r="D426" s="1037">
        <v>45708</v>
      </c>
      <c r="E426" s="1042"/>
    </row>
    <row r="427" spans="1:5">
      <c r="A427" s="1039" t="s">
        <v>1230</v>
      </c>
      <c r="B427" s="1040" t="s">
        <v>1231</v>
      </c>
      <c r="C427" s="1044">
        <v>45646</v>
      </c>
      <c r="D427" s="1037">
        <v>45708</v>
      </c>
      <c r="E427" s="1042"/>
    </row>
    <row r="428" spans="1:5">
      <c r="A428" s="1039"/>
      <c r="B428" s="1040"/>
      <c r="C428" s="1044"/>
      <c r="D428" s="1034"/>
      <c r="E428" s="1042"/>
    </row>
    <row r="429" spans="1:5">
      <c r="A429" s="1039"/>
      <c r="B429" s="1043" t="s">
        <v>1232</v>
      </c>
      <c r="C429" s="1044"/>
      <c r="D429" s="1034"/>
      <c r="E429" s="1042"/>
    </row>
    <row r="430" spans="1:5">
      <c r="A430" s="1039" t="s">
        <v>1233</v>
      </c>
      <c r="B430" s="1040" t="s">
        <v>1234</v>
      </c>
      <c r="C430" s="1044">
        <v>45646</v>
      </c>
      <c r="D430" s="1037">
        <v>45708</v>
      </c>
      <c r="E430" s="1042"/>
    </row>
    <row r="431" spans="1:5">
      <c r="A431" s="1039" t="s">
        <v>1235</v>
      </c>
      <c r="B431" s="1040" t="s">
        <v>1236</v>
      </c>
      <c r="C431" s="1044">
        <v>45646</v>
      </c>
      <c r="D431" s="1037">
        <v>45708</v>
      </c>
      <c r="E431" s="1042"/>
    </row>
    <row r="432" spans="1:5">
      <c r="A432" s="1039" t="s">
        <v>1237</v>
      </c>
      <c r="B432" s="1040" t="s">
        <v>1238</v>
      </c>
      <c r="C432" s="1044">
        <v>45646</v>
      </c>
      <c r="D432" s="1037">
        <v>45708</v>
      </c>
      <c r="E432" s="1045">
        <v>45716</v>
      </c>
    </row>
    <row r="433" spans="1:5">
      <c r="A433" s="1039" t="s">
        <v>381</v>
      </c>
      <c r="B433" s="1040" t="s">
        <v>1239</v>
      </c>
      <c r="C433" s="1044">
        <v>45646</v>
      </c>
      <c r="D433" s="1037">
        <v>45708</v>
      </c>
      <c r="E433" s="1045">
        <v>45716</v>
      </c>
    </row>
    <row r="434" spans="1:5">
      <c r="A434" s="1039" t="s">
        <v>1240</v>
      </c>
      <c r="B434" s="1040" t="s">
        <v>1241</v>
      </c>
      <c r="C434" s="1044">
        <v>45646</v>
      </c>
      <c r="D434" s="1037">
        <v>45708</v>
      </c>
      <c r="E434" s="1045">
        <v>45716</v>
      </c>
    </row>
    <row r="435" spans="1:5">
      <c r="A435" s="1039" t="s">
        <v>552</v>
      </c>
      <c r="B435" s="1040" t="s">
        <v>1242</v>
      </c>
      <c r="C435" s="1044">
        <v>45646</v>
      </c>
      <c r="D435" s="1037">
        <v>45708</v>
      </c>
      <c r="E435" s="1045">
        <v>45716</v>
      </c>
    </row>
    <row r="436" spans="1:5">
      <c r="A436" s="1039" t="s">
        <v>1243</v>
      </c>
      <c r="B436" s="1040" t="s">
        <v>1244</v>
      </c>
      <c r="C436" s="1044">
        <v>45646</v>
      </c>
      <c r="D436" s="1037">
        <v>45708</v>
      </c>
      <c r="E436" s="1045">
        <v>45716</v>
      </c>
    </row>
    <row r="437" spans="1:5">
      <c r="A437" s="1039" t="s">
        <v>1245</v>
      </c>
      <c r="B437" s="1040" t="s">
        <v>1246</v>
      </c>
      <c r="C437" s="1044">
        <v>45646</v>
      </c>
      <c r="D437" s="1037">
        <v>45708</v>
      </c>
      <c r="E437" s="1045">
        <v>45716</v>
      </c>
    </row>
    <row r="438" spans="1:5">
      <c r="A438" s="1039" t="s">
        <v>1247</v>
      </c>
      <c r="B438" s="1040" t="s">
        <v>1248</v>
      </c>
      <c r="C438" s="1044">
        <v>45646</v>
      </c>
      <c r="D438" s="1037">
        <v>45708</v>
      </c>
      <c r="E438" s="1045">
        <v>45716</v>
      </c>
    </row>
    <row r="439" spans="1:5">
      <c r="A439" s="1039" t="s">
        <v>1249</v>
      </c>
      <c r="B439" s="1040" t="s">
        <v>1250</v>
      </c>
      <c r="C439" s="1044">
        <v>45646</v>
      </c>
      <c r="D439" s="1037">
        <v>45708</v>
      </c>
      <c r="E439" s="1045">
        <v>45716</v>
      </c>
    </row>
    <row r="440" spans="1:5">
      <c r="A440" s="1039" t="s">
        <v>1251</v>
      </c>
      <c r="B440" s="1040" t="s">
        <v>1252</v>
      </c>
      <c r="C440" s="1044">
        <v>45646</v>
      </c>
      <c r="D440" s="1037">
        <v>45708</v>
      </c>
      <c r="E440" s="1042"/>
    </row>
    <row r="441" spans="1:5">
      <c r="A441" s="1039" t="s">
        <v>1253</v>
      </c>
      <c r="B441" s="1040" t="s">
        <v>1254</v>
      </c>
      <c r="C441" s="1044">
        <v>45646</v>
      </c>
      <c r="D441" s="1037">
        <v>45708</v>
      </c>
      <c r="E441" s="1045">
        <v>45716</v>
      </c>
    </row>
    <row r="442" spans="1:5">
      <c r="A442" s="1039" t="s">
        <v>1255</v>
      </c>
      <c r="B442" s="1040" t="s">
        <v>1256</v>
      </c>
      <c r="C442" s="1044">
        <v>45646</v>
      </c>
      <c r="D442" s="1037">
        <v>45708</v>
      </c>
      <c r="E442" s="1045">
        <v>45716</v>
      </c>
    </row>
    <row r="443" spans="1:5">
      <c r="A443" s="1039" t="s">
        <v>1257</v>
      </c>
      <c r="B443" s="1040" t="s">
        <v>1258</v>
      </c>
      <c r="C443" s="1044">
        <v>45646</v>
      </c>
      <c r="D443" s="1037">
        <v>45708</v>
      </c>
      <c r="E443" s="1045">
        <v>45716</v>
      </c>
    </row>
    <row r="444" spans="1:5">
      <c r="A444" s="1039" t="s">
        <v>1259</v>
      </c>
      <c r="B444" s="1040" t="s">
        <v>1260</v>
      </c>
      <c r="C444" s="1044">
        <v>45646</v>
      </c>
      <c r="D444" s="1037">
        <v>45708</v>
      </c>
      <c r="E444" s="1045">
        <v>45716</v>
      </c>
    </row>
    <row r="445" spans="1:5">
      <c r="A445" s="1039" t="s">
        <v>1261</v>
      </c>
      <c r="B445" s="1040" t="s">
        <v>1262</v>
      </c>
      <c r="C445" s="1044">
        <v>45646</v>
      </c>
      <c r="D445" s="1037">
        <v>45708</v>
      </c>
      <c r="E445" s="1042"/>
    </row>
    <row r="446" spans="1:5">
      <c r="A446" s="1039" t="s">
        <v>1263</v>
      </c>
      <c r="B446" s="1040" t="s">
        <v>1264</v>
      </c>
      <c r="C446" s="1044">
        <v>45646</v>
      </c>
      <c r="D446" s="1037">
        <v>45708</v>
      </c>
      <c r="E446" s="1042"/>
    </row>
    <row r="447" spans="1:5">
      <c r="A447" s="1039" t="s">
        <v>1265</v>
      </c>
      <c r="B447" s="1040" t="s">
        <v>1266</v>
      </c>
      <c r="C447" s="1044">
        <v>45646</v>
      </c>
      <c r="D447" s="1037">
        <v>45708</v>
      </c>
      <c r="E447" s="1042"/>
    </row>
    <row r="448" spans="1:5">
      <c r="A448" s="1039" t="s">
        <v>1267</v>
      </c>
      <c r="B448" s="1040" t="s">
        <v>1268</v>
      </c>
      <c r="C448" s="1044">
        <v>45646</v>
      </c>
      <c r="D448" s="1037">
        <v>45708</v>
      </c>
      <c r="E448" s="1045">
        <v>45716</v>
      </c>
    </row>
    <row r="449" spans="1:5">
      <c r="A449" s="1039" t="s">
        <v>1269</v>
      </c>
      <c r="B449" s="1040" t="s">
        <v>1270</v>
      </c>
      <c r="C449" s="1044">
        <v>45646</v>
      </c>
      <c r="D449" s="1037">
        <v>45708</v>
      </c>
      <c r="E449" s="1045">
        <v>45716</v>
      </c>
    </row>
    <row r="450" spans="1:5">
      <c r="A450" s="1039" t="s">
        <v>1271</v>
      </c>
      <c r="B450" s="1040" t="s">
        <v>1272</v>
      </c>
      <c r="C450" s="1044">
        <v>45646</v>
      </c>
      <c r="D450" s="1037">
        <v>45708</v>
      </c>
      <c r="E450" s="1045">
        <v>45716</v>
      </c>
    </row>
    <row r="451" spans="1:5">
      <c r="A451" s="1039" t="s">
        <v>1273</v>
      </c>
      <c r="B451" s="1040" t="s">
        <v>1274</v>
      </c>
      <c r="C451" s="1044">
        <v>45646</v>
      </c>
      <c r="D451" s="1037">
        <v>45708</v>
      </c>
      <c r="E451" s="1045">
        <v>45716</v>
      </c>
    </row>
    <row r="452" spans="1:5">
      <c r="A452" s="1039" t="s">
        <v>1275</v>
      </c>
      <c r="B452" s="1040" t="s">
        <v>1276</v>
      </c>
      <c r="C452" s="1044">
        <v>45646</v>
      </c>
      <c r="D452" s="1037">
        <v>45708</v>
      </c>
      <c r="E452" s="1042"/>
    </row>
    <row r="453" spans="1:5">
      <c r="A453" s="1039" t="s">
        <v>1277</v>
      </c>
      <c r="B453" s="1040" t="s">
        <v>1278</v>
      </c>
      <c r="C453" s="1044">
        <v>45646</v>
      </c>
      <c r="D453" s="1037">
        <v>45708</v>
      </c>
      <c r="E453" s="1042"/>
    </row>
    <row r="454" spans="1:5">
      <c r="A454" s="1039" t="s">
        <v>1279</v>
      </c>
      <c r="B454" s="1040" t="s">
        <v>1280</v>
      </c>
      <c r="C454" s="1044">
        <v>45646</v>
      </c>
      <c r="D454" s="1037">
        <v>45708</v>
      </c>
      <c r="E454" s="1042"/>
    </row>
    <row r="455" spans="1:5">
      <c r="A455" s="1039" t="s">
        <v>1281</v>
      </c>
      <c r="B455" s="1040" t="s">
        <v>1282</v>
      </c>
      <c r="C455" s="1044">
        <v>45646</v>
      </c>
      <c r="D455" s="1037">
        <v>45708</v>
      </c>
      <c r="E455" s="1042"/>
    </row>
    <row r="456" spans="1:5">
      <c r="A456" s="1039" t="s">
        <v>1283</v>
      </c>
      <c r="B456" s="1040" t="s">
        <v>1284</v>
      </c>
      <c r="C456" s="1044">
        <v>45646</v>
      </c>
      <c r="D456" s="1037">
        <v>45708</v>
      </c>
      <c r="E456" s="1042"/>
    </row>
    <row r="457" spans="1:5">
      <c r="A457" s="1039" t="s">
        <v>1285</v>
      </c>
      <c r="B457" s="1040" t="s">
        <v>1286</v>
      </c>
      <c r="C457" s="1044">
        <v>45646</v>
      </c>
      <c r="D457" s="1037">
        <v>45708</v>
      </c>
      <c r="E457" s="1042"/>
    </row>
    <row r="458" spans="1:5">
      <c r="A458" s="1039" t="s">
        <v>1287</v>
      </c>
      <c r="B458" s="1040" t="s">
        <v>1286</v>
      </c>
      <c r="C458" s="1044">
        <v>45646</v>
      </c>
      <c r="D458" s="1037">
        <v>45708</v>
      </c>
      <c r="E458" s="1042"/>
    </row>
    <row r="459" spans="1:5">
      <c r="A459" s="1039" t="s">
        <v>1288</v>
      </c>
      <c r="B459" s="1040" t="s">
        <v>1286</v>
      </c>
      <c r="C459" s="1044">
        <v>45646</v>
      </c>
      <c r="D459" s="1037">
        <v>45708</v>
      </c>
      <c r="E459" s="1042"/>
    </row>
    <row r="460" spans="1:5">
      <c r="A460" s="1039" t="s">
        <v>1289</v>
      </c>
      <c r="B460" s="1040" t="s">
        <v>1286</v>
      </c>
      <c r="C460" s="1044">
        <v>45646</v>
      </c>
      <c r="D460" s="1037">
        <v>45708</v>
      </c>
      <c r="E460" s="1042"/>
    </row>
    <row r="461" spans="1:5">
      <c r="A461" s="1039" t="s">
        <v>1290</v>
      </c>
      <c r="B461" s="1040" t="s">
        <v>1291</v>
      </c>
      <c r="C461" s="1044">
        <v>45646</v>
      </c>
      <c r="D461" s="1037">
        <v>45708</v>
      </c>
      <c r="E461" s="1042"/>
    </row>
    <row r="462" spans="1:5">
      <c r="A462" s="1039" t="s">
        <v>1292</v>
      </c>
      <c r="B462" s="1040" t="s">
        <v>1291</v>
      </c>
      <c r="C462" s="1044">
        <v>45646</v>
      </c>
      <c r="D462" s="1037">
        <v>45708</v>
      </c>
      <c r="E462" s="1042"/>
    </row>
    <row r="463" spans="1:5">
      <c r="A463" s="1039" t="s">
        <v>1293</v>
      </c>
      <c r="B463" s="1040" t="s">
        <v>1291</v>
      </c>
      <c r="C463" s="1044">
        <v>45646</v>
      </c>
      <c r="D463" s="1037">
        <v>45708</v>
      </c>
      <c r="E463" s="1042"/>
    </row>
    <row r="464" spans="1:5">
      <c r="A464" s="1039" t="s">
        <v>1294</v>
      </c>
      <c r="B464" s="1040" t="s">
        <v>1295</v>
      </c>
      <c r="C464" s="1044">
        <v>45646</v>
      </c>
      <c r="D464" s="1037">
        <v>45708</v>
      </c>
      <c r="E464" s="1042"/>
    </row>
    <row r="465" spans="1:5">
      <c r="A465" s="1039" t="s">
        <v>1296</v>
      </c>
      <c r="B465" s="1040" t="s">
        <v>1295</v>
      </c>
      <c r="C465" s="1044">
        <v>45646</v>
      </c>
      <c r="D465" s="1037">
        <v>45708</v>
      </c>
      <c r="E465" s="1042"/>
    </row>
    <row r="466" spans="1:5">
      <c r="A466" s="1039"/>
      <c r="B466" s="1040"/>
      <c r="C466" s="1044"/>
      <c r="D466" s="1034"/>
      <c r="E466" s="1042"/>
    </row>
    <row r="467" spans="1:5">
      <c r="A467" s="1039"/>
      <c r="B467" s="1043" t="s">
        <v>1297</v>
      </c>
      <c r="C467" s="1044"/>
      <c r="D467" s="1034"/>
      <c r="E467" s="1042"/>
    </row>
    <row r="468" spans="1:5">
      <c r="A468" s="1039" t="s">
        <v>1298</v>
      </c>
      <c r="B468" s="1040" t="s">
        <v>1299</v>
      </c>
      <c r="C468" s="1044">
        <v>45646</v>
      </c>
      <c r="D468" s="1037">
        <v>45708</v>
      </c>
      <c r="E468" s="1045">
        <v>45723</v>
      </c>
    </row>
    <row r="469" spans="1:5">
      <c r="A469" s="1039" t="s">
        <v>202</v>
      </c>
      <c r="B469" s="1040" t="s">
        <v>1300</v>
      </c>
      <c r="C469" s="1044">
        <v>45646</v>
      </c>
      <c r="D469" s="1037">
        <v>45708</v>
      </c>
      <c r="E469" s="1045">
        <v>45723</v>
      </c>
    </row>
    <row r="470" spans="1:5">
      <c r="A470" s="1039" t="s">
        <v>226</v>
      </c>
      <c r="B470" s="1040" t="s">
        <v>1301</v>
      </c>
      <c r="C470" s="1044">
        <v>45646</v>
      </c>
      <c r="D470" s="1037">
        <v>45708</v>
      </c>
      <c r="E470" s="1045">
        <v>45723</v>
      </c>
    </row>
    <row r="471" spans="1:5">
      <c r="A471" s="1039" t="s">
        <v>1302</v>
      </c>
      <c r="B471" s="1040" t="s">
        <v>1303</v>
      </c>
      <c r="C471" s="1044">
        <v>45646</v>
      </c>
      <c r="D471" s="1037">
        <v>45708</v>
      </c>
      <c r="E471" s="1045">
        <v>45723</v>
      </c>
    </row>
    <row r="472" spans="1:5">
      <c r="A472" s="1039" t="s">
        <v>255</v>
      </c>
      <c r="B472" s="1040" t="s">
        <v>1304</v>
      </c>
      <c r="C472" s="1044">
        <v>45646</v>
      </c>
      <c r="D472" s="1037">
        <v>45708</v>
      </c>
      <c r="E472" s="1045">
        <v>45723</v>
      </c>
    </row>
    <row r="473" spans="1:5">
      <c r="A473" s="1039" t="s">
        <v>1305</v>
      </c>
      <c r="B473" s="1040" t="s">
        <v>1306</v>
      </c>
      <c r="C473" s="1044">
        <v>45646</v>
      </c>
      <c r="D473" s="1037">
        <v>45708</v>
      </c>
      <c r="E473" s="1045">
        <v>45723</v>
      </c>
    </row>
    <row r="474" spans="1:5">
      <c r="A474" s="1039" t="s">
        <v>1307</v>
      </c>
      <c r="B474" s="1040" t="s">
        <v>1308</v>
      </c>
      <c r="C474" s="1044">
        <v>45646</v>
      </c>
      <c r="D474" s="1037">
        <v>45708</v>
      </c>
      <c r="E474" s="1045">
        <v>45723</v>
      </c>
    </row>
    <row r="475" spans="1:5">
      <c r="A475" s="1039" t="s">
        <v>259</v>
      </c>
      <c r="B475" s="1040" t="s">
        <v>1309</v>
      </c>
      <c r="C475" s="1044">
        <v>45646</v>
      </c>
      <c r="D475" s="1037">
        <v>45708</v>
      </c>
      <c r="E475" s="1045">
        <v>45723</v>
      </c>
    </row>
    <row r="476" spans="1:5">
      <c r="A476" s="1039" t="s">
        <v>220</v>
      </c>
      <c r="B476" s="1040" t="s">
        <v>1310</v>
      </c>
      <c r="C476" s="1044">
        <v>45646</v>
      </c>
      <c r="D476" s="1037">
        <v>45708</v>
      </c>
      <c r="E476" s="1045">
        <v>45723</v>
      </c>
    </row>
    <row r="477" spans="1:5">
      <c r="A477" s="1039" t="s">
        <v>213</v>
      </c>
      <c r="B477" s="1040" t="s">
        <v>1311</v>
      </c>
      <c r="C477" s="1044">
        <v>45646</v>
      </c>
      <c r="D477" s="1037">
        <v>45708</v>
      </c>
      <c r="E477" s="1045">
        <v>45723</v>
      </c>
    </row>
    <row r="478" spans="1:5">
      <c r="A478" s="1039" t="s">
        <v>1312</v>
      </c>
      <c r="B478" s="1040" t="s">
        <v>1313</v>
      </c>
      <c r="C478" s="1044">
        <v>45646</v>
      </c>
      <c r="D478" s="1037">
        <v>45708</v>
      </c>
      <c r="E478" s="1042"/>
    </row>
    <row r="479" spans="1:5">
      <c r="A479" s="1039" t="s">
        <v>266</v>
      </c>
      <c r="B479" s="1040" t="s">
        <v>1314</v>
      </c>
      <c r="C479" s="1044">
        <v>45646</v>
      </c>
      <c r="D479" s="1037">
        <v>45708</v>
      </c>
      <c r="E479" s="1042"/>
    </row>
    <row r="480" spans="1:5">
      <c r="A480" s="1039" t="s">
        <v>1315</v>
      </c>
      <c r="B480" s="1040" t="s">
        <v>1316</v>
      </c>
      <c r="C480" s="1044">
        <v>45646</v>
      </c>
      <c r="D480" s="1037">
        <v>45708</v>
      </c>
      <c r="E480" s="1042"/>
    </row>
    <row r="481" spans="1:5">
      <c r="A481" s="1039" t="s">
        <v>1317</v>
      </c>
      <c r="B481" s="1040" t="s">
        <v>1318</v>
      </c>
      <c r="C481" s="1044">
        <v>45646</v>
      </c>
      <c r="D481" s="1037">
        <v>45708</v>
      </c>
      <c r="E481" s="1042"/>
    </row>
    <row r="482" spans="1:5">
      <c r="A482" s="1039" t="s">
        <v>1319</v>
      </c>
      <c r="B482" s="1040" t="s">
        <v>1320</v>
      </c>
      <c r="C482" s="1044">
        <v>45646</v>
      </c>
      <c r="D482" s="1037">
        <v>45708</v>
      </c>
      <c r="E482" s="1042"/>
    </row>
    <row r="483" spans="1:5">
      <c r="A483" s="1039" t="s">
        <v>1321</v>
      </c>
      <c r="B483" s="1040" t="s">
        <v>1322</v>
      </c>
      <c r="C483" s="1044">
        <v>45646</v>
      </c>
      <c r="D483" s="1037">
        <v>45708</v>
      </c>
      <c r="E483" s="1042"/>
    </row>
    <row r="484" spans="1:5">
      <c r="A484" s="1039" t="s">
        <v>1323</v>
      </c>
      <c r="B484" s="1040" t="s">
        <v>1324</v>
      </c>
      <c r="C484" s="1044">
        <v>45646</v>
      </c>
      <c r="D484" s="1037">
        <v>45708</v>
      </c>
      <c r="E484" s="1045">
        <v>45723</v>
      </c>
    </row>
    <row r="485" spans="1:5">
      <c r="A485" s="1039" t="s">
        <v>1325</v>
      </c>
      <c r="B485" s="1040" t="s">
        <v>1326</v>
      </c>
      <c r="C485" s="1044">
        <v>45646</v>
      </c>
      <c r="D485" s="1037">
        <v>45708</v>
      </c>
      <c r="E485" s="1042"/>
    </row>
    <row r="486" spans="1:5">
      <c r="A486" s="1039" t="s">
        <v>1327</v>
      </c>
      <c r="B486" s="1040" t="s">
        <v>1328</v>
      </c>
      <c r="C486" s="1044">
        <v>45646</v>
      </c>
      <c r="D486" s="1037">
        <v>45708</v>
      </c>
      <c r="E486" s="1042"/>
    </row>
    <row r="487" spans="1:5">
      <c r="A487" s="1039" t="s">
        <v>1329</v>
      </c>
      <c r="B487" s="1040" t="s">
        <v>1328</v>
      </c>
      <c r="C487" s="1044">
        <v>45646</v>
      </c>
      <c r="D487" s="1037">
        <v>45708</v>
      </c>
      <c r="E487" s="1042"/>
    </row>
    <row r="488" spans="1:5">
      <c r="A488" s="1039" t="s">
        <v>1330</v>
      </c>
      <c r="B488" s="1040" t="s">
        <v>1328</v>
      </c>
      <c r="C488" s="1044">
        <v>45646</v>
      </c>
      <c r="D488" s="1037">
        <v>45708</v>
      </c>
      <c r="E488" s="1042"/>
    </row>
    <row r="489" spans="1:5">
      <c r="A489" s="1039" t="s">
        <v>1331</v>
      </c>
      <c r="B489" s="1040" t="s">
        <v>1332</v>
      </c>
      <c r="C489" s="1044">
        <v>45646</v>
      </c>
      <c r="D489" s="1037">
        <v>45708</v>
      </c>
      <c r="E489" s="1042"/>
    </row>
    <row r="490" spans="1:5">
      <c r="A490" s="1039" t="s">
        <v>1333</v>
      </c>
      <c r="B490" s="1040" t="s">
        <v>1332</v>
      </c>
      <c r="C490" s="1044">
        <v>45646</v>
      </c>
      <c r="D490" s="1037">
        <v>45708</v>
      </c>
      <c r="E490" s="1042"/>
    </row>
    <row r="491" spans="1:5">
      <c r="A491" s="1039" t="s">
        <v>1334</v>
      </c>
      <c r="B491" s="1040" t="s">
        <v>1332</v>
      </c>
      <c r="C491" s="1044">
        <v>45646</v>
      </c>
      <c r="D491" s="1037">
        <v>45708</v>
      </c>
      <c r="E491" s="1042"/>
    </row>
    <row r="492" spans="1:5">
      <c r="A492" s="1039" t="s">
        <v>1335</v>
      </c>
      <c r="B492" s="1040" t="s">
        <v>1336</v>
      </c>
      <c r="C492" s="1044">
        <v>45646</v>
      </c>
      <c r="D492" s="1037">
        <v>45708</v>
      </c>
      <c r="E492" s="1042"/>
    </row>
    <row r="493" spans="1:5">
      <c r="A493" s="1039" t="s">
        <v>1337</v>
      </c>
      <c r="B493" s="1040" t="s">
        <v>1336</v>
      </c>
      <c r="C493" s="1044">
        <v>45646</v>
      </c>
      <c r="D493" s="1037">
        <v>45708</v>
      </c>
      <c r="E493" s="1042"/>
    </row>
    <row r="494" spans="1:5">
      <c r="A494" s="1039" t="s">
        <v>1338</v>
      </c>
      <c r="B494" s="1040" t="s">
        <v>1339</v>
      </c>
      <c r="C494" s="1044">
        <v>45646</v>
      </c>
      <c r="D494" s="1037">
        <v>45708</v>
      </c>
      <c r="E494" s="1042"/>
    </row>
    <row r="495" spans="1:5">
      <c r="A495" s="1039" t="s">
        <v>1340</v>
      </c>
      <c r="B495" s="1040" t="s">
        <v>1339</v>
      </c>
      <c r="C495" s="1044">
        <v>45646</v>
      </c>
      <c r="D495" s="1037">
        <v>45708</v>
      </c>
      <c r="E495" s="1042"/>
    </row>
    <row r="496" spans="1:5">
      <c r="A496" s="1039" t="s">
        <v>1341</v>
      </c>
      <c r="B496" s="1040" t="s">
        <v>1332</v>
      </c>
      <c r="C496" s="1044">
        <v>45646</v>
      </c>
      <c r="D496" s="1037">
        <v>45708</v>
      </c>
      <c r="E496" s="1042"/>
    </row>
    <row r="497" spans="1:5">
      <c r="A497" s="1039" t="s">
        <v>1342</v>
      </c>
      <c r="B497" s="1040" t="s">
        <v>1332</v>
      </c>
      <c r="C497" s="1044">
        <v>45646</v>
      </c>
      <c r="D497" s="1037">
        <v>45708</v>
      </c>
      <c r="E497" s="1045">
        <v>45723</v>
      </c>
    </row>
    <row r="498" spans="1:5">
      <c r="A498" s="1039" t="s">
        <v>1343</v>
      </c>
      <c r="B498" s="1040" t="s">
        <v>1332</v>
      </c>
      <c r="C498" s="1044">
        <v>45646</v>
      </c>
      <c r="D498" s="1037">
        <v>45708</v>
      </c>
      <c r="E498" s="1045">
        <v>45723</v>
      </c>
    </row>
    <row r="499" spans="1:5">
      <c r="A499" s="1039" t="s">
        <v>1344</v>
      </c>
      <c r="B499" s="1040" t="s">
        <v>1336</v>
      </c>
      <c r="C499" s="1044">
        <v>45646</v>
      </c>
      <c r="D499" s="1037">
        <v>45708</v>
      </c>
      <c r="E499" s="1045">
        <v>45723</v>
      </c>
    </row>
    <row r="500" spans="1:5">
      <c r="A500" s="1039" t="s">
        <v>1345</v>
      </c>
      <c r="B500" s="1040" t="s">
        <v>1336</v>
      </c>
      <c r="C500" s="1044">
        <v>45646</v>
      </c>
      <c r="D500" s="1037">
        <v>45708</v>
      </c>
      <c r="E500" s="1045">
        <v>45723</v>
      </c>
    </row>
    <row r="501" spans="1:5">
      <c r="A501" s="1039" t="s">
        <v>1346</v>
      </c>
      <c r="B501" s="1040" t="s">
        <v>1339</v>
      </c>
      <c r="C501" s="1044">
        <v>45646</v>
      </c>
      <c r="D501" s="1037">
        <v>45708</v>
      </c>
      <c r="E501" s="1042"/>
    </row>
    <row r="502" spans="1:5">
      <c r="A502" s="1039" t="s">
        <v>1347</v>
      </c>
      <c r="B502" s="1040" t="s">
        <v>1339</v>
      </c>
      <c r="C502" s="1044">
        <v>45646</v>
      </c>
      <c r="D502" s="1037">
        <v>45708</v>
      </c>
      <c r="E502" s="1042"/>
    </row>
    <row r="503" spans="1:5">
      <c r="A503" s="1039" t="s">
        <v>1348</v>
      </c>
      <c r="B503" s="1040" t="s">
        <v>1339</v>
      </c>
      <c r="C503" s="1044">
        <v>45646</v>
      </c>
      <c r="D503" s="1037">
        <v>45708</v>
      </c>
      <c r="E503" s="1042"/>
    </row>
    <row r="504" spans="1:5">
      <c r="A504" s="1039"/>
      <c r="B504" s="1040"/>
      <c r="C504" s="1044"/>
      <c r="D504" s="1034"/>
      <c r="E504" s="1042"/>
    </row>
    <row r="505" spans="1:5">
      <c r="A505" s="1039"/>
      <c r="B505" s="1043" t="s">
        <v>1349</v>
      </c>
      <c r="C505" s="1044"/>
      <c r="D505" s="1034"/>
      <c r="E505" s="1042"/>
    </row>
    <row r="506" spans="1:5">
      <c r="A506" s="1039"/>
      <c r="B506" s="1046" t="s">
        <v>1350</v>
      </c>
      <c r="C506" s="1044"/>
      <c r="D506" s="1034"/>
      <c r="E506" s="1042"/>
    </row>
    <row r="507" spans="1:5">
      <c r="A507" s="1039" t="s">
        <v>1351</v>
      </c>
      <c r="B507" s="1040" t="s">
        <v>1352</v>
      </c>
      <c r="C507" s="1044">
        <v>45646</v>
      </c>
      <c r="D507" s="1037">
        <v>45708</v>
      </c>
      <c r="E507" s="1042"/>
    </row>
    <row r="508" spans="1:5">
      <c r="A508" s="1039" t="s">
        <v>1353</v>
      </c>
      <c r="B508" s="1040" t="s">
        <v>1354</v>
      </c>
      <c r="C508" s="1044">
        <v>45646</v>
      </c>
      <c r="D508" s="1037">
        <v>45708</v>
      </c>
      <c r="E508" s="1042"/>
    </row>
    <row r="509" spans="1:5">
      <c r="A509" s="1039" t="s">
        <v>1355</v>
      </c>
      <c r="B509" s="1040" t="s">
        <v>1356</v>
      </c>
      <c r="C509" s="1044">
        <v>45646</v>
      </c>
      <c r="D509" s="1037">
        <v>45708</v>
      </c>
      <c r="E509" s="1042"/>
    </row>
    <row r="510" spans="1:5">
      <c r="A510" s="1039" t="s">
        <v>1357</v>
      </c>
      <c r="B510" s="1040" t="s">
        <v>1358</v>
      </c>
      <c r="C510" s="1044">
        <v>45646</v>
      </c>
      <c r="D510" s="1037">
        <v>45708</v>
      </c>
      <c r="E510" s="1042"/>
    </row>
    <row r="511" spans="1:5">
      <c r="A511" s="1039" t="s">
        <v>1359</v>
      </c>
      <c r="B511" s="1040" t="s">
        <v>1360</v>
      </c>
      <c r="C511" s="1044">
        <v>45646</v>
      </c>
      <c r="D511" s="1037">
        <v>45708</v>
      </c>
      <c r="E511" s="1042"/>
    </row>
    <row r="512" spans="1:5">
      <c r="A512" s="1039" t="s">
        <v>1361</v>
      </c>
      <c r="B512" s="1040" t="s">
        <v>1362</v>
      </c>
      <c r="C512" s="1044">
        <v>45646</v>
      </c>
      <c r="D512" s="1037">
        <v>45708</v>
      </c>
      <c r="E512" s="1042"/>
    </row>
    <row r="513" spans="1:5">
      <c r="A513" s="1039" t="s">
        <v>1363</v>
      </c>
      <c r="B513" s="1040" t="s">
        <v>1364</v>
      </c>
      <c r="C513" s="1044">
        <v>45646</v>
      </c>
      <c r="D513" s="1037">
        <v>45708</v>
      </c>
      <c r="E513" s="1042"/>
    </row>
    <row r="514" spans="1:5">
      <c r="A514" s="1039" t="s">
        <v>1365</v>
      </c>
      <c r="B514" s="1040" t="s">
        <v>1366</v>
      </c>
      <c r="C514" s="1044">
        <v>45646</v>
      </c>
      <c r="D514" s="1037">
        <v>45708</v>
      </c>
      <c r="E514" s="1042"/>
    </row>
    <row r="515" spans="1:5">
      <c r="A515" s="1039" t="s">
        <v>1367</v>
      </c>
      <c r="B515" s="1040" t="s">
        <v>1368</v>
      </c>
      <c r="C515" s="1044">
        <v>45646</v>
      </c>
      <c r="D515" s="1037">
        <v>45708</v>
      </c>
      <c r="E515" s="1042"/>
    </row>
    <row r="516" spans="1:5">
      <c r="A516" s="1039" t="s">
        <v>1351</v>
      </c>
      <c r="B516" s="1040" t="s">
        <v>1369</v>
      </c>
      <c r="C516" s="1044">
        <v>45646</v>
      </c>
      <c r="D516" s="1037">
        <v>45708</v>
      </c>
      <c r="E516" s="1042"/>
    </row>
    <row r="517" spans="1:5">
      <c r="A517" s="1039" t="s">
        <v>1353</v>
      </c>
      <c r="B517" s="1040" t="s">
        <v>1370</v>
      </c>
      <c r="C517" s="1044">
        <v>45646</v>
      </c>
      <c r="D517" s="1037">
        <v>45708</v>
      </c>
      <c r="E517" s="1042"/>
    </row>
    <row r="518" spans="1:5">
      <c r="A518" s="1039" t="s">
        <v>1355</v>
      </c>
      <c r="B518" s="1040" t="s">
        <v>1371</v>
      </c>
      <c r="C518" s="1047">
        <v>45695</v>
      </c>
      <c r="D518" s="1037">
        <v>45708</v>
      </c>
      <c r="E518" s="1042"/>
    </row>
    <row r="519" spans="1:5">
      <c r="A519" s="1039" t="s">
        <v>1372</v>
      </c>
      <c r="B519" s="1040" t="s">
        <v>1373</v>
      </c>
      <c r="C519" s="1044">
        <v>45695</v>
      </c>
      <c r="D519" s="1037">
        <v>45708</v>
      </c>
      <c r="E519" s="1042"/>
    </row>
    <row r="520" spans="1:5">
      <c r="A520" s="1039" t="s">
        <v>1357</v>
      </c>
      <c r="B520" s="1040" t="s">
        <v>1374</v>
      </c>
      <c r="C520" s="1044">
        <v>45695</v>
      </c>
      <c r="D520" s="1037">
        <v>45708</v>
      </c>
      <c r="E520" s="1042"/>
    </row>
    <row r="521" spans="1:5">
      <c r="A521" s="1039" t="s">
        <v>1359</v>
      </c>
      <c r="B521" s="1040" t="s">
        <v>1375</v>
      </c>
      <c r="C521" s="1044">
        <v>45695</v>
      </c>
      <c r="D521" s="1037">
        <v>45708</v>
      </c>
      <c r="E521" s="1042"/>
    </row>
    <row r="522" spans="1:5">
      <c r="A522" s="1039" t="s">
        <v>1361</v>
      </c>
      <c r="B522" s="1040" t="s">
        <v>1376</v>
      </c>
      <c r="C522" s="1044">
        <v>45646</v>
      </c>
      <c r="D522" s="1037">
        <v>45708</v>
      </c>
      <c r="E522" s="1042"/>
    </row>
    <row r="523" spans="1:5">
      <c r="A523" s="1039" t="s">
        <v>1363</v>
      </c>
      <c r="B523" s="1040" t="s">
        <v>1377</v>
      </c>
      <c r="C523" s="1044">
        <v>45695</v>
      </c>
      <c r="D523" s="1037">
        <v>45708</v>
      </c>
      <c r="E523" s="1042"/>
    </row>
    <row r="524" spans="1:5">
      <c r="A524" s="1039" t="s">
        <v>1365</v>
      </c>
      <c r="B524" s="1040" t="s">
        <v>1378</v>
      </c>
      <c r="C524" s="1044">
        <v>45695</v>
      </c>
      <c r="D524" s="1037">
        <v>45708</v>
      </c>
      <c r="E524" s="1042"/>
    </row>
    <row r="525" spans="1:5">
      <c r="A525" s="1039" t="s">
        <v>1367</v>
      </c>
      <c r="B525" s="1040" t="s">
        <v>1379</v>
      </c>
      <c r="C525" s="1044">
        <v>45646</v>
      </c>
      <c r="D525" s="1037">
        <v>45708</v>
      </c>
      <c r="E525" s="1042"/>
    </row>
    <row r="526" spans="1:5">
      <c r="A526" s="1039" t="s">
        <v>1351</v>
      </c>
      <c r="B526" s="1040" t="s">
        <v>1380</v>
      </c>
      <c r="C526" s="1044"/>
      <c r="D526" s="1037"/>
      <c r="E526" s="1042"/>
    </row>
    <row r="527" spans="1:5">
      <c r="A527" s="1039" t="s">
        <v>1353</v>
      </c>
      <c r="B527" s="1040" t="s">
        <v>1381</v>
      </c>
      <c r="C527" s="1044">
        <v>45695</v>
      </c>
      <c r="D527" s="1037">
        <v>45708</v>
      </c>
      <c r="E527" s="1042"/>
    </row>
    <row r="528" spans="1:5">
      <c r="A528" s="1039" t="s">
        <v>1382</v>
      </c>
      <c r="B528" s="1040" t="s">
        <v>1381</v>
      </c>
      <c r="C528" s="1044">
        <v>45695</v>
      </c>
      <c r="D528" s="1037">
        <v>45708</v>
      </c>
      <c r="E528" s="1042"/>
    </row>
    <row r="529" spans="1:5">
      <c r="A529" s="1039" t="s">
        <v>1383</v>
      </c>
      <c r="B529" s="1040" t="s">
        <v>1381</v>
      </c>
      <c r="C529" s="1044">
        <v>45695</v>
      </c>
      <c r="D529" s="1037">
        <v>45708</v>
      </c>
      <c r="E529" s="1042"/>
    </row>
    <row r="530" spans="1:5">
      <c r="A530" s="1039" t="s">
        <v>1355</v>
      </c>
      <c r="B530" s="1040" t="s">
        <v>1384</v>
      </c>
      <c r="C530" s="1044">
        <v>45695</v>
      </c>
      <c r="D530" s="1037">
        <v>45708</v>
      </c>
      <c r="E530" s="1042"/>
    </row>
    <row r="531" spans="1:5">
      <c r="A531" s="1039" t="s">
        <v>1357</v>
      </c>
      <c r="B531" s="1040" t="s">
        <v>1385</v>
      </c>
      <c r="C531" s="1044">
        <v>45695</v>
      </c>
      <c r="D531" s="1037">
        <v>45708</v>
      </c>
      <c r="E531" s="1042"/>
    </row>
    <row r="532" spans="1:5">
      <c r="A532" s="1039" t="s">
        <v>1386</v>
      </c>
      <c r="B532" s="1040" t="s">
        <v>1387</v>
      </c>
      <c r="C532" s="1044">
        <v>45646</v>
      </c>
      <c r="D532" s="1037">
        <v>45708</v>
      </c>
      <c r="E532" s="1042"/>
    </row>
    <row r="533" spans="1:5">
      <c r="A533" s="1039" t="s">
        <v>1388</v>
      </c>
      <c r="B533" s="1040" t="s">
        <v>1389</v>
      </c>
      <c r="C533" s="1044">
        <v>45646</v>
      </c>
      <c r="D533" s="1037">
        <v>45708</v>
      </c>
      <c r="E533" s="1042"/>
    </row>
    <row r="534" spans="1:5">
      <c r="A534" s="1039" t="s">
        <v>1390</v>
      </c>
      <c r="B534" s="1040" t="s">
        <v>1391</v>
      </c>
      <c r="C534" s="1044">
        <v>45646</v>
      </c>
      <c r="D534" s="1037">
        <v>45708</v>
      </c>
      <c r="E534" s="1042"/>
    </row>
    <row r="535" spans="1:5">
      <c r="A535" s="1039" t="s">
        <v>1392</v>
      </c>
      <c r="B535" s="1040" t="s">
        <v>1393</v>
      </c>
      <c r="C535" s="1044">
        <v>45646</v>
      </c>
      <c r="D535" s="1037">
        <v>45708</v>
      </c>
      <c r="E535" s="1042"/>
    </row>
    <row r="536" spans="1:5">
      <c r="A536" s="1039" t="s">
        <v>1394</v>
      </c>
      <c r="B536" s="1040" t="s">
        <v>1395</v>
      </c>
      <c r="C536" s="1044">
        <v>45646</v>
      </c>
      <c r="D536" s="1037">
        <v>45708</v>
      </c>
      <c r="E536" s="1042"/>
    </row>
    <row r="537" spans="1:5">
      <c r="A537" s="1039" t="s">
        <v>1396</v>
      </c>
      <c r="B537" s="1040" t="s">
        <v>1397</v>
      </c>
      <c r="C537" s="1044">
        <v>45646</v>
      </c>
      <c r="D537" s="1037">
        <v>45708</v>
      </c>
      <c r="E537" s="1042"/>
    </row>
    <row r="538" spans="1:5">
      <c r="A538" s="1039" t="s">
        <v>1398</v>
      </c>
      <c r="B538" s="1040" t="s">
        <v>1399</v>
      </c>
      <c r="C538" s="1044">
        <v>45695</v>
      </c>
      <c r="D538" s="1037">
        <v>45708</v>
      </c>
      <c r="E538" s="1042"/>
    </row>
    <row r="539" spans="1:5">
      <c r="A539" s="1039" t="s">
        <v>1400</v>
      </c>
      <c r="B539" s="1040" t="s">
        <v>1401</v>
      </c>
      <c r="C539" s="1044">
        <v>45646</v>
      </c>
      <c r="D539" s="1037">
        <v>45708</v>
      </c>
      <c r="E539" s="1042"/>
    </row>
    <row r="540" spans="1:5">
      <c r="A540" s="1039" t="s">
        <v>1359</v>
      </c>
      <c r="B540" s="1040" t="s">
        <v>1402</v>
      </c>
      <c r="C540" s="1044">
        <v>45695</v>
      </c>
      <c r="D540" s="1037">
        <v>45708</v>
      </c>
      <c r="E540" s="1042"/>
    </row>
    <row r="541" spans="1:5">
      <c r="A541" s="1039" t="s">
        <v>1403</v>
      </c>
      <c r="B541" s="1040" t="s">
        <v>1404</v>
      </c>
      <c r="C541" s="1044">
        <v>45646</v>
      </c>
      <c r="D541" s="1037">
        <v>45708</v>
      </c>
      <c r="E541" s="1042"/>
    </row>
    <row r="542" spans="1:5">
      <c r="A542" s="1039" t="s">
        <v>1405</v>
      </c>
      <c r="B542" s="1040" t="s">
        <v>1406</v>
      </c>
      <c r="C542" s="1044">
        <v>45695</v>
      </c>
      <c r="D542" s="1037">
        <v>45690</v>
      </c>
      <c r="E542" s="1042"/>
    </row>
    <row r="543" spans="1:5">
      <c r="A543" s="1039" t="s">
        <v>1407</v>
      </c>
      <c r="B543" s="1040" t="s">
        <v>1408</v>
      </c>
      <c r="C543" s="1044">
        <v>45646</v>
      </c>
      <c r="D543" s="1037">
        <v>45708</v>
      </c>
      <c r="E543" s="1042"/>
    </row>
    <row r="544" spans="1:5">
      <c r="A544" s="1039" t="s">
        <v>1409</v>
      </c>
      <c r="B544" s="1040" t="s">
        <v>1410</v>
      </c>
      <c r="C544" s="1044">
        <v>45695</v>
      </c>
      <c r="D544" s="1037">
        <v>45708</v>
      </c>
      <c r="E544" s="1042"/>
    </row>
    <row r="545" spans="1:5">
      <c r="A545" s="1039" t="s">
        <v>1411</v>
      </c>
      <c r="B545" s="1040" t="s">
        <v>1412</v>
      </c>
      <c r="C545" s="1044">
        <v>45646</v>
      </c>
      <c r="D545" s="1037">
        <v>45708</v>
      </c>
      <c r="E545" s="1042"/>
    </row>
    <row r="546" spans="1:5">
      <c r="A546" s="1039" t="s">
        <v>1413</v>
      </c>
      <c r="B546" s="1040" t="s">
        <v>1414</v>
      </c>
      <c r="C546" s="1044">
        <v>45695</v>
      </c>
      <c r="D546" s="1037">
        <v>45708</v>
      </c>
      <c r="E546" s="1042"/>
    </row>
    <row r="547" spans="1:5">
      <c r="A547" s="1039" t="s">
        <v>1415</v>
      </c>
      <c r="B547" s="1040" t="s">
        <v>1416</v>
      </c>
      <c r="C547" s="1044">
        <v>45695</v>
      </c>
      <c r="D547" s="1037">
        <v>45708</v>
      </c>
      <c r="E547" s="1042"/>
    </row>
    <row r="548" spans="1:5">
      <c r="A548" s="1039" t="s">
        <v>1361</v>
      </c>
      <c r="B548" s="1040" t="s">
        <v>1417</v>
      </c>
      <c r="C548" s="1044">
        <v>45646</v>
      </c>
      <c r="D548" s="1037">
        <v>45708</v>
      </c>
      <c r="E548" s="1042"/>
    </row>
    <row r="549" spans="1:5">
      <c r="A549" s="1039" t="s">
        <v>1418</v>
      </c>
      <c r="B549" s="1040" t="s">
        <v>1419</v>
      </c>
      <c r="C549" s="1044">
        <v>45646</v>
      </c>
      <c r="D549" s="1037">
        <v>45708</v>
      </c>
      <c r="E549" s="1042"/>
    </row>
    <row r="550" spans="1:5">
      <c r="A550" s="1039" t="s">
        <v>1420</v>
      </c>
      <c r="B550" s="1040" t="s">
        <v>1421</v>
      </c>
      <c r="C550" s="1044">
        <v>45695</v>
      </c>
      <c r="D550" s="1037">
        <v>45708</v>
      </c>
      <c r="E550" s="1042"/>
    </row>
    <row r="551" spans="1:5">
      <c r="A551" s="1039" t="s">
        <v>1422</v>
      </c>
      <c r="B551" s="1040" t="s">
        <v>1423</v>
      </c>
      <c r="C551" s="1044">
        <v>45695</v>
      </c>
      <c r="D551" s="1037">
        <v>45708</v>
      </c>
      <c r="E551" s="1042"/>
    </row>
    <row r="552" spans="1:5">
      <c r="A552" s="1039" t="s">
        <v>1424</v>
      </c>
      <c r="B552" s="1040" t="s">
        <v>1425</v>
      </c>
      <c r="C552" s="1044">
        <v>45646</v>
      </c>
      <c r="D552" s="1037">
        <v>45708</v>
      </c>
      <c r="E552" s="1042"/>
    </row>
    <row r="553" spans="1:5">
      <c r="A553" s="1039" t="s">
        <v>1426</v>
      </c>
      <c r="B553" s="1040" t="s">
        <v>1427</v>
      </c>
      <c r="C553" s="1044">
        <v>45646</v>
      </c>
      <c r="D553" s="1037">
        <v>45708</v>
      </c>
      <c r="E553" s="1042"/>
    </row>
    <row r="554" spans="1:5">
      <c r="A554" s="1039" t="s">
        <v>1428</v>
      </c>
      <c r="B554" s="1040" t="s">
        <v>1429</v>
      </c>
      <c r="C554" s="1044">
        <v>45646</v>
      </c>
      <c r="D554" s="1037">
        <v>45708</v>
      </c>
      <c r="E554" s="1042"/>
    </row>
    <row r="555" spans="1:5">
      <c r="A555" s="1039" t="s">
        <v>1363</v>
      </c>
      <c r="B555" s="1040" t="s">
        <v>1430</v>
      </c>
      <c r="C555" s="1044">
        <v>45695</v>
      </c>
      <c r="D555" s="1037">
        <v>45708</v>
      </c>
      <c r="E555" s="1042"/>
    </row>
    <row r="556" spans="1:5">
      <c r="A556" s="1039" t="s">
        <v>1365</v>
      </c>
      <c r="B556" s="1040" t="s">
        <v>1431</v>
      </c>
      <c r="C556" s="1044">
        <v>45695</v>
      </c>
      <c r="D556" s="1037">
        <v>45708</v>
      </c>
      <c r="E556" s="1042"/>
    </row>
    <row r="557" spans="1:5">
      <c r="A557" s="1039" t="s">
        <v>1432</v>
      </c>
      <c r="B557" s="1040" t="s">
        <v>1431</v>
      </c>
      <c r="C557" s="1044">
        <v>45695</v>
      </c>
      <c r="D557" s="1037">
        <v>45708</v>
      </c>
      <c r="E557" s="1042"/>
    </row>
    <row r="558" spans="1:5">
      <c r="A558" s="1039" t="s">
        <v>1433</v>
      </c>
      <c r="B558" s="1040" t="s">
        <v>1431</v>
      </c>
      <c r="C558" s="1044">
        <v>45695</v>
      </c>
      <c r="D558" s="1037">
        <v>45708</v>
      </c>
      <c r="E558" s="1042"/>
    </row>
    <row r="559" spans="1:5">
      <c r="A559" s="1039" t="s">
        <v>1434</v>
      </c>
      <c r="B559" s="1040" t="s">
        <v>1431</v>
      </c>
      <c r="C559" s="1044">
        <v>45695</v>
      </c>
      <c r="D559" s="1037">
        <v>45708</v>
      </c>
      <c r="E559" s="1042"/>
    </row>
    <row r="560" spans="1:5">
      <c r="A560" s="1039" t="s">
        <v>1367</v>
      </c>
      <c r="B560" s="1040" t="s">
        <v>1435</v>
      </c>
      <c r="C560" s="1044">
        <v>45695</v>
      </c>
      <c r="D560" s="1037">
        <v>45708</v>
      </c>
      <c r="E560" s="1042"/>
    </row>
    <row r="561" spans="1:5">
      <c r="A561" s="1039" t="s">
        <v>1436</v>
      </c>
      <c r="B561" s="1040" t="s">
        <v>1435</v>
      </c>
      <c r="C561" s="1044">
        <v>45695</v>
      </c>
      <c r="D561" s="1037">
        <v>45708</v>
      </c>
      <c r="E561" s="1042"/>
    </row>
    <row r="562" spans="1:5">
      <c r="A562" s="1039" t="s">
        <v>1437</v>
      </c>
      <c r="B562" s="1040" t="s">
        <v>1435</v>
      </c>
      <c r="C562" s="1044">
        <v>45695</v>
      </c>
      <c r="D562" s="1037">
        <v>45708</v>
      </c>
      <c r="E562" s="1042"/>
    </row>
    <row r="563" spans="1:5">
      <c r="A563" s="1039" t="s">
        <v>1438</v>
      </c>
      <c r="B563" s="1040" t="s">
        <v>1435</v>
      </c>
      <c r="C563" s="1044">
        <v>45695</v>
      </c>
      <c r="D563" s="1037">
        <v>45708</v>
      </c>
      <c r="E563" s="1042"/>
    </row>
    <row r="564" spans="1:5">
      <c r="A564" s="1039"/>
      <c r="B564" s="1040"/>
      <c r="C564" s="1044"/>
      <c r="D564" s="1037"/>
      <c r="E564" s="1042"/>
    </row>
    <row r="565" spans="1:5">
      <c r="A565" s="1039"/>
      <c r="B565" s="1046" t="s">
        <v>1439</v>
      </c>
      <c r="C565" s="1044"/>
      <c r="D565" s="1037"/>
      <c r="E565" s="1042"/>
    </row>
    <row r="566" spans="1:5">
      <c r="A566" s="1039" t="s">
        <v>1440</v>
      </c>
      <c r="B566" s="1040" t="s">
        <v>1441</v>
      </c>
      <c r="C566" s="1044">
        <v>45646</v>
      </c>
      <c r="D566" s="1037">
        <v>45708</v>
      </c>
      <c r="E566" s="1042"/>
    </row>
    <row r="567" spans="1:5">
      <c r="A567" s="1039" t="s">
        <v>1442</v>
      </c>
      <c r="B567" s="1040" t="s">
        <v>1443</v>
      </c>
      <c r="C567" s="1044">
        <v>45646</v>
      </c>
      <c r="D567" s="1037">
        <v>45708</v>
      </c>
      <c r="E567" s="1042"/>
    </row>
    <row r="568" spans="1:5">
      <c r="A568" s="1039" t="s">
        <v>1444</v>
      </c>
      <c r="B568" s="1040" t="s">
        <v>1445</v>
      </c>
      <c r="C568" s="1044">
        <v>45646</v>
      </c>
      <c r="D568" s="1037">
        <v>45708</v>
      </c>
      <c r="E568" s="1042"/>
    </row>
    <row r="569" spans="1:5">
      <c r="A569" s="1039" t="s">
        <v>1446</v>
      </c>
      <c r="B569" s="1040" t="s">
        <v>1447</v>
      </c>
      <c r="C569" s="1044">
        <v>45646</v>
      </c>
      <c r="D569" s="1037">
        <v>45708</v>
      </c>
      <c r="E569" s="1042"/>
    </row>
    <row r="570" spans="1:5">
      <c r="A570" s="1039" t="s">
        <v>1448</v>
      </c>
      <c r="B570" s="1040" t="s">
        <v>1449</v>
      </c>
      <c r="C570" s="1044">
        <v>45646</v>
      </c>
      <c r="D570" s="1037">
        <v>45708</v>
      </c>
      <c r="E570" s="1042"/>
    </row>
    <row r="571" spans="1:5">
      <c r="A571" s="1039" t="s">
        <v>1442</v>
      </c>
      <c r="B571" s="1040" t="s">
        <v>1450</v>
      </c>
      <c r="C571" s="1044">
        <v>45646</v>
      </c>
      <c r="D571" s="1037">
        <v>45708</v>
      </c>
      <c r="E571" s="1042"/>
    </row>
    <row r="572" spans="1:5">
      <c r="A572" s="1039" t="s">
        <v>1444</v>
      </c>
      <c r="B572" s="1040" t="s">
        <v>1451</v>
      </c>
      <c r="C572" s="1044">
        <v>45646</v>
      </c>
      <c r="D572" s="1037">
        <v>45708</v>
      </c>
      <c r="E572" s="1042"/>
    </row>
    <row r="573" spans="1:5">
      <c r="A573" s="1039" t="s">
        <v>1452</v>
      </c>
      <c r="B573" s="1040" t="s">
        <v>1453</v>
      </c>
      <c r="C573" s="1044">
        <v>45646</v>
      </c>
      <c r="D573" s="1037">
        <v>45708</v>
      </c>
      <c r="E573" s="1042"/>
    </row>
    <row r="574" spans="1:5">
      <c r="A574" s="1039" t="s">
        <v>1448</v>
      </c>
      <c r="B574" s="1040" t="s">
        <v>1454</v>
      </c>
      <c r="C574" s="1044">
        <v>45646</v>
      </c>
      <c r="D574" s="1037">
        <v>45708</v>
      </c>
      <c r="E574" s="1042"/>
    </row>
    <row r="575" spans="1:5">
      <c r="A575" s="1039" t="s">
        <v>1442</v>
      </c>
      <c r="B575" s="1040" t="s">
        <v>1455</v>
      </c>
      <c r="C575" s="1044">
        <v>45646</v>
      </c>
      <c r="D575" s="1037">
        <v>45708</v>
      </c>
      <c r="E575" s="1042"/>
    </row>
    <row r="576" spans="1:5">
      <c r="A576" s="1039" t="s">
        <v>1456</v>
      </c>
      <c r="B576" s="1040" t="s">
        <v>1457</v>
      </c>
      <c r="C576" s="1044">
        <v>45646</v>
      </c>
      <c r="D576" s="1037">
        <v>45708</v>
      </c>
      <c r="E576" s="1042"/>
    </row>
    <row r="577" spans="1:5">
      <c r="A577" s="1039" t="s">
        <v>1458</v>
      </c>
      <c r="B577" s="1040" t="s">
        <v>1459</v>
      </c>
      <c r="C577" s="1044">
        <v>45646</v>
      </c>
      <c r="D577" s="1037">
        <v>45708</v>
      </c>
      <c r="E577" s="1042"/>
    </row>
    <row r="578" spans="1:5">
      <c r="A578" s="1039" t="s">
        <v>1460</v>
      </c>
      <c r="B578" s="1040" t="s">
        <v>1461</v>
      </c>
      <c r="C578" s="1044">
        <v>45646</v>
      </c>
      <c r="D578" s="1037">
        <v>45708</v>
      </c>
      <c r="E578" s="1042"/>
    </row>
    <row r="579" spans="1:5">
      <c r="A579" s="1039" t="s">
        <v>1462</v>
      </c>
      <c r="B579" s="1040" t="s">
        <v>1463</v>
      </c>
      <c r="C579" s="1044">
        <v>45646</v>
      </c>
      <c r="D579" s="1037">
        <v>45708</v>
      </c>
      <c r="E579" s="1042"/>
    </row>
    <row r="580" spans="1:5">
      <c r="A580" s="1039" t="s">
        <v>1464</v>
      </c>
      <c r="B580" s="1040" t="s">
        <v>1465</v>
      </c>
      <c r="C580" s="1044">
        <v>45646</v>
      </c>
      <c r="D580" s="1037">
        <v>45708</v>
      </c>
      <c r="E580" s="1042"/>
    </row>
    <row r="581" spans="1:5">
      <c r="A581" s="1039" t="s">
        <v>1466</v>
      </c>
      <c r="B581" s="1040" t="s">
        <v>1467</v>
      </c>
      <c r="C581" s="1044">
        <v>45646</v>
      </c>
      <c r="D581" s="1037">
        <v>45708</v>
      </c>
      <c r="E581" s="1042"/>
    </row>
    <row r="582" spans="1:5">
      <c r="A582" s="1039" t="s">
        <v>1468</v>
      </c>
      <c r="B582" s="1040" t="s">
        <v>1469</v>
      </c>
      <c r="C582" s="1044">
        <v>45646</v>
      </c>
      <c r="D582" s="1037">
        <v>45708</v>
      </c>
      <c r="E582" s="1042"/>
    </row>
    <row r="583" spans="1:5">
      <c r="A583" s="1039" t="s">
        <v>1444</v>
      </c>
      <c r="B583" s="1040" t="s">
        <v>1470</v>
      </c>
      <c r="C583" s="1044">
        <v>45646</v>
      </c>
      <c r="D583" s="1037">
        <v>45708</v>
      </c>
      <c r="E583" s="1042"/>
    </row>
    <row r="584" spans="1:5">
      <c r="A584" s="1039" t="s">
        <v>1471</v>
      </c>
      <c r="B584" s="1040" t="s">
        <v>1470</v>
      </c>
      <c r="C584" s="1044">
        <v>45646</v>
      </c>
      <c r="D584" s="1037">
        <v>45708</v>
      </c>
      <c r="E584" s="1042"/>
    </row>
    <row r="585" spans="1:5">
      <c r="A585" s="1039" t="s">
        <v>1472</v>
      </c>
      <c r="B585" s="1040" t="s">
        <v>1470</v>
      </c>
      <c r="C585" s="1044">
        <v>45646</v>
      </c>
      <c r="D585" s="1037">
        <v>45708</v>
      </c>
      <c r="E585" s="1042"/>
    </row>
    <row r="586" spans="1:5">
      <c r="A586" s="1039" t="s">
        <v>1473</v>
      </c>
      <c r="B586" s="1040" t="s">
        <v>1470</v>
      </c>
      <c r="C586" s="1044">
        <v>45646</v>
      </c>
      <c r="D586" s="1037">
        <v>45708</v>
      </c>
      <c r="E586" s="1042"/>
    </row>
    <row r="587" spans="1:5">
      <c r="A587" s="1039" t="s">
        <v>1452</v>
      </c>
      <c r="B587" s="1040" t="s">
        <v>1474</v>
      </c>
      <c r="C587" s="1044">
        <v>45646</v>
      </c>
      <c r="D587" s="1037">
        <v>45708</v>
      </c>
      <c r="E587" s="1042"/>
    </row>
    <row r="588" spans="1:5">
      <c r="A588" s="1039" t="s">
        <v>1475</v>
      </c>
      <c r="B588" s="1040" t="s">
        <v>1474</v>
      </c>
      <c r="C588" s="1044">
        <v>45646</v>
      </c>
      <c r="D588" s="1037">
        <v>45708</v>
      </c>
      <c r="E588" s="1042"/>
    </row>
    <row r="589" spans="1:5">
      <c r="A589" s="1039"/>
      <c r="B589" s="1040"/>
      <c r="C589" s="1044"/>
      <c r="D589" s="1037"/>
      <c r="E589" s="1042"/>
    </row>
    <row r="590" spans="1:5">
      <c r="A590" s="1039"/>
      <c r="B590" s="1046" t="s">
        <v>1476</v>
      </c>
      <c r="C590" s="1044"/>
      <c r="D590" s="1037"/>
      <c r="E590" s="1042"/>
    </row>
    <row r="591" spans="1:5">
      <c r="A591" s="1039" t="s">
        <v>1477</v>
      </c>
      <c r="B591" s="1040" t="s">
        <v>1478</v>
      </c>
      <c r="C591" s="1044">
        <v>45646</v>
      </c>
      <c r="D591" s="1037">
        <v>45708</v>
      </c>
      <c r="E591" s="1042"/>
    </row>
    <row r="592" spans="1:5">
      <c r="A592" s="1039" t="s">
        <v>1479</v>
      </c>
      <c r="B592" s="1040" t="s">
        <v>1480</v>
      </c>
      <c r="C592" s="1044">
        <v>45646</v>
      </c>
      <c r="D592" s="1037">
        <v>45708</v>
      </c>
      <c r="E592" s="1042"/>
    </row>
    <row r="593" spans="1:5">
      <c r="A593" s="1039" t="s">
        <v>1481</v>
      </c>
      <c r="B593" s="1040" t="s">
        <v>1482</v>
      </c>
      <c r="C593" s="1044">
        <v>45646</v>
      </c>
      <c r="D593" s="1037">
        <v>45708</v>
      </c>
      <c r="E593" s="1042"/>
    </row>
    <row r="594" spans="1:5">
      <c r="A594" s="1039" t="s">
        <v>1483</v>
      </c>
      <c r="B594" s="1040" t="s">
        <v>1484</v>
      </c>
      <c r="C594" s="1044">
        <v>45646</v>
      </c>
      <c r="D594" s="1037">
        <v>45708</v>
      </c>
      <c r="E594" s="1042"/>
    </row>
    <row r="595" spans="1:5">
      <c r="A595" s="1039" t="s">
        <v>1485</v>
      </c>
      <c r="B595" s="1040" t="s">
        <v>1484</v>
      </c>
      <c r="C595" s="1044">
        <v>45695</v>
      </c>
      <c r="D595" s="1037">
        <v>45708</v>
      </c>
      <c r="E595" s="1042"/>
    </row>
    <row r="596" spans="1:5">
      <c r="A596" s="1039" t="s">
        <v>1486</v>
      </c>
      <c r="B596" s="1040" t="s">
        <v>1484</v>
      </c>
      <c r="C596" s="1044">
        <v>45695</v>
      </c>
      <c r="D596" s="1037">
        <v>45708</v>
      </c>
      <c r="E596" s="1042"/>
    </row>
    <row r="597" spans="1:5">
      <c r="A597" s="1039" t="s">
        <v>1477</v>
      </c>
      <c r="B597" s="1040" t="s">
        <v>1487</v>
      </c>
      <c r="C597" s="1044">
        <v>45646</v>
      </c>
      <c r="D597" s="1037">
        <v>45708</v>
      </c>
      <c r="E597" s="1042"/>
    </row>
    <row r="598" spans="1:5">
      <c r="A598" s="1039" t="s">
        <v>1479</v>
      </c>
      <c r="B598" s="1040" t="s">
        <v>1488</v>
      </c>
      <c r="C598" s="1044">
        <v>45646</v>
      </c>
      <c r="D598" s="1037">
        <v>45708</v>
      </c>
      <c r="E598" s="1042"/>
    </row>
    <row r="599" spans="1:5">
      <c r="A599" s="1039" t="s">
        <v>1483</v>
      </c>
      <c r="B599" s="1040" t="s">
        <v>1489</v>
      </c>
      <c r="C599" s="1044">
        <v>46011</v>
      </c>
      <c r="D599" s="1037">
        <v>45708</v>
      </c>
      <c r="E599" s="1042"/>
    </row>
    <row r="600" spans="1:5">
      <c r="A600" s="1039" t="s">
        <v>1485</v>
      </c>
      <c r="B600" s="1040" t="s">
        <v>1489</v>
      </c>
      <c r="C600" s="1044">
        <v>45695</v>
      </c>
      <c r="D600" s="1037">
        <v>45708</v>
      </c>
      <c r="E600" s="1042"/>
    </row>
    <row r="601" spans="1:5">
      <c r="A601" s="1039" t="s">
        <v>1486</v>
      </c>
      <c r="B601" s="1040" t="s">
        <v>1489</v>
      </c>
      <c r="C601" s="1044">
        <v>45695</v>
      </c>
      <c r="D601" s="1037">
        <v>45708</v>
      </c>
      <c r="E601" s="1042"/>
    </row>
    <row r="602" spans="1:5">
      <c r="A602" s="1039" t="s">
        <v>1477</v>
      </c>
      <c r="B602" s="1040" t="s">
        <v>1490</v>
      </c>
      <c r="C602" s="1044">
        <v>46011</v>
      </c>
      <c r="D602" s="1037">
        <v>45708</v>
      </c>
      <c r="E602" s="1042"/>
    </row>
    <row r="603" spans="1:5">
      <c r="A603" s="1039" t="s">
        <v>1479</v>
      </c>
      <c r="B603" s="1040" t="s">
        <v>1491</v>
      </c>
      <c r="C603" s="1044">
        <v>45695</v>
      </c>
      <c r="D603" s="1037">
        <v>45708</v>
      </c>
      <c r="E603" s="1042"/>
    </row>
    <row r="604" spans="1:5">
      <c r="A604" s="1039" t="s">
        <v>1492</v>
      </c>
      <c r="B604" s="1040" t="s">
        <v>1493</v>
      </c>
      <c r="C604" s="1044">
        <v>45695</v>
      </c>
      <c r="D604" s="1037">
        <v>45708</v>
      </c>
      <c r="E604" s="1042"/>
    </row>
    <row r="605" spans="1:5">
      <c r="A605" s="1039" t="s">
        <v>1494</v>
      </c>
      <c r="B605" s="1040" t="s">
        <v>1495</v>
      </c>
      <c r="C605" s="1044">
        <v>45695</v>
      </c>
      <c r="D605" s="1037">
        <v>45708</v>
      </c>
      <c r="E605" s="1042"/>
    </row>
    <row r="606" spans="1:5">
      <c r="A606" s="1039" t="s">
        <v>1496</v>
      </c>
      <c r="B606" s="1040" t="s">
        <v>1497</v>
      </c>
      <c r="C606" s="1044">
        <v>45646</v>
      </c>
      <c r="D606" s="1037">
        <v>45708</v>
      </c>
      <c r="E606" s="1042"/>
    </row>
    <row r="607" spans="1:5">
      <c r="A607" s="1039" t="s">
        <v>1498</v>
      </c>
      <c r="B607" s="1040" t="s">
        <v>1499</v>
      </c>
      <c r="C607" s="1044">
        <v>45646</v>
      </c>
      <c r="D607" s="1037">
        <v>45708</v>
      </c>
      <c r="E607" s="1042"/>
    </row>
    <row r="608" spans="1:5">
      <c r="A608" s="1039" t="s">
        <v>1500</v>
      </c>
      <c r="B608" s="1040" t="s">
        <v>1501</v>
      </c>
      <c r="C608" s="1044">
        <v>45695</v>
      </c>
      <c r="D608" s="1037">
        <v>45708</v>
      </c>
      <c r="E608" s="1042"/>
    </row>
    <row r="609" spans="1:5">
      <c r="A609" s="1039" t="s">
        <v>1502</v>
      </c>
      <c r="B609" s="1040" t="s">
        <v>1503</v>
      </c>
      <c r="C609" s="1044">
        <v>45646</v>
      </c>
      <c r="D609" s="1037">
        <v>45708</v>
      </c>
      <c r="E609" s="1042"/>
    </row>
    <row r="610" spans="1:5">
      <c r="A610" s="1039" t="s">
        <v>1504</v>
      </c>
      <c r="B610" s="1040" t="s">
        <v>1505</v>
      </c>
      <c r="C610" s="1044">
        <v>45646</v>
      </c>
      <c r="D610" s="1037">
        <v>45708</v>
      </c>
      <c r="E610" s="1042"/>
    </row>
    <row r="611" spans="1:5">
      <c r="A611" s="1039" t="s">
        <v>1481</v>
      </c>
      <c r="B611" s="1040" t="s">
        <v>1506</v>
      </c>
      <c r="C611" s="1044">
        <v>45646</v>
      </c>
      <c r="D611" s="1037">
        <v>45708</v>
      </c>
      <c r="E611" s="1042"/>
    </row>
    <row r="612" spans="1:5">
      <c r="A612" s="1039" t="s">
        <v>1507</v>
      </c>
      <c r="B612" s="1040" t="s">
        <v>1508</v>
      </c>
      <c r="C612" s="1044">
        <v>45646</v>
      </c>
      <c r="D612" s="1037">
        <v>45708</v>
      </c>
      <c r="E612" s="1042"/>
    </row>
    <row r="613" spans="1:5">
      <c r="A613" s="1039" t="s">
        <v>1509</v>
      </c>
      <c r="B613" s="1040" t="s">
        <v>1510</v>
      </c>
      <c r="C613" s="1044">
        <v>45646</v>
      </c>
      <c r="D613" s="1037">
        <v>45708</v>
      </c>
      <c r="E613" s="1042"/>
    </row>
    <row r="614" spans="1:5">
      <c r="A614" s="1039" t="s">
        <v>1511</v>
      </c>
      <c r="B614" s="1040" t="s">
        <v>1512</v>
      </c>
      <c r="C614" s="1044">
        <v>45646</v>
      </c>
      <c r="D614" s="1037">
        <v>45708</v>
      </c>
      <c r="E614" s="1042"/>
    </row>
    <row r="615" spans="1:5">
      <c r="A615" s="1039" t="s">
        <v>1513</v>
      </c>
      <c r="B615" s="1040" t="s">
        <v>1514</v>
      </c>
      <c r="C615" s="1044">
        <v>45646</v>
      </c>
      <c r="D615" s="1037">
        <v>45708</v>
      </c>
      <c r="E615" s="1042"/>
    </row>
    <row r="616" spans="1:5">
      <c r="A616" s="1039" t="s">
        <v>1515</v>
      </c>
      <c r="B616" s="1040" t="s">
        <v>1516</v>
      </c>
      <c r="C616" s="1044">
        <v>45646</v>
      </c>
      <c r="D616" s="1037">
        <v>45708</v>
      </c>
      <c r="E616" s="1042"/>
    </row>
    <row r="617" spans="1:5">
      <c r="A617" s="1039" t="s">
        <v>1517</v>
      </c>
      <c r="B617" s="1040" t="s">
        <v>1518</v>
      </c>
      <c r="C617" s="1044">
        <v>45646</v>
      </c>
      <c r="D617" s="1037">
        <v>45708</v>
      </c>
      <c r="E617" s="1042"/>
    </row>
    <row r="618" spans="1:5">
      <c r="A618" s="1039" t="s">
        <v>1519</v>
      </c>
      <c r="B618" s="1040" t="s">
        <v>1520</v>
      </c>
      <c r="C618" s="1044">
        <v>45646</v>
      </c>
      <c r="D618" s="1037">
        <v>45708</v>
      </c>
      <c r="E618" s="1042"/>
    </row>
    <row r="619" spans="1:5">
      <c r="A619" s="1039" t="s">
        <v>1483</v>
      </c>
      <c r="B619" s="1040" t="s">
        <v>1521</v>
      </c>
      <c r="C619" s="1044">
        <v>45646</v>
      </c>
      <c r="D619" s="1037">
        <v>45708</v>
      </c>
      <c r="E619" s="1042"/>
    </row>
    <row r="620" spans="1:5">
      <c r="A620" s="1039" t="s">
        <v>1485</v>
      </c>
      <c r="B620" s="1040" t="s">
        <v>1521</v>
      </c>
      <c r="C620" s="1044">
        <v>45646</v>
      </c>
      <c r="D620" s="1037">
        <v>45708</v>
      </c>
      <c r="E620" s="1042"/>
    </row>
    <row r="621" spans="1:5">
      <c r="A621" s="1039" t="s">
        <v>1486</v>
      </c>
      <c r="B621" s="1040" t="s">
        <v>1521</v>
      </c>
      <c r="C621" s="1044">
        <v>45646</v>
      </c>
      <c r="D621" s="1037">
        <v>45708</v>
      </c>
      <c r="E621" s="1042"/>
    </row>
    <row r="622" spans="1:5">
      <c r="A622" s="1039" t="s">
        <v>1522</v>
      </c>
      <c r="B622" s="1040" t="s">
        <v>1521</v>
      </c>
      <c r="C622" s="1044">
        <v>45646</v>
      </c>
      <c r="D622" s="1037">
        <v>45708</v>
      </c>
      <c r="E622" s="1042"/>
    </row>
    <row r="623" spans="1:5">
      <c r="A623" s="1039"/>
      <c r="B623" s="1040"/>
      <c r="C623" s="1044"/>
      <c r="D623" s="1037"/>
      <c r="E623" s="1042"/>
    </row>
    <row r="624" spans="1:5">
      <c r="A624" s="1039"/>
      <c r="B624" s="1043" t="s">
        <v>1523</v>
      </c>
      <c r="C624" s="1044"/>
      <c r="D624" s="1037"/>
      <c r="E624" s="1042"/>
    </row>
    <row r="625" spans="1:5">
      <c r="A625" s="1039" t="s">
        <v>1524</v>
      </c>
      <c r="B625" s="1040" t="s">
        <v>1525</v>
      </c>
      <c r="C625" s="1044">
        <v>45646</v>
      </c>
      <c r="D625" s="1037">
        <v>45663</v>
      </c>
      <c r="E625" s="1042"/>
    </row>
    <row r="626" spans="1:5">
      <c r="A626" s="1039" t="s">
        <v>1526</v>
      </c>
      <c r="B626" s="1040" t="s">
        <v>1527</v>
      </c>
      <c r="C626" s="1044">
        <v>45646</v>
      </c>
      <c r="D626" s="1037">
        <v>45663</v>
      </c>
      <c r="E626" s="1042"/>
    </row>
    <row r="627" spans="1:5">
      <c r="A627" s="1039" t="s">
        <v>1528</v>
      </c>
      <c r="B627" s="1040" t="s">
        <v>1529</v>
      </c>
      <c r="C627" s="1044">
        <v>45646</v>
      </c>
      <c r="D627" s="1037">
        <v>45663</v>
      </c>
      <c r="E627" s="1042"/>
    </row>
    <row r="628" spans="1:5">
      <c r="A628" s="1039" t="s">
        <v>1530</v>
      </c>
      <c r="B628" s="1040" t="s">
        <v>1531</v>
      </c>
      <c r="C628" s="1044">
        <v>45646</v>
      </c>
      <c r="D628" s="1037">
        <v>45663</v>
      </c>
      <c r="E628" s="1042"/>
    </row>
    <row r="629" spans="1:5">
      <c r="A629" s="1039" t="s">
        <v>1532</v>
      </c>
      <c r="B629" s="1040" t="s">
        <v>1531</v>
      </c>
      <c r="C629" s="1044">
        <v>45646</v>
      </c>
      <c r="D629" s="1037">
        <v>45663</v>
      </c>
      <c r="E629" s="1042"/>
    </row>
    <row r="630" spans="1:5">
      <c r="A630" s="1039" t="s">
        <v>1533</v>
      </c>
      <c r="B630" s="1040" t="s">
        <v>1531</v>
      </c>
      <c r="C630" s="1044">
        <v>45646</v>
      </c>
      <c r="D630" s="1037">
        <v>45663</v>
      </c>
      <c r="E630" s="1042"/>
    </row>
    <row r="631" spans="1:5">
      <c r="A631" s="1039" t="s">
        <v>1534</v>
      </c>
      <c r="B631" s="1040" t="s">
        <v>1531</v>
      </c>
      <c r="C631" s="1044">
        <v>45646</v>
      </c>
      <c r="D631" s="1037">
        <v>45663</v>
      </c>
      <c r="E631" s="1042"/>
    </row>
    <row r="632" spans="1:5">
      <c r="A632" s="1039" t="s">
        <v>1535</v>
      </c>
      <c r="B632" s="1040" t="s">
        <v>1531</v>
      </c>
      <c r="C632" s="1044">
        <v>45646</v>
      </c>
      <c r="D632" s="1037">
        <v>45663</v>
      </c>
      <c r="E632" s="1042"/>
    </row>
    <row r="633" spans="1:5">
      <c r="A633" s="1039" t="s">
        <v>1536</v>
      </c>
      <c r="B633" s="1040" t="s">
        <v>1531</v>
      </c>
      <c r="C633" s="1044">
        <v>45646</v>
      </c>
      <c r="D633" s="1037">
        <v>45663</v>
      </c>
      <c r="E633" s="1042"/>
    </row>
    <row r="634" spans="1:5">
      <c r="A634" s="1039" t="s">
        <v>1537</v>
      </c>
      <c r="B634" s="1040" t="s">
        <v>1531</v>
      </c>
      <c r="C634" s="1044">
        <v>45646</v>
      </c>
      <c r="D634" s="1037">
        <v>45663</v>
      </c>
      <c r="E634" s="1042"/>
    </row>
    <row r="635" spans="1:5">
      <c r="A635" s="1039" t="s">
        <v>1538</v>
      </c>
      <c r="B635" s="1040" t="s">
        <v>1531</v>
      </c>
      <c r="C635" s="1044">
        <v>45646</v>
      </c>
      <c r="D635" s="1037">
        <v>45663</v>
      </c>
      <c r="E635" s="1042"/>
    </row>
    <row r="636" spans="1:5">
      <c r="A636" s="1039" t="s">
        <v>1539</v>
      </c>
      <c r="B636" s="1040" t="s">
        <v>1531</v>
      </c>
      <c r="C636" s="1044">
        <v>45646</v>
      </c>
      <c r="D636" s="1037">
        <v>45663</v>
      </c>
      <c r="E636" s="1042"/>
    </row>
    <row r="637" spans="1:5">
      <c r="A637" s="1039" t="s">
        <v>1540</v>
      </c>
      <c r="B637" s="1040" t="s">
        <v>1531</v>
      </c>
      <c r="C637" s="1044">
        <v>45646</v>
      </c>
      <c r="D637" s="1037">
        <v>45663</v>
      </c>
      <c r="E637" s="1042"/>
    </row>
    <row r="638" spans="1:5">
      <c r="A638" s="1039" t="s">
        <v>1541</v>
      </c>
      <c r="B638" s="1040" t="s">
        <v>1531</v>
      </c>
      <c r="C638" s="1044">
        <v>45646</v>
      </c>
      <c r="D638" s="1037">
        <v>45663</v>
      </c>
      <c r="E638" s="1042"/>
    </row>
    <row r="639" spans="1:5">
      <c r="A639" s="1039" t="s">
        <v>1542</v>
      </c>
      <c r="B639" s="1040" t="s">
        <v>1543</v>
      </c>
      <c r="C639" s="1044">
        <v>45646</v>
      </c>
      <c r="D639" s="1037">
        <v>45663</v>
      </c>
      <c r="E639" s="1042"/>
    </row>
    <row r="640" spans="1:5">
      <c r="A640" s="1039" t="s">
        <v>1544</v>
      </c>
      <c r="B640" s="1040" t="s">
        <v>1545</v>
      </c>
      <c r="C640" s="1044">
        <v>45646</v>
      </c>
      <c r="D640" s="1037">
        <v>45663</v>
      </c>
      <c r="E640" s="1042"/>
    </row>
    <row r="641" spans="1:5">
      <c r="A641" s="1039" t="s">
        <v>1546</v>
      </c>
      <c r="B641" s="1040" t="s">
        <v>1547</v>
      </c>
      <c r="C641" s="1044">
        <v>45646</v>
      </c>
      <c r="D641" s="1037">
        <v>45663</v>
      </c>
      <c r="E641" s="1042"/>
    </row>
    <row r="642" spans="1:5">
      <c r="A642" s="1039" t="s">
        <v>1548</v>
      </c>
      <c r="B642" s="1040" t="s">
        <v>1549</v>
      </c>
      <c r="C642" s="1044">
        <v>45646</v>
      </c>
      <c r="D642" s="1037">
        <v>45663</v>
      </c>
      <c r="E642" s="1042"/>
    </row>
    <row r="643" spans="1:5">
      <c r="A643" s="1039" t="s">
        <v>1550</v>
      </c>
      <c r="B643" s="1040" t="s">
        <v>1551</v>
      </c>
      <c r="C643" s="1044">
        <v>45646</v>
      </c>
      <c r="D643" s="1037">
        <v>45663</v>
      </c>
      <c r="E643" s="1042"/>
    </row>
    <row r="644" spans="1:5">
      <c r="A644" s="1039" t="s">
        <v>1552</v>
      </c>
      <c r="B644" s="1040" t="s">
        <v>1553</v>
      </c>
      <c r="C644" s="1044">
        <v>45646</v>
      </c>
      <c r="D644" s="1037">
        <v>45663</v>
      </c>
      <c r="E644" s="1042"/>
    </row>
    <row r="645" spans="1:5">
      <c r="A645" s="1039" t="s">
        <v>1554</v>
      </c>
      <c r="B645" s="1040" t="s">
        <v>1555</v>
      </c>
      <c r="C645" s="1044">
        <v>45646</v>
      </c>
      <c r="D645" s="1037">
        <v>45663</v>
      </c>
      <c r="E645" s="1042"/>
    </row>
    <row r="646" spans="1:5">
      <c r="A646" s="1039" t="s">
        <v>1556</v>
      </c>
      <c r="B646" s="1040" t="s">
        <v>1557</v>
      </c>
      <c r="C646" s="1044">
        <v>45646</v>
      </c>
      <c r="D646" s="1037">
        <v>45663</v>
      </c>
      <c r="E646" s="1042"/>
    </row>
    <row r="647" spans="1:5">
      <c r="A647" s="1039" t="s">
        <v>1558</v>
      </c>
      <c r="B647" s="1040" t="s">
        <v>1559</v>
      </c>
      <c r="C647" s="1044">
        <v>45646</v>
      </c>
      <c r="D647" s="1037">
        <v>45663</v>
      </c>
      <c r="E647" s="1042"/>
    </row>
    <row r="648" spans="1:5">
      <c r="A648" s="1039" t="s">
        <v>1560</v>
      </c>
      <c r="B648" s="1040" t="s">
        <v>1561</v>
      </c>
      <c r="C648" s="1044">
        <v>45646</v>
      </c>
      <c r="D648" s="1037">
        <v>45663</v>
      </c>
      <c r="E648" s="1042"/>
    </row>
    <row r="649" spans="1:5">
      <c r="A649" s="1039" t="s">
        <v>1562</v>
      </c>
      <c r="B649" s="1040" t="s">
        <v>1563</v>
      </c>
      <c r="C649" s="1044">
        <v>45646</v>
      </c>
      <c r="D649" s="1037">
        <v>45663</v>
      </c>
      <c r="E649" s="1042"/>
    </row>
    <row r="650" spans="1:5">
      <c r="A650" s="1039" t="s">
        <v>1564</v>
      </c>
      <c r="B650" s="1040" t="s">
        <v>1565</v>
      </c>
      <c r="C650" s="1044">
        <v>45646</v>
      </c>
      <c r="D650" s="1037">
        <v>45663</v>
      </c>
      <c r="E650" s="1042"/>
    </row>
    <row r="651" spans="1:5">
      <c r="A651" s="1039" t="s">
        <v>1566</v>
      </c>
      <c r="B651" s="1040" t="s">
        <v>1567</v>
      </c>
      <c r="C651" s="1044">
        <v>45646</v>
      </c>
      <c r="D651" s="1037">
        <v>45663</v>
      </c>
      <c r="E651" s="1042"/>
    </row>
    <row r="652" spans="1:5">
      <c r="A652" s="1039" t="s">
        <v>1568</v>
      </c>
      <c r="B652" s="1040" t="s">
        <v>1569</v>
      </c>
      <c r="C652" s="1044">
        <v>45646</v>
      </c>
      <c r="D652" s="1037">
        <v>45663</v>
      </c>
      <c r="E652" s="1042"/>
    </row>
    <row r="653" spans="1:5">
      <c r="A653" s="1039" t="s">
        <v>1570</v>
      </c>
      <c r="B653" s="1040" t="s">
        <v>1571</v>
      </c>
      <c r="C653" s="1044">
        <v>45646</v>
      </c>
      <c r="D653" s="1037">
        <v>45663</v>
      </c>
      <c r="E653" s="1042"/>
    </row>
    <row r="654" spans="1:5">
      <c r="A654" s="1039" t="s">
        <v>1572</v>
      </c>
      <c r="B654" s="1040" t="s">
        <v>1573</v>
      </c>
      <c r="C654" s="1044">
        <v>45646</v>
      </c>
      <c r="D654" s="1037">
        <v>45663</v>
      </c>
      <c r="E654" s="1042"/>
    </row>
    <row r="655" spans="1:5">
      <c r="A655" s="1039" t="s">
        <v>1574</v>
      </c>
      <c r="B655" s="1040" t="s">
        <v>1575</v>
      </c>
      <c r="C655" s="1044">
        <v>45646</v>
      </c>
      <c r="D655" s="1037">
        <v>45663</v>
      </c>
      <c r="E655" s="1042"/>
    </row>
    <row r="656" spans="1:5">
      <c r="A656" s="1039" t="s">
        <v>1576</v>
      </c>
      <c r="B656" s="1040" t="s">
        <v>1577</v>
      </c>
      <c r="C656" s="1044">
        <v>45646</v>
      </c>
      <c r="D656" s="1037">
        <v>45663</v>
      </c>
      <c r="E656" s="1042"/>
    </row>
    <row r="657" spans="1:5">
      <c r="A657" s="1039" t="s">
        <v>1578</v>
      </c>
      <c r="B657" s="1040" t="s">
        <v>1579</v>
      </c>
      <c r="C657" s="1044">
        <v>45646</v>
      </c>
      <c r="D657" s="1037">
        <v>45663</v>
      </c>
      <c r="E657" s="1042"/>
    </row>
    <row r="658" spans="1:5">
      <c r="A658" s="1039" t="s">
        <v>1580</v>
      </c>
      <c r="B658" s="1040" t="s">
        <v>1581</v>
      </c>
      <c r="C658" s="1044">
        <v>45646</v>
      </c>
      <c r="D658" s="1037">
        <v>45663</v>
      </c>
      <c r="E658" s="1042"/>
    </row>
    <row r="659" spans="1:5">
      <c r="A659" s="1039" t="s">
        <v>1582</v>
      </c>
      <c r="B659" s="1040" t="s">
        <v>1583</v>
      </c>
      <c r="C659" s="1044">
        <v>45646</v>
      </c>
      <c r="D659" s="1037">
        <v>45663</v>
      </c>
      <c r="E659" s="1042"/>
    </row>
    <row r="660" spans="1:5">
      <c r="A660" s="1039" t="s">
        <v>1584</v>
      </c>
      <c r="B660" s="1040" t="s">
        <v>1585</v>
      </c>
      <c r="C660" s="1044">
        <v>45646</v>
      </c>
      <c r="D660" s="1037">
        <v>45663</v>
      </c>
      <c r="E660" s="1042"/>
    </row>
    <row r="661" spans="1:5">
      <c r="A661" s="1039" t="s">
        <v>1586</v>
      </c>
      <c r="B661" s="1040" t="s">
        <v>1587</v>
      </c>
      <c r="C661" s="1044">
        <v>45646</v>
      </c>
      <c r="D661" s="1037">
        <v>45663</v>
      </c>
      <c r="E661" s="1042"/>
    </row>
    <row r="662" spans="1:5">
      <c r="A662" s="1039" t="s">
        <v>1588</v>
      </c>
      <c r="B662" s="1040" t="s">
        <v>1589</v>
      </c>
      <c r="C662" s="1044">
        <v>45646</v>
      </c>
      <c r="D662" s="1037">
        <v>45663</v>
      </c>
      <c r="E662" s="1042"/>
    </row>
    <row r="663" spans="1:5">
      <c r="A663" s="1039" t="s">
        <v>1590</v>
      </c>
      <c r="B663" s="1040" t="s">
        <v>1591</v>
      </c>
      <c r="C663" s="1044">
        <v>45646</v>
      </c>
      <c r="D663" s="1037">
        <v>45663</v>
      </c>
      <c r="E663" s="1042"/>
    </row>
    <row r="664" spans="1:5">
      <c r="A664" s="1039" t="s">
        <v>1592</v>
      </c>
      <c r="B664" s="1040" t="s">
        <v>1593</v>
      </c>
      <c r="C664" s="1044">
        <v>45646</v>
      </c>
      <c r="D664" s="1037">
        <v>45663</v>
      </c>
      <c r="E664" s="1042"/>
    </row>
    <row r="665" spans="1:5">
      <c r="A665" s="1039" t="s">
        <v>1594</v>
      </c>
      <c r="B665" s="1040" t="s">
        <v>1595</v>
      </c>
      <c r="C665" s="1044">
        <v>45646</v>
      </c>
      <c r="D665" s="1037">
        <v>45663</v>
      </c>
      <c r="E665" s="1042"/>
    </row>
    <row r="666" spans="1:5">
      <c r="A666" s="1039" t="s">
        <v>1596</v>
      </c>
      <c r="B666" s="1040" t="s">
        <v>1597</v>
      </c>
      <c r="C666" s="1044">
        <v>45646</v>
      </c>
      <c r="D666" s="1037">
        <v>45663</v>
      </c>
      <c r="E666" s="1042"/>
    </row>
    <row r="667" spans="1:5">
      <c r="A667" s="1039" t="s">
        <v>1598</v>
      </c>
      <c r="B667" s="1040" t="s">
        <v>1599</v>
      </c>
      <c r="C667" s="1044">
        <v>45646</v>
      </c>
      <c r="D667" s="1037">
        <v>45663</v>
      </c>
      <c r="E667" s="1042"/>
    </row>
    <row r="668" spans="1:5">
      <c r="A668" s="1039" t="s">
        <v>1600</v>
      </c>
      <c r="B668" s="1040" t="s">
        <v>1601</v>
      </c>
      <c r="C668" s="1044">
        <v>45646</v>
      </c>
      <c r="D668" s="1037">
        <v>45663</v>
      </c>
      <c r="E668" s="1042"/>
    </row>
    <row r="669" spans="1:5">
      <c r="A669" s="1039" t="s">
        <v>1602</v>
      </c>
      <c r="B669" s="1040" t="s">
        <v>1603</v>
      </c>
      <c r="C669" s="1044">
        <v>45646</v>
      </c>
      <c r="D669" s="1037">
        <v>45663</v>
      </c>
      <c r="E669" s="1042"/>
    </row>
    <row r="670" spans="1:5">
      <c r="A670" s="1039" t="s">
        <v>1604</v>
      </c>
      <c r="B670" s="1040" t="s">
        <v>1605</v>
      </c>
      <c r="C670" s="1044">
        <v>45646</v>
      </c>
      <c r="D670" s="1037">
        <v>45663</v>
      </c>
      <c r="E670" s="1042"/>
    </row>
    <row r="671" spans="1:5">
      <c r="A671" s="1039" t="s">
        <v>1606</v>
      </c>
      <c r="B671" s="1040" t="s">
        <v>1607</v>
      </c>
      <c r="C671" s="1044">
        <v>45646</v>
      </c>
      <c r="D671" s="1037">
        <v>45663</v>
      </c>
      <c r="E671" s="1042"/>
    </row>
    <row r="672" spans="1:5">
      <c r="A672" s="1039" t="s">
        <v>1608</v>
      </c>
      <c r="B672" s="1040" t="s">
        <v>1609</v>
      </c>
      <c r="C672" s="1044">
        <v>45646</v>
      </c>
      <c r="D672" s="1037">
        <v>45663</v>
      </c>
      <c r="E672" s="1042"/>
    </row>
    <row r="673" spans="1:5">
      <c r="A673" s="1039" t="s">
        <v>1610</v>
      </c>
      <c r="B673" s="1040" t="s">
        <v>1611</v>
      </c>
      <c r="C673" s="1044">
        <v>45646</v>
      </c>
      <c r="D673" s="1037">
        <v>45663</v>
      </c>
      <c r="E673" s="1042"/>
    </row>
    <row r="674" spans="1:5">
      <c r="A674" s="1039" t="s">
        <v>1612</v>
      </c>
      <c r="B674" s="1040" t="s">
        <v>1613</v>
      </c>
      <c r="C674" s="1044">
        <v>45646</v>
      </c>
      <c r="D674" s="1037">
        <v>45663</v>
      </c>
      <c r="E674" s="1042"/>
    </row>
    <row r="675" spans="1:5">
      <c r="A675" s="1039" t="s">
        <v>1614</v>
      </c>
      <c r="B675" s="1040" t="s">
        <v>1615</v>
      </c>
      <c r="C675" s="1044">
        <v>45646</v>
      </c>
      <c r="D675" s="1037">
        <v>45663</v>
      </c>
      <c r="E675" s="1042"/>
    </row>
    <row r="676" spans="1:5">
      <c r="A676" s="1039" t="s">
        <v>1616</v>
      </c>
      <c r="B676" s="1040" t="s">
        <v>1615</v>
      </c>
      <c r="C676" s="1044">
        <v>45646</v>
      </c>
      <c r="D676" s="1037">
        <v>45663</v>
      </c>
      <c r="E676" s="1042"/>
    </row>
    <row r="677" spans="1:5">
      <c r="A677" s="1039" t="s">
        <v>1617</v>
      </c>
      <c r="B677" s="1040" t="s">
        <v>1615</v>
      </c>
      <c r="C677" s="1044">
        <v>45646</v>
      </c>
      <c r="D677" s="1037">
        <v>45663</v>
      </c>
      <c r="E677" s="1042"/>
    </row>
    <row r="678" spans="1:5">
      <c r="A678" s="1039" t="s">
        <v>1618</v>
      </c>
      <c r="B678" s="1040" t="s">
        <v>1615</v>
      </c>
      <c r="C678" s="1044">
        <v>45646</v>
      </c>
      <c r="D678" s="1037">
        <v>45663</v>
      </c>
      <c r="E678" s="1042"/>
    </row>
    <row r="679" spans="1:5">
      <c r="A679" s="1039" t="s">
        <v>1619</v>
      </c>
      <c r="B679" s="1040" t="s">
        <v>1615</v>
      </c>
      <c r="C679" s="1044">
        <v>45646</v>
      </c>
      <c r="D679" s="1037">
        <v>45663</v>
      </c>
      <c r="E679" s="1042"/>
    </row>
    <row r="680" spans="1:5">
      <c r="A680" s="1039" t="s">
        <v>1620</v>
      </c>
      <c r="B680" s="1040" t="s">
        <v>1615</v>
      </c>
      <c r="C680" s="1044">
        <v>45646</v>
      </c>
      <c r="D680" s="1037">
        <v>45663</v>
      </c>
      <c r="E680" s="1042"/>
    </row>
    <row r="681" spans="1:5">
      <c r="A681" s="1039" t="s">
        <v>1621</v>
      </c>
      <c r="B681" s="1040" t="s">
        <v>1622</v>
      </c>
      <c r="C681" s="1044">
        <v>45646</v>
      </c>
      <c r="D681" s="1037">
        <v>45663</v>
      </c>
      <c r="E681" s="1042"/>
    </row>
    <row r="682" spans="1:5">
      <c r="A682" s="1039"/>
      <c r="B682" s="1040"/>
      <c r="C682" s="1044"/>
      <c r="D682" s="1037"/>
      <c r="E682" s="1042"/>
    </row>
    <row r="683" spans="1:5">
      <c r="A683" s="1039" t="s">
        <v>1623</v>
      </c>
      <c r="B683" s="1040" t="s">
        <v>1624</v>
      </c>
      <c r="C683" s="1044">
        <v>45618</v>
      </c>
      <c r="D683" s="1037">
        <v>45708</v>
      </c>
      <c r="E683" s="1042"/>
    </row>
    <row r="684" spans="1:5">
      <c r="A684" s="1039" t="s">
        <v>1625</v>
      </c>
      <c r="B684" s="1040" t="s">
        <v>1626</v>
      </c>
      <c r="C684" s="1044">
        <v>45618</v>
      </c>
      <c r="D684" s="1037">
        <v>45708</v>
      </c>
      <c r="E684" s="1042"/>
    </row>
    <row r="685" spans="1:5">
      <c r="A685" s="1039" t="s">
        <v>1627</v>
      </c>
      <c r="B685" s="1040" t="s">
        <v>1628</v>
      </c>
      <c r="C685" s="1044">
        <v>45618</v>
      </c>
      <c r="D685" s="1037">
        <v>45708</v>
      </c>
      <c r="E685" s="1042"/>
    </row>
    <row r="686" spans="1:5">
      <c r="A686" s="1039" t="s">
        <v>1629</v>
      </c>
      <c r="B686" s="1040" t="s">
        <v>1630</v>
      </c>
      <c r="C686" s="1044">
        <v>45618</v>
      </c>
      <c r="D686" s="1037">
        <v>45708</v>
      </c>
      <c r="E686" s="1042"/>
    </row>
    <row r="687" spans="1:5">
      <c r="A687" s="1039" t="s">
        <v>1631</v>
      </c>
      <c r="B687" s="1040" t="s">
        <v>1632</v>
      </c>
      <c r="C687" s="1044">
        <v>45618</v>
      </c>
      <c r="D687" s="1037">
        <v>45708</v>
      </c>
      <c r="E687" s="1042"/>
    </row>
    <row r="688" spans="1:5">
      <c r="A688" s="1039" t="s">
        <v>1633</v>
      </c>
      <c r="B688" s="1040" t="s">
        <v>1634</v>
      </c>
      <c r="C688" s="1044">
        <v>45618</v>
      </c>
      <c r="D688" s="1037">
        <v>45708</v>
      </c>
      <c r="E688" s="1042"/>
    </row>
    <row r="689" spans="1:5">
      <c r="A689" s="1039" t="s">
        <v>1635</v>
      </c>
      <c r="B689" s="1040" t="s">
        <v>1636</v>
      </c>
      <c r="C689" s="1044">
        <v>45618</v>
      </c>
      <c r="D689" s="1037">
        <v>45708</v>
      </c>
      <c r="E689" s="1042"/>
    </row>
    <row r="690" spans="1:5">
      <c r="A690" s="1039" t="s">
        <v>1637</v>
      </c>
      <c r="B690" s="1040" t="s">
        <v>1638</v>
      </c>
      <c r="C690" s="1044">
        <v>45618</v>
      </c>
      <c r="D690" s="1037">
        <v>45708</v>
      </c>
      <c r="E690" s="1042"/>
    </row>
    <row r="691" spans="1:5">
      <c r="A691" s="1039" t="s">
        <v>1639</v>
      </c>
      <c r="B691" s="1040" t="s">
        <v>1640</v>
      </c>
      <c r="C691" s="1044">
        <v>45618</v>
      </c>
      <c r="D691" s="1037">
        <v>45708</v>
      </c>
      <c r="E691" s="1042"/>
    </row>
    <row r="692" spans="1:5">
      <c r="A692" s="1039" t="s">
        <v>1641</v>
      </c>
      <c r="B692" s="1040" t="s">
        <v>1642</v>
      </c>
      <c r="C692" s="1044">
        <v>45618</v>
      </c>
      <c r="D692" s="1037">
        <v>45708</v>
      </c>
      <c r="E692" s="1042"/>
    </row>
    <row r="693" spans="1:5">
      <c r="A693" s="1039" t="s">
        <v>1643</v>
      </c>
      <c r="B693" s="1040" t="s">
        <v>1644</v>
      </c>
      <c r="C693" s="1044">
        <v>45618</v>
      </c>
      <c r="D693" s="1037">
        <v>45708</v>
      </c>
      <c r="E693" s="1042"/>
    </row>
    <row r="694" spans="1:5">
      <c r="A694" s="1039" t="s">
        <v>1645</v>
      </c>
      <c r="B694" s="1040" t="s">
        <v>1646</v>
      </c>
      <c r="C694" s="1044">
        <v>45618</v>
      </c>
      <c r="D694" s="1037">
        <v>45708</v>
      </c>
      <c r="E694" s="1042"/>
    </row>
    <row r="695" spans="1:5">
      <c r="A695" s="1039" t="s">
        <v>1647</v>
      </c>
      <c r="B695" s="1040" t="s">
        <v>1648</v>
      </c>
      <c r="C695" s="1044">
        <v>45618</v>
      </c>
      <c r="D695" s="1037">
        <v>45708</v>
      </c>
      <c r="E695" s="1042"/>
    </row>
    <row r="696" spans="1:5">
      <c r="A696" s="1039" t="s">
        <v>1649</v>
      </c>
      <c r="B696" s="1040" t="s">
        <v>1650</v>
      </c>
      <c r="C696" s="1044">
        <v>45618</v>
      </c>
      <c r="D696" s="1037">
        <v>45708</v>
      </c>
      <c r="E696" s="1042"/>
    </row>
    <row r="697" spans="1:5">
      <c r="A697" s="1039" t="s">
        <v>1651</v>
      </c>
      <c r="B697" s="1040" t="s">
        <v>1652</v>
      </c>
      <c r="C697" s="1044">
        <v>45618</v>
      </c>
      <c r="D697" s="1037">
        <v>45708</v>
      </c>
      <c r="E697" s="1042"/>
    </row>
    <row r="698" spans="1:5">
      <c r="A698" s="1039" t="s">
        <v>1653</v>
      </c>
      <c r="B698" s="1040" t="s">
        <v>1654</v>
      </c>
      <c r="C698" s="1044">
        <v>45618</v>
      </c>
      <c r="D698" s="1037">
        <v>45708</v>
      </c>
      <c r="E698" s="1042"/>
    </row>
    <row r="699" spans="1:5">
      <c r="A699" s="1039" t="s">
        <v>1655</v>
      </c>
      <c r="B699" s="1040" t="s">
        <v>1656</v>
      </c>
      <c r="C699" s="1044">
        <v>45618</v>
      </c>
      <c r="D699" s="1037">
        <v>45708</v>
      </c>
      <c r="E699" s="1042"/>
    </row>
    <row r="700" spans="1:5">
      <c r="A700" s="1039" t="s">
        <v>1657</v>
      </c>
      <c r="B700" s="1040" t="s">
        <v>1658</v>
      </c>
      <c r="C700" s="1044">
        <v>45618</v>
      </c>
      <c r="D700" s="1037">
        <v>45708</v>
      </c>
      <c r="E700" s="1042"/>
    </row>
    <row r="701" spans="1:5">
      <c r="A701" s="1039" t="s">
        <v>1659</v>
      </c>
      <c r="B701" s="1040" t="s">
        <v>1660</v>
      </c>
      <c r="C701" s="1044">
        <v>45618</v>
      </c>
      <c r="D701" s="1037">
        <v>45708</v>
      </c>
      <c r="E701" s="1042"/>
    </row>
    <row r="702" spans="1:5">
      <c r="A702" s="1039" t="s">
        <v>1661</v>
      </c>
      <c r="B702" s="1040" t="s">
        <v>1662</v>
      </c>
      <c r="C702" s="1044">
        <v>45681</v>
      </c>
      <c r="D702" s="1037">
        <v>45708</v>
      </c>
      <c r="E702" s="1042"/>
    </row>
    <row r="703" spans="1:5">
      <c r="A703" s="1039" t="s">
        <v>1663</v>
      </c>
      <c r="B703" s="1040" t="s">
        <v>1664</v>
      </c>
      <c r="C703" s="1044">
        <v>45681</v>
      </c>
      <c r="D703" s="1037">
        <v>45708</v>
      </c>
      <c r="E703" s="1042"/>
    </row>
    <row r="704" spans="1:5">
      <c r="A704" s="1039" t="s">
        <v>1665</v>
      </c>
      <c r="B704" s="1040" t="s">
        <v>1666</v>
      </c>
      <c r="C704" s="1044">
        <v>45618</v>
      </c>
      <c r="D704" s="1037">
        <v>45708</v>
      </c>
      <c r="E704" s="1042"/>
    </row>
    <row r="705" spans="1:5">
      <c r="A705" s="1039" t="s">
        <v>1667</v>
      </c>
      <c r="B705" s="1040" t="s">
        <v>1668</v>
      </c>
      <c r="C705" s="1044">
        <v>45681</v>
      </c>
      <c r="D705" s="1037">
        <v>45708</v>
      </c>
      <c r="E705" s="1042"/>
    </row>
    <row r="706" spans="1:5">
      <c r="A706" s="1039" t="s">
        <v>1669</v>
      </c>
      <c r="B706" s="1040" t="s">
        <v>1670</v>
      </c>
      <c r="C706" s="1044">
        <v>45681</v>
      </c>
      <c r="D706" s="1037">
        <v>45708</v>
      </c>
      <c r="E706" s="1042"/>
    </row>
    <row r="707" spans="1:5">
      <c r="A707" s="1039" t="s">
        <v>1671</v>
      </c>
      <c r="B707" s="1040" t="s">
        <v>1672</v>
      </c>
      <c r="C707" s="1044">
        <v>45681</v>
      </c>
      <c r="D707" s="1037">
        <v>45708</v>
      </c>
      <c r="E707" s="1042"/>
    </row>
    <row r="708" spans="1:5">
      <c r="A708" s="1039" t="s">
        <v>1673</v>
      </c>
      <c r="B708" s="1040" t="s">
        <v>1674</v>
      </c>
      <c r="C708" s="1044">
        <v>45681</v>
      </c>
      <c r="D708" s="1037">
        <v>45708</v>
      </c>
      <c r="E708" s="1042"/>
    </row>
    <row r="709" spans="1:5">
      <c r="A709" s="1039" t="s">
        <v>1675</v>
      </c>
      <c r="B709" s="1040" t="s">
        <v>1676</v>
      </c>
      <c r="C709" s="1044">
        <v>45681</v>
      </c>
      <c r="D709" s="1037">
        <v>45708</v>
      </c>
      <c r="E709" s="1042"/>
    </row>
    <row r="710" spans="1:5">
      <c r="A710" s="1039" t="s">
        <v>1677</v>
      </c>
      <c r="B710" s="1040" t="s">
        <v>1678</v>
      </c>
      <c r="C710" s="1044">
        <v>45618</v>
      </c>
      <c r="D710" s="1037">
        <v>45708</v>
      </c>
      <c r="E710" s="1042"/>
    </row>
    <row r="711" spans="1:5">
      <c r="A711" s="1039" t="s">
        <v>1679</v>
      </c>
      <c r="B711" s="1040" t="s">
        <v>1597</v>
      </c>
      <c r="C711" s="1044">
        <v>45681</v>
      </c>
      <c r="D711" s="1037">
        <v>45708</v>
      </c>
      <c r="E711" s="1042"/>
    </row>
    <row r="712" spans="1:5">
      <c r="A712" s="1039" t="s">
        <v>1680</v>
      </c>
      <c r="B712" s="1040" t="s">
        <v>1599</v>
      </c>
      <c r="C712" s="1044">
        <v>45681</v>
      </c>
      <c r="D712" s="1037">
        <v>45708</v>
      </c>
      <c r="E712" s="1042"/>
    </row>
    <row r="713" spans="1:5">
      <c r="A713" s="1039" t="s">
        <v>1681</v>
      </c>
      <c r="B713" s="1040" t="s">
        <v>1682</v>
      </c>
      <c r="C713" s="1044">
        <v>45681</v>
      </c>
      <c r="D713" s="1037">
        <v>45708</v>
      </c>
      <c r="E713" s="1042"/>
    </row>
    <row r="714" spans="1:5">
      <c r="A714" s="1039" t="s">
        <v>1683</v>
      </c>
      <c r="B714" s="1040" t="s">
        <v>1684</v>
      </c>
      <c r="C714" s="1044">
        <v>45681</v>
      </c>
      <c r="D714" s="1037">
        <v>45708</v>
      </c>
      <c r="E714" s="1042"/>
    </row>
    <row r="715" spans="1:5">
      <c r="A715" s="1039" t="s">
        <v>1685</v>
      </c>
      <c r="B715" s="1040" t="s">
        <v>1686</v>
      </c>
      <c r="C715" s="1044">
        <v>45681</v>
      </c>
      <c r="D715" s="1037">
        <v>45708</v>
      </c>
      <c r="E715" s="1042"/>
    </row>
    <row r="716" spans="1:5">
      <c r="A716" s="1039" t="s">
        <v>1687</v>
      </c>
      <c r="B716" s="1040" t="s">
        <v>1688</v>
      </c>
      <c r="C716" s="1044">
        <v>45681</v>
      </c>
      <c r="D716" s="1037">
        <v>45708</v>
      </c>
      <c r="E716" s="1042"/>
    </row>
    <row r="717" spans="1:5">
      <c r="A717" s="1039" t="s">
        <v>1689</v>
      </c>
      <c r="B717" s="1040" t="s">
        <v>1690</v>
      </c>
      <c r="C717" s="1044">
        <v>45618</v>
      </c>
      <c r="D717" s="1037">
        <v>45708</v>
      </c>
      <c r="E717" s="1042"/>
    </row>
    <row r="718" spans="1:5">
      <c r="A718" s="1039" t="s">
        <v>1691</v>
      </c>
      <c r="B718" s="1040" t="s">
        <v>1579</v>
      </c>
      <c r="C718" s="1044">
        <v>45681</v>
      </c>
      <c r="D718" s="1037">
        <v>45708</v>
      </c>
      <c r="E718" s="1042"/>
    </row>
    <row r="719" spans="1:5">
      <c r="A719" s="1039" t="s">
        <v>1692</v>
      </c>
      <c r="B719" s="1040" t="s">
        <v>1693</v>
      </c>
      <c r="C719" s="1044">
        <v>45681</v>
      </c>
      <c r="D719" s="1037">
        <v>45708</v>
      </c>
      <c r="E719" s="1042"/>
    </row>
    <row r="720" spans="1:5">
      <c r="A720" s="1039" t="s">
        <v>1694</v>
      </c>
      <c r="B720" s="1040" t="s">
        <v>1695</v>
      </c>
      <c r="C720" s="1044">
        <v>45681</v>
      </c>
      <c r="D720" s="1037">
        <v>45708</v>
      </c>
      <c r="E720" s="1042"/>
    </row>
    <row r="721" spans="1:5">
      <c r="A721" s="1039" t="s">
        <v>1696</v>
      </c>
      <c r="B721" s="1040" t="s">
        <v>1697</v>
      </c>
      <c r="C721" s="1044">
        <v>45681</v>
      </c>
      <c r="D721" s="1037">
        <v>45708</v>
      </c>
      <c r="E721" s="1042"/>
    </row>
    <row r="722" spans="1:5">
      <c r="A722" s="1039" t="s">
        <v>1698</v>
      </c>
      <c r="B722" s="1040" t="s">
        <v>1699</v>
      </c>
      <c r="C722" s="1044">
        <v>45681</v>
      </c>
      <c r="D722" s="1037">
        <v>45708</v>
      </c>
      <c r="E722" s="1042"/>
    </row>
    <row r="723" spans="1:5">
      <c r="A723" s="1039" t="s">
        <v>1700</v>
      </c>
      <c r="B723" s="1040" t="s">
        <v>1701</v>
      </c>
      <c r="C723" s="1044">
        <v>45681</v>
      </c>
      <c r="D723" s="1037">
        <v>45708</v>
      </c>
      <c r="E723" s="1042"/>
    </row>
    <row r="724" spans="1:5">
      <c r="A724" s="1039" t="s">
        <v>1702</v>
      </c>
      <c r="B724" s="1040" t="s">
        <v>1703</v>
      </c>
      <c r="C724" s="1044">
        <v>45618</v>
      </c>
      <c r="D724" s="1037">
        <v>45708</v>
      </c>
      <c r="E724" s="1042"/>
    </row>
    <row r="725" spans="1:5">
      <c r="A725" s="1039" t="s">
        <v>1704</v>
      </c>
      <c r="B725" s="1040" t="s">
        <v>1705</v>
      </c>
      <c r="C725" s="1044">
        <v>45681</v>
      </c>
      <c r="D725" s="1037">
        <v>45708</v>
      </c>
      <c r="E725" s="1042"/>
    </row>
    <row r="726" spans="1:5">
      <c r="A726" s="1039" t="s">
        <v>1706</v>
      </c>
      <c r="B726" s="1040" t="s">
        <v>1707</v>
      </c>
      <c r="C726" s="1044">
        <v>45681</v>
      </c>
      <c r="D726" s="1037">
        <v>45708</v>
      </c>
      <c r="E726" s="1042"/>
    </row>
    <row r="727" spans="1:5">
      <c r="A727" s="1039" t="s">
        <v>1708</v>
      </c>
      <c r="B727" s="1040" t="s">
        <v>1709</v>
      </c>
      <c r="C727" s="1044">
        <v>45681</v>
      </c>
      <c r="D727" s="1037">
        <v>45708</v>
      </c>
      <c r="E727" s="1042"/>
    </row>
    <row r="728" spans="1:5">
      <c r="A728" s="1039" t="s">
        <v>1710</v>
      </c>
      <c r="B728" s="1040" t="s">
        <v>1711</v>
      </c>
      <c r="C728" s="1044">
        <v>45681</v>
      </c>
      <c r="D728" s="1037">
        <v>45708</v>
      </c>
      <c r="E728" s="1042"/>
    </row>
    <row r="729" spans="1:5">
      <c r="A729" s="1039" t="s">
        <v>1712</v>
      </c>
      <c r="B729" s="1040" t="s">
        <v>1713</v>
      </c>
      <c r="C729" s="1044">
        <v>45618</v>
      </c>
      <c r="D729" s="1037">
        <v>45708</v>
      </c>
      <c r="E729" s="1042"/>
    </row>
    <row r="730" spans="1:5">
      <c r="A730" s="1039" t="s">
        <v>1714</v>
      </c>
      <c r="B730" s="1040" t="s">
        <v>1715</v>
      </c>
      <c r="C730" s="1044">
        <v>45681</v>
      </c>
      <c r="D730" s="1037">
        <v>45708</v>
      </c>
      <c r="E730" s="1042"/>
    </row>
    <row r="731" spans="1:5">
      <c r="A731" s="1039" t="s">
        <v>1716</v>
      </c>
      <c r="B731" s="1040" t="s">
        <v>1717</v>
      </c>
      <c r="C731" s="1044">
        <v>45681</v>
      </c>
      <c r="D731" s="1037">
        <v>45708</v>
      </c>
      <c r="E731" s="1042"/>
    </row>
    <row r="732" spans="1:5">
      <c r="A732" s="1039" t="s">
        <v>1718</v>
      </c>
      <c r="B732" s="1040" t="s">
        <v>1719</v>
      </c>
      <c r="C732" s="1044">
        <v>45681</v>
      </c>
      <c r="D732" s="1037">
        <v>45708</v>
      </c>
      <c r="E732" s="1042"/>
    </row>
    <row r="733" spans="1:5">
      <c r="A733" s="1039" t="s">
        <v>1720</v>
      </c>
      <c r="B733" s="1040" t="s">
        <v>1721</v>
      </c>
      <c r="C733" s="1044">
        <v>45618</v>
      </c>
      <c r="D733" s="1037">
        <v>45708</v>
      </c>
      <c r="E733" s="1042"/>
    </row>
    <row r="734" spans="1:5">
      <c r="A734" s="1039" t="s">
        <v>1722</v>
      </c>
      <c r="B734" s="1040" t="s">
        <v>1723</v>
      </c>
      <c r="C734" s="1047">
        <v>45618</v>
      </c>
      <c r="D734" s="1037">
        <v>45708</v>
      </c>
      <c r="E734" s="1042"/>
    </row>
    <row r="735" spans="1:5">
      <c r="A735" s="1039" t="s">
        <v>1724</v>
      </c>
      <c r="B735" s="1040" t="s">
        <v>1725</v>
      </c>
      <c r="C735" s="1047">
        <v>45618</v>
      </c>
      <c r="D735" s="1037">
        <v>45708</v>
      </c>
      <c r="E735" s="1042"/>
    </row>
    <row r="736" spans="1:5">
      <c r="A736" s="1039" t="s">
        <v>1726</v>
      </c>
      <c r="B736" s="1040" t="s">
        <v>1727</v>
      </c>
      <c r="C736" s="1047">
        <v>45618</v>
      </c>
      <c r="D736" s="1037">
        <v>45708</v>
      </c>
      <c r="E736" s="1042"/>
    </row>
    <row r="737" spans="1:5">
      <c r="A737" s="1039" t="s">
        <v>1728</v>
      </c>
      <c r="B737" s="1040" t="s">
        <v>1729</v>
      </c>
      <c r="C737" s="1047">
        <v>45618</v>
      </c>
      <c r="D737" s="1037">
        <v>45708</v>
      </c>
      <c r="E737" s="1042"/>
    </row>
    <row r="738" spans="1:5">
      <c r="A738" s="1039" t="s">
        <v>1730</v>
      </c>
      <c r="B738" s="1040" t="s">
        <v>1731</v>
      </c>
      <c r="C738" s="1047">
        <v>45618</v>
      </c>
      <c r="D738" s="1037">
        <v>45708</v>
      </c>
      <c r="E738" s="1042"/>
    </row>
    <row r="739" spans="1:5">
      <c r="A739" s="1039" t="s">
        <v>1732</v>
      </c>
      <c r="B739" s="1040" t="s">
        <v>1733</v>
      </c>
      <c r="C739" s="1047">
        <v>45618</v>
      </c>
      <c r="D739" s="1037">
        <v>45708</v>
      </c>
      <c r="E739" s="1042"/>
    </row>
    <row r="740" spans="1:5">
      <c r="A740" s="1039" t="s">
        <v>1734</v>
      </c>
      <c r="B740" s="1040" t="s">
        <v>1735</v>
      </c>
      <c r="C740" s="1047">
        <v>45618</v>
      </c>
      <c r="D740" s="1037">
        <v>45708</v>
      </c>
      <c r="E740" s="1042"/>
    </row>
    <row r="741" spans="1:5">
      <c r="A741" s="1039" t="s">
        <v>1736</v>
      </c>
      <c r="B741" s="1040" t="s">
        <v>1735</v>
      </c>
      <c r="C741" s="1047">
        <v>45618</v>
      </c>
      <c r="D741" s="1037">
        <v>45708</v>
      </c>
      <c r="E741" s="1042"/>
    </row>
    <row r="742" spans="1:5">
      <c r="A742" s="1039" t="s">
        <v>1737</v>
      </c>
      <c r="B742" s="1040" t="s">
        <v>1738</v>
      </c>
      <c r="C742" s="1047">
        <v>45618</v>
      </c>
      <c r="D742" s="1037">
        <v>45708</v>
      </c>
      <c r="E742" s="1042"/>
    </row>
    <row r="743" spans="1:5">
      <c r="A743" s="1039" t="s">
        <v>1739</v>
      </c>
      <c r="B743" s="1040" t="s">
        <v>1735</v>
      </c>
      <c r="C743" s="1047">
        <v>45618</v>
      </c>
      <c r="D743" s="1037">
        <v>45708</v>
      </c>
      <c r="E743" s="1042"/>
    </row>
    <row r="744" spans="1:5">
      <c r="A744" s="1039" t="s">
        <v>279</v>
      </c>
      <c r="B744" s="1040" t="s">
        <v>1740</v>
      </c>
      <c r="C744" s="1047">
        <v>45618</v>
      </c>
      <c r="D744" s="1037">
        <v>45708</v>
      </c>
      <c r="E744" s="1042"/>
    </row>
    <row r="745" spans="1:5">
      <c r="A745" s="1039" t="s">
        <v>1741</v>
      </c>
      <c r="B745" s="1040" t="s">
        <v>1740</v>
      </c>
      <c r="C745" s="1047">
        <v>45618</v>
      </c>
      <c r="D745" s="1037">
        <v>45708</v>
      </c>
      <c r="E745" s="1042"/>
    </row>
    <row r="746" spans="1:5">
      <c r="A746" s="1039" t="s">
        <v>1742</v>
      </c>
      <c r="B746" s="1040" t="s">
        <v>1740</v>
      </c>
      <c r="C746" s="1047">
        <v>45618</v>
      </c>
      <c r="D746" s="1037">
        <v>45708</v>
      </c>
      <c r="E746" s="1042"/>
    </row>
    <row r="747" spans="1:5">
      <c r="A747" s="1039" t="s">
        <v>1743</v>
      </c>
      <c r="B747" s="1040" t="s">
        <v>1744</v>
      </c>
      <c r="C747" s="1047">
        <v>45618</v>
      </c>
      <c r="D747" s="1037">
        <v>45708</v>
      </c>
      <c r="E747" s="1042"/>
    </row>
    <row r="748" spans="1:5">
      <c r="A748" s="1039" t="s">
        <v>1745</v>
      </c>
      <c r="B748" s="1040" t="s">
        <v>1740</v>
      </c>
      <c r="C748" s="1047">
        <v>45618</v>
      </c>
      <c r="D748" s="1037">
        <v>45708</v>
      </c>
      <c r="E748" s="1042"/>
    </row>
    <row r="749" spans="1:5">
      <c r="A749" s="1039" t="s">
        <v>1746</v>
      </c>
      <c r="B749" s="1040" t="s">
        <v>1740</v>
      </c>
      <c r="C749" s="1047">
        <v>45618</v>
      </c>
      <c r="D749" s="1037">
        <v>45708</v>
      </c>
      <c r="E749" s="1042"/>
    </row>
    <row r="750" spans="1:5">
      <c r="A750" s="1039" t="s">
        <v>1747</v>
      </c>
      <c r="B750" s="1040" t="s">
        <v>1748</v>
      </c>
      <c r="C750" s="1047">
        <v>45618</v>
      </c>
      <c r="D750" s="1037">
        <v>45708</v>
      </c>
      <c r="E750" s="1042"/>
    </row>
    <row r="751" spans="1:5">
      <c r="A751" s="1039" t="s">
        <v>1749</v>
      </c>
      <c r="B751" s="1040" t="s">
        <v>1750</v>
      </c>
      <c r="C751" s="1047">
        <v>45618</v>
      </c>
      <c r="D751" s="1037">
        <v>45708</v>
      </c>
      <c r="E751" s="1042"/>
    </row>
    <row r="752" spans="1:5">
      <c r="A752" s="1039" t="s">
        <v>1751</v>
      </c>
      <c r="B752" s="1040" t="s">
        <v>1748</v>
      </c>
      <c r="C752" s="1047">
        <v>45618</v>
      </c>
      <c r="D752" s="1037">
        <v>45708</v>
      </c>
      <c r="E752" s="1042"/>
    </row>
    <row r="753" spans="1:5">
      <c r="A753" s="1039" t="s">
        <v>1752</v>
      </c>
      <c r="B753" s="1040" t="s">
        <v>1753</v>
      </c>
      <c r="C753" s="1044">
        <v>45681</v>
      </c>
      <c r="D753" s="1037">
        <v>45708</v>
      </c>
      <c r="E753" s="1042"/>
    </row>
    <row r="754" spans="1:5">
      <c r="A754" s="1039" t="s">
        <v>1754</v>
      </c>
      <c r="B754" s="1040" t="s">
        <v>1755</v>
      </c>
      <c r="C754" s="1044">
        <v>45618</v>
      </c>
      <c r="D754" s="1037">
        <v>45708</v>
      </c>
      <c r="E754" s="1042"/>
    </row>
    <row r="755" spans="1:5">
      <c r="A755" s="1039" t="s">
        <v>1756</v>
      </c>
      <c r="B755" s="1040" t="s">
        <v>1755</v>
      </c>
      <c r="C755" s="1044">
        <v>45618</v>
      </c>
      <c r="D755" s="1037">
        <v>45708</v>
      </c>
      <c r="E755" s="1042"/>
    </row>
    <row r="756" spans="1:5">
      <c r="A756" s="1039" t="s">
        <v>1757</v>
      </c>
      <c r="B756" s="1040" t="s">
        <v>1755</v>
      </c>
      <c r="C756" s="1044">
        <v>45618</v>
      </c>
      <c r="D756" s="1037">
        <v>45708</v>
      </c>
      <c r="E756" s="1042"/>
    </row>
    <row r="757" spans="1:5">
      <c r="A757" s="1039" t="s">
        <v>1758</v>
      </c>
      <c r="B757" s="1040" t="s">
        <v>1755</v>
      </c>
      <c r="C757" s="1044">
        <v>45618</v>
      </c>
      <c r="D757" s="1037">
        <v>45708</v>
      </c>
      <c r="E757" s="1042"/>
    </row>
    <row r="758" spans="1:5">
      <c r="A758" s="1039" t="s">
        <v>1759</v>
      </c>
      <c r="B758" s="1040" t="s">
        <v>1760</v>
      </c>
      <c r="C758" s="1044">
        <v>45618</v>
      </c>
      <c r="D758" s="1037">
        <v>45708</v>
      </c>
      <c r="E758" s="1042"/>
    </row>
    <row r="759" spans="1:5">
      <c r="A759" s="1039" t="s">
        <v>1761</v>
      </c>
      <c r="B759" s="1040" t="s">
        <v>1762</v>
      </c>
      <c r="C759" s="1044">
        <v>45681</v>
      </c>
      <c r="D759" s="1037">
        <v>45708</v>
      </c>
      <c r="E759" s="1042"/>
    </row>
    <row r="760" spans="1:5">
      <c r="A760" s="1039" t="s">
        <v>1763</v>
      </c>
      <c r="B760" s="1040" t="s">
        <v>1762</v>
      </c>
      <c r="C760" s="1044">
        <v>45681</v>
      </c>
      <c r="D760" s="1037">
        <v>45708</v>
      </c>
      <c r="E760" s="1042"/>
    </row>
    <row r="761" spans="1:5">
      <c r="A761" s="1039" t="s">
        <v>1764</v>
      </c>
      <c r="B761" s="1040" t="s">
        <v>1762</v>
      </c>
      <c r="C761" s="1044">
        <v>45681</v>
      </c>
      <c r="D761" s="1037">
        <v>45708</v>
      </c>
      <c r="E761" s="1042"/>
    </row>
    <row r="762" spans="1:5">
      <c r="A762" s="1039" t="s">
        <v>1765</v>
      </c>
      <c r="B762" s="1040" t="s">
        <v>1762</v>
      </c>
      <c r="C762" s="1044">
        <v>45681</v>
      </c>
      <c r="D762" s="1037">
        <v>45708</v>
      </c>
      <c r="E762" s="1042"/>
    </row>
    <row r="763" spans="1:5">
      <c r="A763" s="1039" t="s">
        <v>1766</v>
      </c>
      <c r="B763" s="1040" t="s">
        <v>1762</v>
      </c>
      <c r="C763" s="1044">
        <v>45681</v>
      </c>
      <c r="D763" s="1037">
        <v>45708</v>
      </c>
      <c r="E763" s="1042"/>
    </row>
    <row r="764" spans="1:5">
      <c r="A764" s="1039" t="s">
        <v>1767</v>
      </c>
      <c r="B764" s="1040" t="s">
        <v>1762</v>
      </c>
      <c r="C764" s="1044">
        <v>45681</v>
      </c>
      <c r="D764" s="1037">
        <v>45708</v>
      </c>
      <c r="E764" s="1042"/>
    </row>
    <row r="765" spans="1:5">
      <c r="A765" s="1039" t="s">
        <v>1768</v>
      </c>
      <c r="B765" s="1040" t="s">
        <v>1762</v>
      </c>
      <c r="C765" s="1044">
        <v>45681</v>
      </c>
      <c r="D765" s="1037">
        <v>45708</v>
      </c>
      <c r="E765" s="1042"/>
    </row>
    <row r="766" spans="1:5">
      <c r="A766" s="1039" t="s">
        <v>1769</v>
      </c>
      <c r="B766" s="1040" t="s">
        <v>1762</v>
      </c>
      <c r="C766" s="1044">
        <v>45681</v>
      </c>
      <c r="D766" s="1037">
        <v>45708</v>
      </c>
      <c r="E766" s="1042"/>
    </row>
    <row r="767" spans="1:5">
      <c r="A767" s="1039" t="s">
        <v>1770</v>
      </c>
      <c r="B767" s="1040" t="s">
        <v>1762</v>
      </c>
      <c r="C767" s="1044">
        <v>45681</v>
      </c>
      <c r="D767" s="1037">
        <v>45708</v>
      </c>
      <c r="E767" s="1042"/>
    </row>
    <row r="768" spans="1:5">
      <c r="A768" s="1039" t="s">
        <v>1771</v>
      </c>
      <c r="B768" s="1040" t="s">
        <v>1762</v>
      </c>
      <c r="C768" s="1044">
        <v>45681</v>
      </c>
      <c r="D768" s="1037">
        <v>45708</v>
      </c>
      <c r="E768" s="1042"/>
    </row>
    <row r="769" spans="1:5">
      <c r="A769" s="1039" t="s">
        <v>1772</v>
      </c>
      <c r="B769" s="1040" t="s">
        <v>1762</v>
      </c>
      <c r="C769" s="1044">
        <v>45681</v>
      </c>
      <c r="D769" s="1037">
        <v>45708</v>
      </c>
      <c r="E769" s="1042"/>
    </row>
    <row r="770" spans="1:5">
      <c r="A770" s="1039" t="s">
        <v>1773</v>
      </c>
      <c r="B770" s="1040" t="s">
        <v>1774</v>
      </c>
      <c r="C770" s="1044">
        <v>45681</v>
      </c>
      <c r="D770" s="1037">
        <v>45708</v>
      </c>
      <c r="E770" s="1042"/>
    </row>
    <row r="771" spans="1:5">
      <c r="A771" s="1039" t="s">
        <v>1775</v>
      </c>
      <c r="B771" s="1040" t="s">
        <v>1776</v>
      </c>
      <c r="C771" s="1044">
        <v>45681</v>
      </c>
      <c r="D771" s="1037">
        <v>45708</v>
      </c>
      <c r="E771" s="1042"/>
    </row>
    <row r="772" spans="1:5">
      <c r="A772" s="1039" t="s">
        <v>1777</v>
      </c>
      <c r="B772" s="1040" t="s">
        <v>1611</v>
      </c>
      <c r="C772" s="1044">
        <v>45681</v>
      </c>
      <c r="D772" s="1037">
        <v>45708</v>
      </c>
      <c r="E772" s="1042"/>
    </row>
    <row r="773" spans="1:5">
      <c r="A773" s="1039" t="s">
        <v>1778</v>
      </c>
      <c r="B773" s="1040" t="s">
        <v>1613</v>
      </c>
      <c r="C773" s="1044">
        <v>45681</v>
      </c>
      <c r="D773" s="1037">
        <v>45708</v>
      </c>
      <c r="E773" s="1042"/>
    </row>
    <row r="774" spans="1:5">
      <c r="A774" s="1039" t="s">
        <v>1779</v>
      </c>
      <c r="B774" s="1040" t="s">
        <v>1609</v>
      </c>
      <c r="C774" s="1044">
        <v>45681</v>
      </c>
      <c r="D774" s="1037">
        <v>45708</v>
      </c>
      <c r="E774" s="1042"/>
    </row>
    <row r="775" spans="1:5">
      <c r="A775" s="1039" t="s">
        <v>1780</v>
      </c>
      <c r="B775" s="1040" t="s">
        <v>1781</v>
      </c>
      <c r="C775" s="1044">
        <v>45681</v>
      </c>
      <c r="D775" s="1037">
        <v>45708</v>
      </c>
      <c r="E775" s="1042"/>
    </row>
    <row r="776" spans="1:5">
      <c r="A776" s="1039" t="s">
        <v>1782</v>
      </c>
      <c r="B776" s="1040" t="s">
        <v>1781</v>
      </c>
      <c r="C776" s="1044">
        <v>45681</v>
      </c>
      <c r="D776" s="1037">
        <v>45708</v>
      </c>
      <c r="E776" s="1042"/>
    </row>
    <row r="777" spans="1:5">
      <c r="A777" s="1039" t="s">
        <v>1783</v>
      </c>
      <c r="B777" s="1040" t="s">
        <v>1781</v>
      </c>
      <c r="C777" s="1044">
        <v>45681</v>
      </c>
      <c r="D777" s="1037">
        <v>45708</v>
      </c>
      <c r="E777" s="1042"/>
    </row>
    <row r="778" spans="1:5">
      <c r="A778" s="1039" t="s">
        <v>544</v>
      </c>
      <c r="B778" s="1040" t="s">
        <v>1781</v>
      </c>
      <c r="C778" s="1044">
        <v>45681</v>
      </c>
      <c r="D778" s="1037">
        <v>45708</v>
      </c>
      <c r="E778" s="1042"/>
    </row>
    <row r="779" spans="1:5">
      <c r="A779" s="1039" t="s">
        <v>1784</v>
      </c>
      <c r="B779" s="1040" t="s">
        <v>1781</v>
      </c>
      <c r="C779" s="1044">
        <v>45681</v>
      </c>
      <c r="D779" s="1037">
        <v>45708</v>
      </c>
      <c r="E779" s="1042"/>
    </row>
    <row r="780" spans="1:5">
      <c r="A780" s="1039" t="s">
        <v>1785</v>
      </c>
      <c r="B780" s="1040" t="s">
        <v>1781</v>
      </c>
      <c r="C780" s="1044">
        <v>45681</v>
      </c>
      <c r="D780" s="1037">
        <v>45708</v>
      </c>
      <c r="E780" s="1042"/>
    </row>
    <row r="781" spans="1:5">
      <c r="A781" s="1039" t="s">
        <v>1786</v>
      </c>
      <c r="B781" s="1040" t="s">
        <v>1781</v>
      </c>
      <c r="C781" s="1044">
        <v>45681</v>
      </c>
      <c r="D781" s="1037">
        <v>45708</v>
      </c>
      <c r="E781" s="1042"/>
    </row>
    <row r="782" spans="1:5">
      <c r="A782" s="1039" t="s">
        <v>1787</v>
      </c>
      <c r="B782" s="1040" t="s">
        <v>1781</v>
      </c>
      <c r="C782" s="1044">
        <v>45681</v>
      </c>
      <c r="D782" s="1037">
        <v>45708</v>
      </c>
      <c r="E782" s="1042"/>
    </row>
    <row r="783" spans="1:5">
      <c r="A783" s="1039" t="s">
        <v>1788</v>
      </c>
      <c r="B783" s="1040" t="s">
        <v>1781</v>
      </c>
      <c r="C783" s="1044">
        <v>45681</v>
      </c>
      <c r="D783" s="1037">
        <v>45708</v>
      </c>
      <c r="E783" s="1042"/>
    </row>
    <row r="784" spans="1:5">
      <c r="A784" s="1039" t="s">
        <v>1789</v>
      </c>
      <c r="B784" s="1040" t="s">
        <v>1781</v>
      </c>
      <c r="C784" s="1044">
        <v>45681</v>
      </c>
      <c r="D784" s="1037">
        <v>45708</v>
      </c>
      <c r="E784" s="1042"/>
    </row>
    <row r="785" spans="1:5">
      <c r="A785" s="1039" t="s">
        <v>1790</v>
      </c>
      <c r="B785" s="1040" t="s">
        <v>1781</v>
      </c>
      <c r="C785" s="1044">
        <v>45681</v>
      </c>
      <c r="D785" s="1037">
        <v>45708</v>
      </c>
      <c r="E785" s="1042"/>
    </row>
    <row r="786" spans="1:5">
      <c r="A786" s="1039" t="s">
        <v>1791</v>
      </c>
      <c r="B786" s="1040" t="s">
        <v>1781</v>
      </c>
      <c r="C786" s="1044">
        <v>45681</v>
      </c>
      <c r="D786" s="1037">
        <v>45708</v>
      </c>
      <c r="E786" s="1042"/>
    </row>
    <row r="787" spans="1:5">
      <c r="A787" s="1039" t="s">
        <v>1792</v>
      </c>
      <c r="B787" s="1040" t="s">
        <v>1781</v>
      </c>
      <c r="C787" s="1044">
        <v>45681</v>
      </c>
      <c r="D787" s="1037">
        <v>45708</v>
      </c>
      <c r="E787" s="1042"/>
    </row>
    <row r="788" spans="1:5">
      <c r="A788" s="1039" t="s">
        <v>1793</v>
      </c>
      <c r="B788" s="1040" t="s">
        <v>1781</v>
      </c>
      <c r="C788" s="1044">
        <v>45681</v>
      </c>
      <c r="D788" s="1037">
        <v>45708</v>
      </c>
      <c r="E788" s="1042"/>
    </row>
    <row r="789" spans="1:5">
      <c r="A789" s="1039" t="s">
        <v>1794</v>
      </c>
      <c r="B789" s="1040" t="s">
        <v>1781</v>
      </c>
      <c r="C789" s="1044">
        <v>45681</v>
      </c>
      <c r="D789" s="1037">
        <v>45708</v>
      </c>
      <c r="E789" s="1042"/>
    </row>
    <row r="790" spans="1:5">
      <c r="A790" s="1039" t="s">
        <v>1795</v>
      </c>
      <c r="B790" s="1040" t="s">
        <v>1781</v>
      </c>
      <c r="C790" s="1044">
        <v>45681</v>
      </c>
      <c r="D790" s="1037">
        <v>45708</v>
      </c>
      <c r="E790" s="1042"/>
    </row>
    <row r="791" spans="1:5">
      <c r="A791" s="1039" t="s">
        <v>1796</v>
      </c>
      <c r="B791" s="1040" t="s">
        <v>1797</v>
      </c>
      <c r="C791" s="1044">
        <v>45618</v>
      </c>
      <c r="D791" s="1037">
        <v>45708</v>
      </c>
      <c r="E791" s="1042"/>
    </row>
    <row r="792" spans="1:5">
      <c r="A792" s="1039" t="s">
        <v>1798</v>
      </c>
      <c r="B792" s="1040" t="s">
        <v>1799</v>
      </c>
      <c r="C792" s="1044">
        <v>45618</v>
      </c>
      <c r="D792" s="1037">
        <v>45708</v>
      </c>
      <c r="E792" s="1042"/>
    </row>
    <row r="793" spans="1:5">
      <c r="A793" s="1039" t="s">
        <v>1800</v>
      </c>
      <c r="B793" s="1040" t="s">
        <v>1799</v>
      </c>
      <c r="C793" s="1044">
        <v>45618</v>
      </c>
      <c r="D793" s="1037">
        <v>45708</v>
      </c>
      <c r="E793" s="1042"/>
    </row>
    <row r="794" spans="1:5">
      <c r="A794" s="1039" t="s">
        <v>1801</v>
      </c>
      <c r="B794" s="1040" t="s">
        <v>1797</v>
      </c>
      <c r="C794" s="1044">
        <v>45618</v>
      </c>
      <c r="D794" s="1037">
        <v>45708</v>
      </c>
      <c r="E794" s="1042"/>
    </row>
    <row r="795" spans="1:5">
      <c r="A795" s="1039" t="s">
        <v>1802</v>
      </c>
      <c r="B795" s="1040" t="s">
        <v>1797</v>
      </c>
      <c r="C795" s="1044">
        <v>45618</v>
      </c>
      <c r="D795" s="1037">
        <v>45708</v>
      </c>
      <c r="E795" s="1042"/>
    </row>
    <row r="796" spans="1:5">
      <c r="A796" s="1039" t="s">
        <v>1803</v>
      </c>
      <c r="B796" s="1040" t="s">
        <v>1799</v>
      </c>
      <c r="C796" s="1044">
        <v>45618</v>
      </c>
      <c r="D796" s="1037">
        <v>45708</v>
      </c>
      <c r="E796" s="1042"/>
    </row>
    <row r="797" spans="1:5">
      <c r="A797" s="1039" t="s">
        <v>1804</v>
      </c>
      <c r="B797" s="1040" t="s">
        <v>1797</v>
      </c>
      <c r="C797" s="1044">
        <v>45618</v>
      </c>
      <c r="D797" s="1037">
        <v>45708</v>
      </c>
      <c r="E797" s="1042"/>
    </row>
    <row r="798" spans="1:5">
      <c r="A798" s="1039" t="s">
        <v>1805</v>
      </c>
      <c r="B798" s="1040" t="s">
        <v>1799</v>
      </c>
      <c r="C798" s="1044">
        <v>45618</v>
      </c>
      <c r="D798" s="1037">
        <v>45708</v>
      </c>
      <c r="E798" s="1042"/>
    </row>
    <row r="799" spans="1:5">
      <c r="A799" s="1039" t="s">
        <v>1806</v>
      </c>
      <c r="B799" s="1040" t="s">
        <v>1799</v>
      </c>
      <c r="C799" s="1044">
        <v>45618</v>
      </c>
      <c r="D799" s="1037">
        <v>45708</v>
      </c>
      <c r="E799" s="1042"/>
    </row>
    <row r="800" spans="1:5">
      <c r="A800" s="1039" t="s">
        <v>1807</v>
      </c>
      <c r="B800" s="1040" t="s">
        <v>1797</v>
      </c>
      <c r="C800" s="1044">
        <v>45618</v>
      </c>
      <c r="D800" s="1037">
        <v>45708</v>
      </c>
      <c r="E800" s="1042"/>
    </row>
    <row r="801" spans="1:5">
      <c r="A801" s="1039" t="s">
        <v>1808</v>
      </c>
      <c r="B801" s="1040" t="s">
        <v>1799</v>
      </c>
      <c r="C801" s="1044">
        <v>45618</v>
      </c>
      <c r="D801" s="1037">
        <v>45708</v>
      </c>
      <c r="E801" s="1042"/>
    </row>
    <row r="802" spans="1:5">
      <c r="A802" s="1039" t="s">
        <v>1809</v>
      </c>
      <c r="B802" s="1040" t="s">
        <v>1799</v>
      </c>
      <c r="C802" s="1044">
        <v>45618</v>
      </c>
      <c r="D802" s="1037">
        <v>45708</v>
      </c>
      <c r="E802" s="1042"/>
    </row>
    <row r="803" spans="1:5">
      <c r="A803" s="1039" t="s">
        <v>1809</v>
      </c>
      <c r="B803" s="1040" t="s">
        <v>1810</v>
      </c>
      <c r="C803" s="1044">
        <v>45681</v>
      </c>
      <c r="D803" s="1037">
        <v>45708</v>
      </c>
      <c r="E803" s="1042"/>
    </row>
    <row r="804" spans="1:5">
      <c r="A804" s="1039" t="s">
        <v>1811</v>
      </c>
      <c r="B804" s="1040" t="s">
        <v>1799</v>
      </c>
      <c r="C804" s="1044">
        <v>45618</v>
      </c>
      <c r="D804" s="1037">
        <v>45708</v>
      </c>
      <c r="E804" s="1042"/>
    </row>
    <row r="805" spans="1:5">
      <c r="A805" s="1039" t="s">
        <v>1812</v>
      </c>
      <c r="B805" s="1040" t="s">
        <v>1799</v>
      </c>
      <c r="C805" s="1044">
        <v>45618</v>
      </c>
      <c r="D805" s="1037">
        <v>45708</v>
      </c>
      <c r="E805" s="1042"/>
    </row>
    <row r="806" spans="1:5">
      <c r="A806" s="1039" t="s">
        <v>1813</v>
      </c>
      <c r="B806" s="1040" t="s">
        <v>1799</v>
      </c>
      <c r="C806" s="1044">
        <v>45618</v>
      </c>
      <c r="D806" s="1037">
        <v>45708</v>
      </c>
      <c r="E806" s="1042"/>
    </row>
    <row r="807" spans="1:5">
      <c r="A807" s="1039" t="s">
        <v>1814</v>
      </c>
      <c r="B807" s="1040" t="s">
        <v>1799</v>
      </c>
      <c r="C807" s="1044">
        <v>45618</v>
      </c>
      <c r="D807" s="1037">
        <v>45708</v>
      </c>
      <c r="E807" s="1042"/>
    </row>
    <row r="808" spans="1:5">
      <c r="A808" s="1039" t="s">
        <v>1815</v>
      </c>
      <c r="B808" s="1040" t="s">
        <v>1799</v>
      </c>
      <c r="C808" s="1044">
        <v>45618</v>
      </c>
      <c r="D808" s="1037">
        <v>45708</v>
      </c>
      <c r="E808" s="1042"/>
    </row>
    <row r="809" spans="1:5">
      <c r="A809" s="1039" t="s">
        <v>1816</v>
      </c>
      <c r="B809" s="1040" t="s">
        <v>1817</v>
      </c>
      <c r="C809" s="1044">
        <v>45618</v>
      </c>
      <c r="D809" s="1037">
        <v>45708</v>
      </c>
      <c r="E809" s="1042"/>
    </row>
    <row r="810" spans="1:5">
      <c r="A810" s="1039" t="s">
        <v>1818</v>
      </c>
      <c r="B810" s="1040" t="s">
        <v>1819</v>
      </c>
      <c r="C810" s="1044">
        <v>45618</v>
      </c>
      <c r="D810" s="1037">
        <v>45708</v>
      </c>
      <c r="E810" s="1042"/>
    </row>
    <row r="811" spans="1:5">
      <c r="A811" s="1039" t="s">
        <v>1820</v>
      </c>
      <c r="B811" s="1040" t="s">
        <v>1819</v>
      </c>
      <c r="C811" s="1044">
        <v>45618</v>
      </c>
      <c r="D811" s="1037">
        <v>45708</v>
      </c>
      <c r="E811" s="1042"/>
    </row>
    <row r="812" spans="1:5">
      <c r="A812" s="1039" t="s">
        <v>1821</v>
      </c>
      <c r="B812" s="1040" t="s">
        <v>1819</v>
      </c>
      <c r="C812" s="1044">
        <v>45618</v>
      </c>
      <c r="D812" s="1037">
        <v>45708</v>
      </c>
      <c r="E812" s="1042"/>
    </row>
    <row r="813" spans="1:5">
      <c r="A813" s="1039" t="s">
        <v>1822</v>
      </c>
      <c r="B813" s="1040" t="s">
        <v>1823</v>
      </c>
      <c r="C813" s="1044">
        <v>45618</v>
      </c>
      <c r="D813" s="1037">
        <v>45708</v>
      </c>
      <c r="E813" s="1042"/>
    </row>
    <row r="814" spans="1:5">
      <c r="A814" s="1039" t="s">
        <v>1824</v>
      </c>
      <c r="B814" s="1040" t="s">
        <v>1810</v>
      </c>
      <c r="C814" s="1044">
        <v>45618</v>
      </c>
      <c r="D814" s="1037">
        <v>45708</v>
      </c>
      <c r="E814" s="1042"/>
    </row>
    <row r="815" spans="1:5">
      <c r="A815" s="1039" t="s">
        <v>1825</v>
      </c>
      <c r="B815" s="1040" t="s">
        <v>1810</v>
      </c>
      <c r="C815" s="1044">
        <v>45618</v>
      </c>
      <c r="D815" s="1037">
        <v>45708</v>
      </c>
      <c r="E815" s="1042"/>
    </row>
    <row r="816" spans="1:5">
      <c r="A816" s="1039" t="s">
        <v>1826</v>
      </c>
      <c r="B816" s="1040" t="s">
        <v>1810</v>
      </c>
      <c r="C816" s="1044">
        <v>45618</v>
      </c>
      <c r="D816" s="1037">
        <v>45708</v>
      </c>
      <c r="E816" s="1042"/>
    </row>
    <row r="817" spans="1:5">
      <c r="A817" s="1039" t="s">
        <v>1827</v>
      </c>
      <c r="B817" s="1040" t="s">
        <v>1810</v>
      </c>
      <c r="C817" s="1044">
        <v>45618</v>
      </c>
      <c r="D817" s="1037">
        <v>45708</v>
      </c>
      <c r="E817" s="1042"/>
    </row>
    <row r="818" spans="1:5">
      <c r="A818" s="1039" t="s">
        <v>1828</v>
      </c>
      <c r="B818" s="1040" t="s">
        <v>1829</v>
      </c>
      <c r="C818" s="1044">
        <v>45618</v>
      </c>
      <c r="D818" s="1037">
        <v>45708</v>
      </c>
      <c r="E818" s="1042"/>
    </row>
    <row r="819" spans="1:5">
      <c r="A819" s="1039" t="s">
        <v>1830</v>
      </c>
      <c r="B819" s="1040" t="s">
        <v>1831</v>
      </c>
      <c r="C819" s="1044">
        <v>45618</v>
      </c>
      <c r="D819" s="1037">
        <v>45708</v>
      </c>
      <c r="E819" s="1042"/>
    </row>
    <row r="820" spans="1:5">
      <c r="A820" s="1039" t="s">
        <v>1832</v>
      </c>
      <c r="B820" s="1040" t="s">
        <v>1833</v>
      </c>
      <c r="C820" s="1044">
        <v>45618</v>
      </c>
      <c r="D820" s="1037">
        <v>45708</v>
      </c>
      <c r="E820" s="1042"/>
    </row>
    <row r="821" spans="1:5">
      <c r="A821" s="1039" t="s">
        <v>1834</v>
      </c>
      <c r="B821" s="1040" t="s">
        <v>1833</v>
      </c>
      <c r="C821" s="1044">
        <v>45618</v>
      </c>
      <c r="D821" s="1037">
        <v>45708</v>
      </c>
      <c r="E821" s="1042"/>
    </row>
    <row r="822" spans="1:5">
      <c r="A822" s="1039" t="s">
        <v>1835</v>
      </c>
      <c r="B822" s="1040" t="s">
        <v>1833</v>
      </c>
      <c r="C822" s="1044">
        <v>45618</v>
      </c>
      <c r="D822" s="1037">
        <v>45708</v>
      </c>
      <c r="E822" s="1042"/>
    </row>
    <row r="823" spans="1:5">
      <c r="A823" s="1039" t="s">
        <v>1836</v>
      </c>
      <c r="B823" s="1040" t="s">
        <v>1833</v>
      </c>
      <c r="C823" s="1044">
        <v>45618</v>
      </c>
      <c r="D823" s="1037">
        <v>45708</v>
      </c>
      <c r="E823" s="1042"/>
    </row>
    <row r="824" spans="1:5">
      <c r="A824" s="1039" t="s">
        <v>1837</v>
      </c>
      <c r="B824" s="1040" t="s">
        <v>1833</v>
      </c>
      <c r="C824" s="1044">
        <v>45618</v>
      </c>
      <c r="D824" s="1037">
        <v>45708</v>
      </c>
      <c r="E824" s="1042"/>
    </row>
    <row r="825" spans="1:5">
      <c r="A825" s="1039" t="s">
        <v>1838</v>
      </c>
      <c r="B825" s="1040" t="s">
        <v>1833</v>
      </c>
      <c r="C825" s="1044">
        <v>45618</v>
      </c>
      <c r="D825" s="1037">
        <v>45708</v>
      </c>
      <c r="E825" s="1042"/>
    </row>
    <row r="826" spans="1:5">
      <c r="A826" s="1039" t="s">
        <v>1839</v>
      </c>
      <c r="B826" s="1040" t="s">
        <v>1840</v>
      </c>
      <c r="C826" s="1044">
        <v>45681</v>
      </c>
      <c r="D826" s="1037">
        <v>45708</v>
      </c>
      <c r="E826" s="1042"/>
    </row>
    <row r="827" spans="1:5">
      <c r="A827" s="1039" t="s">
        <v>1841</v>
      </c>
      <c r="B827" s="1040" t="s">
        <v>1842</v>
      </c>
      <c r="C827" s="1044">
        <v>45618</v>
      </c>
      <c r="D827" s="1037">
        <v>45708</v>
      </c>
      <c r="E827" s="1042"/>
    </row>
    <row r="828" spans="1:5">
      <c r="A828" s="1039" t="s">
        <v>1843</v>
      </c>
      <c r="B828" s="1040" t="s">
        <v>1842</v>
      </c>
      <c r="C828" s="1044">
        <v>45618</v>
      </c>
      <c r="D828" s="1037">
        <v>45708</v>
      </c>
      <c r="E828" s="1042"/>
    </row>
    <row r="829" spans="1:5">
      <c r="A829" s="1039" t="s">
        <v>1844</v>
      </c>
      <c r="B829" s="1040" t="s">
        <v>1842</v>
      </c>
      <c r="C829" s="1044">
        <v>45618</v>
      </c>
      <c r="D829" s="1037">
        <v>45708</v>
      </c>
      <c r="E829" s="1042"/>
    </row>
    <row r="830" spans="1:5">
      <c r="A830" s="1039" t="s">
        <v>1845</v>
      </c>
      <c r="B830" s="1040" t="s">
        <v>1842</v>
      </c>
      <c r="C830" s="1044">
        <v>45618</v>
      </c>
      <c r="D830" s="1037">
        <v>45708</v>
      </c>
      <c r="E830" s="1042"/>
    </row>
    <row r="831" spans="1:5">
      <c r="A831" s="1039" t="s">
        <v>1846</v>
      </c>
      <c r="B831" s="1040" t="s">
        <v>1847</v>
      </c>
      <c r="C831" s="1044">
        <v>45618</v>
      </c>
      <c r="D831" s="1037">
        <v>45708</v>
      </c>
      <c r="E831" s="1042"/>
    </row>
    <row r="832" spans="1:5">
      <c r="A832" s="1039" t="s">
        <v>1848</v>
      </c>
      <c r="B832" s="1040" t="s">
        <v>1847</v>
      </c>
      <c r="C832" s="1044">
        <v>45618</v>
      </c>
      <c r="D832" s="1037">
        <v>45708</v>
      </c>
      <c r="E832" s="1042"/>
    </row>
    <row r="833" spans="1:5">
      <c r="A833" s="1039" t="s">
        <v>1849</v>
      </c>
      <c r="B833" s="1040" t="s">
        <v>1850</v>
      </c>
      <c r="C833" s="1044">
        <v>45618</v>
      </c>
      <c r="D833" s="1037">
        <v>45708</v>
      </c>
      <c r="E833" s="1042"/>
    </row>
    <row r="834" spans="1:5">
      <c r="A834" s="1039" t="s">
        <v>1851</v>
      </c>
      <c r="B834" s="1040" t="s">
        <v>1852</v>
      </c>
      <c r="C834" s="1044">
        <v>45618</v>
      </c>
      <c r="D834" s="1037">
        <v>45708</v>
      </c>
      <c r="E834" s="1042"/>
    </row>
    <row r="835" spans="1:5">
      <c r="A835" s="1039" t="s">
        <v>1853</v>
      </c>
      <c r="B835" s="1040" t="s">
        <v>1854</v>
      </c>
      <c r="C835" s="1044">
        <v>45618</v>
      </c>
      <c r="D835" s="1037">
        <v>45708</v>
      </c>
      <c r="E835" s="1042"/>
    </row>
    <row r="836" spans="1:5">
      <c r="A836" s="1039" t="s">
        <v>1855</v>
      </c>
      <c r="B836" s="1040" t="s">
        <v>1856</v>
      </c>
      <c r="C836" s="1044">
        <v>45618</v>
      </c>
      <c r="D836" s="1037">
        <v>45708</v>
      </c>
      <c r="E836" s="1042"/>
    </row>
    <row r="837" spans="1:5">
      <c r="A837" s="1039" t="s">
        <v>1857</v>
      </c>
      <c r="B837" s="1040" t="s">
        <v>1856</v>
      </c>
      <c r="C837" s="1044">
        <v>45618</v>
      </c>
      <c r="D837" s="1037">
        <v>45708</v>
      </c>
      <c r="E837" s="1042"/>
    </row>
    <row r="838" spans="1:5">
      <c r="A838" s="1039" t="s">
        <v>1858</v>
      </c>
      <c r="B838" s="1040" t="s">
        <v>1859</v>
      </c>
      <c r="C838" s="1044">
        <v>45618</v>
      </c>
      <c r="D838" s="1037">
        <v>45708</v>
      </c>
      <c r="E838" s="1042"/>
    </row>
    <row r="839" spans="1:5">
      <c r="A839" s="1039" t="s">
        <v>1860</v>
      </c>
      <c r="B839" s="1040" t="s">
        <v>1861</v>
      </c>
      <c r="C839" s="1044">
        <v>45618</v>
      </c>
      <c r="D839" s="1037">
        <v>45708</v>
      </c>
      <c r="E839" s="1042"/>
    </row>
    <row r="840" spans="1:5">
      <c r="A840" s="1039" t="s">
        <v>1862</v>
      </c>
      <c r="B840" s="1040" t="s">
        <v>1863</v>
      </c>
      <c r="C840" s="1044">
        <v>45618</v>
      </c>
      <c r="D840" s="1037">
        <v>45708</v>
      </c>
      <c r="E840" s="1042"/>
    </row>
    <row r="841" spans="1:5">
      <c r="A841" s="1039" t="s">
        <v>1864</v>
      </c>
      <c r="B841" s="1040" t="s">
        <v>1863</v>
      </c>
      <c r="C841" s="1044">
        <v>45618</v>
      </c>
      <c r="D841" s="1037">
        <v>45708</v>
      </c>
      <c r="E841" s="1042"/>
    </row>
    <row r="842" spans="1:5">
      <c r="A842" s="1039" t="s">
        <v>1865</v>
      </c>
      <c r="B842" s="1040" t="s">
        <v>1866</v>
      </c>
      <c r="C842" s="1044">
        <v>45618</v>
      </c>
      <c r="D842" s="1037">
        <v>45708</v>
      </c>
      <c r="E842" s="1042"/>
    </row>
    <row r="843" spans="1:5">
      <c r="A843" s="1039" t="s">
        <v>1867</v>
      </c>
      <c r="B843" s="1040" t="s">
        <v>1868</v>
      </c>
      <c r="C843" s="1044">
        <v>45618</v>
      </c>
      <c r="D843" s="1037">
        <v>45708</v>
      </c>
      <c r="E843" s="1042"/>
    </row>
    <row r="844" spans="1:5">
      <c r="A844" s="1039" t="s">
        <v>1869</v>
      </c>
      <c r="B844" s="1040" t="s">
        <v>1870</v>
      </c>
      <c r="C844" s="1044">
        <v>45618</v>
      </c>
      <c r="D844" s="1037">
        <v>45708</v>
      </c>
      <c r="E844" s="1042"/>
    </row>
    <row r="845" spans="1:5">
      <c r="A845" s="1039" t="s">
        <v>1871</v>
      </c>
      <c r="B845" s="1040" t="s">
        <v>1870</v>
      </c>
      <c r="C845" s="1044">
        <v>45618</v>
      </c>
      <c r="D845" s="1037">
        <v>45708</v>
      </c>
      <c r="E845" s="1042"/>
    </row>
    <row r="846" spans="1:5">
      <c r="A846" s="1039" t="s">
        <v>1872</v>
      </c>
      <c r="B846" s="1040" t="s">
        <v>1870</v>
      </c>
      <c r="C846" s="1044">
        <v>45618</v>
      </c>
      <c r="D846" s="1037">
        <v>45708</v>
      </c>
      <c r="E846" s="1042"/>
    </row>
    <row r="847" spans="1:5">
      <c r="A847" s="1039" t="s">
        <v>1873</v>
      </c>
      <c r="B847" s="1040" t="s">
        <v>1874</v>
      </c>
      <c r="C847" s="1044">
        <v>45618</v>
      </c>
      <c r="D847" s="1037">
        <v>45708</v>
      </c>
      <c r="E847" s="1042"/>
    </row>
    <row r="848" spans="1:5">
      <c r="A848" s="1039" t="s">
        <v>1875</v>
      </c>
      <c r="B848" s="1040" t="s">
        <v>1874</v>
      </c>
      <c r="C848" s="1044">
        <v>45618</v>
      </c>
      <c r="D848" s="1037">
        <v>45708</v>
      </c>
      <c r="E848" s="1042"/>
    </row>
    <row r="849" spans="1:5">
      <c r="A849" s="1039" t="s">
        <v>1876</v>
      </c>
      <c r="B849" s="1040" t="s">
        <v>1874</v>
      </c>
      <c r="C849" s="1044">
        <v>45618</v>
      </c>
      <c r="D849" s="1037">
        <v>45708</v>
      </c>
      <c r="E849" s="1042"/>
    </row>
    <row r="850" spans="1:5">
      <c r="A850" s="1039" t="s">
        <v>1877</v>
      </c>
      <c r="B850" s="1040" t="s">
        <v>1874</v>
      </c>
      <c r="C850" s="1044">
        <v>45618</v>
      </c>
      <c r="D850" s="1037">
        <v>45708</v>
      </c>
      <c r="E850" s="1042"/>
    </row>
    <row r="851" spans="1:5">
      <c r="A851" s="1039" t="s">
        <v>1878</v>
      </c>
      <c r="B851" s="1040" t="s">
        <v>1874</v>
      </c>
      <c r="C851" s="1044">
        <v>45618</v>
      </c>
      <c r="D851" s="1037">
        <v>45708</v>
      </c>
      <c r="E851" s="1042"/>
    </row>
    <row r="852" spans="1:5">
      <c r="A852" s="1039" t="s">
        <v>1879</v>
      </c>
      <c r="B852" s="1040" t="s">
        <v>1874</v>
      </c>
      <c r="C852" s="1044">
        <v>45618</v>
      </c>
      <c r="D852" s="1037">
        <v>45708</v>
      </c>
      <c r="E852" s="1042"/>
    </row>
    <row r="853" spans="1:5">
      <c r="A853" s="1039" t="s">
        <v>1880</v>
      </c>
      <c r="B853" s="1040" t="s">
        <v>1874</v>
      </c>
      <c r="C853" s="1044">
        <v>45618</v>
      </c>
      <c r="D853" s="1037">
        <v>45708</v>
      </c>
      <c r="E853" s="1042"/>
    </row>
    <row r="854" spans="1:5">
      <c r="A854" s="1039" t="s">
        <v>1881</v>
      </c>
      <c r="B854" s="1040" t="s">
        <v>1882</v>
      </c>
      <c r="C854" s="1044">
        <v>45618</v>
      </c>
      <c r="D854" s="1037">
        <v>45708</v>
      </c>
      <c r="E854" s="1042"/>
    </row>
    <row r="855" spans="1:5">
      <c r="A855" s="1039" t="s">
        <v>1883</v>
      </c>
      <c r="B855" s="1040" t="s">
        <v>1874</v>
      </c>
      <c r="C855" s="1044">
        <v>45618</v>
      </c>
      <c r="D855" s="1037">
        <v>45708</v>
      </c>
      <c r="E855" s="1042"/>
    </row>
    <row r="856" spans="1:5">
      <c r="A856" s="1039" t="s">
        <v>1884</v>
      </c>
      <c r="B856" s="1040" t="s">
        <v>1885</v>
      </c>
      <c r="C856" s="1044">
        <v>45618</v>
      </c>
      <c r="D856" s="1037">
        <v>45708</v>
      </c>
      <c r="E856" s="1042"/>
    </row>
    <row r="857" spans="1:5">
      <c r="A857" s="1039" t="s">
        <v>1886</v>
      </c>
      <c r="B857" s="1040" t="s">
        <v>1885</v>
      </c>
      <c r="C857" s="1044">
        <v>45618</v>
      </c>
      <c r="D857" s="1037">
        <v>45708</v>
      </c>
      <c r="E857" s="1042"/>
    </row>
    <row r="858" spans="1:5">
      <c r="A858" s="1039" t="s">
        <v>1887</v>
      </c>
      <c r="B858" s="1040" t="s">
        <v>1888</v>
      </c>
      <c r="C858" s="1044">
        <v>45618</v>
      </c>
      <c r="D858" s="1037">
        <v>45708</v>
      </c>
      <c r="E858" s="1042"/>
    </row>
    <row r="859" spans="1:5">
      <c r="A859" s="1039" t="s">
        <v>1889</v>
      </c>
      <c r="B859" s="1040" t="s">
        <v>1890</v>
      </c>
      <c r="C859" s="1044">
        <v>45618</v>
      </c>
      <c r="D859" s="1037">
        <v>45708</v>
      </c>
      <c r="E859" s="1042"/>
    </row>
    <row r="860" spans="1:5">
      <c r="A860" s="1039" t="s">
        <v>1891</v>
      </c>
      <c r="B860" s="1040" t="s">
        <v>1890</v>
      </c>
      <c r="C860" s="1044">
        <v>45618</v>
      </c>
      <c r="D860" s="1037">
        <v>45708</v>
      </c>
      <c r="E860" s="1042"/>
    </row>
    <row r="861" spans="1:5">
      <c r="A861" s="1039" t="s">
        <v>1892</v>
      </c>
      <c r="B861" s="1040" t="s">
        <v>1893</v>
      </c>
      <c r="C861" s="1044">
        <v>45618</v>
      </c>
      <c r="D861" s="1037">
        <v>45708</v>
      </c>
      <c r="E861" s="1042"/>
    </row>
    <row r="862" spans="1:5">
      <c r="A862" s="1039" t="s">
        <v>1894</v>
      </c>
      <c r="B862" s="1040" t="s">
        <v>1893</v>
      </c>
      <c r="C862" s="1044">
        <v>45618</v>
      </c>
      <c r="D862" s="1037">
        <v>45708</v>
      </c>
      <c r="E862" s="1042"/>
    </row>
    <row r="863" spans="1:5">
      <c r="A863" s="1039" t="s">
        <v>1895</v>
      </c>
      <c r="B863" s="1040" t="s">
        <v>1896</v>
      </c>
      <c r="C863" s="1044">
        <v>45681</v>
      </c>
      <c r="D863" s="1037">
        <v>45708</v>
      </c>
      <c r="E863" s="1042"/>
    </row>
    <row r="864" spans="1:5">
      <c r="A864" s="1039" t="s">
        <v>1897</v>
      </c>
      <c r="B864" s="1040" t="s">
        <v>1896</v>
      </c>
      <c r="C864" s="1044">
        <v>45681</v>
      </c>
      <c r="D864" s="1037">
        <v>45708</v>
      </c>
      <c r="E864" s="1042"/>
    </row>
    <row r="865" spans="1:5">
      <c r="A865" s="1039" t="s">
        <v>1898</v>
      </c>
      <c r="B865" s="1040" t="s">
        <v>1899</v>
      </c>
      <c r="C865" s="1044">
        <v>45681</v>
      </c>
      <c r="D865" s="1037">
        <v>45708</v>
      </c>
      <c r="E865" s="1042"/>
    </row>
    <row r="866" spans="1:5">
      <c r="A866" s="1039" t="s">
        <v>1900</v>
      </c>
      <c r="B866" s="1040" t="s">
        <v>1901</v>
      </c>
      <c r="C866" s="1044">
        <v>45681</v>
      </c>
      <c r="D866" s="1037">
        <v>45708</v>
      </c>
      <c r="E866" s="1042"/>
    </row>
    <row r="867" spans="1:5">
      <c r="A867" s="1039" t="s">
        <v>1902</v>
      </c>
      <c r="B867" s="1040" t="s">
        <v>1903</v>
      </c>
      <c r="C867" s="1044">
        <v>45681</v>
      </c>
      <c r="D867" s="1037">
        <v>45708</v>
      </c>
      <c r="E867" s="1042"/>
    </row>
    <row r="868" spans="1:5">
      <c r="A868" s="1039" t="s">
        <v>1904</v>
      </c>
      <c r="B868" s="1040" t="s">
        <v>1903</v>
      </c>
      <c r="C868" s="1044">
        <v>45681</v>
      </c>
      <c r="D868" s="1037">
        <v>45708</v>
      </c>
      <c r="E868" s="1042"/>
    </row>
    <row r="869" spans="1:5">
      <c r="A869" s="1039" t="s">
        <v>1905</v>
      </c>
      <c r="B869" s="1040" t="s">
        <v>1906</v>
      </c>
      <c r="C869" s="1044">
        <v>45618</v>
      </c>
      <c r="D869" s="1037">
        <v>45708</v>
      </c>
      <c r="E869" s="1042"/>
    </row>
    <row r="870" spans="1:5">
      <c r="A870" s="1039" t="s">
        <v>1907</v>
      </c>
      <c r="B870" s="1040" t="s">
        <v>1906</v>
      </c>
      <c r="C870" s="1044">
        <v>45618</v>
      </c>
      <c r="D870" s="1037">
        <v>45708</v>
      </c>
      <c r="E870" s="1042"/>
    </row>
    <row r="871" spans="1:5">
      <c r="A871" s="1039" t="s">
        <v>1908</v>
      </c>
      <c r="B871" s="1040" t="s">
        <v>1906</v>
      </c>
      <c r="C871" s="1044">
        <v>45618</v>
      </c>
      <c r="D871" s="1037">
        <v>45708</v>
      </c>
      <c r="E871" s="1042"/>
    </row>
    <row r="872" spans="1:5">
      <c r="A872" s="1039" t="s">
        <v>1909</v>
      </c>
      <c r="B872" s="1040" t="s">
        <v>1910</v>
      </c>
      <c r="C872" s="1044">
        <v>45618</v>
      </c>
      <c r="D872" s="1037">
        <v>45708</v>
      </c>
      <c r="E872" s="1042"/>
    </row>
    <row r="873" spans="1:5">
      <c r="A873" s="1039" t="s">
        <v>1911</v>
      </c>
      <c r="B873" s="1040" t="s">
        <v>1910</v>
      </c>
      <c r="C873" s="1044">
        <v>45618</v>
      </c>
      <c r="D873" s="1037">
        <v>45708</v>
      </c>
      <c r="E873" s="1042"/>
    </row>
    <row r="874" spans="1:5">
      <c r="A874" s="1039" t="s">
        <v>1912</v>
      </c>
      <c r="B874" s="1040" t="s">
        <v>1910</v>
      </c>
      <c r="C874" s="1044">
        <v>45618</v>
      </c>
      <c r="D874" s="1037">
        <v>45708</v>
      </c>
      <c r="E874" s="1042"/>
    </row>
    <row r="875" spans="1:5">
      <c r="A875" s="1039" t="s">
        <v>1913</v>
      </c>
      <c r="B875" s="1040" t="s">
        <v>1914</v>
      </c>
      <c r="C875" s="1044">
        <v>45618</v>
      </c>
      <c r="D875" s="1037">
        <v>45708</v>
      </c>
      <c r="E875" s="1042"/>
    </row>
    <row r="876" spans="1:5">
      <c r="A876" s="1039" t="s">
        <v>1915</v>
      </c>
      <c r="B876" s="1040" t="s">
        <v>1916</v>
      </c>
      <c r="C876" s="1044">
        <v>45618</v>
      </c>
      <c r="D876" s="1037">
        <v>45708</v>
      </c>
      <c r="E876" s="1042"/>
    </row>
    <row r="877" spans="1:5">
      <c r="A877" s="1039" t="s">
        <v>1917</v>
      </c>
      <c r="B877" s="1040" t="s">
        <v>1918</v>
      </c>
      <c r="C877" s="1044">
        <v>45618</v>
      </c>
      <c r="D877" s="1037">
        <v>45708</v>
      </c>
      <c r="E877" s="1042"/>
    </row>
    <row r="878" spans="1:5">
      <c r="A878" s="1039" t="s">
        <v>1919</v>
      </c>
      <c r="B878" s="1040" t="s">
        <v>1918</v>
      </c>
      <c r="C878" s="1044">
        <v>45618</v>
      </c>
      <c r="D878" s="1037">
        <v>45708</v>
      </c>
      <c r="E878" s="1042"/>
    </row>
    <row r="879" spans="1:5">
      <c r="A879" s="1039" t="s">
        <v>1920</v>
      </c>
      <c r="B879" s="1040" t="s">
        <v>1918</v>
      </c>
      <c r="C879" s="1044">
        <v>45618</v>
      </c>
      <c r="D879" s="1037">
        <v>45708</v>
      </c>
      <c r="E879" s="1042"/>
    </row>
    <row r="880" spans="1:5">
      <c r="A880" s="1039" t="s">
        <v>1921</v>
      </c>
      <c r="B880" s="1040" t="s">
        <v>1922</v>
      </c>
      <c r="C880" s="1044">
        <v>45618</v>
      </c>
      <c r="D880" s="1037">
        <v>45708</v>
      </c>
      <c r="E880" s="1042"/>
    </row>
    <row r="881" spans="1:5">
      <c r="A881" s="1039" t="s">
        <v>1923</v>
      </c>
      <c r="B881" s="1040" t="s">
        <v>1924</v>
      </c>
      <c r="C881" s="1044">
        <v>45618</v>
      </c>
      <c r="D881" s="1037">
        <v>45708</v>
      </c>
      <c r="E881" s="1042"/>
    </row>
    <row r="882" spans="1:5">
      <c r="A882" s="1039" t="s">
        <v>1925</v>
      </c>
      <c r="B882" s="1040" t="s">
        <v>1926</v>
      </c>
      <c r="C882" s="1044">
        <v>45618</v>
      </c>
      <c r="D882" s="1037">
        <v>45708</v>
      </c>
      <c r="E882" s="1042"/>
    </row>
    <row r="883" spans="1:5">
      <c r="A883" s="1039" t="s">
        <v>1927</v>
      </c>
      <c r="B883" s="1040" t="s">
        <v>1928</v>
      </c>
      <c r="C883" s="1044">
        <v>45618</v>
      </c>
      <c r="D883" s="1037">
        <v>45708</v>
      </c>
      <c r="E883" s="1042"/>
    </row>
    <row r="884" spans="1:5">
      <c r="A884" s="1039" t="s">
        <v>1929</v>
      </c>
      <c r="B884" s="1040" t="s">
        <v>1930</v>
      </c>
      <c r="C884" s="1044">
        <v>45618</v>
      </c>
      <c r="D884" s="1037">
        <v>45708</v>
      </c>
      <c r="E884" s="1042"/>
    </row>
    <row r="885" spans="1:5">
      <c r="A885" s="1039" t="s">
        <v>1931</v>
      </c>
      <c r="B885" s="1040" t="s">
        <v>1930</v>
      </c>
      <c r="C885" s="1044">
        <v>45618</v>
      </c>
      <c r="D885" s="1037">
        <v>45708</v>
      </c>
      <c r="E885" s="1042"/>
    </row>
    <row r="886" spans="1:5">
      <c r="A886" s="1039" t="s">
        <v>1932</v>
      </c>
      <c r="B886" s="1040" t="s">
        <v>1933</v>
      </c>
      <c r="C886" s="1044">
        <v>45618</v>
      </c>
      <c r="D886" s="1037">
        <v>45708</v>
      </c>
      <c r="E886" s="1042"/>
    </row>
    <row r="887" spans="1:5">
      <c r="A887" s="1039" t="s">
        <v>1934</v>
      </c>
      <c r="B887" s="1040" t="s">
        <v>1933</v>
      </c>
      <c r="C887" s="1044">
        <v>45618</v>
      </c>
      <c r="D887" s="1037">
        <v>45708</v>
      </c>
      <c r="E887" s="1042"/>
    </row>
    <row r="888" spans="1:5">
      <c r="A888" s="1039" t="s">
        <v>1935</v>
      </c>
      <c r="B888" s="1040" t="s">
        <v>1936</v>
      </c>
      <c r="C888" s="1044">
        <v>45618</v>
      </c>
      <c r="D888" s="1037">
        <v>45708</v>
      </c>
      <c r="E888" s="1042"/>
    </row>
    <row r="889" spans="1:5">
      <c r="A889" s="1039" t="s">
        <v>1937</v>
      </c>
      <c r="B889" s="1040" t="s">
        <v>1938</v>
      </c>
      <c r="C889" s="1044">
        <v>45618</v>
      </c>
      <c r="D889" s="1037">
        <v>45708</v>
      </c>
      <c r="E889" s="1042"/>
    </row>
    <row r="890" spans="1:5">
      <c r="A890" s="1039" t="s">
        <v>1939</v>
      </c>
      <c r="B890" s="1040" t="s">
        <v>1938</v>
      </c>
      <c r="C890" s="1044">
        <v>45618</v>
      </c>
      <c r="D890" s="1037">
        <v>45708</v>
      </c>
      <c r="E890" s="1042"/>
    </row>
    <row r="891" spans="1:5">
      <c r="A891" s="1039" t="s">
        <v>1940</v>
      </c>
      <c r="B891" s="1040" t="s">
        <v>1938</v>
      </c>
      <c r="C891" s="1044">
        <v>45618</v>
      </c>
      <c r="D891" s="1037">
        <v>45708</v>
      </c>
      <c r="E891" s="1042"/>
    </row>
    <row r="892" spans="1:5">
      <c r="A892" s="1039" t="s">
        <v>1941</v>
      </c>
      <c r="B892" s="1040" t="s">
        <v>1938</v>
      </c>
      <c r="C892" s="1044">
        <v>45618</v>
      </c>
      <c r="D892" s="1037">
        <v>45708</v>
      </c>
      <c r="E892" s="1042"/>
    </row>
    <row r="893" spans="1:5">
      <c r="A893" s="1039" t="s">
        <v>1942</v>
      </c>
      <c r="B893" s="1040" t="s">
        <v>1938</v>
      </c>
      <c r="C893" s="1044">
        <v>45618</v>
      </c>
      <c r="D893" s="1037">
        <v>45708</v>
      </c>
      <c r="E893" s="1042"/>
    </row>
    <row r="894" spans="1:5">
      <c r="A894" s="1039" t="s">
        <v>1943</v>
      </c>
      <c r="B894" s="1040" t="s">
        <v>1938</v>
      </c>
      <c r="C894" s="1044">
        <v>45618</v>
      </c>
      <c r="D894" s="1037">
        <v>45708</v>
      </c>
      <c r="E894" s="1042"/>
    </row>
    <row r="895" spans="1:5">
      <c r="A895" s="1039" t="s">
        <v>1944</v>
      </c>
      <c r="B895" s="1040" t="s">
        <v>1945</v>
      </c>
      <c r="C895" s="1044">
        <v>45618</v>
      </c>
      <c r="D895" s="1037">
        <v>45708</v>
      </c>
      <c r="E895" s="1042"/>
    </row>
    <row r="896" spans="1:5">
      <c r="A896" s="1039" t="s">
        <v>1946</v>
      </c>
      <c r="B896" s="1040" t="s">
        <v>1947</v>
      </c>
      <c r="C896" s="1044">
        <v>45618</v>
      </c>
      <c r="D896" s="1037">
        <v>45708</v>
      </c>
      <c r="E896" s="1042"/>
    </row>
    <row r="897" spans="1:5">
      <c r="A897" s="1039" t="s">
        <v>1948</v>
      </c>
      <c r="B897" s="1040" t="s">
        <v>1947</v>
      </c>
      <c r="C897" s="1044">
        <v>45618</v>
      </c>
      <c r="D897" s="1037">
        <v>45708</v>
      </c>
      <c r="E897" s="1042"/>
    </row>
    <row r="898" spans="1:5">
      <c r="A898" s="1039" t="s">
        <v>1949</v>
      </c>
      <c r="B898" s="1040" t="s">
        <v>1947</v>
      </c>
      <c r="C898" s="1044">
        <v>45618</v>
      </c>
      <c r="D898" s="1037">
        <v>45708</v>
      </c>
      <c r="E898" s="1042"/>
    </row>
    <row r="899" spans="1:5">
      <c r="A899" s="1039" t="s">
        <v>1950</v>
      </c>
      <c r="B899" s="1040" t="s">
        <v>1951</v>
      </c>
      <c r="C899" s="1044">
        <v>45618</v>
      </c>
      <c r="D899" s="1037">
        <v>45708</v>
      </c>
      <c r="E899" s="1042"/>
    </row>
    <row r="900" spans="1:5">
      <c r="A900" s="1039" t="s">
        <v>1952</v>
      </c>
      <c r="B900" s="1040" t="s">
        <v>1953</v>
      </c>
      <c r="C900" s="1044">
        <v>45618</v>
      </c>
      <c r="D900" s="1037">
        <v>45708</v>
      </c>
      <c r="E900" s="1042"/>
    </row>
    <row r="901" spans="1:5">
      <c r="A901" s="1039" t="s">
        <v>1954</v>
      </c>
      <c r="B901" s="1040" t="s">
        <v>1953</v>
      </c>
      <c r="C901" s="1044">
        <v>45618</v>
      </c>
      <c r="D901" s="1037">
        <v>45708</v>
      </c>
      <c r="E901" s="1042"/>
    </row>
    <row r="902" spans="1:5">
      <c r="A902" s="1039" t="s">
        <v>1955</v>
      </c>
      <c r="B902" s="1040" t="s">
        <v>1956</v>
      </c>
      <c r="C902" s="1044">
        <v>45618</v>
      </c>
      <c r="D902" s="1037">
        <v>45708</v>
      </c>
      <c r="E902" s="1042"/>
    </row>
    <row r="903" spans="1:5">
      <c r="A903" s="1039" t="s">
        <v>1957</v>
      </c>
      <c r="B903" s="1040" t="s">
        <v>1958</v>
      </c>
      <c r="C903" s="1044">
        <v>45618</v>
      </c>
      <c r="D903" s="1037">
        <v>45708</v>
      </c>
      <c r="E903" s="1042"/>
    </row>
    <row r="904" spans="1:5">
      <c r="A904" s="1039" t="s">
        <v>1959</v>
      </c>
      <c r="B904" s="1040" t="s">
        <v>1960</v>
      </c>
      <c r="C904" s="1044">
        <v>45618</v>
      </c>
      <c r="D904" s="1037">
        <v>45708</v>
      </c>
      <c r="E904" s="1042"/>
    </row>
    <row r="905" spans="1:5">
      <c r="A905" s="1039" t="s">
        <v>1961</v>
      </c>
      <c r="B905" s="1040" t="s">
        <v>1960</v>
      </c>
      <c r="C905" s="1044">
        <v>45618</v>
      </c>
      <c r="D905" s="1037">
        <v>45708</v>
      </c>
      <c r="E905" s="1042"/>
    </row>
    <row r="906" spans="1:5">
      <c r="A906" s="1039" t="s">
        <v>1962</v>
      </c>
      <c r="B906" s="1040" t="s">
        <v>1963</v>
      </c>
      <c r="C906" s="1044">
        <v>45618</v>
      </c>
      <c r="D906" s="1037">
        <v>45708</v>
      </c>
      <c r="E906" s="1042"/>
    </row>
    <row r="907" spans="1:5">
      <c r="A907" s="1039" t="s">
        <v>1964</v>
      </c>
      <c r="B907" s="1040" t="s">
        <v>1965</v>
      </c>
      <c r="C907" s="1044">
        <v>45618</v>
      </c>
      <c r="D907" s="1037">
        <v>45708</v>
      </c>
      <c r="E907" s="1042"/>
    </row>
    <row r="908" spans="1:5">
      <c r="A908" s="1039" t="s">
        <v>1966</v>
      </c>
      <c r="B908" s="1040" t="s">
        <v>1960</v>
      </c>
      <c r="C908" s="1044">
        <v>45618</v>
      </c>
      <c r="D908" s="1037">
        <v>45708</v>
      </c>
      <c r="E908" s="1042"/>
    </row>
    <row r="909" spans="1:5">
      <c r="A909" s="1039" t="s">
        <v>1967</v>
      </c>
      <c r="B909" s="1040" t="s">
        <v>1960</v>
      </c>
      <c r="C909" s="1044">
        <v>45618</v>
      </c>
      <c r="D909" s="1037">
        <v>45708</v>
      </c>
      <c r="E909" s="1042"/>
    </row>
    <row r="910" spans="1:5">
      <c r="A910" s="1039" t="s">
        <v>1968</v>
      </c>
      <c r="B910" s="1040" t="s">
        <v>1969</v>
      </c>
      <c r="C910" s="1044">
        <v>45618</v>
      </c>
      <c r="D910" s="1037">
        <v>45708</v>
      </c>
      <c r="E910" s="1042"/>
    </row>
    <row r="911" spans="1:5">
      <c r="A911" s="1039" t="s">
        <v>1970</v>
      </c>
      <c r="B911" s="1040" t="s">
        <v>1960</v>
      </c>
      <c r="C911" s="1044">
        <v>45618</v>
      </c>
      <c r="D911" s="1037">
        <v>45708</v>
      </c>
      <c r="E911" s="1042"/>
    </row>
    <row r="912" spans="1:5">
      <c r="A912" s="1039" t="s">
        <v>1971</v>
      </c>
      <c r="B912" s="1040" t="s">
        <v>1972</v>
      </c>
      <c r="C912" s="1044">
        <v>45618</v>
      </c>
      <c r="D912" s="1037">
        <v>45708</v>
      </c>
      <c r="E912" s="1042"/>
    </row>
    <row r="913" spans="1:5">
      <c r="A913" s="1039" t="s">
        <v>540</v>
      </c>
      <c r="B913" s="1040" t="s">
        <v>1973</v>
      </c>
      <c r="C913" s="1044">
        <v>45618</v>
      </c>
      <c r="D913" s="1037">
        <v>45708</v>
      </c>
      <c r="E913" s="1042"/>
    </row>
    <row r="914" spans="1:5">
      <c r="A914" s="1039" t="s">
        <v>1974</v>
      </c>
      <c r="B914" s="1040" t="s">
        <v>1975</v>
      </c>
      <c r="C914" s="1044">
        <v>45618</v>
      </c>
      <c r="D914" s="1037">
        <v>45708</v>
      </c>
      <c r="E914" s="1042"/>
    </row>
    <row r="915" spans="1:5">
      <c r="A915" s="1039" t="s">
        <v>1976</v>
      </c>
      <c r="B915" s="1040" t="s">
        <v>1977</v>
      </c>
      <c r="C915" s="1044">
        <v>45618</v>
      </c>
      <c r="D915" s="1037">
        <v>45708</v>
      </c>
      <c r="E915" s="1042"/>
    </row>
    <row r="916" spans="1:5">
      <c r="A916" s="1039" t="s">
        <v>1978</v>
      </c>
      <c r="B916" s="1040" t="s">
        <v>1977</v>
      </c>
      <c r="C916" s="1044">
        <v>45618</v>
      </c>
      <c r="D916" s="1037">
        <v>45708</v>
      </c>
      <c r="E916" s="1042"/>
    </row>
    <row r="917" spans="1:5">
      <c r="A917" s="1039" t="s">
        <v>1979</v>
      </c>
      <c r="B917" s="1040" t="s">
        <v>1977</v>
      </c>
      <c r="C917" s="1044">
        <v>45618</v>
      </c>
      <c r="D917" s="1037">
        <v>45708</v>
      </c>
      <c r="E917" s="1042"/>
    </row>
    <row r="918" spans="1:5">
      <c r="A918" s="1039"/>
      <c r="B918" s="1040"/>
      <c r="C918" s="1044"/>
      <c r="D918" s="1037"/>
      <c r="E918" s="1042"/>
    </row>
    <row r="919" spans="1:5">
      <c r="A919" s="1039"/>
      <c r="B919" s="1043" t="s">
        <v>1980</v>
      </c>
      <c r="C919" s="1044"/>
      <c r="D919" s="1037"/>
      <c r="E919" s="1042"/>
    </row>
    <row r="920" spans="1:5">
      <c r="A920" s="1039">
        <v>1</v>
      </c>
      <c r="B920" s="1040" t="s">
        <v>1981</v>
      </c>
      <c r="C920" s="1044">
        <v>45646</v>
      </c>
      <c r="D920" s="1037">
        <v>45663</v>
      </c>
      <c r="E920" s="1042"/>
    </row>
    <row r="921" spans="1:5">
      <c r="A921" s="1039">
        <v>10</v>
      </c>
      <c r="B921" s="1040" t="s">
        <v>1982</v>
      </c>
      <c r="C921" s="1044">
        <v>45646</v>
      </c>
      <c r="D921" s="1037">
        <v>45663</v>
      </c>
      <c r="E921" s="1042"/>
    </row>
    <row r="922" spans="1:5">
      <c r="A922" s="1039">
        <v>11</v>
      </c>
      <c r="B922" s="1040" t="s">
        <v>1983</v>
      </c>
      <c r="C922" s="1044">
        <v>45646</v>
      </c>
      <c r="D922" s="1037">
        <v>45663</v>
      </c>
      <c r="E922" s="1042"/>
    </row>
    <row r="923" spans="1:5">
      <c r="A923" s="1039">
        <v>12</v>
      </c>
      <c r="B923" s="1040" t="s">
        <v>1984</v>
      </c>
      <c r="C923" s="1044">
        <v>45646</v>
      </c>
      <c r="D923" s="1037">
        <v>45663</v>
      </c>
      <c r="E923" s="1042"/>
    </row>
    <row r="924" spans="1:5">
      <c r="A924" s="1039">
        <v>13</v>
      </c>
      <c r="B924" s="1040" t="s">
        <v>1985</v>
      </c>
      <c r="C924" s="1044">
        <v>45646</v>
      </c>
      <c r="D924" s="1037">
        <v>45663</v>
      </c>
      <c r="E924" s="1042"/>
    </row>
    <row r="925" spans="1:5">
      <c r="A925" s="1039">
        <v>14</v>
      </c>
      <c r="B925" s="1040" t="s">
        <v>1986</v>
      </c>
      <c r="C925" s="1044">
        <v>45646</v>
      </c>
      <c r="D925" s="1037">
        <v>45663</v>
      </c>
      <c r="E925" s="1042"/>
    </row>
    <row r="926" spans="1:5">
      <c r="A926" s="1039">
        <v>15</v>
      </c>
      <c r="B926" s="1040" t="s">
        <v>1987</v>
      </c>
      <c r="C926" s="1044">
        <v>45646</v>
      </c>
      <c r="D926" s="1037">
        <v>45663</v>
      </c>
      <c r="E926" s="1042"/>
    </row>
    <row r="927" spans="1:5">
      <c r="A927" s="1039">
        <v>16</v>
      </c>
      <c r="B927" s="1040" t="s">
        <v>1988</v>
      </c>
      <c r="C927" s="1044">
        <v>45646</v>
      </c>
      <c r="D927" s="1037">
        <v>45663</v>
      </c>
      <c r="E927" s="1042"/>
    </row>
    <row r="928" spans="1:5">
      <c r="A928" s="1039">
        <v>17</v>
      </c>
      <c r="B928" s="1040" t="s">
        <v>1989</v>
      </c>
      <c r="C928" s="1044">
        <v>45646</v>
      </c>
      <c r="D928" s="1037">
        <v>45663</v>
      </c>
      <c r="E928" s="1042"/>
    </row>
    <row r="929" spans="1:5">
      <c r="A929" s="1039">
        <v>19</v>
      </c>
      <c r="B929" s="1040" t="s">
        <v>1990</v>
      </c>
      <c r="C929" s="1044">
        <v>45646</v>
      </c>
      <c r="D929" s="1037">
        <v>45663</v>
      </c>
      <c r="E929" s="1042"/>
    </row>
    <row r="930" spans="1:5">
      <c r="A930" s="1039">
        <v>21</v>
      </c>
      <c r="B930" s="1040" t="s">
        <v>1991</v>
      </c>
      <c r="C930" s="1044">
        <v>45646</v>
      </c>
      <c r="D930" s="1037">
        <v>45663</v>
      </c>
      <c r="E930" s="1042"/>
    </row>
    <row r="931" spans="1:5">
      <c r="A931" s="1039">
        <v>22</v>
      </c>
      <c r="B931" s="1040" t="s">
        <v>1992</v>
      </c>
      <c r="C931" s="1044">
        <v>45646</v>
      </c>
      <c r="D931" s="1037">
        <v>45663</v>
      </c>
      <c r="E931" s="1042"/>
    </row>
    <row r="932" spans="1:5">
      <c r="A932" s="1039">
        <v>23</v>
      </c>
      <c r="B932" s="1040" t="s">
        <v>1993</v>
      </c>
      <c r="C932" s="1044">
        <v>45646</v>
      </c>
      <c r="D932" s="1037">
        <v>45663</v>
      </c>
      <c r="E932" s="1042"/>
    </row>
    <row r="933" spans="1:5">
      <c r="A933" s="1039">
        <v>24</v>
      </c>
      <c r="B933" s="1040" t="s">
        <v>1994</v>
      </c>
      <c r="C933" s="1044">
        <v>45646</v>
      </c>
      <c r="D933" s="1037">
        <v>45663</v>
      </c>
      <c r="E933" s="1042"/>
    </row>
    <row r="934" spans="1:5">
      <c r="A934" s="1039">
        <v>41</v>
      </c>
      <c r="B934" s="1040" t="s">
        <v>1995</v>
      </c>
      <c r="C934" s="1044">
        <v>45646</v>
      </c>
      <c r="D934" s="1037">
        <v>45663</v>
      </c>
      <c r="E934" s="1042"/>
    </row>
    <row r="935" spans="1:5">
      <c r="A935" s="1039">
        <v>42</v>
      </c>
      <c r="B935" s="1040" t="s">
        <v>1996</v>
      </c>
      <c r="C935" s="1044">
        <v>45646</v>
      </c>
      <c r="D935" s="1037">
        <v>45663</v>
      </c>
      <c r="E935" s="1042"/>
    </row>
    <row r="936" spans="1:5">
      <c r="A936" s="1039">
        <v>51</v>
      </c>
      <c r="B936" s="1040" t="s">
        <v>1997</v>
      </c>
      <c r="C936" s="1044">
        <v>45646</v>
      </c>
      <c r="D936" s="1037">
        <v>45663</v>
      </c>
      <c r="E936" s="1042"/>
    </row>
    <row r="937" spans="1:5">
      <c r="A937" s="1039">
        <v>52</v>
      </c>
      <c r="B937" s="1040" t="s">
        <v>1998</v>
      </c>
      <c r="C937" s="1044">
        <v>45646</v>
      </c>
      <c r="D937" s="1037">
        <v>45663</v>
      </c>
      <c r="E937" s="1042"/>
    </row>
    <row r="938" spans="1:5">
      <c r="A938" s="1039">
        <v>53</v>
      </c>
      <c r="B938" s="1040" t="s">
        <v>1999</v>
      </c>
      <c r="C938" s="1044">
        <v>45646</v>
      </c>
      <c r="D938" s="1037">
        <v>45663</v>
      </c>
      <c r="E938" s="1042"/>
    </row>
    <row r="939" spans="1:5">
      <c r="A939" s="1039">
        <v>61</v>
      </c>
      <c r="B939" s="1040" t="s">
        <v>2000</v>
      </c>
      <c r="C939" s="1044">
        <v>45646</v>
      </c>
      <c r="D939" s="1037">
        <v>45663</v>
      </c>
      <c r="E939" s="1042"/>
    </row>
    <row r="940" spans="1:5">
      <c r="A940" s="1039">
        <v>62</v>
      </c>
      <c r="B940" s="1040" t="s">
        <v>2001</v>
      </c>
      <c r="C940" s="1044">
        <v>45646</v>
      </c>
      <c r="D940" s="1037">
        <v>45663</v>
      </c>
      <c r="E940" s="1042"/>
    </row>
    <row r="941" spans="1:5">
      <c r="A941" s="1039">
        <v>71</v>
      </c>
      <c r="B941" s="1040" t="s">
        <v>2002</v>
      </c>
      <c r="C941" s="1044">
        <v>45646</v>
      </c>
      <c r="D941" s="1037">
        <v>45663</v>
      </c>
      <c r="E941" s="1042"/>
    </row>
    <row r="942" spans="1:5">
      <c r="A942" s="1039">
        <v>521</v>
      </c>
      <c r="B942" s="1040" t="s">
        <v>2003</v>
      </c>
      <c r="C942" s="1044">
        <v>45646</v>
      </c>
      <c r="D942" s="1037">
        <v>45663</v>
      </c>
      <c r="E942" s="1042"/>
    </row>
    <row r="943" spans="1:5">
      <c r="A943" s="1039">
        <v>541</v>
      </c>
      <c r="B943" s="1040" t="s">
        <v>2004</v>
      </c>
      <c r="C943" s="1044">
        <v>45646</v>
      </c>
      <c r="D943" s="1037">
        <v>45663</v>
      </c>
      <c r="E943" s="1042"/>
    </row>
    <row r="944" spans="1:5">
      <c r="A944" s="1039">
        <v>561</v>
      </c>
      <c r="B944" s="1040" t="s">
        <v>2005</v>
      </c>
      <c r="C944" s="1044">
        <v>45646</v>
      </c>
      <c r="D944" s="1037">
        <v>45663</v>
      </c>
      <c r="E944" s="1042"/>
    </row>
    <row r="945" spans="1:5">
      <c r="A945" s="1039">
        <v>1031</v>
      </c>
      <c r="B945" s="1040" t="s">
        <v>2006</v>
      </c>
      <c r="C945" s="1044">
        <v>45646</v>
      </c>
      <c r="D945" s="1037">
        <v>45663</v>
      </c>
      <c r="E945" s="1042"/>
    </row>
    <row r="946" spans="1:5">
      <c r="A946" s="1039">
        <v>1101</v>
      </c>
      <c r="B946" s="1040" t="s">
        <v>2007</v>
      </c>
      <c r="C946" s="1044">
        <v>45646</v>
      </c>
      <c r="D946" s="1037">
        <v>45663</v>
      </c>
      <c r="E946" s="1042"/>
    </row>
    <row r="947" spans="1:5">
      <c r="A947" s="1039">
        <v>1201</v>
      </c>
      <c r="B947" s="1040" t="s">
        <v>2008</v>
      </c>
      <c r="C947" s="1044">
        <v>45646</v>
      </c>
      <c r="D947" s="1037">
        <v>45663</v>
      </c>
      <c r="E947" s="1042"/>
    </row>
    <row r="948" spans="1:5">
      <c r="A948" s="1039">
        <v>2031</v>
      </c>
      <c r="B948" s="1040" t="s">
        <v>2009</v>
      </c>
      <c r="C948" s="1044">
        <v>45646</v>
      </c>
      <c r="D948" s="1037">
        <v>45663</v>
      </c>
      <c r="E948" s="1042"/>
    </row>
    <row r="949" spans="1:5">
      <c r="A949" s="1039">
        <v>2101</v>
      </c>
      <c r="B949" s="1040" t="s">
        <v>2010</v>
      </c>
      <c r="C949" s="1044">
        <v>45646</v>
      </c>
      <c r="D949" s="1037">
        <v>45663</v>
      </c>
      <c r="E949" s="1042"/>
    </row>
    <row r="950" spans="1:5">
      <c r="A950" s="1039">
        <v>2201</v>
      </c>
      <c r="B950" s="1040" t="s">
        <v>2011</v>
      </c>
      <c r="C950" s="1044">
        <v>45646</v>
      </c>
      <c r="D950" s="1037">
        <v>45663</v>
      </c>
      <c r="E950" s="1042"/>
    </row>
    <row r="951" spans="1:5">
      <c r="A951" s="1039">
        <v>3031</v>
      </c>
      <c r="B951" s="1040" t="s">
        <v>2012</v>
      </c>
      <c r="C951" s="1044">
        <v>45646</v>
      </c>
      <c r="D951" s="1037">
        <v>45663</v>
      </c>
      <c r="E951" s="1042"/>
    </row>
    <row r="952" spans="1:5">
      <c r="A952" s="1039">
        <v>3101</v>
      </c>
      <c r="B952" s="1040" t="s">
        <v>2013</v>
      </c>
      <c r="C952" s="1044">
        <v>45646</v>
      </c>
      <c r="D952" s="1037">
        <v>45663</v>
      </c>
      <c r="E952" s="1042"/>
    </row>
    <row r="953" spans="1:5">
      <c r="A953" s="1039">
        <v>3201</v>
      </c>
      <c r="B953" s="1040" t="s">
        <v>2014</v>
      </c>
      <c r="C953" s="1044">
        <v>45646</v>
      </c>
      <c r="D953" s="1037">
        <v>45663</v>
      </c>
      <c r="E953" s="1042"/>
    </row>
    <row r="954" spans="1:5">
      <c r="A954" s="1039">
        <v>10031</v>
      </c>
      <c r="B954" s="1040" t="s">
        <v>2015</v>
      </c>
      <c r="C954" s="1044">
        <v>45646</v>
      </c>
      <c r="D954" s="1037">
        <v>45663</v>
      </c>
      <c r="E954" s="1042"/>
    </row>
    <row r="955" spans="1:5">
      <c r="A955" s="1039">
        <v>10101</v>
      </c>
      <c r="B955" s="1040" t="s">
        <v>2016</v>
      </c>
      <c r="C955" s="1044">
        <v>45646</v>
      </c>
      <c r="D955" s="1037">
        <v>45663</v>
      </c>
      <c r="E955" s="1042"/>
    </row>
    <row r="956" spans="1:5">
      <c r="A956" s="1039">
        <v>10201</v>
      </c>
      <c r="B956" s="1040" t="s">
        <v>2017</v>
      </c>
      <c r="C956" s="1044">
        <v>45646</v>
      </c>
      <c r="D956" s="1037">
        <v>45663</v>
      </c>
      <c r="E956" s="1042"/>
    </row>
    <row r="957" spans="1:5">
      <c r="A957" s="1039">
        <v>11031</v>
      </c>
      <c r="B957" s="1040" t="s">
        <v>2018</v>
      </c>
      <c r="C957" s="1044">
        <v>45646</v>
      </c>
      <c r="D957" s="1037">
        <v>45663</v>
      </c>
      <c r="E957" s="1042"/>
    </row>
    <row r="958" spans="1:5">
      <c r="A958" s="1039">
        <v>11101</v>
      </c>
      <c r="B958" s="1040" t="s">
        <v>2019</v>
      </c>
      <c r="C958" s="1044">
        <v>45646</v>
      </c>
      <c r="D958" s="1037">
        <v>45663</v>
      </c>
      <c r="E958" s="1042"/>
    </row>
    <row r="959" spans="1:5">
      <c r="A959" s="1039">
        <v>11201</v>
      </c>
      <c r="B959" s="1040" t="s">
        <v>2020</v>
      </c>
      <c r="C959" s="1044">
        <v>45646</v>
      </c>
      <c r="D959" s="1037">
        <v>45663</v>
      </c>
      <c r="E959" s="1042"/>
    </row>
    <row r="960" spans="1:5">
      <c r="A960" s="1039">
        <v>12031</v>
      </c>
      <c r="B960" s="1040" t="s">
        <v>2021</v>
      </c>
      <c r="C960" s="1044">
        <v>45646</v>
      </c>
      <c r="D960" s="1037">
        <v>45663</v>
      </c>
      <c r="E960" s="1042"/>
    </row>
    <row r="961" spans="1:5">
      <c r="A961" s="1039">
        <v>12101</v>
      </c>
      <c r="B961" s="1040" t="s">
        <v>2022</v>
      </c>
      <c r="C961" s="1044">
        <v>45646</v>
      </c>
      <c r="D961" s="1037">
        <v>45663</v>
      </c>
      <c r="E961" s="1042"/>
    </row>
    <row r="962" spans="1:5">
      <c r="A962" s="1039">
        <v>12201</v>
      </c>
      <c r="B962" s="1040" t="s">
        <v>2023</v>
      </c>
      <c r="C962" s="1044">
        <v>45646</v>
      </c>
      <c r="D962" s="1037">
        <v>45663</v>
      </c>
      <c r="E962" s="1042"/>
    </row>
    <row r="963" spans="1:5">
      <c r="A963" s="1039">
        <v>40031</v>
      </c>
      <c r="B963" s="1040" t="s">
        <v>2024</v>
      </c>
      <c r="C963" s="1044">
        <v>45646</v>
      </c>
      <c r="D963" s="1037">
        <v>45663</v>
      </c>
      <c r="E963" s="1042"/>
    </row>
    <row r="964" spans="1:5">
      <c r="A964" s="1039">
        <v>40101</v>
      </c>
      <c r="B964" s="1040" t="s">
        <v>2025</v>
      </c>
      <c r="C964" s="1044">
        <v>45646</v>
      </c>
      <c r="D964" s="1037">
        <v>45663</v>
      </c>
      <c r="E964" s="1042"/>
    </row>
    <row r="965" spans="1:5">
      <c r="A965" s="1039">
        <v>40201</v>
      </c>
      <c r="B965" s="1040" t="s">
        <v>2026</v>
      </c>
      <c r="C965" s="1044">
        <v>45646</v>
      </c>
      <c r="D965" s="1037">
        <v>45663</v>
      </c>
      <c r="E965" s="1042"/>
    </row>
    <row r="966" spans="1:5">
      <c r="A966" s="1039">
        <v>70201</v>
      </c>
      <c r="B966" s="1040" t="s">
        <v>2027</v>
      </c>
      <c r="C966" s="1044">
        <v>45646</v>
      </c>
      <c r="D966" s="1037">
        <v>45663</v>
      </c>
      <c r="E966" s="1042"/>
    </row>
    <row r="967" spans="1:5">
      <c r="A967" s="1039">
        <v>71201</v>
      </c>
      <c r="B967" s="1040" t="s">
        <v>2028</v>
      </c>
      <c r="C967" s="1044">
        <v>45646</v>
      </c>
      <c r="D967" s="1037">
        <v>45663</v>
      </c>
      <c r="E967" s="1042"/>
    </row>
    <row r="968" spans="1:5">
      <c r="A968" s="1039"/>
      <c r="B968" s="1040"/>
      <c r="C968" s="1044"/>
      <c r="D968" s="1037"/>
      <c r="E968" s="1042"/>
    </row>
    <row r="969" spans="1:5">
      <c r="A969" s="1039"/>
      <c r="B969" s="1040"/>
      <c r="C969" s="1044"/>
      <c r="D969" s="1037"/>
      <c r="E969" s="1042"/>
    </row>
    <row r="970" spans="1:5">
      <c r="A970" s="1039"/>
      <c r="B970" s="1043" t="s">
        <v>2029</v>
      </c>
      <c r="C970" s="1044"/>
      <c r="D970" s="1037"/>
      <c r="E970" s="1042"/>
    </row>
    <row r="971" spans="1:5">
      <c r="A971" s="1039" t="s">
        <v>2030</v>
      </c>
      <c r="B971" s="1040" t="s">
        <v>2031</v>
      </c>
      <c r="C971" s="1044">
        <v>45646</v>
      </c>
      <c r="D971" s="1037">
        <v>45663</v>
      </c>
      <c r="E971" s="1042"/>
    </row>
    <row r="972" spans="1:5">
      <c r="A972" s="1039" t="s">
        <v>2032</v>
      </c>
      <c r="B972" s="1040" t="s">
        <v>2031</v>
      </c>
      <c r="C972" s="1044">
        <v>45646</v>
      </c>
      <c r="D972" s="1037">
        <v>45663</v>
      </c>
      <c r="E972" s="1042"/>
    </row>
    <row r="973" spans="1:5">
      <c r="A973" s="1039" t="s">
        <v>2033</v>
      </c>
      <c r="B973" s="1040" t="s">
        <v>2034</v>
      </c>
      <c r="C973" s="1044">
        <v>45646</v>
      </c>
      <c r="D973" s="1037">
        <v>45663</v>
      </c>
      <c r="E973" s="1042"/>
    </row>
    <row r="974" spans="1:5">
      <c r="A974" s="1039" t="s">
        <v>2035</v>
      </c>
      <c r="B974" s="1040" t="s">
        <v>2036</v>
      </c>
      <c r="C974" s="1044">
        <v>45646</v>
      </c>
      <c r="D974" s="1037">
        <v>45663</v>
      </c>
      <c r="E974" s="1042"/>
    </row>
    <row r="975" spans="1:5">
      <c r="A975" s="1039" t="s">
        <v>2037</v>
      </c>
      <c r="B975" s="1040" t="s">
        <v>2038</v>
      </c>
      <c r="C975" s="1044">
        <v>45646</v>
      </c>
      <c r="D975" s="1037">
        <v>45663</v>
      </c>
      <c r="E975" s="1042"/>
    </row>
    <row r="976" spans="1:5">
      <c r="A976" s="1039" t="s">
        <v>2039</v>
      </c>
      <c r="B976" s="1040" t="s">
        <v>2040</v>
      </c>
      <c r="C976" s="1044">
        <v>45646</v>
      </c>
      <c r="D976" s="1037">
        <v>45663</v>
      </c>
      <c r="E976" s="1042"/>
    </row>
    <row r="977" spans="1:5">
      <c r="A977" s="1039" t="s">
        <v>2041</v>
      </c>
      <c r="B977" s="1040" t="s">
        <v>2042</v>
      </c>
      <c r="C977" s="1044">
        <v>45646</v>
      </c>
      <c r="D977" s="1037">
        <v>45663</v>
      </c>
      <c r="E977" s="1042"/>
    </row>
    <row r="978" spans="1:5">
      <c r="A978" s="1039" t="s">
        <v>2043</v>
      </c>
      <c r="B978" s="1040" t="s">
        <v>2044</v>
      </c>
      <c r="C978" s="1044">
        <v>45646</v>
      </c>
      <c r="D978" s="1037">
        <v>45663</v>
      </c>
      <c r="E978" s="1042"/>
    </row>
    <row r="979" spans="1:5">
      <c r="A979" s="1039" t="s">
        <v>2045</v>
      </c>
      <c r="B979" s="1040" t="s">
        <v>2046</v>
      </c>
      <c r="C979" s="1044">
        <v>45646</v>
      </c>
      <c r="D979" s="1037">
        <v>45663</v>
      </c>
      <c r="E979" s="1042"/>
    </row>
    <row r="980" spans="1:5">
      <c r="A980" s="1039" t="s">
        <v>2047</v>
      </c>
      <c r="B980" s="1040" t="s">
        <v>2048</v>
      </c>
      <c r="C980" s="1044">
        <v>45646</v>
      </c>
      <c r="D980" s="1037">
        <v>45663</v>
      </c>
      <c r="E980" s="1042"/>
    </row>
    <row r="981" spans="1:5">
      <c r="A981" s="1039" t="s">
        <v>2049</v>
      </c>
      <c r="B981" s="1040" t="s">
        <v>2050</v>
      </c>
      <c r="C981" s="1044">
        <v>45646</v>
      </c>
      <c r="D981" s="1037">
        <v>45663</v>
      </c>
      <c r="E981" s="1042"/>
    </row>
    <row r="982" spans="1:5">
      <c r="A982" s="1039" t="s">
        <v>2051</v>
      </c>
      <c r="B982" s="1040" t="s">
        <v>2052</v>
      </c>
      <c r="C982" s="1044">
        <v>45646</v>
      </c>
      <c r="D982" s="1037">
        <v>45663</v>
      </c>
      <c r="E982" s="1042"/>
    </row>
    <row r="983" spans="1:5">
      <c r="A983" s="1039" t="s">
        <v>2053</v>
      </c>
      <c r="B983" s="1040" t="s">
        <v>2054</v>
      </c>
      <c r="C983" s="1044">
        <v>45646</v>
      </c>
      <c r="D983" s="1037">
        <v>45663</v>
      </c>
      <c r="E983" s="1042"/>
    </row>
    <row r="984" spans="1:5">
      <c r="A984" s="1039" t="s">
        <v>2055</v>
      </c>
      <c r="B984" s="1040" t="s">
        <v>2056</v>
      </c>
      <c r="C984" s="1044">
        <v>45646</v>
      </c>
      <c r="D984" s="1037">
        <v>45663</v>
      </c>
      <c r="E984" s="1042"/>
    </row>
    <row r="985" spans="1:5">
      <c r="A985" s="1039" t="s">
        <v>2057</v>
      </c>
      <c r="B985" s="1040" t="s">
        <v>2058</v>
      </c>
      <c r="C985" s="1044">
        <v>45646</v>
      </c>
      <c r="D985" s="1037">
        <v>45663</v>
      </c>
      <c r="E985" s="1042"/>
    </row>
    <row r="986" spans="1:5">
      <c r="A986" s="1039" t="s">
        <v>2059</v>
      </c>
      <c r="B986" s="1040" t="s">
        <v>2060</v>
      </c>
      <c r="C986" s="1044">
        <v>45646</v>
      </c>
      <c r="D986" s="1037">
        <v>45663</v>
      </c>
      <c r="E986" s="1042"/>
    </row>
    <row r="987" spans="1:5">
      <c r="A987" s="1039" t="s">
        <v>2061</v>
      </c>
      <c r="B987" s="1040" t="s">
        <v>2062</v>
      </c>
      <c r="C987" s="1044">
        <v>45646</v>
      </c>
      <c r="D987" s="1037">
        <v>45663</v>
      </c>
      <c r="E987" s="1042"/>
    </row>
    <row r="988" spans="1:5">
      <c r="A988" s="1039" t="s">
        <v>2063</v>
      </c>
      <c r="B988" s="1040" t="s">
        <v>2064</v>
      </c>
      <c r="C988" s="1044">
        <v>45646</v>
      </c>
      <c r="D988" s="1037">
        <v>45663</v>
      </c>
      <c r="E988" s="1042"/>
    </row>
    <row r="989" spans="1:5">
      <c r="A989" s="1039" t="s">
        <v>2065</v>
      </c>
      <c r="B989" s="1040" t="s">
        <v>2066</v>
      </c>
      <c r="C989" s="1044">
        <v>45646</v>
      </c>
      <c r="D989" s="1037">
        <v>45663</v>
      </c>
      <c r="E989" s="1042"/>
    </row>
    <row r="990" spans="1:5">
      <c r="A990" s="1039" t="s">
        <v>2067</v>
      </c>
      <c r="B990" s="1040" t="s">
        <v>2068</v>
      </c>
      <c r="C990" s="1044">
        <v>45646</v>
      </c>
      <c r="D990" s="1037">
        <v>45663</v>
      </c>
      <c r="E990" s="1042"/>
    </row>
    <row r="991" spans="1:5">
      <c r="A991" s="1039" t="s">
        <v>2069</v>
      </c>
      <c r="B991" s="1040" t="s">
        <v>2068</v>
      </c>
      <c r="C991" s="1044">
        <v>45646</v>
      </c>
      <c r="D991" s="1037">
        <v>45663</v>
      </c>
      <c r="E991" s="1042"/>
    </row>
    <row r="992" spans="1:5">
      <c r="A992" s="1039" t="s">
        <v>2070</v>
      </c>
      <c r="B992" s="1040" t="s">
        <v>2071</v>
      </c>
      <c r="C992" s="1044">
        <v>45646</v>
      </c>
      <c r="D992" s="1037">
        <v>45663</v>
      </c>
      <c r="E992" s="1042"/>
    </row>
    <row r="993" spans="1:5">
      <c r="A993" s="1039" t="s">
        <v>2072</v>
      </c>
      <c r="B993" s="1040" t="s">
        <v>2073</v>
      </c>
      <c r="C993" s="1044">
        <v>45646</v>
      </c>
      <c r="D993" s="1037">
        <v>45663</v>
      </c>
      <c r="E993" s="1042"/>
    </row>
    <row r="994" spans="1:5">
      <c r="A994" s="1039" t="s">
        <v>2074</v>
      </c>
      <c r="B994" s="1040" t="s">
        <v>2075</v>
      </c>
      <c r="C994" s="1044">
        <v>45646</v>
      </c>
      <c r="D994" s="1037">
        <v>45663</v>
      </c>
      <c r="E994" s="1042"/>
    </row>
    <row r="995" spans="1:5">
      <c r="A995" s="1039" t="s">
        <v>2076</v>
      </c>
      <c r="B995" s="1040" t="s">
        <v>2077</v>
      </c>
      <c r="C995" s="1044">
        <v>45646</v>
      </c>
      <c r="D995" s="1037">
        <v>45663</v>
      </c>
      <c r="E995" s="1042"/>
    </row>
    <row r="996" spans="1:5">
      <c r="A996" s="1039" t="s">
        <v>2078</v>
      </c>
      <c r="B996" s="1040" t="s">
        <v>2079</v>
      </c>
      <c r="C996" s="1044">
        <v>45646</v>
      </c>
      <c r="D996" s="1037">
        <v>45663</v>
      </c>
      <c r="E996" s="1042"/>
    </row>
    <row r="997" spans="1:5">
      <c r="A997" s="1039" t="s">
        <v>2080</v>
      </c>
      <c r="B997" s="1040" t="s">
        <v>2081</v>
      </c>
      <c r="C997" s="1044">
        <v>45646</v>
      </c>
      <c r="D997" s="1037">
        <v>45663</v>
      </c>
      <c r="E997" s="1042"/>
    </row>
    <row r="998" spans="1:5">
      <c r="A998" s="1039" t="s">
        <v>2082</v>
      </c>
      <c r="B998" s="1040" t="s">
        <v>2083</v>
      </c>
      <c r="C998" s="1044">
        <v>45646</v>
      </c>
      <c r="D998" s="1037">
        <v>45663</v>
      </c>
      <c r="E998" s="1042"/>
    </row>
    <row r="999" spans="1:5">
      <c r="A999" s="1039" t="s">
        <v>2084</v>
      </c>
      <c r="B999" s="1040" t="s">
        <v>2085</v>
      </c>
      <c r="C999" s="1044">
        <v>45646</v>
      </c>
      <c r="D999" s="1037">
        <v>45663</v>
      </c>
      <c r="E999" s="1042"/>
    </row>
    <row r="1000" spans="1:5">
      <c r="A1000" s="1039" t="s">
        <v>2086</v>
      </c>
      <c r="B1000" s="1040" t="s">
        <v>2087</v>
      </c>
      <c r="C1000" s="1044">
        <v>45646</v>
      </c>
      <c r="D1000" s="1037">
        <v>45663</v>
      </c>
      <c r="E1000" s="1042"/>
    </row>
    <row r="1001" spans="1:5">
      <c r="A1001" s="1039" t="s">
        <v>2088</v>
      </c>
      <c r="B1001" s="1040" t="s">
        <v>2089</v>
      </c>
      <c r="C1001" s="1044">
        <v>45646</v>
      </c>
      <c r="D1001" s="1037">
        <v>45663</v>
      </c>
      <c r="E1001" s="1042"/>
    </row>
    <row r="1002" spans="1:5">
      <c r="A1002" s="1039" t="s">
        <v>2090</v>
      </c>
      <c r="B1002" s="1040" t="s">
        <v>2091</v>
      </c>
      <c r="C1002" s="1044">
        <v>45646</v>
      </c>
      <c r="D1002" s="1037">
        <v>45663</v>
      </c>
      <c r="E1002" s="1042"/>
    </row>
    <row r="1003" spans="1:5">
      <c r="A1003" s="1039" t="s">
        <v>2092</v>
      </c>
      <c r="B1003" s="1040" t="s">
        <v>2093</v>
      </c>
      <c r="C1003" s="1044">
        <v>45646</v>
      </c>
      <c r="D1003" s="1037">
        <v>45663</v>
      </c>
      <c r="E1003" s="1042"/>
    </row>
    <row r="1004" spans="1:5">
      <c r="A1004" s="1039" t="s">
        <v>2094</v>
      </c>
      <c r="B1004" s="1040" t="s">
        <v>2095</v>
      </c>
      <c r="C1004" s="1044">
        <v>45646</v>
      </c>
      <c r="D1004" s="1037">
        <v>45663</v>
      </c>
      <c r="E1004" s="1042"/>
    </row>
    <row r="1005" spans="1:5">
      <c r="A1005" s="1039" t="s">
        <v>2096</v>
      </c>
      <c r="B1005" s="1040" t="s">
        <v>2097</v>
      </c>
      <c r="C1005" s="1044">
        <v>45646</v>
      </c>
      <c r="D1005" s="1037">
        <v>45663</v>
      </c>
      <c r="E1005" s="1042"/>
    </row>
    <row r="1006" spans="1:5">
      <c r="A1006" s="1039" t="s">
        <v>2098</v>
      </c>
      <c r="B1006" s="1040" t="s">
        <v>2099</v>
      </c>
      <c r="C1006" s="1044">
        <v>45646</v>
      </c>
      <c r="D1006" s="1037">
        <v>45663</v>
      </c>
      <c r="E1006" s="1042"/>
    </row>
    <row r="1007" spans="1:5">
      <c r="A1007" s="1039" t="s">
        <v>2100</v>
      </c>
      <c r="B1007" s="1040" t="s">
        <v>2101</v>
      </c>
      <c r="C1007" s="1044">
        <v>45646</v>
      </c>
      <c r="D1007" s="1037">
        <v>45663</v>
      </c>
      <c r="E1007" s="1042"/>
    </row>
    <row r="1008" spans="1:5">
      <c r="A1008" s="1039" t="s">
        <v>2102</v>
      </c>
      <c r="B1008" s="1040" t="s">
        <v>2103</v>
      </c>
      <c r="C1008" s="1044">
        <v>45646</v>
      </c>
      <c r="D1008" s="1037">
        <v>45663</v>
      </c>
      <c r="E1008" s="1042"/>
    </row>
    <row r="1009" spans="1:5">
      <c r="A1009" s="1039" t="s">
        <v>2104</v>
      </c>
      <c r="B1009" s="1040" t="s">
        <v>2105</v>
      </c>
      <c r="C1009" s="1044">
        <v>45646</v>
      </c>
      <c r="D1009" s="1037">
        <v>45663</v>
      </c>
      <c r="E1009" s="1042"/>
    </row>
    <row r="1010" spans="1:5">
      <c r="A1010" s="1039" t="s">
        <v>2106</v>
      </c>
      <c r="B1010" s="1040" t="s">
        <v>2107</v>
      </c>
      <c r="C1010" s="1044">
        <v>45646</v>
      </c>
      <c r="D1010" s="1037">
        <v>45663</v>
      </c>
      <c r="E1010" s="1042"/>
    </row>
    <row r="1011" spans="1:5">
      <c r="A1011" s="1039" t="s">
        <v>2108</v>
      </c>
      <c r="B1011" s="1040" t="s">
        <v>2109</v>
      </c>
      <c r="C1011" s="1044">
        <v>45646</v>
      </c>
      <c r="D1011" s="1037">
        <v>45663</v>
      </c>
      <c r="E1011" s="1042"/>
    </row>
    <row r="1012" spans="1:5">
      <c r="A1012" s="1039" t="s">
        <v>2110</v>
      </c>
      <c r="B1012" s="1040" t="s">
        <v>2111</v>
      </c>
      <c r="C1012" s="1044">
        <v>45646</v>
      </c>
      <c r="D1012" s="1037">
        <v>45663</v>
      </c>
      <c r="E1012" s="1042"/>
    </row>
    <row r="1013" spans="1:5">
      <c r="A1013" s="1039" t="s">
        <v>2112</v>
      </c>
      <c r="B1013" s="1040" t="s">
        <v>2113</v>
      </c>
      <c r="C1013" s="1044">
        <v>45646</v>
      </c>
      <c r="D1013" s="1037">
        <v>45663</v>
      </c>
      <c r="E1013" s="1042"/>
    </row>
    <row r="1014" spans="1:5">
      <c r="A1014" s="1039" t="s">
        <v>2114</v>
      </c>
      <c r="B1014" s="1040" t="s">
        <v>2115</v>
      </c>
      <c r="C1014" s="1044">
        <v>45646</v>
      </c>
      <c r="D1014" s="1037">
        <v>45663</v>
      </c>
      <c r="E1014" s="1042"/>
    </row>
    <row r="1015" spans="1:5">
      <c r="A1015" s="1039" t="s">
        <v>2116</v>
      </c>
      <c r="B1015" s="1040" t="s">
        <v>2117</v>
      </c>
      <c r="C1015" s="1044">
        <v>45646</v>
      </c>
      <c r="D1015" s="1037">
        <v>45663</v>
      </c>
      <c r="E1015" s="1042"/>
    </row>
    <row r="1016" spans="1:5">
      <c r="A1016" s="1039" t="s">
        <v>2118</v>
      </c>
      <c r="B1016" s="1040" t="s">
        <v>2119</v>
      </c>
      <c r="C1016" s="1044">
        <v>45646</v>
      </c>
      <c r="D1016" s="1037">
        <v>45663</v>
      </c>
      <c r="E1016" s="1042"/>
    </row>
    <row r="1017" spans="1:5">
      <c r="A1017" s="1039" t="s">
        <v>2120</v>
      </c>
      <c r="B1017" s="1040" t="s">
        <v>2121</v>
      </c>
      <c r="C1017" s="1044">
        <v>45646</v>
      </c>
      <c r="D1017" s="1037">
        <v>45663</v>
      </c>
      <c r="E1017" s="1042"/>
    </row>
    <row r="1018" spans="1:5">
      <c r="A1018" s="1039" t="s">
        <v>2122</v>
      </c>
      <c r="B1018" s="1040" t="s">
        <v>2123</v>
      </c>
      <c r="C1018" s="1044">
        <v>45646</v>
      </c>
      <c r="D1018" s="1037">
        <v>45663</v>
      </c>
      <c r="E1018" s="1042"/>
    </row>
    <row r="1019" spans="1:5">
      <c r="A1019" s="1039" t="s">
        <v>2124</v>
      </c>
      <c r="B1019" s="1040" t="s">
        <v>2125</v>
      </c>
      <c r="C1019" s="1044">
        <v>45646</v>
      </c>
      <c r="D1019" s="1037">
        <v>45663</v>
      </c>
      <c r="E1019" s="1042"/>
    </row>
    <row r="1020" spans="1:5">
      <c r="A1020" s="1039" t="s">
        <v>2126</v>
      </c>
      <c r="B1020" s="1040" t="s">
        <v>2127</v>
      </c>
      <c r="C1020" s="1044">
        <v>45646</v>
      </c>
      <c r="D1020" s="1037">
        <v>45663</v>
      </c>
      <c r="E1020" s="1042"/>
    </row>
    <row r="1021" spans="1:5">
      <c r="A1021" s="1039" t="s">
        <v>2128</v>
      </c>
      <c r="B1021" s="1040" t="s">
        <v>2129</v>
      </c>
      <c r="C1021" s="1044">
        <v>45646</v>
      </c>
      <c r="D1021" s="1037">
        <v>45663</v>
      </c>
      <c r="E1021" s="1042"/>
    </row>
    <row r="1022" spans="1:5">
      <c r="A1022" s="1039" t="s">
        <v>2130</v>
      </c>
      <c r="B1022" s="1040" t="s">
        <v>2131</v>
      </c>
      <c r="C1022" s="1044">
        <v>45646</v>
      </c>
      <c r="D1022" s="1037">
        <v>45663</v>
      </c>
      <c r="E1022" s="1042"/>
    </row>
    <row r="1023" spans="1:5">
      <c r="A1023" s="1039" t="s">
        <v>2126</v>
      </c>
      <c r="B1023" s="1040" t="s">
        <v>2132</v>
      </c>
      <c r="C1023" s="1044">
        <v>45646</v>
      </c>
      <c r="D1023" s="1037">
        <v>45663</v>
      </c>
      <c r="E1023" s="1042"/>
    </row>
    <row r="1024" spans="1:5">
      <c r="A1024" s="1039" t="s">
        <v>2133</v>
      </c>
      <c r="B1024" s="1040" t="s">
        <v>2134</v>
      </c>
      <c r="C1024" s="1044">
        <v>45646</v>
      </c>
      <c r="D1024" s="1037">
        <v>45663</v>
      </c>
      <c r="E1024" s="1042"/>
    </row>
    <row r="1025" spans="1:5">
      <c r="A1025" s="1039" t="s">
        <v>2135</v>
      </c>
      <c r="B1025" s="1040" t="s">
        <v>2136</v>
      </c>
      <c r="C1025" s="1044">
        <v>45646</v>
      </c>
      <c r="D1025" s="1037">
        <v>45663</v>
      </c>
      <c r="E1025" s="1042"/>
    </row>
    <row r="1026" spans="1:5">
      <c r="A1026" s="1039" t="s">
        <v>2137</v>
      </c>
      <c r="B1026" s="1040" t="s">
        <v>2138</v>
      </c>
      <c r="C1026" s="1044">
        <v>45646</v>
      </c>
      <c r="D1026" s="1037">
        <v>45663</v>
      </c>
      <c r="E1026" s="1042"/>
    </row>
    <row r="1027" spans="1:5">
      <c r="A1027" s="1039" t="s">
        <v>2139</v>
      </c>
      <c r="B1027" s="1040" t="s">
        <v>2140</v>
      </c>
      <c r="C1027" s="1044">
        <v>45646</v>
      </c>
      <c r="D1027" s="1037">
        <v>45663</v>
      </c>
      <c r="E1027" s="1042"/>
    </row>
    <row r="1028" spans="1:5">
      <c r="A1028" s="1039" t="s">
        <v>2141</v>
      </c>
      <c r="B1028" s="1040" t="s">
        <v>2142</v>
      </c>
      <c r="C1028" s="1044">
        <v>45646</v>
      </c>
      <c r="D1028" s="1037">
        <v>45663</v>
      </c>
      <c r="E1028" s="1042"/>
    </row>
    <row r="1029" spans="1:5">
      <c r="A1029" s="1039" t="s">
        <v>2143</v>
      </c>
      <c r="B1029" s="1040" t="s">
        <v>2144</v>
      </c>
      <c r="C1029" s="1044">
        <v>45646</v>
      </c>
      <c r="D1029" s="1037">
        <v>45663</v>
      </c>
      <c r="E1029" s="1042"/>
    </row>
    <row r="1030" spans="1:5">
      <c r="A1030" s="1039" t="s">
        <v>2145</v>
      </c>
      <c r="B1030" s="1040" t="s">
        <v>2146</v>
      </c>
      <c r="C1030" s="1044">
        <v>45646</v>
      </c>
      <c r="D1030" s="1037">
        <v>45663</v>
      </c>
      <c r="E1030" s="1042"/>
    </row>
    <row r="1031" spans="1:5">
      <c r="A1031" s="1039" t="s">
        <v>2147</v>
      </c>
      <c r="B1031" s="1040" t="s">
        <v>2148</v>
      </c>
      <c r="C1031" s="1044">
        <v>45646</v>
      </c>
      <c r="D1031" s="1037">
        <v>45663</v>
      </c>
      <c r="E1031" s="1042"/>
    </row>
    <row r="1032" spans="1:5">
      <c r="A1032" s="1039" t="s">
        <v>2149</v>
      </c>
      <c r="B1032" s="1040" t="s">
        <v>2150</v>
      </c>
      <c r="C1032" s="1044">
        <v>45646</v>
      </c>
      <c r="D1032" s="1037">
        <v>45663</v>
      </c>
      <c r="E1032" s="1042"/>
    </row>
    <row r="1033" spans="1:5">
      <c r="A1033" s="1039" t="s">
        <v>2151</v>
      </c>
      <c r="B1033" s="1040" t="s">
        <v>2152</v>
      </c>
      <c r="C1033" s="1044">
        <v>45646</v>
      </c>
      <c r="D1033" s="1037">
        <v>45663</v>
      </c>
      <c r="E1033" s="1042"/>
    </row>
    <row r="1034" spans="1:5">
      <c r="A1034" s="1039" t="s">
        <v>2153</v>
      </c>
      <c r="B1034" s="1040" t="s">
        <v>2154</v>
      </c>
      <c r="C1034" s="1044">
        <v>45646</v>
      </c>
      <c r="D1034" s="1037">
        <v>45663</v>
      </c>
      <c r="E1034" s="1042"/>
    </row>
    <row r="1035" spans="1:5">
      <c r="A1035" s="1039" t="s">
        <v>2155</v>
      </c>
      <c r="B1035" s="1040" t="s">
        <v>2156</v>
      </c>
      <c r="C1035" s="1044">
        <v>45646</v>
      </c>
      <c r="D1035" s="1037">
        <v>45663</v>
      </c>
      <c r="E1035" s="1042"/>
    </row>
    <row r="1036" spans="1:5">
      <c r="A1036" s="1039" t="s">
        <v>2157</v>
      </c>
      <c r="B1036" s="1040" t="s">
        <v>2158</v>
      </c>
      <c r="C1036" s="1044">
        <v>45646</v>
      </c>
      <c r="D1036" s="1037">
        <v>45663</v>
      </c>
      <c r="E1036" s="1042"/>
    </row>
    <row r="1037" spans="1:5">
      <c r="A1037" s="1039" t="s">
        <v>2159</v>
      </c>
      <c r="B1037" s="1040" t="s">
        <v>2160</v>
      </c>
      <c r="C1037" s="1044">
        <v>45646</v>
      </c>
      <c r="D1037" s="1037">
        <v>45663</v>
      </c>
      <c r="E1037" s="1042"/>
    </row>
    <row r="1038" spans="1:5">
      <c r="A1038" s="1039" t="s">
        <v>2161</v>
      </c>
      <c r="B1038" s="1040" t="s">
        <v>2162</v>
      </c>
      <c r="C1038" s="1044">
        <v>45646</v>
      </c>
      <c r="D1038" s="1037">
        <v>45663</v>
      </c>
      <c r="E1038" s="1042"/>
    </row>
    <row r="1039" spans="1:5">
      <c r="A1039" s="1039" t="s">
        <v>2163</v>
      </c>
      <c r="B1039" s="1040" t="s">
        <v>2164</v>
      </c>
      <c r="C1039" s="1044">
        <v>45646</v>
      </c>
      <c r="D1039" s="1037">
        <v>45663</v>
      </c>
      <c r="E1039" s="1042"/>
    </row>
    <row r="1040" spans="1:5">
      <c r="A1040" s="1039" t="s">
        <v>2165</v>
      </c>
      <c r="B1040" s="1040" t="s">
        <v>2166</v>
      </c>
      <c r="C1040" s="1044">
        <v>45646</v>
      </c>
      <c r="D1040" s="1037">
        <v>45663</v>
      </c>
      <c r="E1040" s="1042"/>
    </row>
    <row r="1041" spans="1:5">
      <c r="A1041" s="1039" t="s">
        <v>2167</v>
      </c>
      <c r="B1041" s="1040" t="s">
        <v>2168</v>
      </c>
      <c r="C1041" s="1044">
        <v>45646</v>
      </c>
      <c r="D1041" s="1037">
        <v>45663</v>
      </c>
      <c r="E1041" s="1042"/>
    </row>
    <row r="1042" spans="1:5">
      <c r="A1042" s="1039" t="s">
        <v>2169</v>
      </c>
      <c r="B1042" s="1040" t="s">
        <v>2170</v>
      </c>
      <c r="C1042" s="1044">
        <v>45646</v>
      </c>
      <c r="D1042" s="1037">
        <v>45663</v>
      </c>
      <c r="E1042" s="1042"/>
    </row>
    <row r="1043" spans="1:5">
      <c r="A1043" s="1039" t="s">
        <v>2171</v>
      </c>
      <c r="B1043" s="1040" t="s">
        <v>2172</v>
      </c>
      <c r="C1043" s="1044">
        <v>45646</v>
      </c>
      <c r="D1043" s="1037">
        <v>45663</v>
      </c>
      <c r="E1043" s="1042"/>
    </row>
    <row r="1044" spans="1:5">
      <c r="A1044" s="1039" t="s">
        <v>2173</v>
      </c>
      <c r="B1044" s="1040" t="s">
        <v>2174</v>
      </c>
      <c r="C1044" s="1044">
        <v>45646</v>
      </c>
      <c r="D1044" s="1037">
        <v>45663</v>
      </c>
      <c r="E1044" s="1042"/>
    </row>
    <row r="1045" spans="1:5">
      <c r="A1045" s="1039" t="s">
        <v>2175</v>
      </c>
      <c r="B1045" s="1040" t="s">
        <v>2176</v>
      </c>
      <c r="C1045" s="1044">
        <v>45646</v>
      </c>
      <c r="D1045" s="1037">
        <v>45663</v>
      </c>
      <c r="E1045" s="1042"/>
    </row>
    <row r="1046" spans="1:5">
      <c r="A1046" s="1039" t="s">
        <v>2177</v>
      </c>
      <c r="B1046" s="1040" t="s">
        <v>2178</v>
      </c>
      <c r="C1046" s="1044">
        <v>45646</v>
      </c>
      <c r="D1046" s="1037">
        <v>45663</v>
      </c>
      <c r="E1046" s="1042"/>
    </row>
    <row r="1047" spans="1:5">
      <c r="A1047" s="1039" t="s">
        <v>2179</v>
      </c>
      <c r="B1047" s="1040" t="s">
        <v>2180</v>
      </c>
      <c r="C1047" s="1044">
        <v>45646</v>
      </c>
      <c r="D1047" s="1037">
        <v>45663</v>
      </c>
      <c r="E1047" s="1042"/>
    </row>
    <row r="1048" spans="1:5">
      <c r="A1048" s="1039" t="s">
        <v>2181</v>
      </c>
      <c r="B1048" s="1040" t="s">
        <v>2182</v>
      </c>
      <c r="C1048" s="1044">
        <v>45646</v>
      </c>
      <c r="D1048" s="1037">
        <v>45663</v>
      </c>
      <c r="E1048" s="1042"/>
    </row>
    <row r="1049" spans="1:5">
      <c r="A1049" s="1039" t="s">
        <v>2183</v>
      </c>
      <c r="B1049" s="1040" t="s">
        <v>2184</v>
      </c>
      <c r="C1049" s="1044">
        <v>45646</v>
      </c>
      <c r="D1049" s="1037">
        <v>45663</v>
      </c>
      <c r="E1049" s="1042"/>
    </row>
    <row r="1050" spans="1:5">
      <c r="A1050" s="1039" t="s">
        <v>2185</v>
      </c>
      <c r="B1050" s="1040" t="s">
        <v>2186</v>
      </c>
      <c r="C1050" s="1044">
        <v>45646</v>
      </c>
      <c r="D1050" s="1037">
        <v>45663</v>
      </c>
      <c r="E1050" s="1042"/>
    </row>
    <row r="1051" spans="1:5">
      <c r="A1051" s="1039" t="s">
        <v>2187</v>
      </c>
      <c r="B1051" s="1040" t="s">
        <v>2188</v>
      </c>
      <c r="C1051" s="1044">
        <v>45646</v>
      </c>
      <c r="D1051" s="1037">
        <v>45663</v>
      </c>
      <c r="E1051" s="1042"/>
    </row>
    <row r="1052" spans="1:5">
      <c r="A1052" s="1039" t="s">
        <v>2189</v>
      </c>
      <c r="B1052" s="1040" t="s">
        <v>2190</v>
      </c>
      <c r="C1052" s="1044">
        <v>45646</v>
      </c>
      <c r="D1052" s="1037">
        <v>45663</v>
      </c>
      <c r="E1052" s="1042"/>
    </row>
    <row r="1053" spans="1:5">
      <c r="A1053" s="1039" t="s">
        <v>2191</v>
      </c>
      <c r="B1053" s="1040" t="s">
        <v>2192</v>
      </c>
      <c r="C1053" s="1044">
        <v>45646</v>
      </c>
      <c r="D1053" s="1037">
        <v>45663</v>
      </c>
      <c r="E1053" s="1042"/>
    </row>
    <row r="1054" spans="1:5">
      <c r="A1054" s="1039" t="s">
        <v>2193</v>
      </c>
      <c r="B1054" s="1040" t="s">
        <v>2194</v>
      </c>
      <c r="C1054" s="1044">
        <v>45646</v>
      </c>
      <c r="D1054" s="1037">
        <v>45663</v>
      </c>
      <c r="E1054" s="1042"/>
    </row>
    <row r="1055" spans="1:5">
      <c r="A1055" s="1039" t="s">
        <v>2195</v>
      </c>
      <c r="B1055" s="1040" t="s">
        <v>2196</v>
      </c>
      <c r="C1055" s="1044">
        <v>45646</v>
      </c>
      <c r="D1055" s="1037">
        <v>45663</v>
      </c>
      <c r="E1055" s="1042"/>
    </row>
    <row r="1056" spans="1:5">
      <c r="A1056" s="1039" t="s">
        <v>2197</v>
      </c>
      <c r="B1056" s="1040" t="s">
        <v>2198</v>
      </c>
      <c r="C1056" s="1044">
        <v>45646</v>
      </c>
      <c r="D1056" s="1037">
        <v>45663</v>
      </c>
      <c r="E1056" s="1042"/>
    </row>
    <row r="1057" spans="1:5">
      <c r="A1057" s="1039" t="s">
        <v>2199</v>
      </c>
      <c r="B1057" s="1040" t="s">
        <v>2200</v>
      </c>
      <c r="C1057" s="1044">
        <v>45646</v>
      </c>
      <c r="D1057" s="1037">
        <v>45663</v>
      </c>
      <c r="E1057" s="1042"/>
    </row>
    <row r="1058" spans="1:5">
      <c r="A1058" s="1039" t="s">
        <v>2201</v>
      </c>
      <c r="B1058" s="1040" t="s">
        <v>2202</v>
      </c>
      <c r="C1058" s="1044">
        <v>45646</v>
      </c>
      <c r="D1058" s="1037">
        <v>45663</v>
      </c>
      <c r="E1058" s="1042"/>
    </row>
    <row r="1059" spans="1:5">
      <c r="A1059" s="1039" t="s">
        <v>2203</v>
      </c>
      <c r="B1059" s="1040" t="s">
        <v>2204</v>
      </c>
      <c r="C1059" s="1044">
        <v>45646</v>
      </c>
      <c r="D1059" s="1037">
        <v>45663</v>
      </c>
      <c r="E1059" s="1042"/>
    </row>
    <row r="1060" spans="1:5">
      <c r="A1060" s="1039" t="s">
        <v>2205</v>
      </c>
      <c r="B1060" s="1040" t="s">
        <v>2206</v>
      </c>
      <c r="C1060" s="1044">
        <v>45646</v>
      </c>
      <c r="D1060" s="1037">
        <v>45663</v>
      </c>
      <c r="E1060" s="1042"/>
    </row>
    <row r="1061" spans="1:5">
      <c r="A1061" s="1039" t="s">
        <v>2207</v>
      </c>
      <c r="B1061" s="1040" t="s">
        <v>2208</v>
      </c>
      <c r="C1061" s="1044">
        <v>45646</v>
      </c>
      <c r="D1061" s="1037">
        <v>45663</v>
      </c>
      <c r="E1061" s="1042"/>
    </row>
    <row r="1062" spans="1:5">
      <c r="A1062" s="1039" t="s">
        <v>2209</v>
      </c>
      <c r="B1062" s="1040" t="s">
        <v>2210</v>
      </c>
      <c r="C1062" s="1044">
        <v>45646</v>
      </c>
      <c r="D1062" s="1037">
        <v>45663</v>
      </c>
      <c r="E1062" s="1042"/>
    </row>
    <row r="1063" spans="1:5">
      <c r="A1063" s="1039" t="s">
        <v>2211</v>
      </c>
      <c r="B1063" s="1040" t="s">
        <v>2212</v>
      </c>
      <c r="C1063" s="1044">
        <v>45646</v>
      </c>
      <c r="D1063" s="1037">
        <v>45663</v>
      </c>
      <c r="E1063" s="1042"/>
    </row>
    <row r="1064" spans="1:5">
      <c r="A1064" s="1039" t="s">
        <v>2213</v>
      </c>
      <c r="B1064" s="1040" t="s">
        <v>2214</v>
      </c>
      <c r="C1064" s="1044">
        <v>45646</v>
      </c>
      <c r="D1064" s="1037">
        <v>45663</v>
      </c>
      <c r="E1064" s="1042"/>
    </row>
    <row r="1065" spans="1:5">
      <c r="A1065" s="1039" t="s">
        <v>2215</v>
      </c>
      <c r="B1065" s="1040" t="s">
        <v>2216</v>
      </c>
      <c r="C1065" s="1044">
        <v>45646</v>
      </c>
      <c r="D1065" s="1037">
        <v>45663</v>
      </c>
      <c r="E1065" s="1042"/>
    </row>
    <row r="1066" spans="1:5">
      <c r="A1066" s="1039" t="s">
        <v>2217</v>
      </c>
      <c r="B1066" s="1040" t="s">
        <v>2216</v>
      </c>
      <c r="C1066" s="1044">
        <v>45646</v>
      </c>
      <c r="D1066" s="1037">
        <v>45663</v>
      </c>
      <c r="E1066" s="1042"/>
    </row>
    <row r="1067" spans="1:5">
      <c r="A1067" s="1039" t="s">
        <v>2218</v>
      </c>
      <c r="B1067" s="1040" t="s">
        <v>2219</v>
      </c>
      <c r="C1067" s="1044">
        <v>45646</v>
      </c>
      <c r="D1067" s="1037">
        <v>45663</v>
      </c>
      <c r="E1067" s="1042"/>
    </row>
    <row r="1068" spans="1:5">
      <c r="A1068" s="1039" t="s">
        <v>2220</v>
      </c>
      <c r="B1068" s="1040" t="s">
        <v>2219</v>
      </c>
      <c r="C1068" s="1044">
        <v>45646</v>
      </c>
      <c r="D1068" s="1037">
        <v>45663</v>
      </c>
      <c r="E1068" s="1042"/>
    </row>
    <row r="1069" spans="1:5">
      <c r="A1069" s="1039" t="s">
        <v>2221</v>
      </c>
      <c r="B1069" s="1040" t="s">
        <v>2219</v>
      </c>
      <c r="C1069" s="1044">
        <v>45646</v>
      </c>
      <c r="D1069" s="1037">
        <v>45663</v>
      </c>
      <c r="E1069" s="1042"/>
    </row>
    <row r="1070" spans="1:5">
      <c r="A1070" s="1039" t="s">
        <v>2222</v>
      </c>
      <c r="B1070" s="1040" t="s">
        <v>2223</v>
      </c>
      <c r="C1070" s="1044">
        <v>45646</v>
      </c>
      <c r="D1070" s="1037">
        <v>45663</v>
      </c>
      <c r="E1070" s="1042"/>
    </row>
    <row r="1071" spans="1:5">
      <c r="A1071" s="1039" t="s">
        <v>2224</v>
      </c>
      <c r="B1071" s="1040" t="s">
        <v>2225</v>
      </c>
      <c r="C1071" s="1044">
        <v>45646</v>
      </c>
      <c r="D1071" s="1037">
        <v>45663</v>
      </c>
      <c r="E1071" s="1042"/>
    </row>
    <row r="1072" spans="1:5">
      <c r="A1072" s="1039" t="s">
        <v>2226</v>
      </c>
      <c r="B1072" s="1040" t="s">
        <v>2225</v>
      </c>
      <c r="C1072" s="1044">
        <v>45646</v>
      </c>
      <c r="D1072" s="1037">
        <v>45663</v>
      </c>
      <c r="E1072" s="1042"/>
    </row>
    <row r="1073" spans="1:5">
      <c r="A1073" s="1039" t="s">
        <v>2227</v>
      </c>
      <c r="B1073" s="1040" t="s">
        <v>2225</v>
      </c>
      <c r="C1073" s="1044">
        <v>45646</v>
      </c>
      <c r="D1073" s="1037">
        <v>45663</v>
      </c>
      <c r="E1073" s="1042"/>
    </row>
    <row r="1074" spans="1:5">
      <c r="A1074" s="1039" t="s">
        <v>2228</v>
      </c>
      <c r="B1074" s="1040" t="s">
        <v>2225</v>
      </c>
      <c r="C1074" s="1044">
        <v>45646</v>
      </c>
      <c r="D1074" s="1037">
        <v>45663</v>
      </c>
      <c r="E1074" s="1042"/>
    </row>
    <row r="1075" spans="1:5">
      <c r="A1075" s="1039" t="s">
        <v>2229</v>
      </c>
      <c r="B1075" s="1040" t="s">
        <v>2225</v>
      </c>
      <c r="C1075" s="1044">
        <v>45646</v>
      </c>
      <c r="D1075" s="1037">
        <v>45663</v>
      </c>
      <c r="E1075" s="1042"/>
    </row>
    <row r="1076" spans="1:5">
      <c r="A1076" s="1039" t="s">
        <v>2230</v>
      </c>
      <c r="B1076" s="1040" t="s">
        <v>2231</v>
      </c>
      <c r="C1076" s="1044">
        <v>45646</v>
      </c>
      <c r="D1076" s="1037">
        <v>45663</v>
      </c>
      <c r="E1076" s="1042"/>
    </row>
    <row r="1077" spans="1:5">
      <c r="A1077" s="1039" t="s">
        <v>2232</v>
      </c>
      <c r="B1077" s="1040" t="s">
        <v>2233</v>
      </c>
      <c r="C1077" s="1044">
        <v>45646</v>
      </c>
      <c r="D1077" s="1037">
        <v>45663</v>
      </c>
      <c r="E1077" s="1042"/>
    </row>
    <row r="1078" spans="1:5">
      <c r="A1078" s="1039" t="s">
        <v>2234</v>
      </c>
      <c r="B1078" s="1040" t="s">
        <v>2235</v>
      </c>
      <c r="C1078" s="1044">
        <v>45646</v>
      </c>
      <c r="D1078" s="1037">
        <v>45663</v>
      </c>
      <c r="E1078" s="1042"/>
    </row>
    <row r="1079" spans="1:5">
      <c r="A1079" s="1039" t="s">
        <v>2236</v>
      </c>
      <c r="B1079" s="1040" t="s">
        <v>2237</v>
      </c>
      <c r="C1079" s="1044">
        <v>45646</v>
      </c>
      <c r="D1079" s="1037">
        <v>45663</v>
      </c>
      <c r="E1079" s="1042"/>
    </row>
    <row r="1080" spans="1:5">
      <c r="A1080" s="1039" t="s">
        <v>2238</v>
      </c>
      <c r="B1080" s="1040" t="s">
        <v>2239</v>
      </c>
      <c r="C1080" s="1044">
        <v>45646</v>
      </c>
      <c r="D1080" s="1037">
        <v>45663</v>
      </c>
      <c r="E1080" s="1042"/>
    </row>
    <row r="1081" spans="1:5">
      <c r="A1081" s="1039" t="s">
        <v>2240</v>
      </c>
      <c r="B1081" s="1040" t="s">
        <v>2241</v>
      </c>
      <c r="C1081" s="1044">
        <v>45646</v>
      </c>
      <c r="D1081" s="1037">
        <v>45663</v>
      </c>
      <c r="E1081" s="1042"/>
    </row>
    <row r="1082" spans="1:5">
      <c r="A1082" s="1039" t="s">
        <v>2242</v>
      </c>
      <c r="B1082" s="1040" t="s">
        <v>2243</v>
      </c>
      <c r="C1082" s="1044">
        <v>45646</v>
      </c>
      <c r="D1082" s="1037">
        <v>45663</v>
      </c>
      <c r="E1082" s="1042"/>
    </row>
    <row r="1083" spans="1:5">
      <c r="A1083" s="1039" t="s">
        <v>2244</v>
      </c>
      <c r="B1083" s="1040" t="s">
        <v>2245</v>
      </c>
      <c r="C1083" s="1044">
        <v>45646</v>
      </c>
      <c r="D1083" s="1037">
        <v>45663</v>
      </c>
      <c r="E1083" s="1042"/>
    </row>
    <row r="1084" spans="1:5">
      <c r="A1084" s="1039" t="s">
        <v>2246</v>
      </c>
      <c r="B1084" s="1040" t="s">
        <v>2247</v>
      </c>
      <c r="C1084" s="1044">
        <v>45646</v>
      </c>
      <c r="D1084" s="1037">
        <v>45663</v>
      </c>
      <c r="E1084" s="1042"/>
    </row>
    <row r="1085" spans="1:5">
      <c r="A1085" s="1039" t="s">
        <v>2248</v>
      </c>
      <c r="B1085" s="1040" t="s">
        <v>2247</v>
      </c>
      <c r="C1085" s="1044">
        <v>45646</v>
      </c>
      <c r="D1085" s="1037">
        <v>45663</v>
      </c>
      <c r="E1085" s="1042"/>
    </row>
    <row r="1086" spans="1:5">
      <c r="A1086" s="1039" t="s">
        <v>2249</v>
      </c>
      <c r="B1086" s="1040" t="s">
        <v>2250</v>
      </c>
      <c r="C1086" s="1044">
        <v>45646</v>
      </c>
      <c r="D1086" s="1037">
        <v>45663</v>
      </c>
      <c r="E1086" s="1042"/>
    </row>
    <row r="1087" spans="1:5">
      <c r="A1087" s="1039" t="s">
        <v>2251</v>
      </c>
      <c r="B1087" s="1040" t="s">
        <v>2250</v>
      </c>
      <c r="C1087" s="1044">
        <v>45646</v>
      </c>
      <c r="D1087" s="1037">
        <v>45663</v>
      </c>
      <c r="E1087" s="1042"/>
    </row>
    <row r="1088" spans="1:5">
      <c r="A1088" s="1039" t="s">
        <v>2252</v>
      </c>
      <c r="B1088" s="1040" t="s">
        <v>2250</v>
      </c>
      <c r="C1088" s="1044">
        <v>45646</v>
      </c>
      <c r="D1088" s="1037">
        <v>45663</v>
      </c>
      <c r="E1088" s="1042"/>
    </row>
    <row r="1089" spans="1:5">
      <c r="A1089" s="1039" t="s">
        <v>2253</v>
      </c>
      <c r="B1089" s="1040" t="s">
        <v>2250</v>
      </c>
      <c r="C1089" s="1044">
        <v>45646</v>
      </c>
      <c r="D1089" s="1037">
        <v>45663</v>
      </c>
      <c r="E1089" s="1042"/>
    </row>
    <row r="1090" spans="1:5">
      <c r="A1090" s="1039" t="s">
        <v>2254</v>
      </c>
      <c r="B1090" s="1040" t="s">
        <v>2250</v>
      </c>
      <c r="C1090" s="1044">
        <v>45646</v>
      </c>
      <c r="D1090" s="1037">
        <v>45663</v>
      </c>
      <c r="E1090" s="1042"/>
    </row>
    <row r="1091" spans="1:5">
      <c r="A1091" s="1039" t="s">
        <v>2255</v>
      </c>
      <c r="B1091" s="1040" t="s">
        <v>2250</v>
      </c>
      <c r="C1091" s="1044">
        <v>45646</v>
      </c>
      <c r="D1091" s="1037">
        <v>45663</v>
      </c>
      <c r="E1091" s="1042"/>
    </row>
    <row r="1092" spans="1:5">
      <c r="A1092" s="1039" t="s">
        <v>2256</v>
      </c>
      <c r="B1092" s="1040" t="s">
        <v>2257</v>
      </c>
      <c r="C1092" s="1044">
        <v>45646</v>
      </c>
      <c r="D1092" s="1037">
        <v>45663</v>
      </c>
      <c r="E1092" s="1042"/>
    </row>
    <row r="1093" spans="1:5">
      <c r="A1093" s="1039" t="s">
        <v>2258</v>
      </c>
      <c r="B1093" s="1040" t="s">
        <v>2257</v>
      </c>
      <c r="C1093" s="1044">
        <v>45646</v>
      </c>
      <c r="D1093" s="1037">
        <v>45663</v>
      </c>
      <c r="E1093" s="1042"/>
    </row>
    <row r="1094" spans="1:5">
      <c r="A1094" s="1039" t="s">
        <v>2259</v>
      </c>
      <c r="B1094" s="1040" t="s">
        <v>2257</v>
      </c>
      <c r="C1094" s="1044">
        <v>45646</v>
      </c>
      <c r="D1094" s="1037">
        <v>45663</v>
      </c>
      <c r="E1094" s="1042"/>
    </row>
    <row r="1095" spans="1:5">
      <c r="A1095" s="1039" t="s">
        <v>2260</v>
      </c>
      <c r="B1095" s="1040" t="s">
        <v>2261</v>
      </c>
      <c r="C1095" s="1044">
        <v>45646</v>
      </c>
      <c r="D1095" s="1037">
        <v>45663</v>
      </c>
      <c r="E1095" s="1042"/>
    </row>
    <row r="1096" spans="1:5">
      <c r="A1096" s="1039" t="s">
        <v>2262</v>
      </c>
      <c r="B1096" s="1040" t="s">
        <v>2261</v>
      </c>
      <c r="C1096" s="1044">
        <v>45646</v>
      </c>
      <c r="D1096" s="1037">
        <v>45663</v>
      </c>
      <c r="E1096" s="1042"/>
    </row>
    <row r="1097" spans="1:5">
      <c r="A1097" s="1039" t="s">
        <v>2263</v>
      </c>
      <c r="B1097" s="1040" t="s">
        <v>2261</v>
      </c>
      <c r="C1097" s="1044">
        <v>45646</v>
      </c>
      <c r="D1097" s="1037">
        <v>45663</v>
      </c>
      <c r="E1097" s="1042"/>
    </row>
    <row r="1098" spans="1:5">
      <c r="A1098" s="1039" t="s">
        <v>2264</v>
      </c>
      <c r="B1098" s="1040" t="s">
        <v>2265</v>
      </c>
      <c r="C1098" s="1044">
        <v>45646</v>
      </c>
      <c r="D1098" s="1037">
        <v>45663</v>
      </c>
      <c r="E1098" s="1042"/>
    </row>
    <row r="1099" spans="1:5">
      <c r="A1099" s="1039" t="s">
        <v>2266</v>
      </c>
      <c r="B1099" s="1040" t="s">
        <v>2265</v>
      </c>
      <c r="C1099" s="1044">
        <v>45646</v>
      </c>
      <c r="D1099" s="1037">
        <v>45663</v>
      </c>
      <c r="E1099" s="1042"/>
    </row>
    <row r="1100" spans="1:5">
      <c r="A1100" s="1039" t="s">
        <v>2267</v>
      </c>
      <c r="B1100" s="1040" t="s">
        <v>2265</v>
      </c>
      <c r="C1100" s="1044">
        <v>45646</v>
      </c>
      <c r="D1100" s="1037">
        <v>45663</v>
      </c>
      <c r="E1100" s="1042"/>
    </row>
    <row r="1101" spans="1:5">
      <c r="A1101" s="1039" t="s">
        <v>2268</v>
      </c>
      <c r="B1101" s="1040" t="s">
        <v>2265</v>
      </c>
      <c r="C1101" s="1044">
        <v>45646</v>
      </c>
      <c r="D1101" s="1037">
        <v>45663</v>
      </c>
      <c r="E1101" s="1042"/>
    </row>
    <row r="1102" spans="1:5">
      <c r="A1102" s="1039" t="s">
        <v>2269</v>
      </c>
      <c r="B1102" s="1040" t="s">
        <v>2270</v>
      </c>
      <c r="C1102" s="1044">
        <v>45646</v>
      </c>
      <c r="D1102" s="1037">
        <v>45663</v>
      </c>
      <c r="E1102" s="1042"/>
    </row>
    <row r="1103" spans="1:5">
      <c r="A1103" s="1039" t="s">
        <v>2271</v>
      </c>
      <c r="B1103" s="1040" t="s">
        <v>2270</v>
      </c>
      <c r="C1103" s="1044">
        <v>45646</v>
      </c>
      <c r="D1103" s="1037">
        <v>45663</v>
      </c>
      <c r="E1103" s="1042"/>
    </row>
    <row r="1104" spans="1:5">
      <c r="A1104" s="1039"/>
      <c r="B1104" s="1040"/>
      <c r="C1104" s="1044"/>
      <c r="D1104" s="1037"/>
      <c r="E1104" s="1042"/>
    </row>
    <row r="1105" spans="1:5">
      <c r="A1105" s="1039"/>
      <c r="B1105" s="1043" t="s">
        <v>2272</v>
      </c>
      <c r="C1105" s="1044"/>
      <c r="D1105" s="1037"/>
      <c r="E1105" s="1042"/>
    </row>
    <row r="1106" spans="1:5">
      <c r="A1106" s="1039" t="s">
        <v>2273</v>
      </c>
      <c r="B1106" s="1040" t="s">
        <v>595</v>
      </c>
      <c r="C1106" s="1044">
        <v>45646</v>
      </c>
      <c r="D1106" s="1037">
        <v>45663</v>
      </c>
      <c r="E1106" s="1042"/>
    </row>
    <row r="1107" spans="1:5">
      <c r="A1107" s="1039" t="s">
        <v>2274</v>
      </c>
      <c r="B1107" s="1040" t="s">
        <v>2275</v>
      </c>
      <c r="C1107" s="1044">
        <v>45645</v>
      </c>
      <c r="D1107" s="1037">
        <v>45663</v>
      </c>
      <c r="E1107" s="1042"/>
    </row>
    <row r="1108" spans="1:5">
      <c r="A1108" s="1039" t="s">
        <v>2276</v>
      </c>
      <c r="B1108" s="1040" t="s">
        <v>2277</v>
      </c>
      <c r="C1108" s="1044">
        <v>45646</v>
      </c>
      <c r="D1108" s="1037">
        <v>45663</v>
      </c>
      <c r="E1108" s="1042"/>
    </row>
    <row r="1109" spans="1:5">
      <c r="A1109" s="1039" t="s">
        <v>2278</v>
      </c>
      <c r="B1109" s="1040" t="s">
        <v>2277</v>
      </c>
      <c r="C1109" s="1044">
        <v>45646</v>
      </c>
      <c r="D1109" s="1037">
        <v>45663</v>
      </c>
      <c r="E1109" s="1042"/>
    </row>
    <row r="1110" spans="1:5">
      <c r="A1110" s="1039" t="s">
        <v>2279</v>
      </c>
      <c r="B1110" s="1040" t="s">
        <v>2280</v>
      </c>
      <c r="C1110" s="1044">
        <v>45645</v>
      </c>
      <c r="D1110" s="1037">
        <v>45663</v>
      </c>
      <c r="E1110" s="1042"/>
    </row>
    <row r="1111" spans="1:5">
      <c r="A1111" s="1039" t="s">
        <v>2281</v>
      </c>
      <c r="B1111" s="1040" t="s">
        <v>2280</v>
      </c>
      <c r="C1111" s="1044">
        <v>45645</v>
      </c>
      <c r="D1111" s="1037">
        <v>45663</v>
      </c>
      <c r="E1111" s="1042"/>
    </row>
    <row r="1112" spans="1:5">
      <c r="A1112" s="1039" t="s">
        <v>2282</v>
      </c>
      <c r="B1112" s="1040" t="s">
        <v>2280</v>
      </c>
      <c r="C1112" s="1044">
        <v>45645</v>
      </c>
      <c r="D1112" s="1037">
        <v>45663</v>
      </c>
      <c r="E1112" s="1042"/>
    </row>
    <row r="1113" spans="1:5">
      <c r="A1113" s="1039" t="s">
        <v>2283</v>
      </c>
      <c r="B1113" s="1040" t="s">
        <v>2280</v>
      </c>
      <c r="C1113" s="1044">
        <v>45645</v>
      </c>
      <c r="D1113" s="1037">
        <v>45663</v>
      </c>
      <c r="E1113" s="1042"/>
    </row>
    <row r="1114" spans="1:5">
      <c r="A1114" s="1039" t="s">
        <v>2284</v>
      </c>
      <c r="B1114" s="1040" t="s">
        <v>2285</v>
      </c>
      <c r="C1114" s="1044">
        <v>45645</v>
      </c>
      <c r="D1114" s="1037">
        <v>45663</v>
      </c>
      <c r="E1114" s="1042"/>
    </row>
    <row r="1115" spans="1:5">
      <c r="A1115" s="1039" t="s">
        <v>2286</v>
      </c>
      <c r="B1115" s="1040" t="s">
        <v>2285</v>
      </c>
      <c r="C1115" s="1044">
        <v>45645</v>
      </c>
      <c r="D1115" s="1037">
        <v>45663</v>
      </c>
      <c r="E1115" s="1042"/>
    </row>
    <row r="1116" spans="1:5">
      <c r="A1116" s="1039" t="s">
        <v>2287</v>
      </c>
      <c r="B1116" s="1040" t="s">
        <v>2285</v>
      </c>
      <c r="C1116" s="1044">
        <v>45645</v>
      </c>
      <c r="D1116" s="1037">
        <v>45663</v>
      </c>
      <c r="E1116" s="1042"/>
    </row>
    <row r="1117" spans="1:5">
      <c r="A1117" s="1039" t="s">
        <v>2288</v>
      </c>
      <c r="B1117" s="1040" t="s">
        <v>2285</v>
      </c>
      <c r="C1117" s="1044">
        <v>45645</v>
      </c>
      <c r="D1117" s="1037">
        <v>45663</v>
      </c>
      <c r="E1117" s="1042"/>
    </row>
    <row r="1118" spans="1:5">
      <c r="A1118" s="1039" t="s">
        <v>2289</v>
      </c>
      <c r="B1118" s="1040" t="s">
        <v>2285</v>
      </c>
      <c r="C1118" s="1044">
        <v>45645</v>
      </c>
      <c r="D1118" s="1037">
        <v>45663</v>
      </c>
      <c r="E1118" s="1042"/>
    </row>
    <row r="1119" spans="1:5">
      <c r="A1119" s="1039" t="s">
        <v>2290</v>
      </c>
      <c r="B1119" s="1040" t="s">
        <v>2277</v>
      </c>
      <c r="C1119" s="1044">
        <v>45646</v>
      </c>
      <c r="D1119" s="1037">
        <v>45663</v>
      </c>
      <c r="E1119" s="1042"/>
    </row>
    <row r="1120" spans="1:5">
      <c r="A1120" s="1039" t="s">
        <v>319</v>
      </c>
      <c r="B1120" s="1040" t="s">
        <v>2277</v>
      </c>
      <c r="C1120" s="1044">
        <v>45646</v>
      </c>
      <c r="D1120" s="1037">
        <v>45663</v>
      </c>
      <c r="E1120" s="1042"/>
    </row>
    <row r="1121" spans="1:5">
      <c r="A1121" s="1039" t="s">
        <v>2291</v>
      </c>
      <c r="B1121" s="1040" t="s">
        <v>2277</v>
      </c>
      <c r="C1121" s="1044">
        <v>45646</v>
      </c>
      <c r="D1121" s="1037">
        <v>45663</v>
      </c>
      <c r="E1121" s="1042"/>
    </row>
    <row r="1122" spans="1:5">
      <c r="A1122" s="1039" t="s">
        <v>2292</v>
      </c>
      <c r="B1122" s="1040" t="s">
        <v>2277</v>
      </c>
      <c r="C1122" s="1044">
        <v>45646</v>
      </c>
      <c r="D1122" s="1037">
        <v>45663</v>
      </c>
      <c r="E1122" s="1042"/>
    </row>
    <row r="1123" spans="1:5">
      <c r="A1123" s="1039" t="s">
        <v>2293</v>
      </c>
      <c r="B1123" s="1040" t="s">
        <v>2277</v>
      </c>
      <c r="C1123" s="1044">
        <v>45646</v>
      </c>
      <c r="D1123" s="1037">
        <v>45663</v>
      </c>
      <c r="E1123" s="1042"/>
    </row>
    <row r="1124" spans="1:5">
      <c r="A1124" s="1039" t="s">
        <v>2294</v>
      </c>
      <c r="B1124" s="1040" t="s">
        <v>2277</v>
      </c>
      <c r="C1124" s="1044">
        <v>45646</v>
      </c>
      <c r="D1124" s="1037">
        <v>45663</v>
      </c>
      <c r="E1124" s="1042"/>
    </row>
    <row r="1125" spans="1:5">
      <c r="A1125" s="1039" t="s">
        <v>2295</v>
      </c>
      <c r="B1125" s="1040" t="s">
        <v>2277</v>
      </c>
      <c r="C1125" s="1044">
        <v>45646</v>
      </c>
      <c r="D1125" s="1037">
        <v>45663</v>
      </c>
      <c r="E1125" s="1042"/>
    </row>
    <row r="1126" spans="1:5">
      <c r="A1126" s="1039" t="s">
        <v>2296</v>
      </c>
      <c r="B1126" s="1040" t="s">
        <v>2277</v>
      </c>
      <c r="C1126" s="1044">
        <v>45646</v>
      </c>
      <c r="D1126" s="1037">
        <v>45663</v>
      </c>
      <c r="E1126" s="1042"/>
    </row>
    <row r="1127" spans="1:5">
      <c r="A1127" s="1039" t="s">
        <v>2297</v>
      </c>
      <c r="B1127" s="1040" t="s">
        <v>2277</v>
      </c>
      <c r="C1127" s="1044">
        <v>45646</v>
      </c>
      <c r="D1127" s="1037">
        <v>45663</v>
      </c>
      <c r="E1127" s="1042"/>
    </row>
    <row r="1128" spans="1:5">
      <c r="A1128" s="1039" t="s">
        <v>2298</v>
      </c>
      <c r="B1128" s="1040" t="s">
        <v>2277</v>
      </c>
      <c r="C1128" s="1044">
        <v>45646</v>
      </c>
      <c r="D1128" s="1037">
        <v>45663</v>
      </c>
      <c r="E1128" s="1042"/>
    </row>
    <row r="1129" spans="1:5">
      <c r="A1129" s="1039" t="s">
        <v>2299</v>
      </c>
      <c r="B1129" s="1040" t="s">
        <v>2300</v>
      </c>
      <c r="C1129" s="1044">
        <v>45645</v>
      </c>
      <c r="D1129" s="1037">
        <v>45663</v>
      </c>
      <c r="E1129" s="1042"/>
    </row>
    <row r="1130" spans="1:5">
      <c r="A1130" s="1039" t="s">
        <v>2301</v>
      </c>
      <c r="B1130" s="1040" t="s">
        <v>2302</v>
      </c>
      <c r="C1130" s="1044">
        <v>45645</v>
      </c>
      <c r="D1130" s="1037">
        <v>45663</v>
      </c>
      <c r="E1130" s="1042"/>
    </row>
    <row r="1131" spans="1:5">
      <c r="A1131" s="1039" t="s">
        <v>2303</v>
      </c>
      <c r="B1131" s="1040" t="s">
        <v>2302</v>
      </c>
      <c r="C1131" s="1044">
        <v>45645</v>
      </c>
      <c r="D1131" s="1037">
        <v>45663</v>
      </c>
      <c r="E1131" s="1042"/>
    </row>
    <row r="1132" spans="1:5">
      <c r="A1132" s="1039" t="s">
        <v>2304</v>
      </c>
      <c r="B1132" s="1040" t="s">
        <v>2302</v>
      </c>
      <c r="C1132" s="1044">
        <v>45645</v>
      </c>
      <c r="D1132" s="1037">
        <v>45663</v>
      </c>
      <c r="E1132" s="1042"/>
    </row>
    <row r="1133" spans="1:5">
      <c r="A1133" s="1039" t="s">
        <v>2305</v>
      </c>
      <c r="B1133" s="1040" t="s">
        <v>2302</v>
      </c>
      <c r="C1133" s="1044">
        <v>45645</v>
      </c>
      <c r="D1133" s="1037">
        <v>45663</v>
      </c>
      <c r="E1133" s="1042"/>
    </row>
    <row r="1134" spans="1:5">
      <c r="A1134" s="1039" t="s">
        <v>2306</v>
      </c>
      <c r="B1134" s="1040" t="s">
        <v>2307</v>
      </c>
      <c r="C1134" s="1044">
        <v>45645</v>
      </c>
      <c r="D1134" s="1037">
        <v>45663</v>
      </c>
      <c r="E1134" s="1042"/>
    </row>
    <row r="1135" spans="1:5">
      <c r="A1135" s="1039"/>
      <c r="B1135" s="1040"/>
      <c r="C1135" s="1044"/>
      <c r="D1135" s="1037"/>
      <c r="E1135" s="1042"/>
    </row>
    <row r="1136" spans="1:5">
      <c r="A1136" s="1039" t="s">
        <v>2308</v>
      </c>
      <c r="B1136" s="1040" t="s">
        <v>2309</v>
      </c>
      <c r="C1136" s="1044">
        <v>45645</v>
      </c>
      <c r="D1136" s="1037">
        <v>45663</v>
      </c>
      <c r="E1136" s="1042"/>
    </row>
    <row r="1137" spans="1:5">
      <c r="A1137" s="1039" t="s">
        <v>2310</v>
      </c>
      <c r="B1137" s="1040" t="s">
        <v>2311</v>
      </c>
      <c r="C1137" s="1044">
        <v>45645</v>
      </c>
      <c r="D1137" s="1037">
        <v>45663</v>
      </c>
      <c r="E1137" s="1042"/>
    </row>
    <row r="1138" spans="1:5">
      <c r="A1138" s="1039" t="s">
        <v>2312</v>
      </c>
      <c r="B1138" s="1040" t="s">
        <v>2313</v>
      </c>
      <c r="C1138" s="1044">
        <v>45645</v>
      </c>
      <c r="D1138" s="1037">
        <v>45663</v>
      </c>
      <c r="E1138" s="1042"/>
    </row>
    <row r="1139" spans="1:5">
      <c r="A1139" s="1039" t="s">
        <v>2314</v>
      </c>
      <c r="B1139" s="1040" t="s">
        <v>2313</v>
      </c>
      <c r="C1139" s="1044">
        <v>45645</v>
      </c>
      <c r="D1139" s="1037">
        <v>45663</v>
      </c>
      <c r="E1139" s="1042"/>
    </row>
    <row r="1140" spans="1:5">
      <c r="A1140" s="1039" t="s">
        <v>2315</v>
      </c>
      <c r="B1140" s="1040" t="s">
        <v>2313</v>
      </c>
      <c r="C1140" s="1044">
        <v>45645</v>
      </c>
      <c r="D1140" s="1037">
        <v>45663</v>
      </c>
      <c r="E1140" s="1042"/>
    </row>
    <row r="1141" spans="1:5">
      <c r="A1141" s="1039" t="s">
        <v>2316</v>
      </c>
      <c r="B1141" s="1040" t="s">
        <v>2313</v>
      </c>
      <c r="C1141" s="1044">
        <v>45645</v>
      </c>
      <c r="D1141" s="1037">
        <v>45663</v>
      </c>
      <c r="E1141" s="1042"/>
    </row>
    <row r="1142" spans="1:5">
      <c r="A1142" s="1039" t="s">
        <v>2317</v>
      </c>
      <c r="B1142" s="1040" t="s">
        <v>2313</v>
      </c>
      <c r="C1142" s="1044">
        <v>45645</v>
      </c>
      <c r="D1142" s="1037">
        <v>45663</v>
      </c>
      <c r="E1142" s="1042"/>
    </row>
    <row r="1143" spans="1:5">
      <c r="A1143" s="1039" t="s">
        <v>2318</v>
      </c>
      <c r="B1143" s="1040" t="s">
        <v>2313</v>
      </c>
      <c r="C1143" s="1044">
        <v>45645</v>
      </c>
      <c r="D1143" s="1037">
        <v>45663</v>
      </c>
      <c r="E1143" s="1042"/>
    </row>
    <row r="1144" spans="1:5">
      <c r="A1144" s="1039" t="s">
        <v>2319</v>
      </c>
      <c r="B1144" s="1040" t="s">
        <v>2313</v>
      </c>
      <c r="C1144" s="1044">
        <v>45645</v>
      </c>
      <c r="D1144" s="1037">
        <v>45663</v>
      </c>
      <c r="E1144" s="1042"/>
    </row>
    <row r="1145" spans="1:5">
      <c r="A1145" s="1039" t="s">
        <v>2320</v>
      </c>
      <c r="B1145" s="1040" t="s">
        <v>2313</v>
      </c>
      <c r="C1145" s="1044">
        <v>45645</v>
      </c>
      <c r="D1145" s="1037">
        <v>45663</v>
      </c>
      <c r="E1145" s="1042"/>
    </row>
    <row r="1146" spans="1:5">
      <c r="A1146" s="1039" t="s">
        <v>2321</v>
      </c>
      <c r="B1146" s="1040" t="s">
        <v>2313</v>
      </c>
      <c r="C1146" s="1044">
        <v>45645</v>
      </c>
      <c r="D1146" s="1037">
        <v>45663</v>
      </c>
      <c r="E1146" s="1042"/>
    </row>
    <row r="1147" spans="1:5">
      <c r="A1147" s="1039" t="s">
        <v>2322</v>
      </c>
      <c r="B1147" s="1040" t="s">
        <v>2313</v>
      </c>
      <c r="C1147" s="1044">
        <v>45645</v>
      </c>
      <c r="D1147" s="1037">
        <v>45663</v>
      </c>
      <c r="E1147" s="1042"/>
    </row>
    <row r="1148" spans="1:5">
      <c r="A1148" s="1039" t="s">
        <v>2323</v>
      </c>
      <c r="B1148" s="1040" t="s">
        <v>2313</v>
      </c>
      <c r="C1148" s="1044">
        <v>45645</v>
      </c>
      <c r="D1148" s="1037">
        <v>45663</v>
      </c>
      <c r="E1148" s="1042"/>
    </row>
    <row r="1149" spans="1:5">
      <c r="A1149" s="1039" t="s">
        <v>2324</v>
      </c>
      <c r="B1149" s="1040" t="s">
        <v>2313</v>
      </c>
      <c r="C1149" s="1044">
        <v>45645</v>
      </c>
      <c r="D1149" s="1037">
        <v>45663</v>
      </c>
      <c r="E1149" s="1042"/>
    </row>
    <row r="1150" spans="1:5">
      <c r="A1150" s="1039" t="s">
        <v>2325</v>
      </c>
      <c r="B1150" s="1040" t="s">
        <v>2313</v>
      </c>
      <c r="C1150" s="1044">
        <v>45645</v>
      </c>
      <c r="D1150" s="1037">
        <v>45663</v>
      </c>
      <c r="E1150" s="1042"/>
    </row>
    <row r="1151" spans="1:5">
      <c r="A1151" s="1039" t="s">
        <v>2326</v>
      </c>
      <c r="B1151" s="1040" t="s">
        <v>2313</v>
      </c>
      <c r="C1151" s="1044">
        <v>45645</v>
      </c>
      <c r="D1151" s="1037">
        <v>45663</v>
      </c>
      <c r="E1151" s="1042"/>
    </row>
    <row r="1152" spans="1:5">
      <c r="A1152" s="1039" t="s">
        <v>2327</v>
      </c>
      <c r="B1152" s="1040" t="s">
        <v>2313</v>
      </c>
      <c r="C1152" s="1044">
        <v>45645</v>
      </c>
      <c r="D1152" s="1037">
        <v>45663</v>
      </c>
      <c r="E1152" s="1042"/>
    </row>
    <row r="1153" spans="1:5">
      <c r="A1153" s="1039" t="s">
        <v>2328</v>
      </c>
      <c r="B1153" s="1040" t="s">
        <v>2313</v>
      </c>
      <c r="C1153" s="1044">
        <v>45645</v>
      </c>
      <c r="D1153" s="1037">
        <v>45663</v>
      </c>
      <c r="E1153" s="1042"/>
    </row>
    <row r="1154" spans="1:5">
      <c r="A1154" s="1039" t="s">
        <v>2329</v>
      </c>
      <c r="B1154" s="1040" t="s">
        <v>2330</v>
      </c>
      <c r="C1154" s="1044">
        <v>45645</v>
      </c>
      <c r="D1154" s="1037">
        <v>45663</v>
      </c>
      <c r="E1154" s="1042"/>
    </row>
    <row r="1155" spans="1:5">
      <c r="A1155" s="1039" t="s">
        <v>2331</v>
      </c>
      <c r="B1155" s="1040" t="s">
        <v>2330</v>
      </c>
      <c r="C1155" s="1044">
        <v>45645</v>
      </c>
      <c r="D1155" s="1037">
        <v>45663</v>
      </c>
      <c r="E1155" s="1042"/>
    </row>
    <row r="1156" spans="1:5">
      <c r="A1156" s="1039"/>
      <c r="B1156" s="1040"/>
      <c r="C1156" s="1044"/>
      <c r="D1156" s="1037"/>
      <c r="E1156" s="1042"/>
    </row>
    <row r="1157" spans="1:5">
      <c r="A1157" s="1039" t="s">
        <v>2332</v>
      </c>
      <c r="B1157" s="1040" t="s">
        <v>2309</v>
      </c>
      <c r="C1157" s="1044">
        <v>45645</v>
      </c>
      <c r="D1157" s="1037">
        <v>45663</v>
      </c>
      <c r="E1157" s="1042"/>
    </row>
    <row r="1158" spans="1:5">
      <c r="A1158" s="1039" t="s">
        <v>2333</v>
      </c>
      <c r="B1158" s="1040" t="s">
        <v>2334</v>
      </c>
      <c r="C1158" s="1044">
        <v>45645</v>
      </c>
      <c r="D1158" s="1037">
        <v>45663</v>
      </c>
      <c r="E1158" s="1042"/>
    </row>
    <row r="1159" spans="1:5">
      <c r="A1159" s="1039" t="s">
        <v>2335</v>
      </c>
      <c r="B1159" s="1040" t="s">
        <v>2334</v>
      </c>
      <c r="C1159" s="1044">
        <v>45645</v>
      </c>
      <c r="D1159" s="1037">
        <v>45663</v>
      </c>
      <c r="E1159" s="1042"/>
    </row>
    <row r="1160" spans="1:5">
      <c r="A1160" s="1039" t="s">
        <v>2336</v>
      </c>
      <c r="B1160" s="1040" t="s">
        <v>2334</v>
      </c>
      <c r="C1160" s="1044">
        <v>45645</v>
      </c>
      <c r="D1160" s="1037">
        <v>45663</v>
      </c>
      <c r="E1160" s="1042"/>
    </row>
    <row r="1161" spans="1:5">
      <c r="A1161" s="1039" t="s">
        <v>2337</v>
      </c>
      <c r="B1161" s="1040" t="s">
        <v>2334</v>
      </c>
      <c r="C1161" s="1044">
        <v>45645</v>
      </c>
      <c r="D1161" s="1037">
        <v>45663</v>
      </c>
      <c r="E1161" s="1042"/>
    </row>
    <row r="1162" spans="1:5">
      <c r="A1162" s="1039" t="s">
        <v>316</v>
      </c>
      <c r="B1162" s="1040" t="s">
        <v>2334</v>
      </c>
      <c r="C1162" s="1044">
        <v>45645</v>
      </c>
      <c r="D1162" s="1037">
        <v>45663</v>
      </c>
      <c r="E1162" s="1042"/>
    </row>
    <row r="1163" spans="1:5">
      <c r="A1163" s="1039" t="s">
        <v>2338</v>
      </c>
      <c r="B1163" s="1040" t="s">
        <v>2334</v>
      </c>
      <c r="C1163" s="1044">
        <v>45645</v>
      </c>
      <c r="D1163" s="1037">
        <v>45663</v>
      </c>
      <c r="E1163" s="1042"/>
    </row>
    <row r="1164" spans="1:5">
      <c r="A1164" s="1039" t="s">
        <v>2339</v>
      </c>
      <c r="B1164" s="1040" t="s">
        <v>2334</v>
      </c>
      <c r="C1164" s="1044">
        <v>45645</v>
      </c>
      <c r="D1164" s="1037">
        <v>45663</v>
      </c>
      <c r="E1164" s="1042"/>
    </row>
    <row r="1165" spans="1:5">
      <c r="A1165" s="1039" t="s">
        <v>2340</v>
      </c>
      <c r="B1165" s="1040" t="s">
        <v>2334</v>
      </c>
      <c r="C1165" s="1044">
        <v>45645</v>
      </c>
      <c r="D1165" s="1037">
        <v>45663</v>
      </c>
      <c r="E1165" s="1042"/>
    </row>
    <row r="1166" spans="1:5">
      <c r="A1166" s="1039" t="s">
        <v>2341</v>
      </c>
      <c r="B1166" s="1040" t="s">
        <v>2334</v>
      </c>
      <c r="C1166" s="1044">
        <v>45645</v>
      </c>
      <c r="D1166" s="1037">
        <v>45663</v>
      </c>
      <c r="E1166" s="1042"/>
    </row>
    <row r="1167" spans="1:5">
      <c r="A1167" s="1039" t="s">
        <v>2342</v>
      </c>
      <c r="B1167" s="1040" t="s">
        <v>2334</v>
      </c>
      <c r="C1167" s="1044">
        <v>45645</v>
      </c>
      <c r="D1167" s="1037">
        <v>45663</v>
      </c>
      <c r="E1167" s="1042"/>
    </row>
    <row r="1168" spans="1:5">
      <c r="A1168" s="1039" t="s">
        <v>2343</v>
      </c>
      <c r="B1168" s="1040" t="s">
        <v>2334</v>
      </c>
      <c r="C1168" s="1044">
        <v>45645</v>
      </c>
      <c r="D1168" s="1037">
        <v>45663</v>
      </c>
      <c r="E1168" s="1042"/>
    </row>
    <row r="1169" spans="1:5">
      <c r="A1169" s="1039" t="s">
        <v>2344</v>
      </c>
      <c r="B1169" s="1040" t="s">
        <v>2334</v>
      </c>
      <c r="C1169" s="1044">
        <v>45645</v>
      </c>
      <c r="D1169" s="1037">
        <v>45663</v>
      </c>
      <c r="E1169" s="1042"/>
    </row>
    <row r="1170" spans="1:5">
      <c r="A1170" s="1039" t="s">
        <v>2345</v>
      </c>
      <c r="B1170" s="1040" t="s">
        <v>2334</v>
      </c>
      <c r="C1170" s="1044">
        <v>45645</v>
      </c>
      <c r="D1170" s="1037">
        <v>45663</v>
      </c>
      <c r="E1170" s="1042"/>
    </row>
    <row r="1171" spans="1:5">
      <c r="A1171" s="1039" t="s">
        <v>2346</v>
      </c>
      <c r="B1171" s="1040" t="s">
        <v>2334</v>
      </c>
      <c r="C1171" s="1044">
        <v>45645</v>
      </c>
      <c r="D1171" s="1037">
        <v>45663</v>
      </c>
      <c r="E1171" s="1042"/>
    </row>
    <row r="1172" spans="1:5">
      <c r="A1172" s="1039" t="s">
        <v>2347</v>
      </c>
      <c r="B1172" s="1040" t="s">
        <v>2334</v>
      </c>
      <c r="C1172" s="1044">
        <v>45645</v>
      </c>
      <c r="D1172" s="1037">
        <v>45663</v>
      </c>
      <c r="E1172" s="1042"/>
    </row>
    <row r="1173" spans="1:5">
      <c r="A1173" s="1039" t="s">
        <v>2348</v>
      </c>
      <c r="B1173" s="1040" t="s">
        <v>2334</v>
      </c>
      <c r="C1173" s="1044">
        <v>45645</v>
      </c>
      <c r="D1173" s="1037">
        <v>45663</v>
      </c>
      <c r="E1173" s="1042"/>
    </row>
    <row r="1174" spans="1:5">
      <c r="A1174" s="1039" t="s">
        <v>230</v>
      </c>
      <c r="B1174" s="1040" t="s">
        <v>2349</v>
      </c>
      <c r="C1174" s="1044">
        <v>45645</v>
      </c>
      <c r="D1174" s="1037">
        <v>45663</v>
      </c>
      <c r="E1174" s="1042"/>
    </row>
    <row r="1175" spans="1:5">
      <c r="A1175" s="1039" t="s">
        <v>2350</v>
      </c>
      <c r="B1175" s="1040" t="s">
        <v>2351</v>
      </c>
      <c r="C1175" s="1044">
        <v>45645</v>
      </c>
      <c r="D1175" s="1037">
        <v>45663</v>
      </c>
      <c r="E1175" s="1042"/>
    </row>
    <row r="1176" spans="1:5">
      <c r="A1176" s="1039"/>
      <c r="B1176" s="1040"/>
      <c r="C1176" s="1044"/>
      <c r="D1176" s="1037"/>
      <c r="E1176" s="1042"/>
    </row>
    <row r="1177" spans="1:5">
      <c r="A1177" s="1039"/>
      <c r="B1177" s="1030" t="s">
        <v>2352</v>
      </c>
      <c r="C1177" s="1044"/>
      <c r="D1177" s="1037"/>
      <c r="E1177" s="1042"/>
    </row>
    <row r="1178" spans="1:5">
      <c r="A1178" s="1039"/>
      <c r="B1178" s="1033" t="s">
        <v>593</v>
      </c>
      <c r="C1178" s="1044"/>
      <c r="D1178" s="1037"/>
      <c r="E1178" s="1042"/>
    </row>
    <row r="1179" spans="1:5">
      <c r="A1179" s="1032" t="s">
        <v>594</v>
      </c>
      <c r="B1179" s="1035" t="s">
        <v>595</v>
      </c>
      <c r="C1179" s="1036">
        <v>45646</v>
      </c>
      <c r="D1179" s="1037">
        <v>45708</v>
      </c>
      <c r="E1179" s="1042"/>
    </row>
    <row r="1180" spans="1:5">
      <c r="A1180" s="1039" t="s">
        <v>596</v>
      </c>
      <c r="B1180" s="1035" t="s">
        <v>597</v>
      </c>
      <c r="C1180" s="1036">
        <v>45646</v>
      </c>
      <c r="D1180" s="1037">
        <v>45708</v>
      </c>
      <c r="E1180" s="1042"/>
    </row>
    <row r="1181" spans="1:5">
      <c r="A1181" s="1039" t="s">
        <v>598</v>
      </c>
      <c r="B1181" s="1035" t="s">
        <v>600</v>
      </c>
      <c r="C1181" s="1036">
        <v>45646</v>
      </c>
      <c r="D1181" s="1037">
        <v>45708</v>
      </c>
      <c r="E1181" s="1042"/>
    </row>
    <row r="1182" spans="1:5">
      <c r="A1182" s="1039" t="s">
        <v>605</v>
      </c>
      <c r="B1182" s="1035" t="s">
        <v>2353</v>
      </c>
      <c r="C1182" s="1036">
        <v>45646</v>
      </c>
      <c r="D1182" s="1037">
        <v>45708</v>
      </c>
      <c r="E1182" s="1042"/>
    </row>
    <row r="1183" spans="1:5">
      <c r="A1183" s="1039" t="s">
        <v>609</v>
      </c>
      <c r="B1183" s="1035" t="s">
        <v>610</v>
      </c>
      <c r="C1183" s="1036">
        <v>45646</v>
      </c>
      <c r="D1183" s="1037">
        <v>45708</v>
      </c>
      <c r="E1183" s="1042"/>
    </row>
    <row r="1184" spans="1:5">
      <c r="A1184" s="1039" t="s">
        <v>611</v>
      </c>
      <c r="B1184" s="1040" t="s">
        <v>610</v>
      </c>
      <c r="C1184" s="1036">
        <v>45646</v>
      </c>
      <c r="D1184" s="1037">
        <v>45708</v>
      </c>
      <c r="E1184" s="1042"/>
    </row>
    <row r="1185" spans="1:5">
      <c r="A1185" s="1039" t="s">
        <v>612</v>
      </c>
      <c r="B1185" s="1040" t="s">
        <v>2354</v>
      </c>
      <c r="C1185" s="1036">
        <v>45646</v>
      </c>
      <c r="D1185" s="1037">
        <v>45708</v>
      </c>
      <c r="E1185" s="1042"/>
    </row>
    <row r="1186" spans="1:5">
      <c r="A1186" s="1039" t="s">
        <v>626</v>
      </c>
      <c r="B1186" s="1040" t="s">
        <v>2355</v>
      </c>
      <c r="C1186" s="1036">
        <v>45646</v>
      </c>
      <c r="D1186" s="1037">
        <v>45708</v>
      </c>
      <c r="E1186" s="1042"/>
    </row>
    <row r="1187" spans="1:5">
      <c r="A1187" s="1039" t="s">
        <v>636</v>
      </c>
      <c r="B1187" s="1040" t="s">
        <v>2356</v>
      </c>
      <c r="C1187" s="1036">
        <v>45646</v>
      </c>
      <c r="D1187" s="1037">
        <v>45708</v>
      </c>
      <c r="E1187" s="1042"/>
    </row>
    <row r="1188" spans="1:5">
      <c r="A1188" s="1039" t="s">
        <v>638</v>
      </c>
      <c r="B1188" s="1040" t="s">
        <v>639</v>
      </c>
      <c r="C1188" s="1036">
        <v>45646</v>
      </c>
      <c r="D1188" s="1037">
        <v>45708</v>
      </c>
      <c r="E1188" s="1045">
        <v>45723</v>
      </c>
    </row>
    <row r="1189" spans="1:5">
      <c r="A1189" s="1039" t="s">
        <v>640</v>
      </c>
      <c r="B1189" s="1040" t="s">
        <v>2357</v>
      </c>
      <c r="C1189" s="1036">
        <v>45646</v>
      </c>
      <c r="D1189" s="1037">
        <v>45708</v>
      </c>
      <c r="E1189" s="1045">
        <v>45723</v>
      </c>
    </row>
    <row r="1190" spans="1:5">
      <c r="A1190" s="1039" t="s">
        <v>2358</v>
      </c>
      <c r="B1190" s="1040" t="s">
        <v>2359</v>
      </c>
      <c r="C1190" s="1036">
        <v>45646</v>
      </c>
      <c r="D1190" s="1037">
        <v>45708</v>
      </c>
      <c r="E1190" s="1045">
        <v>45723</v>
      </c>
    </row>
    <row r="1191" spans="1:5">
      <c r="A1191" s="1039" t="s">
        <v>657</v>
      </c>
      <c r="B1191" s="1040" t="s">
        <v>658</v>
      </c>
      <c r="C1191" s="1036">
        <v>45646</v>
      </c>
      <c r="D1191" s="1037">
        <v>45708</v>
      </c>
      <c r="E1191" s="1042"/>
    </row>
    <row r="1192" spans="1:5">
      <c r="A1192" s="1039" t="s">
        <v>659</v>
      </c>
      <c r="B1192" s="1040" t="s">
        <v>660</v>
      </c>
      <c r="C1192" s="1036">
        <v>45646</v>
      </c>
      <c r="D1192" s="1037">
        <v>45708</v>
      </c>
      <c r="E1192" s="1045">
        <v>45723</v>
      </c>
    </row>
    <row r="1193" spans="1:5">
      <c r="A1193" s="1039" t="s">
        <v>303</v>
      </c>
      <c r="B1193" s="1040" t="s">
        <v>673</v>
      </c>
      <c r="C1193" s="1036">
        <v>45646</v>
      </c>
      <c r="D1193" s="1037">
        <v>45708</v>
      </c>
      <c r="E1193" s="1045">
        <v>45723</v>
      </c>
    </row>
    <row r="1194" spans="1:5">
      <c r="A1194" s="1039" t="s">
        <v>674</v>
      </c>
      <c r="B1194" s="1040" t="s">
        <v>2360</v>
      </c>
      <c r="C1194" s="1036">
        <v>45646</v>
      </c>
      <c r="D1194" s="1037">
        <v>45708</v>
      </c>
      <c r="E1194" s="1042"/>
    </row>
    <row r="1195" spans="1:5">
      <c r="A1195" s="1039" t="s">
        <v>678</v>
      </c>
      <c r="B1195" s="1040" t="s">
        <v>2361</v>
      </c>
      <c r="C1195" s="1036">
        <v>45646</v>
      </c>
      <c r="D1195" s="1037">
        <v>45708</v>
      </c>
      <c r="E1195" s="1042"/>
    </row>
    <row r="1196" spans="1:5">
      <c r="A1196" s="1039" t="s">
        <v>680</v>
      </c>
      <c r="B1196" s="1040" t="s">
        <v>2362</v>
      </c>
      <c r="C1196" s="1036">
        <v>45646</v>
      </c>
      <c r="D1196" s="1037">
        <v>45708</v>
      </c>
      <c r="E1196" s="1042"/>
    </row>
    <row r="1197" spans="1:5">
      <c r="A1197" s="1039" t="s">
        <v>682</v>
      </c>
      <c r="B1197" s="1040" t="s">
        <v>2363</v>
      </c>
      <c r="C1197" s="1036">
        <v>45646</v>
      </c>
      <c r="D1197" s="1037">
        <v>45708</v>
      </c>
      <c r="E1197" s="1042"/>
    </row>
    <row r="1198" spans="1:5">
      <c r="A1198" s="1039" t="s">
        <v>684</v>
      </c>
      <c r="B1198" s="1040" t="s">
        <v>2364</v>
      </c>
      <c r="C1198" s="1036">
        <v>45646</v>
      </c>
      <c r="D1198" s="1037">
        <v>45708</v>
      </c>
      <c r="E1198" s="1042"/>
    </row>
    <row r="1199" spans="1:5">
      <c r="A1199" s="1039" t="s">
        <v>2365</v>
      </c>
      <c r="B1199" s="1040" t="s">
        <v>792</v>
      </c>
      <c r="C1199" s="1036">
        <v>45646</v>
      </c>
      <c r="D1199" s="1037">
        <v>45708</v>
      </c>
      <c r="E1199" s="1042"/>
    </row>
    <row r="1200" spans="1:5">
      <c r="A1200" s="1039" t="s">
        <v>796</v>
      </c>
      <c r="B1200" s="1040" t="s">
        <v>2366</v>
      </c>
      <c r="C1200" s="1036">
        <v>45646</v>
      </c>
      <c r="D1200" s="1037">
        <v>45708</v>
      </c>
      <c r="E1200" s="1045">
        <v>46819</v>
      </c>
    </row>
    <row r="1201" spans="1:5">
      <c r="A1201" s="1039" t="s">
        <v>807</v>
      </c>
      <c r="B1201" s="1040" t="s">
        <v>2367</v>
      </c>
      <c r="C1201" s="1036">
        <v>45646</v>
      </c>
      <c r="D1201" s="1037">
        <v>45708</v>
      </c>
      <c r="E1201" s="1042"/>
    </row>
    <row r="1202" spans="1:5">
      <c r="A1202" s="1039" t="s">
        <v>813</v>
      </c>
      <c r="B1202" s="1040" t="s">
        <v>2368</v>
      </c>
      <c r="C1202" s="1036">
        <v>45646</v>
      </c>
      <c r="D1202" s="1037">
        <v>45708</v>
      </c>
      <c r="E1202" s="1045">
        <v>45723</v>
      </c>
    </row>
    <row r="1203" spans="1:5">
      <c r="A1203" s="1039" t="s">
        <v>815</v>
      </c>
      <c r="B1203" s="1040" t="s">
        <v>2368</v>
      </c>
      <c r="C1203" s="1036">
        <v>45646</v>
      </c>
      <c r="D1203" s="1037">
        <v>45708</v>
      </c>
      <c r="E1203" s="1042"/>
    </row>
    <row r="1204" spans="1:5">
      <c r="A1204" s="1039" t="s">
        <v>565</v>
      </c>
      <c r="B1204" s="1040" t="s">
        <v>2369</v>
      </c>
      <c r="C1204" s="1036">
        <v>45646</v>
      </c>
      <c r="D1204" s="1037">
        <v>45708</v>
      </c>
      <c r="E1204" s="1045">
        <v>45723</v>
      </c>
    </row>
    <row r="1205" spans="1:5">
      <c r="A1205" s="1039" t="s">
        <v>2370</v>
      </c>
      <c r="B1205" s="1040" t="s">
        <v>2371</v>
      </c>
      <c r="C1205" s="1036">
        <v>45646</v>
      </c>
      <c r="D1205" s="1037">
        <v>45708</v>
      </c>
      <c r="E1205" s="1045">
        <v>45723</v>
      </c>
    </row>
    <row r="1206" spans="1:5">
      <c r="A1206" s="1039" t="s">
        <v>947</v>
      </c>
      <c r="B1206" s="1035" t="s">
        <v>2372</v>
      </c>
      <c r="C1206" s="1036">
        <v>45646</v>
      </c>
      <c r="D1206" s="1037">
        <v>45708</v>
      </c>
      <c r="E1206" s="1042"/>
    </row>
    <row r="1207" spans="1:5">
      <c r="A1207" s="1039" t="s">
        <v>949</v>
      </c>
      <c r="B1207" s="1035" t="s">
        <v>2372</v>
      </c>
      <c r="C1207" s="1036">
        <v>45646</v>
      </c>
      <c r="D1207" s="1037">
        <v>45708</v>
      </c>
      <c r="E1207" s="1045">
        <v>45723</v>
      </c>
    </row>
    <row r="1208" spans="1:5">
      <c r="A1208" s="1039" t="s">
        <v>955</v>
      </c>
      <c r="B1208" s="1035" t="s">
        <v>2373</v>
      </c>
      <c r="C1208" s="1036">
        <v>45646</v>
      </c>
      <c r="D1208" s="1037">
        <v>45708</v>
      </c>
      <c r="E1208" s="1045"/>
    </row>
    <row r="1209" spans="1:5">
      <c r="A1209" s="1039"/>
      <c r="B1209" s="1040"/>
      <c r="C1209" s="1040"/>
      <c r="D1209" s="1034"/>
      <c r="E1209" s="1042"/>
    </row>
    <row r="1210" spans="1:5">
      <c r="A1210" s="1039"/>
      <c r="B1210" s="1043" t="s">
        <v>1297</v>
      </c>
      <c r="C1210" s="1040"/>
      <c r="D1210" s="1034"/>
      <c r="E1210" s="1042"/>
    </row>
    <row r="1211" spans="1:5">
      <c r="A1211" s="1039" t="s">
        <v>202</v>
      </c>
      <c r="B1211" s="1040" t="s">
        <v>2374</v>
      </c>
      <c r="C1211" s="1036">
        <v>45639</v>
      </c>
      <c r="D1211" s="1037">
        <v>45663</v>
      </c>
      <c r="E1211" s="1042"/>
    </row>
    <row r="1212" spans="1:5">
      <c r="A1212" s="1039" t="s">
        <v>2375</v>
      </c>
      <c r="B1212" s="1040" t="s">
        <v>2376</v>
      </c>
      <c r="C1212" s="1036">
        <v>45639</v>
      </c>
      <c r="D1212" s="1037">
        <v>45663</v>
      </c>
      <c r="E1212" s="1042"/>
    </row>
    <row r="1213" spans="1:5">
      <c r="A1213" s="1039" t="s">
        <v>1315</v>
      </c>
      <c r="B1213" s="1040" t="s">
        <v>1316</v>
      </c>
      <c r="C1213" s="1036">
        <v>45639</v>
      </c>
      <c r="D1213" s="1037">
        <v>45663</v>
      </c>
      <c r="E1213" s="1042"/>
    </row>
    <row r="1214" spans="1:5">
      <c r="A1214" s="1039" t="s">
        <v>1317</v>
      </c>
      <c r="B1214" s="1040" t="s">
        <v>2377</v>
      </c>
      <c r="C1214" s="1036">
        <v>45639</v>
      </c>
      <c r="D1214" s="1037">
        <v>45663</v>
      </c>
      <c r="E1214" s="1042"/>
    </row>
    <row r="1215" spans="1:5">
      <c r="A1215" s="1039" t="s">
        <v>1319</v>
      </c>
      <c r="B1215" s="1040" t="s">
        <v>1328</v>
      </c>
      <c r="C1215" s="1036">
        <v>45639</v>
      </c>
      <c r="D1215" s="1037">
        <v>45663</v>
      </c>
      <c r="E1215" s="1042"/>
    </row>
    <row r="1216" spans="1:5">
      <c r="A1216" s="1039" t="s">
        <v>2378</v>
      </c>
      <c r="B1216" s="1040" t="s">
        <v>2379</v>
      </c>
      <c r="C1216" s="1036">
        <v>45639</v>
      </c>
      <c r="D1216" s="1037">
        <v>45663</v>
      </c>
      <c r="E1216" s="1042"/>
    </row>
    <row r="1217" spans="1:5">
      <c r="A1217" s="1039" t="s">
        <v>2380</v>
      </c>
      <c r="B1217" s="1040" t="s">
        <v>2379</v>
      </c>
      <c r="C1217" s="1036">
        <v>45639</v>
      </c>
      <c r="D1217" s="1037">
        <v>45663</v>
      </c>
      <c r="E1217" s="1042"/>
    </row>
    <row r="1218" spans="1:5">
      <c r="A1218" s="1039" t="s">
        <v>2381</v>
      </c>
      <c r="B1218" s="1040" t="s">
        <v>2379</v>
      </c>
      <c r="C1218" s="1036">
        <v>45639</v>
      </c>
      <c r="D1218" s="1037">
        <v>45663</v>
      </c>
      <c r="E1218" s="1042"/>
    </row>
    <row r="1219" spans="1:5">
      <c r="A1219" s="1039"/>
      <c r="B1219" s="1040"/>
      <c r="C1219" s="1040"/>
      <c r="D1219" s="1034"/>
      <c r="E1219" s="1042"/>
    </row>
    <row r="1220" spans="1:5">
      <c r="A1220" s="1039"/>
      <c r="B1220" s="1043" t="s">
        <v>1124</v>
      </c>
      <c r="C1220" s="1040"/>
      <c r="D1220" s="1034"/>
      <c r="E1220" s="1042"/>
    </row>
    <row r="1221" spans="1:5">
      <c r="A1221" s="1039" t="s">
        <v>2382</v>
      </c>
      <c r="B1221" s="1040" t="s">
        <v>1126</v>
      </c>
      <c r="C1221" s="1036">
        <v>45646</v>
      </c>
      <c r="D1221" s="1037">
        <v>45663</v>
      </c>
      <c r="E1221" s="1042"/>
    </row>
    <row r="1222" spans="1:5">
      <c r="A1222" s="1039" t="s">
        <v>2383</v>
      </c>
      <c r="B1222" s="1040" t="s">
        <v>1128</v>
      </c>
      <c r="C1222" s="1036">
        <v>45646</v>
      </c>
      <c r="D1222" s="1037">
        <v>45663</v>
      </c>
      <c r="E1222" s="1042"/>
    </row>
    <row r="1223" spans="1:5">
      <c r="A1223" s="1039" t="s">
        <v>2384</v>
      </c>
      <c r="B1223" s="1040" t="s">
        <v>2385</v>
      </c>
      <c r="C1223" s="1036">
        <v>45646</v>
      </c>
      <c r="D1223" s="1037">
        <v>45663</v>
      </c>
      <c r="E1223" s="1042"/>
    </row>
    <row r="1224" spans="1:5">
      <c r="A1224" s="1039" t="s">
        <v>2386</v>
      </c>
      <c r="B1224" s="1040" t="s">
        <v>2387</v>
      </c>
      <c r="C1224" s="1036">
        <v>45646</v>
      </c>
      <c r="D1224" s="1037">
        <v>45663</v>
      </c>
      <c r="E1224" s="1042"/>
    </row>
    <row r="1225" spans="1:5">
      <c r="A1225" s="1039" t="s">
        <v>2388</v>
      </c>
      <c r="B1225" s="1040" t="s">
        <v>1194</v>
      </c>
      <c r="C1225" s="1036">
        <v>45646</v>
      </c>
      <c r="D1225" s="1037">
        <v>45663</v>
      </c>
      <c r="E1225" s="1042"/>
    </row>
    <row r="1226" spans="1:5">
      <c r="A1226" s="1039" t="s">
        <v>2389</v>
      </c>
      <c r="B1226" s="1040" t="s">
        <v>1203</v>
      </c>
      <c r="C1226" s="1036">
        <v>45646</v>
      </c>
      <c r="D1226" s="1037">
        <v>45663</v>
      </c>
      <c r="E1226" s="1042"/>
    </row>
    <row r="1227" spans="1:5">
      <c r="A1227" s="1039" t="s">
        <v>2390</v>
      </c>
      <c r="B1227" s="1040" t="s">
        <v>1206</v>
      </c>
      <c r="C1227" s="1036">
        <v>45646</v>
      </c>
      <c r="D1227" s="1037">
        <v>45663</v>
      </c>
      <c r="E1227" s="1042"/>
    </row>
    <row r="1228" spans="1:5">
      <c r="A1228" s="1039"/>
      <c r="B1228" s="1040"/>
      <c r="C1228" s="1048"/>
      <c r="D1228" s="1034"/>
      <c r="E1228" s="1042"/>
    </row>
    <row r="1229" spans="1:5">
      <c r="A1229" s="1039"/>
      <c r="B1229" s="1043" t="s">
        <v>978</v>
      </c>
      <c r="C1229" s="1040"/>
      <c r="D1229" s="1034"/>
      <c r="E1229" s="1042"/>
    </row>
    <row r="1230" spans="1:5">
      <c r="A1230" s="1039" t="s">
        <v>2391</v>
      </c>
      <c r="B1230" s="1040" t="s">
        <v>2392</v>
      </c>
      <c r="C1230" s="1036">
        <v>45646</v>
      </c>
      <c r="D1230" s="1037">
        <v>45663</v>
      </c>
      <c r="E1230" s="1042"/>
    </row>
    <row r="1231" spans="1:5">
      <c r="A1231" s="1039" t="s">
        <v>2393</v>
      </c>
      <c r="B1231" s="1040" t="s">
        <v>2394</v>
      </c>
      <c r="C1231" s="1036">
        <v>45646</v>
      </c>
      <c r="D1231" s="1037">
        <v>45663</v>
      </c>
      <c r="E1231" s="1042"/>
    </row>
    <row r="1232" spans="1:5">
      <c r="A1232" s="1039" t="s">
        <v>2395</v>
      </c>
      <c r="B1232" s="1040" t="s">
        <v>2396</v>
      </c>
      <c r="C1232" s="1036">
        <v>45646</v>
      </c>
      <c r="D1232" s="1037">
        <v>45663</v>
      </c>
      <c r="E1232" s="1042"/>
    </row>
    <row r="1233" spans="1:5">
      <c r="A1233" s="1039" t="s">
        <v>2397</v>
      </c>
      <c r="B1233" s="1040" t="s">
        <v>1050</v>
      </c>
      <c r="C1233" s="1036">
        <v>45646</v>
      </c>
      <c r="D1233" s="1037">
        <v>45663</v>
      </c>
      <c r="E1233" s="1042"/>
    </row>
    <row r="1234" spans="1:5">
      <c r="A1234" s="1039" t="s">
        <v>2398</v>
      </c>
      <c r="B1234" s="1040" t="s">
        <v>1052</v>
      </c>
      <c r="C1234" s="1036">
        <v>45646</v>
      </c>
      <c r="D1234" s="1037">
        <v>45663</v>
      </c>
      <c r="E1234" s="1042"/>
    </row>
    <row r="1235" spans="1:5">
      <c r="A1235" s="1039" t="s">
        <v>2399</v>
      </c>
      <c r="B1235" s="1040" t="s">
        <v>2400</v>
      </c>
      <c r="C1235" s="1036">
        <v>45646</v>
      </c>
      <c r="D1235" s="1037">
        <v>45663</v>
      </c>
      <c r="E1235" s="1042"/>
    </row>
    <row r="1236" spans="1:5">
      <c r="A1236" s="1039" t="s">
        <v>2401</v>
      </c>
      <c r="B1236" s="1040" t="s">
        <v>1076</v>
      </c>
      <c r="C1236" s="1036">
        <v>45646</v>
      </c>
      <c r="D1236" s="1037">
        <v>45663</v>
      </c>
      <c r="E1236" s="1042"/>
    </row>
    <row r="1237" spans="1:5">
      <c r="A1237" s="1039" t="s">
        <v>2402</v>
      </c>
      <c r="B1237" s="1040" t="s">
        <v>1078</v>
      </c>
      <c r="C1237" s="1036">
        <v>45646</v>
      </c>
      <c r="D1237" s="1037">
        <v>45663</v>
      </c>
      <c r="E1237" s="1042"/>
    </row>
    <row r="1238" spans="1:5">
      <c r="A1238" s="1039"/>
      <c r="B1238" s="1040"/>
      <c r="C1238" s="1048"/>
      <c r="D1238" s="1034"/>
      <c r="E1238" s="1042"/>
    </row>
    <row r="1239" spans="1:5">
      <c r="A1239" s="1039"/>
      <c r="B1239" s="1043" t="s">
        <v>1232</v>
      </c>
      <c r="C1239" s="1048"/>
      <c r="D1239" s="1034"/>
      <c r="E1239" s="1042"/>
    </row>
    <row r="1240" spans="1:5">
      <c r="A1240" s="1039" t="s">
        <v>2403</v>
      </c>
      <c r="B1240" s="1040" t="s">
        <v>1234</v>
      </c>
      <c r="C1240" s="1036">
        <v>45646</v>
      </c>
      <c r="D1240" s="1037">
        <v>45663</v>
      </c>
      <c r="E1240" s="1042"/>
    </row>
    <row r="1241" spans="1:5">
      <c r="A1241" s="1039" t="s">
        <v>2404</v>
      </c>
      <c r="B1241" s="1040" t="s">
        <v>2405</v>
      </c>
      <c r="C1241" s="1036">
        <v>45646</v>
      </c>
      <c r="D1241" s="1037">
        <v>45663</v>
      </c>
      <c r="E1241" s="1042"/>
    </row>
    <row r="1242" spans="1:5">
      <c r="A1242" s="1039" t="s">
        <v>2406</v>
      </c>
      <c r="B1242" s="1040" t="s">
        <v>2407</v>
      </c>
      <c r="C1242" s="1036">
        <v>45646</v>
      </c>
      <c r="D1242" s="1037">
        <v>45663</v>
      </c>
      <c r="E1242" s="1042"/>
    </row>
    <row r="1243" spans="1:5">
      <c r="A1243" s="1039" t="s">
        <v>2408</v>
      </c>
      <c r="B1243" s="1040" t="s">
        <v>2409</v>
      </c>
      <c r="C1243" s="1036">
        <v>45646</v>
      </c>
      <c r="D1243" s="1037">
        <v>45663</v>
      </c>
      <c r="E1243" s="1042"/>
    </row>
    <row r="1244" spans="1:5">
      <c r="A1244" s="1039" t="s">
        <v>2410</v>
      </c>
      <c r="B1244" s="1040" t="s">
        <v>1291</v>
      </c>
      <c r="C1244" s="1036">
        <v>45646</v>
      </c>
      <c r="D1244" s="1037">
        <v>45663</v>
      </c>
      <c r="E1244" s="1042"/>
    </row>
    <row r="1245" spans="1:5">
      <c r="A1245" s="1039" t="s">
        <v>2411</v>
      </c>
      <c r="B1245" s="1040" t="s">
        <v>1291</v>
      </c>
      <c r="C1245" s="1036">
        <v>45646</v>
      </c>
      <c r="D1245" s="1037">
        <v>45663</v>
      </c>
      <c r="E1245" s="1042"/>
    </row>
    <row r="1246" spans="1:5">
      <c r="A1246" s="1039" t="s">
        <v>2412</v>
      </c>
      <c r="B1246" s="1040" t="s">
        <v>1295</v>
      </c>
      <c r="C1246" s="1036">
        <v>45646</v>
      </c>
      <c r="D1246" s="1037">
        <v>45663</v>
      </c>
      <c r="E1246" s="1042"/>
    </row>
    <row r="1247" spans="1:5">
      <c r="A1247" s="1039" t="s">
        <v>2413</v>
      </c>
      <c r="B1247" s="1040" t="s">
        <v>1295</v>
      </c>
      <c r="C1247" s="1036">
        <v>45646</v>
      </c>
      <c r="D1247" s="1037">
        <v>45663</v>
      </c>
      <c r="E1247" s="1042"/>
    </row>
    <row r="1248" spans="1:5">
      <c r="A1248" s="1039"/>
      <c r="B1248" s="1040"/>
      <c r="C1248" s="1040"/>
      <c r="D1248" s="1034"/>
      <c r="E1248" s="1042"/>
    </row>
    <row r="1249" spans="1:5">
      <c r="A1249" s="1039"/>
      <c r="B1249" s="1043" t="s">
        <v>2414</v>
      </c>
      <c r="C1249" s="1044"/>
      <c r="D1249" s="1037"/>
      <c r="E1249" s="1049"/>
    </row>
    <row r="1250" spans="1:5">
      <c r="A1250" s="1039" t="s">
        <v>2415</v>
      </c>
      <c r="B1250" s="1040" t="s">
        <v>2416</v>
      </c>
      <c r="C1250" s="1036">
        <v>45646</v>
      </c>
      <c r="D1250" s="1037">
        <v>45663</v>
      </c>
      <c r="E1250" s="1049"/>
    </row>
    <row r="1251" spans="1:5">
      <c r="A1251" s="1039" t="s">
        <v>2417</v>
      </c>
      <c r="B1251" s="1040" t="s">
        <v>2418</v>
      </c>
      <c r="C1251" s="1036">
        <v>45646</v>
      </c>
      <c r="D1251" s="1037">
        <v>45663</v>
      </c>
      <c r="E1251" s="1049"/>
    </row>
    <row r="1252" spans="1:5">
      <c r="A1252" s="1039" t="s">
        <v>2419</v>
      </c>
      <c r="B1252" s="1040" t="s">
        <v>2420</v>
      </c>
      <c r="C1252" s="1036">
        <v>45646</v>
      </c>
      <c r="D1252" s="1037">
        <v>45663</v>
      </c>
      <c r="E1252" s="1049"/>
    </row>
    <row r="1253" spans="1:5">
      <c r="A1253" s="1039" t="s">
        <v>2421</v>
      </c>
      <c r="B1253" s="1040" t="s">
        <v>2420</v>
      </c>
      <c r="C1253" s="1036">
        <v>45646</v>
      </c>
      <c r="D1253" s="1037">
        <v>45663</v>
      </c>
      <c r="E1253" s="1049"/>
    </row>
    <row r="1254" spans="1:5">
      <c r="A1254" s="1039" t="s">
        <v>2422</v>
      </c>
      <c r="B1254" s="1040" t="s">
        <v>2423</v>
      </c>
      <c r="C1254" s="1036">
        <v>45646</v>
      </c>
      <c r="D1254" s="1037">
        <v>45663</v>
      </c>
      <c r="E1254" s="1049"/>
    </row>
    <row r="1255" spans="1:5">
      <c r="A1255" s="1039"/>
      <c r="B1255" s="1040"/>
      <c r="C1255" s="1036"/>
      <c r="D1255" s="1037"/>
      <c r="E1255" s="1049"/>
    </row>
    <row r="1256" spans="1:5">
      <c r="A1256" s="1039"/>
      <c r="B1256" s="1040"/>
      <c r="C1256" s="1044"/>
      <c r="D1256" s="1037"/>
      <c r="E1256" s="1049"/>
    </row>
    <row r="1257" spans="1:5">
      <c r="A1257" s="1039"/>
      <c r="B1257" s="1040"/>
      <c r="C1257" s="1044"/>
      <c r="D1257" s="1037"/>
      <c r="E1257" s="1049"/>
    </row>
    <row r="1258" spans="1:5">
      <c r="A1258" s="1039"/>
      <c r="B1258" s="1043" t="s">
        <v>2424</v>
      </c>
      <c r="C1258" s="1044"/>
      <c r="D1258" s="1037"/>
      <c r="E1258" s="1049"/>
    </row>
    <row r="1259" spans="1:5">
      <c r="A1259" s="1039" t="s">
        <v>1351</v>
      </c>
      <c r="B1259" s="1040" t="s">
        <v>1352</v>
      </c>
      <c r="C1259" s="1036">
        <v>45646</v>
      </c>
      <c r="D1259" s="1037">
        <v>45663</v>
      </c>
      <c r="E1259" s="1049"/>
    </row>
    <row r="1260" spans="1:5">
      <c r="A1260" s="1039" t="s">
        <v>1353</v>
      </c>
      <c r="B1260" s="1040" t="s">
        <v>1354</v>
      </c>
      <c r="C1260" s="1036">
        <v>45646</v>
      </c>
      <c r="D1260" s="1037">
        <v>45663</v>
      </c>
      <c r="E1260" s="1049"/>
    </row>
    <row r="1261" spans="1:5">
      <c r="A1261" s="1039" t="s">
        <v>1355</v>
      </c>
      <c r="B1261" s="1040" t="s">
        <v>1356</v>
      </c>
      <c r="C1261" s="1036">
        <v>45646</v>
      </c>
      <c r="D1261" s="1037">
        <v>45663</v>
      </c>
      <c r="E1261" s="1049"/>
    </row>
    <row r="1262" spans="1:5">
      <c r="A1262" s="1039" t="s">
        <v>1357</v>
      </c>
      <c r="B1262" s="1040" t="s">
        <v>1358</v>
      </c>
      <c r="C1262" s="1036">
        <v>45646</v>
      </c>
      <c r="D1262" s="1037">
        <v>45663</v>
      </c>
      <c r="E1262" s="1049"/>
    </row>
    <row r="1263" spans="1:5">
      <c r="A1263" s="1039" t="s">
        <v>1359</v>
      </c>
      <c r="B1263" s="1040" t="s">
        <v>1360</v>
      </c>
      <c r="C1263" s="1036">
        <v>45646</v>
      </c>
      <c r="D1263" s="1037">
        <v>45663</v>
      </c>
      <c r="E1263" s="1049"/>
    </row>
    <row r="1264" spans="1:5">
      <c r="A1264" s="1039" t="s">
        <v>1361</v>
      </c>
      <c r="B1264" s="1040" t="s">
        <v>2425</v>
      </c>
      <c r="C1264" s="1036">
        <v>45646</v>
      </c>
      <c r="D1264" s="1037">
        <v>45663</v>
      </c>
      <c r="E1264" s="1049"/>
    </row>
    <row r="1265" spans="1:5">
      <c r="A1265" s="1039" t="s">
        <v>1363</v>
      </c>
      <c r="B1265" s="1040" t="s">
        <v>1364</v>
      </c>
      <c r="C1265" s="1036">
        <v>45646</v>
      </c>
      <c r="D1265" s="1037">
        <v>45663</v>
      </c>
      <c r="E1265" s="1049"/>
    </row>
    <row r="1266" spans="1:5">
      <c r="A1266" s="1039" t="s">
        <v>1365</v>
      </c>
      <c r="B1266" s="1040" t="s">
        <v>1366</v>
      </c>
      <c r="C1266" s="1036">
        <v>45646</v>
      </c>
      <c r="D1266" s="1037">
        <v>45663</v>
      </c>
      <c r="E1266" s="1049"/>
    </row>
    <row r="1267" spans="1:5">
      <c r="A1267" s="1039" t="s">
        <v>1367</v>
      </c>
      <c r="B1267" s="1040" t="s">
        <v>1368</v>
      </c>
      <c r="C1267" s="1036">
        <v>45646</v>
      </c>
      <c r="D1267" s="1037">
        <v>45663</v>
      </c>
      <c r="E1267" s="1049"/>
    </row>
    <row r="1268" spans="1:5">
      <c r="A1268" s="1039" t="s">
        <v>1351</v>
      </c>
      <c r="B1268" s="1040" t="s">
        <v>1369</v>
      </c>
      <c r="C1268" s="1036">
        <v>45646</v>
      </c>
      <c r="D1268" s="1037">
        <v>45663</v>
      </c>
      <c r="E1268" s="1049"/>
    </row>
    <row r="1269" spans="1:5">
      <c r="A1269" s="1039" t="s">
        <v>1353</v>
      </c>
      <c r="B1269" s="1040" t="s">
        <v>1370</v>
      </c>
      <c r="C1269" s="1036">
        <v>45646</v>
      </c>
      <c r="D1269" s="1037">
        <v>45663</v>
      </c>
      <c r="E1269" s="1049"/>
    </row>
    <row r="1270" spans="1:5">
      <c r="A1270" s="1039" t="s">
        <v>1355</v>
      </c>
      <c r="B1270" s="1040" t="s">
        <v>1371</v>
      </c>
      <c r="C1270" s="1036">
        <v>45646</v>
      </c>
      <c r="D1270" s="1037">
        <v>45663</v>
      </c>
      <c r="E1270" s="1049"/>
    </row>
    <row r="1271" spans="1:5">
      <c r="A1271" s="1039" t="s">
        <v>1357</v>
      </c>
      <c r="B1271" s="1040" t="s">
        <v>1374</v>
      </c>
      <c r="C1271" s="1036">
        <v>45646</v>
      </c>
      <c r="D1271" s="1037">
        <v>45663</v>
      </c>
      <c r="E1271" s="1049"/>
    </row>
    <row r="1272" spans="1:5">
      <c r="A1272" s="1039" t="s">
        <v>1359</v>
      </c>
      <c r="B1272" s="1040" t="s">
        <v>1375</v>
      </c>
      <c r="C1272" s="1036">
        <v>45646</v>
      </c>
      <c r="D1272" s="1037">
        <v>45663</v>
      </c>
      <c r="E1272" s="1049"/>
    </row>
    <row r="1273" spans="1:5">
      <c r="A1273" s="1039" t="s">
        <v>1361</v>
      </c>
      <c r="B1273" s="1040" t="s">
        <v>1376</v>
      </c>
      <c r="C1273" s="1036">
        <v>45646</v>
      </c>
      <c r="D1273" s="1037">
        <v>45663</v>
      </c>
      <c r="E1273" s="1049"/>
    </row>
    <row r="1274" spans="1:5">
      <c r="A1274" s="1039" t="s">
        <v>1363</v>
      </c>
      <c r="B1274" s="1040" t="s">
        <v>1377</v>
      </c>
      <c r="C1274" s="1036">
        <v>45646</v>
      </c>
      <c r="D1274" s="1037">
        <v>45663</v>
      </c>
      <c r="E1274" s="1049"/>
    </row>
    <row r="1275" spans="1:5">
      <c r="A1275" s="1039" t="s">
        <v>1365</v>
      </c>
      <c r="B1275" s="1040" t="s">
        <v>1378</v>
      </c>
      <c r="C1275" s="1036">
        <v>45646</v>
      </c>
      <c r="D1275" s="1037">
        <v>45663</v>
      </c>
      <c r="E1275" s="1049"/>
    </row>
    <row r="1276" spans="1:5">
      <c r="A1276" s="1039" t="s">
        <v>1367</v>
      </c>
      <c r="B1276" s="1040" t="s">
        <v>1379</v>
      </c>
      <c r="C1276" s="1036">
        <v>45646</v>
      </c>
      <c r="D1276" s="1037">
        <v>45663</v>
      </c>
      <c r="E1276" s="1049"/>
    </row>
    <row r="1277" spans="1:5">
      <c r="A1277" s="1039"/>
      <c r="B1277" s="1040"/>
      <c r="C1277" s="1044"/>
      <c r="D1277" s="1037"/>
      <c r="E1277" s="1049"/>
    </row>
    <row r="1278" spans="1:5">
      <c r="A1278" s="1039"/>
      <c r="B1278" s="1043" t="s">
        <v>1476</v>
      </c>
      <c r="C1278" s="1044"/>
      <c r="D1278" s="1037"/>
      <c r="E1278" s="1049"/>
    </row>
    <row r="1279" spans="1:5">
      <c r="A1279" s="1039" t="s">
        <v>1477</v>
      </c>
      <c r="B1279" s="1040" t="s">
        <v>1478</v>
      </c>
      <c r="C1279" s="1036">
        <v>45646</v>
      </c>
      <c r="D1279" s="1037">
        <v>45663</v>
      </c>
      <c r="E1279" s="1049"/>
    </row>
    <row r="1280" spans="1:5">
      <c r="A1280" s="1039" t="s">
        <v>1479</v>
      </c>
      <c r="B1280" s="1040" t="s">
        <v>1480</v>
      </c>
      <c r="C1280" s="1036">
        <v>45646</v>
      </c>
      <c r="D1280" s="1037">
        <v>45663</v>
      </c>
      <c r="E1280" s="1049"/>
    </row>
    <row r="1281" spans="1:5">
      <c r="A1281" s="1039" t="s">
        <v>1481</v>
      </c>
      <c r="B1281" s="1040" t="s">
        <v>1482</v>
      </c>
      <c r="C1281" s="1036">
        <v>45646</v>
      </c>
      <c r="D1281" s="1037">
        <v>45663</v>
      </c>
      <c r="E1281" s="1049"/>
    </row>
    <row r="1282" spans="1:5">
      <c r="A1282" s="1039" t="s">
        <v>1483</v>
      </c>
      <c r="B1282" s="1040" t="s">
        <v>1484</v>
      </c>
      <c r="C1282" s="1036">
        <v>45646</v>
      </c>
      <c r="D1282" s="1037">
        <v>45663</v>
      </c>
      <c r="E1282" s="1049"/>
    </row>
    <row r="1283" spans="1:5">
      <c r="A1283" s="1039" t="s">
        <v>1485</v>
      </c>
      <c r="B1283" s="1040" t="s">
        <v>1484</v>
      </c>
      <c r="C1283" s="1036">
        <v>45646</v>
      </c>
      <c r="D1283" s="1037">
        <v>45663</v>
      </c>
      <c r="E1283" s="1049"/>
    </row>
    <row r="1284" spans="1:5">
      <c r="A1284" s="1039" t="s">
        <v>1486</v>
      </c>
      <c r="B1284" s="1040" t="s">
        <v>1484</v>
      </c>
      <c r="C1284" s="1036">
        <v>45646</v>
      </c>
      <c r="D1284" s="1037">
        <v>45663</v>
      </c>
      <c r="E1284" s="1049"/>
    </row>
    <row r="1285" spans="1:5">
      <c r="A1285" s="1039" t="s">
        <v>1479</v>
      </c>
      <c r="B1285" s="1040" t="s">
        <v>1488</v>
      </c>
      <c r="C1285" s="1036">
        <v>45646</v>
      </c>
      <c r="D1285" s="1037">
        <v>45663</v>
      </c>
      <c r="E1285" s="1049"/>
    </row>
    <row r="1286" spans="1:5">
      <c r="A1286" s="1039" t="s">
        <v>1483</v>
      </c>
      <c r="B1286" s="1040" t="s">
        <v>1488</v>
      </c>
      <c r="C1286" s="1036">
        <v>45646</v>
      </c>
      <c r="D1286" s="1037">
        <v>45663</v>
      </c>
      <c r="E1286" s="1049"/>
    </row>
    <row r="1287" spans="1:5">
      <c r="A1287" s="1039" t="s">
        <v>1485</v>
      </c>
      <c r="B1287" s="1040" t="s">
        <v>1488</v>
      </c>
      <c r="C1287" s="1036">
        <v>45646</v>
      </c>
      <c r="D1287" s="1037">
        <v>45663</v>
      </c>
      <c r="E1287" s="1049"/>
    </row>
    <row r="1288" spans="1:5">
      <c r="A1288" s="1039" t="s">
        <v>1486</v>
      </c>
      <c r="B1288" s="1040" t="s">
        <v>1488</v>
      </c>
      <c r="C1288" s="1036">
        <v>45646</v>
      </c>
      <c r="D1288" s="1037">
        <v>45663</v>
      </c>
      <c r="E1288" s="1049"/>
    </row>
    <row r="1289" spans="1:5">
      <c r="A1289" s="1039"/>
      <c r="B1289" s="1040"/>
      <c r="C1289" s="1044"/>
      <c r="D1289" s="1037"/>
      <c r="E1289" s="1049"/>
    </row>
    <row r="1290" spans="1:5">
      <c r="A1290" s="1039"/>
      <c r="B1290" s="1043" t="s">
        <v>2426</v>
      </c>
      <c r="C1290" s="1040"/>
      <c r="D1290" s="1034"/>
      <c r="E1290" s="1042"/>
    </row>
    <row r="1291" spans="1:5">
      <c r="A1291" s="1039" t="s">
        <v>1524</v>
      </c>
      <c r="B1291" s="1040" t="s">
        <v>2427</v>
      </c>
      <c r="C1291" s="1036">
        <v>45646</v>
      </c>
      <c r="D1291" s="1037">
        <v>45663</v>
      </c>
      <c r="E1291" s="1042"/>
    </row>
    <row r="1292" spans="1:5">
      <c r="A1292" s="1039" t="s">
        <v>1526</v>
      </c>
      <c r="B1292" s="1040" t="s">
        <v>2427</v>
      </c>
      <c r="C1292" s="1036">
        <v>45646</v>
      </c>
      <c r="D1292" s="1037">
        <v>45663</v>
      </c>
      <c r="E1292" s="1042"/>
    </row>
    <row r="1293" spans="1:5">
      <c r="A1293" s="1039" t="s">
        <v>1614</v>
      </c>
      <c r="B1293" s="1040" t="s">
        <v>2428</v>
      </c>
      <c r="C1293" s="1036">
        <v>45646</v>
      </c>
      <c r="D1293" s="1037">
        <v>45663</v>
      </c>
      <c r="E1293" s="1042"/>
    </row>
    <row r="1294" spans="1:5">
      <c r="A1294" s="1039"/>
      <c r="B1294" s="1040"/>
      <c r="C1294" s="1040"/>
      <c r="D1294" s="1034"/>
      <c r="E1294" s="1042"/>
    </row>
    <row r="1295" spans="1:5">
      <c r="A1295" s="1039" t="s">
        <v>1623</v>
      </c>
      <c r="B1295" s="1040" t="s">
        <v>595</v>
      </c>
      <c r="C1295" s="1044">
        <v>45590</v>
      </c>
      <c r="D1295" s="1037">
        <v>45663</v>
      </c>
      <c r="E1295" s="1049"/>
    </row>
    <row r="1296" spans="1:5">
      <c r="A1296" s="1039" t="s">
        <v>1625</v>
      </c>
      <c r="B1296" s="1040" t="s">
        <v>1626</v>
      </c>
      <c r="C1296" s="1044">
        <v>45590</v>
      </c>
      <c r="D1296" s="1037">
        <v>45663</v>
      </c>
      <c r="E1296" s="1049"/>
    </row>
    <row r="1297" spans="1:5">
      <c r="A1297" s="1039" t="s">
        <v>1627</v>
      </c>
      <c r="B1297" s="1040" t="s">
        <v>2429</v>
      </c>
      <c r="C1297" s="1044">
        <v>45618</v>
      </c>
      <c r="D1297" s="1037">
        <v>45663</v>
      </c>
      <c r="E1297" s="1049"/>
    </row>
    <row r="1298" spans="1:5">
      <c r="A1298" s="1039" t="s">
        <v>2430</v>
      </c>
      <c r="B1298" s="1040" t="s">
        <v>2431</v>
      </c>
      <c r="C1298" s="1044">
        <v>45618</v>
      </c>
      <c r="D1298" s="1037">
        <v>45663</v>
      </c>
      <c r="E1298" s="1049"/>
    </row>
    <row r="1299" spans="1:5">
      <c r="A1299" s="1039" t="s">
        <v>2432</v>
      </c>
      <c r="B1299" s="1040" t="s">
        <v>2433</v>
      </c>
      <c r="C1299" s="1044">
        <v>45618</v>
      </c>
      <c r="D1299" s="1037">
        <v>45663</v>
      </c>
      <c r="E1299" s="1049"/>
    </row>
    <row r="1300" spans="1:5">
      <c r="A1300" s="1039" t="s">
        <v>2434</v>
      </c>
      <c r="B1300" s="1040" t="s">
        <v>2435</v>
      </c>
      <c r="C1300" s="1044">
        <v>45618</v>
      </c>
      <c r="D1300" s="1037">
        <v>45663</v>
      </c>
      <c r="E1300" s="1049">
        <v>45657</v>
      </c>
    </row>
    <row r="1301" spans="1:5">
      <c r="A1301" s="1039" t="s">
        <v>1734</v>
      </c>
      <c r="B1301" s="1040" t="s">
        <v>2436</v>
      </c>
      <c r="C1301" s="1044">
        <v>45618</v>
      </c>
      <c r="D1301" s="1037">
        <v>45663</v>
      </c>
      <c r="E1301" s="1049"/>
    </row>
    <row r="1302" spans="1:5">
      <c r="A1302" s="1039" t="s">
        <v>1736</v>
      </c>
      <c r="B1302" s="1040" t="s">
        <v>2437</v>
      </c>
      <c r="C1302" s="1044">
        <v>45618</v>
      </c>
      <c r="D1302" s="1037">
        <v>45663</v>
      </c>
      <c r="E1302" s="1049"/>
    </row>
    <row r="1303" spans="1:5">
      <c r="A1303" s="1039" t="s">
        <v>1737</v>
      </c>
      <c r="B1303" s="1040" t="s">
        <v>2437</v>
      </c>
      <c r="C1303" s="1044">
        <v>45618</v>
      </c>
      <c r="D1303" s="1037">
        <v>45663</v>
      </c>
      <c r="E1303" s="1049"/>
    </row>
    <row r="1304" spans="1:5">
      <c r="A1304" s="1039" t="s">
        <v>1739</v>
      </c>
      <c r="B1304" s="1040" t="s">
        <v>2437</v>
      </c>
      <c r="C1304" s="1044">
        <v>45618</v>
      </c>
      <c r="D1304" s="1037">
        <v>45663</v>
      </c>
      <c r="E1304" s="1049"/>
    </row>
    <row r="1305" spans="1:5">
      <c r="A1305" s="1039" t="s">
        <v>1841</v>
      </c>
      <c r="B1305" s="1040" t="s">
        <v>2438</v>
      </c>
      <c r="C1305" s="1044">
        <v>45618</v>
      </c>
      <c r="D1305" s="1037">
        <v>45663</v>
      </c>
      <c r="E1305" s="1049"/>
    </row>
    <row r="1306" spans="1:5">
      <c r="A1306" s="1039" t="s">
        <v>1843</v>
      </c>
      <c r="B1306" s="1040" t="s">
        <v>2438</v>
      </c>
      <c r="C1306" s="1044">
        <v>45618</v>
      </c>
      <c r="D1306" s="1037">
        <v>45663</v>
      </c>
      <c r="E1306" s="1049"/>
    </row>
    <row r="1307" spans="1:5">
      <c r="A1307" s="1039" t="s">
        <v>2439</v>
      </c>
      <c r="B1307" s="1040" t="s">
        <v>2440</v>
      </c>
      <c r="C1307" s="1044">
        <v>45618</v>
      </c>
      <c r="D1307" s="1037">
        <v>45663</v>
      </c>
      <c r="E1307" s="1049"/>
    </row>
    <row r="1308" spans="1:5">
      <c r="A1308" s="1039" t="s">
        <v>1845</v>
      </c>
      <c r="B1308" s="1040" t="s">
        <v>2441</v>
      </c>
      <c r="C1308" s="1044">
        <v>45618</v>
      </c>
      <c r="D1308" s="1037">
        <v>45663</v>
      </c>
      <c r="E1308" s="1049" t="s">
        <v>2442</v>
      </c>
    </row>
    <row r="1309" spans="1:5">
      <c r="A1309" s="1039"/>
      <c r="B1309" s="1040"/>
      <c r="C1309" s="1044"/>
      <c r="D1309" s="1037"/>
      <c r="E1309" s="1049"/>
    </row>
    <row r="1310" spans="1:5">
      <c r="A1310" s="1029"/>
      <c r="B1310" s="1030" t="s">
        <v>2443</v>
      </c>
      <c r="C1310" s="1031"/>
      <c r="D1310" s="1031"/>
      <c r="E1310" s="1031"/>
    </row>
    <row r="1311" spans="1:5">
      <c r="A1311" s="1032"/>
      <c r="B1311" s="1033" t="s">
        <v>593</v>
      </c>
      <c r="C1311" s="1034"/>
      <c r="D1311" s="1034"/>
      <c r="E1311" s="1034"/>
    </row>
    <row r="1312" spans="1:5">
      <c r="A1312" s="1032" t="s">
        <v>594</v>
      </c>
      <c r="B1312" s="1035" t="s">
        <v>595</v>
      </c>
      <c r="C1312" s="1036">
        <v>45646</v>
      </c>
      <c r="D1312" s="1037">
        <v>45708</v>
      </c>
      <c r="E1312" s="1042"/>
    </row>
    <row r="1313" spans="1:5">
      <c r="A1313" s="1039" t="s">
        <v>596</v>
      </c>
      <c r="B1313" s="1035" t="s">
        <v>597</v>
      </c>
      <c r="C1313" s="1036">
        <v>45646</v>
      </c>
      <c r="D1313" s="1037">
        <v>45708</v>
      </c>
      <c r="E1313" s="1042"/>
    </row>
    <row r="1314" spans="1:5">
      <c r="A1314" s="1039" t="s">
        <v>598</v>
      </c>
      <c r="B1314" s="1035" t="s">
        <v>600</v>
      </c>
      <c r="C1314" s="1036">
        <v>45646</v>
      </c>
      <c r="D1314" s="1037">
        <v>45708</v>
      </c>
      <c r="E1314" s="1042"/>
    </row>
    <row r="1315" spans="1:5">
      <c r="A1315" s="1039" t="s">
        <v>605</v>
      </c>
      <c r="B1315" s="1035" t="s">
        <v>2353</v>
      </c>
      <c r="C1315" s="1036">
        <v>45646</v>
      </c>
      <c r="D1315" s="1037">
        <v>45708</v>
      </c>
      <c r="E1315" s="1042"/>
    </row>
    <row r="1316" spans="1:5">
      <c r="A1316" s="1039" t="s">
        <v>607</v>
      </c>
      <c r="B1316" s="1035" t="s">
        <v>608</v>
      </c>
      <c r="C1316" s="1036">
        <v>45646</v>
      </c>
      <c r="D1316" s="1037">
        <v>45708</v>
      </c>
      <c r="E1316" s="1042"/>
    </row>
    <row r="1317" spans="1:5">
      <c r="A1317" s="1039" t="s">
        <v>609</v>
      </c>
      <c r="B1317" s="1040" t="s">
        <v>610</v>
      </c>
      <c r="C1317" s="1036">
        <v>45646</v>
      </c>
      <c r="D1317" s="1037">
        <v>45708</v>
      </c>
      <c r="E1317" s="1042"/>
    </row>
    <row r="1318" spans="1:5">
      <c r="A1318" s="1039" t="s">
        <v>611</v>
      </c>
      <c r="B1318" s="1040" t="s">
        <v>610</v>
      </c>
      <c r="C1318" s="1036">
        <v>45646</v>
      </c>
      <c r="D1318" s="1037">
        <v>45708</v>
      </c>
      <c r="E1318" s="1042"/>
    </row>
    <row r="1319" spans="1:5">
      <c r="A1319" s="1039" t="s">
        <v>612</v>
      </c>
      <c r="B1319" s="1040" t="s">
        <v>2354</v>
      </c>
      <c r="C1319" s="1036">
        <v>45646</v>
      </c>
      <c r="D1319" s="1037">
        <v>45708</v>
      </c>
      <c r="E1319" s="1042"/>
    </row>
    <row r="1320" spans="1:5">
      <c r="A1320" s="1039" t="s">
        <v>614</v>
      </c>
      <c r="B1320" s="1040" t="s">
        <v>2444</v>
      </c>
      <c r="C1320" s="1036">
        <v>45646</v>
      </c>
      <c r="D1320" s="1037">
        <v>45708</v>
      </c>
      <c r="E1320" s="1042"/>
    </row>
    <row r="1321" spans="1:5">
      <c r="A1321" s="1039" t="s">
        <v>626</v>
      </c>
      <c r="B1321" s="1040" t="s">
        <v>2355</v>
      </c>
      <c r="C1321" s="1036">
        <v>45646</v>
      </c>
      <c r="D1321" s="1037">
        <v>45708</v>
      </c>
      <c r="E1321" s="1042"/>
    </row>
    <row r="1322" spans="1:5">
      <c r="A1322" s="1039" t="s">
        <v>636</v>
      </c>
      <c r="B1322" s="1040" t="s">
        <v>2445</v>
      </c>
      <c r="C1322" s="1036">
        <v>45646</v>
      </c>
      <c r="D1322" s="1037">
        <v>45708</v>
      </c>
      <c r="E1322" s="1042"/>
    </row>
    <row r="1323" spans="1:5">
      <c r="A1323" s="1039" t="s">
        <v>638</v>
      </c>
      <c r="B1323" s="1040" t="s">
        <v>639</v>
      </c>
      <c r="C1323" s="1036">
        <v>45646</v>
      </c>
      <c r="D1323" s="1037">
        <v>45708</v>
      </c>
      <c r="E1323" s="1038"/>
    </row>
    <row r="1324" spans="1:5">
      <c r="A1324" s="1039" t="s">
        <v>640</v>
      </c>
      <c r="B1324" s="1040" t="s">
        <v>2357</v>
      </c>
      <c r="C1324" s="1036">
        <v>45646</v>
      </c>
      <c r="D1324" s="1037">
        <v>45708</v>
      </c>
      <c r="E1324" s="1038"/>
    </row>
    <row r="1325" spans="1:5">
      <c r="A1325" s="1039" t="s">
        <v>2358</v>
      </c>
      <c r="B1325" s="1040" t="s">
        <v>2359</v>
      </c>
      <c r="C1325" s="1036">
        <v>45646</v>
      </c>
      <c r="D1325" s="1037">
        <v>45708</v>
      </c>
      <c r="E1325" s="1038"/>
    </row>
    <row r="1326" spans="1:5">
      <c r="A1326" s="1039" t="s">
        <v>644</v>
      </c>
      <c r="B1326" s="1040" t="s">
        <v>2446</v>
      </c>
      <c r="C1326" s="1036">
        <v>45646</v>
      </c>
      <c r="D1326" s="1037">
        <v>45708</v>
      </c>
      <c r="E1326" s="1038"/>
    </row>
    <row r="1327" spans="1:5">
      <c r="A1327" s="1039" t="s">
        <v>657</v>
      </c>
      <c r="B1327" s="1040" t="s">
        <v>658</v>
      </c>
      <c r="C1327" s="1036">
        <v>45646</v>
      </c>
      <c r="D1327" s="1037">
        <v>45708</v>
      </c>
      <c r="E1327" s="1038"/>
    </row>
    <row r="1328" spans="1:5">
      <c r="A1328" s="1039" t="s">
        <v>659</v>
      </c>
      <c r="B1328" s="1040" t="s">
        <v>660</v>
      </c>
      <c r="C1328" s="1036">
        <v>45646</v>
      </c>
      <c r="D1328" s="1037">
        <v>45708</v>
      </c>
      <c r="E1328" s="1038"/>
    </row>
    <row r="1329" spans="1:5">
      <c r="A1329" s="1039" t="s">
        <v>303</v>
      </c>
      <c r="B1329" s="1040" t="s">
        <v>673</v>
      </c>
      <c r="C1329" s="1036">
        <v>45646</v>
      </c>
      <c r="D1329" s="1037">
        <v>45708</v>
      </c>
      <c r="E1329" s="1042"/>
    </row>
    <row r="1330" spans="1:5">
      <c r="A1330" s="1039" t="s">
        <v>674</v>
      </c>
      <c r="B1330" s="1040" t="s">
        <v>2360</v>
      </c>
      <c r="C1330" s="1036">
        <v>45646</v>
      </c>
      <c r="D1330" s="1037">
        <v>45708</v>
      </c>
      <c r="E1330" s="1042"/>
    </row>
    <row r="1331" spans="1:5">
      <c r="A1331" s="1039" t="s">
        <v>678</v>
      </c>
      <c r="B1331" s="1040" t="s">
        <v>2447</v>
      </c>
      <c r="C1331" s="1036">
        <v>45646</v>
      </c>
      <c r="D1331" s="1037">
        <v>45708</v>
      </c>
      <c r="E1331" s="1042"/>
    </row>
    <row r="1332" spans="1:5">
      <c r="A1332" s="1039" t="s">
        <v>680</v>
      </c>
      <c r="B1332" s="1040" t="s">
        <v>2448</v>
      </c>
      <c r="C1332" s="1036">
        <v>45646</v>
      </c>
      <c r="D1332" s="1037">
        <v>45708</v>
      </c>
      <c r="E1332" s="1042"/>
    </row>
    <row r="1333" spans="1:5">
      <c r="A1333" s="1039" t="s">
        <v>682</v>
      </c>
      <c r="B1333" s="1040" t="s">
        <v>2449</v>
      </c>
      <c r="C1333" s="1036">
        <v>45646</v>
      </c>
      <c r="D1333" s="1037">
        <v>45708</v>
      </c>
      <c r="E1333" s="1042"/>
    </row>
    <row r="1334" spans="1:5">
      <c r="A1334" s="1039" t="s">
        <v>684</v>
      </c>
      <c r="B1334" s="1040" t="s">
        <v>2450</v>
      </c>
      <c r="C1334" s="1036">
        <v>45646</v>
      </c>
      <c r="D1334" s="1037">
        <v>45708</v>
      </c>
      <c r="E1334" s="1038"/>
    </row>
    <row r="1335" spans="1:5">
      <c r="A1335" s="1039" t="s">
        <v>2365</v>
      </c>
      <c r="B1335" s="1040" t="s">
        <v>2451</v>
      </c>
      <c r="C1335" s="1036">
        <v>45646</v>
      </c>
      <c r="D1335" s="1037">
        <v>45708</v>
      </c>
      <c r="E1335" s="1042"/>
    </row>
    <row r="1336" spans="1:5">
      <c r="A1336" s="1039" t="s">
        <v>2452</v>
      </c>
      <c r="B1336" s="1040" t="s">
        <v>792</v>
      </c>
      <c r="C1336" s="1036">
        <v>45646</v>
      </c>
      <c r="D1336" s="1037">
        <v>45708</v>
      </c>
      <c r="E1336" s="1042"/>
    </row>
    <row r="1337" spans="1:5">
      <c r="A1337" s="1039" t="s">
        <v>796</v>
      </c>
      <c r="B1337" s="1040" t="s">
        <v>2366</v>
      </c>
      <c r="C1337" s="1036">
        <v>45646</v>
      </c>
      <c r="D1337" s="1037">
        <v>45708</v>
      </c>
      <c r="E1337" s="1042"/>
    </row>
    <row r="1338" spans="1:5">
      <c r="A1338" s="1039" t="s">
        <v>798</v>
      </c>
      <c r="B1338" s="1040" t="s">
        <v>2366</v>
      </c>
      <c r="C1338" s="1036">
        <v>45646</v>
      </c>
      <c r="D1338" s="1037">
        <v>45708</v>
      </c>
      <c r="E1338" s="1042"/>
    </row>
    <row r="1339" spans="1:5">
      <c r="A1339" s="1039" t="s">
        <v>807</v>
      </c>
      <c r="B1339" s="1040" t="s">
        <v>2367</v>
      </c>
      <c r="C1339" s="1036">
        <v>45646</v>
      </c>
      <c r="D1339" s="1037">
        <v>45708</v>
      </c>
      <c r="E1339" s="1042"/>
    </row>
    <row r="1340" spans="1:5">
      <c r="A1340" s="1039" t="s">
        <v>813</v>
      </c>
      <c r="B1340" s="1040" t="s">
        <v>2368</v>
      </c>
      <c r="C1340" s="1036">
        <v>45646</v>
      </c>
      <c r="D1340" s="1037">
        <v>45708</v>
      </c>
      <c r="E1340" s="1042"/>
    </row>
    <row r="1341" spans="1:5">
      <c r="A1341" s="1039" t="s">
        <v>565</v>
      </c>
      <c r="B1341" s="1035" t="s">
        <v>2369</v>
      </c>
      <c r="C1341" s="1036">
        <v>45646</v>
      </c>
      <c r="D1341" s="1037">
        <v>45708</v>
      </c>
      <c r="E1341" s="1042"/>
    </row>
    <row r="1342" spans="1:5">
      <c r="A1342" s="1039" t="s">
        <v>2370</v>
      </c>
      <c r="B1342" s="1035" t="s">
        <v>2453</v>
      </c>
      <c r="C1342" s="1036">
        <v>45646</v>
      </c>
      <c r="D1342" s="1037">
        <v>45708</v>
      </c>
      <c r="E1342" s="1038"/>
    </row>
    <row r="1343" spans="1:5">
      <c r="A1343" s="1039" t="s">
        <v>2454</v>
      </c>
      <c r="B1343" s="1040" t="s">
        <v>2455</v>
      </c>
      <c r="C1343" s="1036">
        <v>45646</v>
      </c>
      <c r="D1343" s="1037">
        <v>45708</v>
      </c>
      <c r="E1343" s="1038"/>
    </row>
    <row r="1344" spans="1:5">
      <c r="A1344" s="1039" t="s">
        <v>947</v>
      </c>
      <c r="B1344" s="1040" t="s">
        <v>948</v>
      </c>
      <c r="C1344" s="1036">
        <v>45646</v>
      </c>
      <c r="D1344" s="1037">
        <v>45708</v>
      </c>
      <c r="E1344" s="1038"/>
    </row>
    <row r="1345" spans="1:5">
      <c r="A1345" s="1039" t="s">
        <v>949</v>
      </c>
      <c r="B1345" s="1040" t="s">
        <v>956</v>
      </c>
      <c r="C1345" s="1036">
        <v>45646</v>
      </c>
      <c r="D1345" s="1037">
        <v>45708</v>
      </c>
      <c r="E1345" s="1042"/>
    </row>
    <row r="1346" spans="1:5">
      <c r="A1346" s="1039" t="s">
        <v>950</v>
      </c>
      <c r="B1346" s="1040" t="s">
        <v>956</v>
      </c>
      <c r="C1346" s="1036">
        <v>45646</v>
      </c>
      <c r="D1346" s="1037">
        <v>45708</v>
      </c>
      <c r="E1346" s="1042"/>
    </row>
    <row r="1347" spans="1:5">
      <c r="A1347" s="1039" t="s">
        <v>2456</v>
      </c>
      <c r="B1347" s="1040" t="s">
        <v>2457</v>
      </c>
      <c r="C1347" s="1036">
        <v>45646</v>
      </c>
      <c r="D1347" s="1037">
        <v>45708</v>
      </c>
      <c r="E1347" s="1042"/>
    </row>
    <row r="1348" spans="1:5">
      <c r="A1348" s="1039" t="s">
        <v>955</v>
      </c>
      <c r="B1348" s="1040" t="s">
        <v>2373</v>
      </c>
      <c r="C1348" s="1036">
        <v>45646</v>
      </c>
      <c r="D1348" s="1037">
        <v>45663</v>
      </c>
      <c r="E1348" s="1042"/>
    </row>
    <row r="1349" spans="1:5">
      <c r="A1349" s="1039"/>
      <c r="B1349" s="1040"/>
      <c r="C1349" s="1040"/>
      <c r="D1349" s="1034"/>
      <c r="E1349" s="1042"/>
    </row>
    <row r="1350" spans="1:5">
      <c r="A1350" s="1039"/>
      <c r="B1350" s="1043" t="s">
        <v>1297</v>
      </c>
      <c r="C1350" s="1040"/>
      <c r="D1350" s="1034"/>
      <c r="E1350" s="1042"/>
    </row>
    <row r="1351" spans="1:5">
      <c r="A1351" s="1039" t="s">
        <v>202</v>
      </c>
      <c r="B1351" s="1040" t="s">
        <v>2458</v>
      </c>
      <c r="C1351" s="1036">
        <v>45646</v>
      </c>
      <c r="D1351" s="1037">
        <v>45663</v>
      </c>
      <c r="E1351" s="1042"/>
    </row>
    <row r="1352" spans="1:5">
      <c r="A1352" s="1039" t="s">
        <v>2375</v>
      </c>
      <c r="B1352" s="1040" t="s">
        <v>2459</v>
      </c>
      <c r="C1352" s="1036">
        <v>45646</v>
      </c>
      <c r="D1352" s="1037">
        <v>45663</v>
      </c>
      <c r="E1352" s="1042"/>
    </row>
    <row r="1353" spans="1:5">
      <c r="A1353" s="1039" t="s">
        <v>1315</v>
      </c>
      <c r="B1353" s="1040" t="s">
        <v>1316</v>
      </c>
      <c r="C1353" s="1036">
        <v>45646</v>
      </c>
      <c r="D1353" s="1037">
        <v>45663</v>
      </c>
      <c r="E1353" s="1042"/>
    </row>
    <row r="1354" spans="1:5">
      <c r="A1354" s="1039" t="s">
        <v>1317</v>
      </c>
      <c r="B1354" s="1040" t="s">
        <v>2460</v>
      </c>
      <c r="C1354" s="1036">
        <v>45646</v>
      </c>
      <c r="D1354" s="1037">
        <v>45663</v>
      </c>
      <c r="E1354" s="1042"/>
    </row>
    <row r="1355" spans="1:5">
      <c r="A1355" s="1039" t="s">
        <v>2378</v>
      </c>
      <c r="B1355" s="1040" t="s">
        <v>2379</v>
      </c>
      <c r="C1355" s="1036">
        <v>45646</v>
      </c>
      <c r="D1355" s="1037">
        <v>45663</v>
      </c>
      <c r="E1355" s="1042"/>
    </row>
    <row r="1356" spans="1:5">
      <c r="A1356" s="1039"/>
      <c r="B1356" s="1040"/>
      <c r="C1356" s="1040"/>
      <c r="D1356" s="1034"/>
      <c r="E1356" s="1042"/>
    </row>
    <row r="1357" spans="1:5">
      <c r="A1357" s="1039"/>
      <c r="B1357" s="1043" t="s">
        <v>1124</v>
      </c>
      <c r="C1357" s="1040"/>
      <c r="D1357" s="1034"/>
      <c r="E1357" s="1042"/>
    </row>
    <row r="1358" spans="1:5">
      <c r="A1358" s="1039" t="s">
        <v>2461</v>
      </c>
      <c r="B1358" s="1040" t="s">
        <v>1126</v>
      </c>
      <c r="C1358" s="1050">
        <v>45646</v>
      </c>
      <c r="D1358" s="1051">
        <v>45663</v>
      </c>
      <c r="E1358" s="1042"/>
    </row>
    <row r="1359" spans="1:5">
      <c r="A1359" s="1039" t="s">
        <v>2462</v>
      </c>
      <c r="B1359" s="1040" t="s">
        <v>1128</v>
      </c>
      <c r="C1359" s="1050">
        <v>45646</v>
      </c>
      <c r="D1359" s="1051">
        <v>45663</v>
      </c>
      <c r="E1359" s="1042"/>
    </row>
    <row r="1360" spans="1:5">
      <c r="A1360" s="1039" t="s">
        <v>2463</v>
      </c>
      <c r="B1360" s="1040" t="s">
        <v>2464</v>
      </c>
      <c r="C1360" s="1050">
        <v>45646</v>
      </c>
      <c r="D1360" s="1051">
        <v>45663</v>
      </c>
      <c r="E1360" s="1042"/>
    </row>
    <row r="1361" spans="1:5">
      <c r="A1361" s="1039" t="s">
        <v>2465</v>
      </c>
      <c r="B1361" s="1040" t="s">
        <v>2466</v>
      </c>
      <c r="C1361" s="1050">
        <v>45646</v>
      </c>
      <c r="D1361" s="1051">
        <v>45663</v>
      </c>
      <c r="E1361" s="1042"/>
    </row>
    <row r="1362" spans="1:5">
      <c r="A1362" s="1039" t="s">
        <v>2467</v>
      </c>
      <c r="B1362" s="1040" t="s">
        <v>2466</v>
      </c>
      <c r="C1362" s="1050">
        <v>45646</v>
      </c>
      <c r="D1362" s="1051">
        <v>45663</v>
      </c>
      <c r="E1362" s="1042"/>
    </row>
    <row r="1363" spans="1:5">
      <c r="A1363" s="1039" t="s">
        <v>2468</v>
      </c>
      <c r="B1363" s="1040" t="s">
        <v>2466</v>
      </c>
      <c r="C1363" s="1050">
        <v>45646</v>
      </c>
      <c r="D1363" s="1051">
        <v>45663</v>
      </c>
      <c r="E1363" s="1042"/>
    </row>
    <row r="1364" spans="1:5">
      <c r="A1364" s="1039" t="s">
        <v>2469</v>
      </c>
      <c r="B1364" s="1040" t="s">
        <v>1194</v>
      </c>
      <c r="C1364" s="1050">
        <v>45646</v>
      </c>
      <c r="D1364" s="1051">
        <v>45663</v>
      </c>
      <c r="E1364" s="1042"/>
    </row>
    <row r="1365" spans="1:5">
      <c r="A1365" s="1039" t="s">
        <v>2470</v>
      </c>
      <c r="B1365" s="1040" t="s">
        <v>1194</v>
      </c>
      <c r="C1365" s="1050">
        <v>45646</v>
      </c>
      <c r="D1365" s="1051">
        <v>45663</v>
      </c>
      <c r="E1365" s="1042"/>
    </row>
    <row r="1366" spans="1:5">
      <c r="A1366" s="1039" t="s">
        <v>2471</v>
      </c>
      <c r="B1366" s="1040" t="s">
        <v>1194</v>
      </c>
      <c r="C1366" s="1050">
        <v>45646</v>
      </c>
      <c r="D1366" s="1051">
        <v>45663</v>
      </c>
      <c r="E1366" s="1042"/>
    </row>
    <row r="1367" spans="1:5">
      <c r="A1367" s="1039" t="s">
        <v>2472</v>
      </c>
      <c r="B1367" s="1040" t="s">
        <v>1203</v>
      </c>
      <c r="C1367" s="1050">
        <v>45646</v>
      </c>
      <c r="D1367" s="1051">
        <v>45663</v>
      </c>
      <c r="E1367" s="1042"/>
    </row>
    <row r="1368" spans="1:5">
      <c r="A1368" s="1039" t="s">
        <v>2473</v>
      </c>
      <c r="B1368" s="1040" t="s">
        <v>1203</v>
      </c>
      <c r="C1368" s="1050">
        <v>45646</v>
      </c>
      <c r="D1368" s="1051">
        <v>45663</v>
      </c>
      <c r="E1368" s="1042"/>
    </row>
    <row r="1369" spans="1:5">
      <c r="A1369" s="1039" t="s">
        <v>2474</v>
      </c>
      <c r="B1369" s="1040" t="s">
        <v>1206</v>
      </c>
      <c r="C1369" s="1050">
        <v>45646</v>
      </c>
      <c r="D1369" s="1051">
        <v>45663</v>
      </c>
      <c r="E1369" s="1042"/>
    </row>
    <row r="1370" spans="1:5">
      <c r="A1370" s="1039"/>
      <c r="B1370" s="1040"/>
      <c r="C1370" s="1052"/>
      <c r="D1370" s="1051"/>
      <c r="E1370" s="1042"/>
    </row>
    <row r="1371" spans="1:5">
      <c r="A1371" s="1039"/>
      <c r="B1371" s="1043" t="s">
        <v>978</v>
      </c>
      <c r="C1371" s="1040"/>
      <c r="D1371" s="1034"/>
      <c r="E1371" s="1042"/>
    </row>
    <row r="1372" spans="1:5">
      <c r="A1372" s="1039" t="s">
        <v>2475</v>
      </c>
      <c r="B1372" s="1040" t="s">
        <v>2476</v>
      </c>
      <c r="C1372" s="1050">
        <v>45646</v>
      </c>
      <c r="D1372" s="1051">
        <v>45663</v>
      </c>
      <c r="E1372" s="1042"/>
    </row>
    <row r="1373" spans="1:5">
      <c r="A1373" s="1039" t="s">
        <v>2477</v>
      </c>
      <c r="B1373" s="1040" t="s">
        <v>2478</v>
      </c>
      <c r="C1373" s="1050">
        <v>45646</v>
      </c>
      <c r="D1373" s="1051">
        <v>45663</v>
      </c>
      <c r="E1373" s="1042"/>
    </row>
    <row r="1374" spans="1:5">
      <c r="A1374" s="1039" t="s">
        <v>2479</v>
      </c>
      <c r="B1374" s="1040" t="s">
        <v>2480</v>
      </c>
      <c r="C1374" s="1050">
        <v>45646</v>
      </c>
      <c r="D1374" s="1051">
        <v>45663</v>
      </c>
      <c r="E1374" s="1042"/>
    </row>
    <row r="1375" spans="1:5">
      <c r="A1375" s="1039" t="s">
        <v>2481</v>
      </c>
      <c r="B1375" s="1040" t="s">
        <v>2482</v>
      </c>
      <c r="C1375" s="1050">
        <v>45646</v>
      </c>
      <c r="D1375" s="1051">
        <v>45663</v>
      </c>
      <c r="E1375" s="1042"/>
    </row>
    <row r="1376" spans="1:5">
      <c r="A1376" s="1039" t="s">
        <v>2483</v>
      </c>
      <c r="B1376" s="1040" t="s">
        <v>2484</v>
      </c>
      <c r="C1376" s="1050">
        <v>45646</v>
      </c>
      <c r="D1376" s="1051">
        <v>45663</v>
      </c>
      <c r="E1376" s="1042"/>
    </row>
    <row r="1377" spans="1:5">
      <c r="A1377" s="1039" t="s">
        <v>2485</v>
      </c>
      <c r="B1377" s="1040" t="s">
        <v>2486</v>
      </c>
      <c r="C1377" s="1050">
        <v>45646</v>
      </c>
      <c r="D1377" s="1051">
        <v>45663</v>
      </c>
      <c r="E1377" s="1042"/>
    </row>
    <row r="1378" spans="1:5">
      <c r="A1378" s="1039" t="s">
        <v>2487</v>
      </c>
      <c r="B1378" s="1040" t="s">
        <v>2488</v>
      </c>
      <c r="C1378" s="1050">
        <v>45646</v>
      </c>
      <c r="D1378" s="1051">
        <v>45663</v>
      </c>
      <c r="E1378" s="1042"/>
    </row>
    <row r="1379" spans="1:5">
      <c r="A1379" s="1039" t="s">
        <v>2489</v>
      </c>
      <c r="B1379" s="1040" t="s">
        <v>2490</v>
      </c>
      <c r="C1379" s="1050">
        <v>45646</v>
      </c>
      <c r="D1379" s="1051">
        <v>45663</v>
      </c>
      <c r="E1379" s="1042"/>
    </row>
    <row r="1380" spans="1:5">
      <c r="A1380" s="1039" t="s">
        <v>2491</v>
      </c>
      <c r="B1380" s="1040" t="s">
        <v>2492</v>
      </c>
      <c r="C1380" s="1050">
        <v>45646</v>
      </c>
      <c r="D1380" s="1051">
        <v>45663</v>
      </c>
      <c r="E1380" s="1042"/>
    </row>
    <row r="1381" spans="1:5">
      <c r="A1381" s="1039" t="s">
        <v>2493</v>
      </c>
      <c r="B1381" s="1040" t="s">
        <v>2494</v>
      </c>
      <c r="C1381" s="1050">
        <v>45646</v>
      </c>
      <c r="D1381" s="1051">
        <v>45663</v>
      </c>
      <c r="E1381" s="1042"/>
    </row>
    <row r="1382" spans="1:5">
      <c r="A1382" s="1039" t="s">
        <v>2495</v>
      </c>
      <c r="B1382" s="1040" t="s">
        <v>2496</v>
      </c>
      <c r="C1382" s="1050">
        <v>45646</v>
      </c>
      <c r="D1382" s="1051">
        <v>45663</v>
      </c>
      <c r="E1382" s="1042"/>
    </row>
    <row r="1383" spans="1:5">
      <c r="A1383" s="1039" t="s">
        <v>2497</v>
      </c>
      <c r="B1383" s="1040" t="s">
        <v>1050</v>
      </c>
      <c r="C1383" s="1050">
        <v>45646</v>
      </c>
      <c r="D1383" s="1051">
        <v>45663</v>
      </c>
      <c r="E1383" s="1042"/>
    </row>
    <row r="1384" spans="1:5">
      <c r="A1384" s="1039" t="s">
        <v>2498</v>
      </c>
      <c r="B1384" s="1040" t="s">
        <v>1052</v>
      </c>
      <c r="C1384" s="1050">
        <v>45646</v>
      </c>
      <c r="D1384" s="1051">
        <v>45663</v>
      </c>
      <c r="E1384" s="1042"/>
    </row>
    <row r="1385" spans="1:5">
      <c r="A1385" s="1039" t="s">
        <v>2499</v>
      </c>
      <c r="B1385" s="1040" t="s">
        <v>2400</v>
      </c>
      <c r="C1385" s="1050">
        <v>45646</v>
      </c>
      <c r="D1385" s="1051">
        <v>45663</v>
      </c>
      <c r="E1385" s="1042"/>
    </row>
    <row r="1386" spans="1:5">
      <c r="A1386" s="1039" t="s">
        <v>2500</v>
      </c>
      <c r="B1386" s="1040" t="s">
        <v>1064</v>
      </c>
      <c r="C1386" s="1050">
        <v>45646</v>
      </c>
      <c r="D1386" s="1051">
        <v>45663</v>
      </c>
      <c r="E1386" s="1042"/>
    </row>
    <row r="1387" spans="1:5">
      <c r="A1387" s="1039" t="s">
        <v>2501</v>
      </c>
      <c r="B1387" s="1040" t="s">
        <v>1076</v>
      </c>
      <c r="C1387" s="1050">
        <v>45646</v>
      </c>
      <c r="D1387" s="1051">
        <v>45663</v>
      </c>
      <c r="E1387" s="1042"/>
    </row>
    <row r="1388" spans="1:5">
      <c r="A1388" s="1039"/>
      <c r="B1388" s="1040"/>
      <c r="C1388" s="1040"/>
      <c r="D1388" s="1034"/>
      <c r="E1388" s="1042"/>
    </row>
    <row r="1389" spans="1:5">
      <c r="A1389" s="1039"/>
      <c r="B1389" s="1043" t="s">
        <v>1232</v>
      </c>
      <c r="C1389" s="1040"/>
      <c r="D1389" s="1034"/>
      <c r="E1389" s="1042"/>
    </row>
    <row r="1390" spans="1:5">
      <c r="A1390" s="1039" t="s">
        <v>2502</v>
      </c>
      <c r="B1390" s="1040" t="s">
        <v>1234</v>
      </c>
      <c r="C1390" s="1050">
        <v>45646</v>
      </c>
      <c r="D1390" s="1051">
        <v>45663</v>
      </c>
      <c r="E1390" s="1042"/>
    </row>
    <row r="1391" spans="1:5">
      <c r="A1391" s="1039" t="s">
        <v>2503</v>
      </c>
      <c r="B1391" s="1040" t="s">
        <v>2504</v>
      </c>
      <c r="C1391" s="1050">
        <v>45646</v>
      </c>
      <c r="D1391" s="1051">
        <v>45663</v>
      </c>
      <c r="E1391" s="1042"/>
    </row>
    <row r="1392" spans="1:5">
      <c r="A1392" s="1039" t="s">
        <v>2505</v>
      </c>
      <c r="B1392" s="1040" t="s">
        <v>2504</v>
      </c>
      <c r="C1392" s="1050">
        <v>45646</v>
      </c>
      <c r="D1392" s="1051">
        <v>45663</v>
      </c>
      <c r="E1392" s="1042"/>
    </row>
    <row r="1393" spans="1:5">
      <c r="A1393" s="1039" t="s">
        <v>2506</v>
      </c>
      <c r="B1393" s="1040" t="s">
        <v>1291</v>
      </c>
      <c r="C1393" s="1050">
        <v>45646</v>
      </c>
      <c r="D1393" s="1051">
        <v>45663</v>
      </c>
      <c r="E1393" s="1042"/>
    </row>
    <row r="1394" spans="1:5">
      <c r="A1394" s="1039" t="s">
        <v>2507</v>
      </c>
      <c r="B1394" s="1040" t="s">
        <v>1295</v>
      </c>
      <c r="C1394" s="1050">
        <v>45646</v>
      </c>
      <c r="D1394" s="1051">
        <v>45663</v>
      </c>
      <c r="E1394" s="1042"/>
    </row>
    <row r="1395" spans="1:5">
      <c r="A1395" s="1039"/>
      <c r="B1395" s="1040"/>
      <c r="C1395" s="1040"/>
      <c r="D1395" s="1034"/>
      <c r="E1395" s="1042"/>
    </row>
    <row r="1396" spans="1:5">
      <c r="A1396" s="1039"/>
      <c r="B1396" s="1043" t="s">
        <v>2424</v>
      </c>
      <c r="C1396" s="1044"/>
      <c r="D1396" s="1037"/>
      <c r="E1396" s="1049"/>
    </row>
    <row r="1397" spans="1:5">
      <c r="A1397" s="1039" t="s">
        <v>1351</v>
      </c>
      <c r="B1397" s="1040" t="s">
        <v>1352</v>
      </c>
      <c r="C1397" s="1036">
        <v>45646</v>
      </c>
      <c r="D1397" s="1037">
        <v>45663</v>
      </c>
      <c r="E1397" s="1049"/>
    </row>
    <row r="1398" spans="1:5">
      <c r="A1398" s="1039" t="s">
        <v>1353</v>
      </c>
      <c r="B1398" s="1040" t="s">
        <v>1354</v>
      </c>
      <c r="C1398" s="1036">
        <v>45646</v>
      </c>
      <c r="D1398" s="1037">
        <v>45663</v>
      </c>
      <c r="E1398" s="1049"/>
    </row>
    <row r="1399" spans="1:5">
      <c r="A1399" s="1039" t="s">
        <v>1355</v>
      </c>
      <c r="B1399" s="1040" t="s">
        <v>1356</v>
      </c>
      <c r="C1399" s="1036">
        <v>45646</v>
      </c>
      <c r="D1399" s="1037">
        <v>45663</v>
      </c>
      <c r="E1399" s="1049"/>
    </row>
    <row r="1400" spans="1:5">
      <c r="A1400" s="1039" t="s">
        <v>1357</v>
      </c>
      <c r="B1400" s="1040" t="s">
        <v>1358</v>
      </c>
      <c r="C1400" s="1036">
        <v>45646</v>
      </c>
      <c r="D1400" s="1037">
        <v>45663</v>
      </c>
      <c r="E1400" s="1049"/>
    </row>
    <row r="1401" spans="1:5">
      <c r="A1401" s="1039" t="s">
        <v>1359</v>
      </c>
      <c r="B1401" s="1040" t="s">
        <v>1360</v>
      </c>
      <c r="C1401" s="1036">
        <v>45646</v>
      </c>
      <c r="D1401" s="1037">
        <v>45663</v>
      </c>
      <c r="E1401" s="1049"/>
    </row>
    <row r="1402" spans="1:5">
      <c r="A1402" s="1039" t="s">
        <v>1361</v>
      </c>
      <c r="B1402" s="1040" t="s">
        <v>2425</v>
      </c>
      <c r="C1402" s="1036">
        <v>45646</v>
      </c>
      <c r="D1402" s="1037">
        <v>45663</v>
      </c>
      <c r="E1402" s="1049"/>
    </row>
    <row r="1403" spans="1:5">
      <c r="A1403" s="1039" t="s">
        <v>1363</v>
      </c>
      <c r="B1403" s="1040" t="s">
        <v>1364</v>
      </c>
      <c r="C1403" s="1036">
        <v>45646</v>
      </c>
      <c r="D1403" s="1037">
        <v>45663</v>
      </c>
      <c r="E1403" s="1049"/>
    </row>
    <row r="1404" spans="1:5">
      <c r="A1404" s="1039" t="s">
        <v>1365</v>
      </c>
      <c r="B1404" s="1040" t="s">
        <v>1366</v>
      </c>
      <c r="C1404" s="1036">
        <v>45646</v>
      </c>
      <c r="D1404" s="1037">
        <v>45663</v>
      </c>
      <c r="E1404" s="1049"/>
    </row>
    <row r="1405" spans="1:5">
      <c r="A1405" s="1039" t="s">
        <v>1367</v>
      </c>
      <c r="B1405" s="1040" t="s">
        <v>1368</v>
      </c>
      <c r="C1405" s="1036">
        <v>45646</v>
      </c>
      <c r="D1405" s="1037">
        <v>45663</v>
      </c>
      <c r="E1405" s="1049"/>
    </row>
    <row r="1406" spans="1:5">
      <c r="A1406" s="1039" t="s">
        <v>1351</v>
      </c>
      <c r="B1406" s="1040" t="s">
        <v>1369</v>
      </c>
      <c r="C1406" s="1036">
        <v>45646</v>
      </c>
      <c r="D1406" s="1037">
        <v>45663</v>
      </c>
      <c r="E1406" s="1049"/>
    </row>
    <row r="1407" spans="1:5">
      <c r="A1407" s="1039" t="s">
        <v>1353</v>
      </c>
      <c r="B1407" s="1040" t="s">
        <v>1370</v>
      </c>
      <c r="C1407" s="1036">
        <v>45646</v>
      </c>
      <c r="D1407" s="1037">
        <v>45663</v>
      </c>
      <c r="E1407" s="1049"/>
    </row>
    <row r="1408" spans="1:5">
      <c r="A1408" s="1039" t="s">
        <v>1355</v>
      </c>
      <c r="B1408" s="1040" t="s">
        <v>1371</v>
      </c>
      <c r="C1408" s="1036">
        <v>45646</v>
      </c>
      <c r="D1408" s="1037">
        <v>45663</v>
      </c>
      <c r="E1408" s="1049"/>
    </row>
    <row r="1409" spans="1:5">
      <c r="A1409" s="1039" t="s">
        <v>1357</v>
      </c>
      <c r="B1409" s="1040" t="s">
        <v>1374</v>
      </c>
      <c r="C1409" s="1036">
        <v>45646</v>
      </c>
      <c r="D1409" s="1037">
        <v>45663</v>
      </c>
      <c r="E1409" s="1049"/>
    </row>
    <row r="1410" spans="1:5">
      <c r="A1410" s="1039" t="s">
        <v>1359</v>
      </c>
      <c r="B1410" s="1040" t="s">
        <v>1375</v>
      </c>
      <c r="C1410" s="1036">
        <v>45646</v>
      </c>
      <c r="D1410" s="1037">
        <v>45663</v>
      </c>
      <c r="E1410" s="1049"/>
    </row>
    <row r="1411" spans="1:5">
      <c r="A1411" s="1039" t="s">
        <v>1361</v>
      </c>
      <c r="B1411" s="1040" t="s">
        <v>1376</v>
      </c>
      <c r="C1411" s="1036">
        <v>45646</v>
      </c>
      <c r="D1411" s="1037">
        <v>45663</v>
      </c>
      <c r="E1411" s="1049"/>
    </row>
    <row r="1412" spans="1:5">
      <c r="A1412" s="1039" t="s">
        <v>1363</v>
      </c>
      <c r="B1412" s="1040" t="s">
        <v>1377</v>
      </c>
      <c r="C1412" s="1036">
        <v>45646</v>
      </c>
      <c r="D1412" s="1037">
        <v>45663</v>
      </c>
      <c r="E1412" s="1049"/>
    </row>
    <row r="1413" spans="1:5">
      <c r="A1413" s="1039" t="s">
        <v>1365</v>
      </c>
      <c r="B1413" s="1040" t="s">
        <v>1378</v>
      </c>
      <c r="C1413" s="1036">
        <v>45646</v>
      </c>
      <c r="D1413" s="1037">
        <v>45663</v>
      </c>
      <c r="E1413" s="1049"/>
    </row>
    <row r="1414" spans="1:5">
      <c r="A1414" s="1039" t="s">
        <v>1367</v>
      </c>
      <c r="B1414" s="1040" t="s">
        <v>1379</v>
      </c>
      <c r="C1414" s="1036">
        <v>45646</v>
      </c>
      <c r="D1414" s="1037">
        <v>45663</v>
      </c>
      <c r="E1414" s="1049"/>
    </row>
    <row r="1415" spans="1:5">
      <c r="A1415" s="1039"/>
      <c r="B1415" s="1040"/>
      <c r="C1415" s="1044"/>
      <c r="D1415" s="1037"/>
      <c r="E1415" s="1049"/>
    </row>
    <row r="1416" spans="1:5">
      <c r="A1416" s="1039"/>
      <c r="B1416" s="1043" t="s">
        <v>1476</v>
      </c>
      <c r="C1416" s="1044"/>
      <c r="D1416" s="1037"/>
      <c r="E1416" s="1049"/>
    </row>
    <row r="1417" spans="1:5">
      <c r="A1417" s="1039" t="s">
        <v>1477</v>
      </c>
      <c r="B1417" s="1040" t="s">
        <v>1478</v>
      </c>
      <c r="C1417" s="1036">
        <v>45646</v>
      </c>
      <c r="D1417" s="1037">
        <v>45663</v>
      </c>
      <c r="E1417" s="1049"/>
    </row>
    <row r="1418" spans="1:5">
      <c r="A1418" s="1039" t="s">
        <v>1479</v>
      </c>
      <c r="B1418" s="1040" t="s">
        <v>1480</v>
      </c>
      <c r="C1418" s="1036">
        <v>45646</v>
      </c>
      <c r="D1418" s="1037">
        <v>45663</v>
      </c>
      <c r="E1418" s="1049"/>
    </row>
    <row r="1419" spans="1:5">
      <c r="A1419" s="1039" t="s">
        <v>1481</v>
      </c>
      <c r="B1419" s="1040" t="s">
        <v>1482</v>
      </c>
      <c r="C1419" s="1036">
        <v>45646</v>
      </c>
      <c r="D1419" s="1037">
        <v>45663</v>
      </c>
      <c r="E1419" s="1049"/>
    </row>
    <row r="1420" spans="1:5">
      <c r="A1420" s="1039" t="s">
        <v>1483</v>
      </c>
      <c r="B1420" s="1040" t="s">
        <v>1484</v>
      </c>
      <c r="C1420" s="1036">
        <v>45646</v>
      </c>
      <c r="D1420" s="1037">
        <v>45663</v>
      </c>
      <c r="E1420" s="1049"/>
    </row>
    <row r="1421" spans="1:5">
      <c r="A1421" s="1039" t="s">
        <v>1485</v>
      </c>
      <c r="B1421" s="1040" t="s">
        <v>1484</v>
      </c>
      <c r="C1421" s="1036">
        <v>45646</v>
      </c>
      <c r="D1421" s="1037">
        <v>45663</v>
      </c>
      <c r="E1421" s="1049"/>
    </row>
    <row r="1422" spans="1:5">
      <c r="A1422" s="1039" t="s">
        <v>1486</v>
      </c>
      <c r="B1422" s="1040" t="s">
        <v>1484</v>
      </c>
      <c r="C1422" s="1036">
        <v>45646</v>
      </c>
      <c r="D1422" s="1037">
        <v>45663</v>
      </c>
      <c r="E1422" s="1049"/>
    </row>
    <row r="1423" spans="1:5">
      <c r="A1423" s="1039" t="s">
        <v>1479</v>
      </c>
      <c r="B1423" s="1040" t="s">
        <v>1488</v>
      </c>
      <c r="C1423" s="1036">
        <v>45646</v>
      </c>
      <c r="D1423" s="1037">
        <v>45663</v>
      </c>
      <c r="E1423" s="1049"/>
    </row>
    <row r="1424" spans="1:5">
      <c r="A1424" s="1039" t="s">
        <v>1483</v>
      </c>
      <c r="B1424" s="1040" t="s">
        <v>1488</v>
      </c>
      <c r="C1424" s="1036">
        <v>45646</v>
      </c>
      <c r="D1424" s="1037">
        <v>45663</v>
      </c>
      <c r="E1424" s="1049"/>
    </row>
    <row r="1425" spans="1:5">
      <c r="A1425" s="1039" t="s">
        <v>1485</v>
      </c>
      <c r="B1425" s="1040" t="s">
        <v>1488</v>
      </c>
      <c r="C1425" s="1036">
        <v>45646</v>
      </c>
      <c r="D1425" s="1037">
        <v>45663</v>
      </c>
      <c r="E1425" s="1049"/>
    </row>
    <row r="1426" spans="1:5">
      <c r="A1426" s="1039" t="s">
        <v>1486</v>
      </c>
      <c r="B1426" s="1040" t="s">
        <v>1488</v>
      </c>
      <c r="C1426" s="1036">
        <v>45646</v>
      </c>
      <c r="D1426" s="1037">
        <v>45663</v>
      </c>
      <c r="E1426" s="1049"/>
    </row>
    <row r="1427" spans="1:5">
      <c r="A1427" s="1053"/>
      <c r="B1427" s="1054"/>
      <c r="C1427" s="1054"/>
      <c r="D1427" s="1055"/>
      <c r="E1427" s="1042"/>
    </row>
    <row r="1428" spans="1:5">
      <c r="A1428" s="1056"/>
      <c r="B1428" s="1057" t="s">
        <v>2426</v>
      </c>
      <c r="C1428" s="1058"/>
      <c r="D1428" s="1059"/>
      <c r="E1428" s="1060"/>
    </row>
    <row r="1429" spans="1:5">
      <c r="A1429" s="1056" t="s">
        <v>1524</v>
      </c>
      <c r="B1429" s="1061" t="s">
        <v>2508</v>
      </c>
      <c r="C1429" s="1058" t="s">
        <v>2509</v>
      </c>
      <c r="D1429" s="1059">
        <v>45708</v>
      </c>
      <c r="E1429" s="1060"/>
    </row>
    <row r="1430" spans="1:5">
      <c r="A1430" s="1056" t="s">
        <v>1526</v>
      </c>
      <c r="B1430" s="1061" t="s">
        <v>2510</v>
      </c>
      <c r="C1430" s="1058" t="s">
        <v>2509</v>
      </c>
      <c r="D1430" s="1059">
        <v>45708</v>
      </c>
      <c r="E1430" s="1060"/>
    </row>
    <row r="1431" spans="1:5">
      <c r="A1431" s="1056" t="s">
        <v>1528</v>
      </c>
      <c r="B1431" s="1061" t="s">
        <v>2511</v>
      </c>
      <c r="C1431" s="1058" t="s">
        <v>2509</v>
      </c>
      <c r="D1431" s="1059">
        <v>45708</v>
      </c>
      <c r="E1431" s="1060"/>
    </row>
    <row r="1432" spans="1:5">
      <c r="A1432" s="1056" t="s">
        <v>1530</v>
      </c>
      <c r="B1432" s="1061" t="s">
        <v>2512</v>
      </c>
      <c r="C1432" s="1058" t="s">
        <v>2509</v>
      </c>
      <c r="D1432" s="1059">
        <v>45708</v>
      </c>
      <c r="E1432" s="1060"/>
    </row>
    <row r="1433" spans="1:5">
      <c r="A1433" s="1056" t="s">
        <v>1614</v>
      </c>
      <c r="B1433" s="1061" t="s">
        <v>2513</v>
      </c>
      <c r="C1433" s="1058" t="s">
        <v>2509</v>
      </c>
      <c r="D1433" s="1059">
        <v>45708</v>
      </c>
      <c r="E1433" s="1060"/>
    </row>
    <row r="1434" spans="1:5">
      <c r="A1434" s="1056" t="s">
        <v>1616</v>
      </c>
      <c r="B1434" s="1061" t="s">
        <v>2513</v>
      </c>
      <c r="C1434" s="1058" t="s">
        <v>2509</v>
      </c>
      <c r="D1434" s="1059">
        <v>45708</v>
      </c>
      <c r="E1434" s="1060"/>
    </row>
    <row r="1435" spans="1:5">
      <c r="A1435" s="1056"/>
      <c r="B1435" s="1061"/>
      <c r="C1435" s="1058"/>
      <c r="D1435" s="1059"/>
      <c r="E1435" s="1060"/>
    </row>
    <row r="1436" spans="1:5">
      <c r="A1436" s="1056"/>
      <c r="B1436" s="1057"/>
      <c r="C1436" s="1058"/>
      <c r="D1436" s="1059"/>
      <c r="E1436" s="1060"/>
    </row>
    <row r="1437" spans="1:5">
      <c r="A1437" s="1062" t="s">
        <v>1623</v>
      </c>
      <c r="B1437" s="1061" t="s">
        <v>595</v>
      </c>
      <c r="C1437" s="1058">
        <v>45618</v>
      </c>
      <c r="D1437" s="1059">
        <v>45663</v>
      </c>
      <c r="E1437" s="1060"/>
    </row>
    <row r="1438" spans="1:5">
      <c r="A1438" s="1056" t="s">
        <v>1625</v>
      </c>
      <c r="B1438" s="1061" t="s">
        <v>1626</v>
      </c>
      <c r="C1438" s="1058">
        <v>45618</v>
      </c>
      <c r="D1438" s="1059">
        <v>45663</v>
      </c>
      <c r="E1438" s="1060"/>
    </row>
    <row r="1439" spans="1:5">
      <c r="A1439" s="1056" t="s">
        <v>1627</v>
      </c>
      <c r="B1439" s="1061" t="s">
        <v>2514</v>
      </c>
      <c r="C1439" s="1058">
        <v>45618</v>
      </c>
      <c r="D1439" s="1059">
        <v>45663</v>
      </c>
      <c r="E1439" s="1060"/>
    </row>
    <row r="1440" spans="1:5">
      <c r="A1440" s="1056" t="s">
        <v>1633</v>
      </c>
      <c r="B1440" s="1061" t="s">
        <v>2515</v>
      </c>
      <c r="C1440" s="1058">
        <v>45618</v>
      </c>
      <c r="D1440" s="1059">
        <v>45663</v>
      </c>
      <c r="E1440" s="1060"/>
    </row>
    <row r="1441" spans="1:5">
      <c r="A1441" s="1056" t="s">
        <v>1635</v>
      </c>
      <c r="B1441" s="1061" t="s">
        <v>2516</v>
      </c>
      <c r="C1441" s="1058">
        <v>45618</v>
      </c>
      <c r="D1441" s="1059">
        <v>45663</v>
      </c>
      <c r="E1441" s="1060"/>
    </row>
    <row r="1442" spans="1:5">
      <c r="A1442" s="1056" t="s">
        <v>1637</v>
      </c>
      <c r="B1442" s="1061" t="s">
        <v>2517</v>
      </c>
      <c r="C1442" s="1058">
        <v>45618</v>
      </c>
      <c r="D1442" s="1059">
        <v>45663</v>
      </c>
      <c r="E1442" s="1060"/>
    </row>
    <row r="1443" spans="1:5">
      <c r="A1443" s="1056" t="s">
        <v>1647</v>
      </c>
      <c r="B1443" s="1061" t="s">
        <v>2518</v>
      </c>
      <c r="C1443" s="1058">
        <v>45618</v>
      </c>
      <c r="D1443" s="1059">
        <v>45663</v>
      </c>
      <c r="E1443" s="1060"/>
    </row>
    <row r="1444" spans="1:5">
      <c r="A1444" s="1056" t="s">
        <v>1649</v>
      </c>
      <c r="B1444" s="1061" t="s">
        <v>2519</v>
      </c>
      <c r="C1444" s="1058">
        <v>45618</v>
      </c>
      <c r="D1444" s="1059">
        <v>45663</v>
      </c>
      <c r="E1444" s="1060"/>
    </row>
    <row r="1445" spans="1:5">
      <c r="A1445" s="1056" t="s">
        <v>1659</v>
      </c>
      <c r="B1445" s="1061" t="s">
        <v>2520</v>
      </c>
      <c r="C1445" s="1058">
        <v>45618</v>
      </c>
      <c r="D1445" s="1059">
        <v>45663</v>
      </c>
      <c r="E1445" s="1060"/>
    </row>
    <row r="1446" spans="1:5">
      <c r="A1446" s="1056" t="s">
        <v>1665</v>
      </c>
      <c r="B1446" s="1061" t="s">
        <v>2521</v>
      </c>
      <c r="C1446" s="1058">
        <v>45618</v>
      </c>
      <c r="D1446" s="1059">
        <v>45663</v>
      </c>
      <c r="E1446" s="1060"/>
    </row>
    <row r="1447" spans="1:5">
      <c r="A1447" s="1056" t="s">
        <v>1677</v>
      </c>
      <c r="B1447" s="1061" t="s">
        <v>2522</v>
      </c>
      <c r="C1447" s="1058">
        <v>45618</v>
      </c>
      <c r="D1447" s="1059">
        <v>45663</v>
      </c>
      <c r="E1447" s="1060"/>
    </row>
    <row r="1448" spans="1:5">
      <c r="A1448" s="1056" t="s">
        <v>1720</v>
      </c>
      <c r="B1448" s="1061" t="s">
        <v>2523</v>
      </c>
      <c r="C1448" s="1058">
        <v>45618</v>
      </c>
      <c r="D1448" s="1059">
        <v>45663</v>
      </c>
      <c r="E1448" s="1060"/>
    </row>
    <row r="1449" spans="1:5">
      <c r="A1449" s="1056" t="s">
        <v>2524</v>
      </c>
      <c r="B1449" s="1061" t="s">
        <v>2525</v>
      </c>
      <c r="C1449" s="1058">
        <v>45618</v>
      </c>
      <c r="D1449" s="1059">
        <v>45663</v>
      </c>
      <c r="E1449" s="1060"/>
    </row>
    <row r="1450" spans="1:5">
      <c r="A1450" s="1056" t="s">
        <v>2526</v>
      </c>
      <c r="B1450" s="1061" t="s">
        <v>2527</v>
      </c>
      <c r="C1450" s="1058">
        <v>45618</v>
      </c>
      <c r="D1450" s="1059">
        <v>45663</v>
      </c>
      <c r="E1450" s="1060"/>
    </row>
    <row r="1451" spans="1:5">
      <c r="A1451" s="1056" t="s">
        <v>1734</v>
      </c>
      <c r="B1451" s="1061" t="s">
        <v>2437</v>
      </c>
      <c r="C1451" s="1058">
        <v>45618</v>
      </c>
      <c r="D1451" s="1059">
        <v>45663</v>
      </c>
      <c r="E1451" s="1060"/>
    </row>
    <row r="1452" spans="1:5">
      <c r="A1452" s="1056" t="s">
        <v>1736</v>
      </c>
      <c r="B1452" s="1061" t="s">
        <v>2437</v>
      </c>
      <c r="C1452" s="1058">
        <v>45618</v>
      </c>
      <c r="D1452" s="1059">
        <v>45663</v>
      </c>
      <c r="E1452" s="1060"/>
    </row>
    <row r="1453" spans="1:5">
      <c r="A1453" s="1056" t="s">
        <v>1737</v>
      </c>
      <c r="B1453" s="1061" t="s">
        <v>2437</v>
      </c>
      <c r="C1453" s="1058">
        <v>45618</v>
      </c>
      <c r="D1453" s="1059">
        <v>45663</v>
      </c>
      <c r="E1453" s="1060"/>
    </row>
    <row r="1454" spans="1:5">
      <c r="A1454" s="1056" t="s">
        <v>1841</v>
      </c>
      <c r="B1454" s="1061" t="s">
        <v>2528</v>
      </c>
      <c r="C1454" s="1058">
        <v>45618</v>
      </c>
      <c r="D1454" s="1059">
        <v>45663</v>
      </c>
      <c r="E1454" s="1060"/>
    </row>
    <row r="1455" spans="1:5">
      <c r="A1455" s="1056" t="s">
        <v>1843</v>
      </c>
      <c r="B1455" s="1061" t="s">
        <v>2529</v>
      </c>
      <c r="C1455" s="1058">
        <v>45618</v>
      </c>
      <c r="D1455" s="1059">
        <v>45663</v>
      </c>
      <c r="E1455" s="1060"/>
    </row>
    <row r="1456" spans="1:5">
      <c r="A1456" s="1056" t="s">
        <v>2439</v>
      </c>
      <c r="B1456" s="1061" t="s">
        <v>2530</v>
      </c>
      <c r="C1456" s="1058">
        <v>45618</v>
      </c>
      <c r="D1456" s="1059">
        <v>45663</v>
      </c>
      <c r="E1456" s="1060"/>
    </row>
    <row r="1457" spans="1:5">
      <c r="A1457" s="1056" t="s">
        <v>1845</v>
      </c>
      <c r="B1457" s="1061" t="s">
        <v>2531</v>
      </c>
      <c r="C1457" s="1058">
        <v>45618</v>
      </c>
      <c r="D1457" s="1059">
        <v>45663</v>
      </c>
      <c r="E1457" s="1060"/>
    </row>
    <row r="1458" spans="1:5">
      <c r="A1458" s="1056" t="s">
        <v>1846</v>
      </c>
      <c r="B1458" s="1061" t="s">
        <v>2532</v>
      </c>
      <c r="C1458" s="1058">
        <v>45618</v>
      </c>
      <c r="D1458" s="1059">
        <v>45663</v>
      </c>
      <c r="E1458" s="1060"/>
    </row>
    <row r="1459" spans="1:5">
      <c r="A1459" s="1056" t="s">
        <v>1848</v>
      </c>
      <c r="B1459" s="1061" t="s">
        <v>2533</v>
      </c>
      <c r="C1459" s="1058">
        <v>45618</v>
      </c>
      <c r="D1459" s="1059">
        <v>45663</v>
      </c>
      <c r="E1459" s="1060"/>
    </row>
    <row r="1460" spans="1:5">
      <c r="A1460" s="1056"/>
      <c r="B1460" s="1061"/>
      <c r="C1460" s="1058"/>
      <c r="D1460" s="1059"/>
      <c r="E1460" s="1060"/>
    </row>
    <row r="1461" spans="1:5">
      <c r="A1461" s="1056"/>
      <c r="B1461" s="1061" t="s">
        <v>2534</v>
      </c>
      <c r="C1461" s="1058" t="s">
        <v>2535</v>
      </c>
      <c r="D1461" s="1059"/>
      <c r="E1461" s="1060"/>
    </row>
    <row r="1462" spans="1:5">
      <c r="A1462" s="1056"/>
      <c r="B1462" s="1061" t="s">
        <v>2536</v>
      </c>
      <c r="C1462" s="1058" t="s">
        <v>2537</v>
      </c>
      <c r="D1462" s="1059"/>
      <c r="E1462" s="1060"/>
    </row>
    <row r="1463" spans="1:5">
      <c r="A1463" s="1056"/>
      <c r="B1463" s="1061" t="s">
        <v>2538</v>
      </c>
      <c r="C1463" s="1058" t="s">
        <v>2539</v>
      </c>
      <c r="D1463" s="1059"/>
      <c r="E1463" s="1060"/>
    </row>
  </sheetData>
  <mergeCells count="4">
    <mergeCell ref="A5:B5"/>
    <mergeCell ref="A6:B6"/>
    <mergeCell ref="A2:E2"/>
    <mergeCell ref="A3:E3"/>
  </mergeCells>
  <pageMargins left="0.2" right="0.2" top="0.5" bottom="0.5" header="0.3" footer="0.3"/>
  <pageSetup scale="77" fitToHeight="0" orientation="portrait" r:id="rId1"/>
  <headerFooter>
    <oddFooter>&amp;CPage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9881-21A8-4786-95EE-9D4652C9E0C7}">
  <sheetPr>
    <tabColor rgb="FFFFFF00"/>
    <pageSetUpPr fitToPage="1"/>
  </sheetPr>
  <dimension ref="A1:R64"/>
  <sheetViews>
    <sheetView topLeftCell="A8" zoomScaleNormal="100" workbookViewId="0">
      <selection activeCell="G15" sqref="G15"/>
    </sheetView>
  </sheetViews>
  <sheetFormatPr defaultColWidth="9.140625" defaultRowHeight="14.25"/>
  <cols>
    <col min="1" max="1" width="5.7109375" style="190" customWidth="1"/>
    <col min="2" max="2" width="15.7109375" style="190" customWidth="1"/>
    <col min="3" max="3" width="75.7109375" style="151" customWidth="1"/>
    <col min="4" max="4" width="9.140625" style="151"/>
    <col min="5" max="5" width="11.28515625" style="151" bestFit="1" customWidth="1"/>
    <col min="6" max="16384" width="9.140625" style="151"/>
  </cols>
  <sheetData>
    <row r="1" spans="1:18" s="184" customFormat="1" ht="45" customHeight="1">
      <c r="A1" s="183"/>
      <c r="B1" s="183"/>
    </row>
    <row r="2" spans="1:18" s="184" customFormat="1" ht="6" customHeight="1">
      <c r="A2" s="736"/>
      <c r="B2" s="736"/>
      <c r="C2" s="736"/>
      <c r="F2" s="151"/>
      <c r="G2" s="151"/>
      <c r="H2" s="151"/>
    </row>
    <row r="3" spans="1:18" s="203" customFormat="1" ht="18">
      <c r="A3" s="855" t="str">
        <f>'Area Calculations'!B4</f>
        <v>Atlantic Fields Club Core / Dock Bar / Spa Pods / Water Features</v>
      </c>
      <c r="B3" s="855"/>
      <c r="C3" s="855"/>
      <c r="D3" s="185"/>
      <c r="E3" s="186"/>
      <c r="F3" s="162"/>
      <c r="G3" s="162"/>
      <c r="H3" s="162"/>
    </row>
    <row r="4" spans="1:18" s="162" customFormat="1">
      <c r="A4" s="162" t="str">
        <f>'Area Calculations'!B5</f>
        <v>Hobe Sound</v>
      </c>
      <c r="L4" s="204"/>
      <c r="N4" s="204"/>
      <c r="P4" s="204"/>
      <c r="R4" s="204"/>
    </row>
    <row r="5" spans="1:18" s="162" customFormat="1" ht="15">
      <c r="A5" s="851" t="s">
        <v>2540</v>
      </c>
      <c r="B5" s="851"/>
      <c r="C5" s="851"/>
      <c r="L5" s="204"/>
      <c r="N5" s="204"/>
      <c r="P5" s="204"/>
      <c r="R5" s="204"/>
    </row>
    <row r="6" spans="1:18" s="162" customFormat="1">
      <c r="A6" s="852">
        <f ca="1">TODAY()</f>
        <v>46146</v>
      </c>
      <c r="B6" s="852"/>
      <c r="C6" s="852"/>
      <c r="L6" s="204"/>
      <c r="N6" s="204"/>
      <c r="P6" s="204"/>
      <c r="R6" s="204"/>
    </row>
    <row r="7" spans="1:18" ht="15">
      <c r="A7" s="1028" t="s">
        <v>2541</v>
      </c>
      <c r="B7" s="1063" t="s">
        <v>2542</v>
      </c>
      <c r="C7" s="1064" t="s">
        <v>2543</v>
      </c>
    </row>
    <row r="8" spans="1:18" s="184" customFormat="1">
      <c r="A8" s="574">
        <v>1</v>
      </c>
      <c r="B8" s="587" t="str">
        <f>'Cost Summary'!A8</f>
        <v>02 21 00</v>
      </c>
      <c r="C8" s="575" t="str">
        <f>'02 21 Survey '!H5</f>
        <v>Velcon Engineering and Surveying</v>
      </c>
    </row>
    <row r="9" spans="1:18" s="192" customFormat="1">
      <c r="A9" s="193">
        <f t="shared" ref="A9:A62" si="0">A8+1</f>
        <v>2</v>
      </c>
      <c r="B9" s="587" t="str">
        <f>'Cost Summary'!A9</f>
        <v>03 30 00</v>
      </c>
      <c r="C9" s="191" t="str">
        <f>'03 30 CIP Concrete'!H6</f>
        <v>Victory Concrete</v>
      </c>
    </row>
    <row r="10" spans="1:18" s="192" customFormat="1">
      <c r="A10" s="193">
        <f t="shared" si="0"/>
        <v>3</v>
      </c>
      <c r="B10" s="587" t="str">
        <f>'Cost Summary'!A10</f>
        <v>04 40 00</v>
      </c>
      <c r="C10" s="191" t="str">
        <f>'04 40 Stone Veneer'!H5</f>
        <v>Titan Stone</v>
      </c>
    </row>
    <row r="11" spans="1:18" s="192" customFormat="1">
      <c r="A11" s="193">
        <f t="shared" si="0"/>
        <v>4</v>
      </c>
      <c r="B11" s="587" t="str">
        <f>'Cost Summary'!A11</f>
        <v>05 10 00</v>
      </c>
      <c r="C11" s="191" t="str">
        <f>'05 10 Structural Steel'!J5</f>
        <v>VM Iron Works</v>
      </c>
    </row>
    <row r="12" spans="1:18" s="192" customFormat="1">
      <c r="A12" s="193">
        <f t="shared" si="0"/>
        <v>5</v>
      </c>
      <c r="B12" s="587" t="str">
        <f>'Cost Summary'!A12</f>
        <v>05 52 00</v>
      </c>
      <c r="C12" s="191" t="str">
        <f>'05 52 Railings'!H5</f>
        <v>JC Iron Ornamental</v>
      </c>
    </row>
    <row r="13" spans="1:18" s="192" customFormat="1">
      <c r="A13" s="193">
        <f t="shared" si="0"/>
        <v>6</v>
      </c>
      <c r="B13" s="587" t="str">
        <f>'Cost Summary'!A13</f>
        <v>05 70 00</v>
      </c>
      <c r="C13" s="191" t="str">
        <f>'05 70 Arch Metals'!H5</f>
        <v>VM Iron Works</v>
      </c>
    </row>
    <row r="14" spans="1:18" s="184" customFormat="1">
      <c r="A14" s="577">
        <f t="shared" si="0"/>
        <v>7</v>
      </c>
      <c r="B14" s="587" t="str">
        <f>'Cost Summary'!A14</f>
        <v>06 10 00</v>
      </c>
      <c r="C14" s="575" t="s">
        <v>2544</v>
      </c>
    </row>
    <row r="15" spans="1:18" s="192" customFormat="1">
      <c r="A15" s="193">
        <f t="shared" si="0"/>
        <v>8</v>
      </c>
      <c r="B15" s="587" t="str">
        <f>'Cost Summary'!A15</f>
        <v>06 40 00</v>
      </c>
      <c r="C15" s="191" t="str">
        <f>'06 40 Exterior Finish Carpentry'!H5</f>
        <v>Lotspeich Co.</v>
      </c>
    </row>
    <row r="16" spans="1:18" s="184" customFormat="1">
      <c r="A16" s="577">
        <f t="shared" si="0"/>
        <v>9</v>
      </c>
      <c r="B16" s="587" t="str">
        <f>'Cost Summary'!A16</f>
        <v>06 50 00</v>
      </c>
      <c r="C16" s="575" t="str">
        <f>'06 50 Millwork'!H5</f>
        <v>Beaubois</v>
      </c>
    </row>
    <row r="17" spans="1:3" s="192" customFormat="1">
      <c r="A17" s="193">
        <f t="shared" si="0"/>
        <v>10</v>
      </c>
      <c r="B17" s="587" t="str">
        <f>'Cost Summary'!A17</f>
        <v>07 17 00</v>
      </c>
      <c r="C17" s="191" t="str">
        <f>'07 17 Waterproofing &amp; Caulk'!H5</f>
        <v>Triton</v>
      </c>
    </row>
    <row r="18" spans="1:3" s="184" customFormat="1">
      <c r="A18" s="577">
        <f t="shared" si="0"/>
        <v>11</v>
      </c>
      <c r="B18" s="587" t="str">
        <f>'Cost Summary'!A18</f>
        <v>07 21 00</v>
      </c>
      <c r="C18" s="575" t="str">
        <f>'07 21 Insulation'!H5</f>
        <v>Gale Insulation</v>
      </c>
    </row>
    <row r="19" spans="1:3" s="192" customFormat="1">
      <c r="A19" s="193">
        <f t="shared" si="0"/>
        <v>12</v>
      </c>
      <c r="B19" s="587" t="str">
        <f>'Cost Summary'!A19</f>
        <v>07 50 00</v>
      </c>
      <c r="C19" s="191" t="str">
        <f>'07 50 Roofing'!H5</f>
        <v>Vero Beach Roofing</v>
      </c>
    </row>
    <row r="20" spans="1:3" s="192" customFormat="1">
      <c r="A20" s="193">
        <f t="shared" si="0"/>
        <v>13</v>
      </c>
      <c r="B20" s="587" t="str">
        <f>'Cost Summary'!A20</f>
        <v>07 81 00</v>
      </c>
      <c r="C20" s="191" t="str">
        <f>'07 81 Fireproofing'!H5</f>
        <v>Fire Stop Systems</v>
      </c>
    </row>
    <row r="21" spans="1:3" s="192" customFormat="1">
      <c r="A21" s="193">
        <f t="shared" si="0"/>
        <v>14</v>
      </c>
      <c r="B21" s="587" t="str">
        <f>'Cost Summary'!A21</f>
        <v>08 10 70</v>
      </c>
      <c r="C21" s="191" t="str">
        <f>'08 10 DFH'!H5</f>
        <v>Atlantic Doors &amp; Hard</v>
      </c>
    </row>
    <row r="22" spans="1:3" s="192" customFormat="1">
      <c r="A22" s="193">
        <f t="shared" si="0"/>
        <v>15</v>
      </c>
      <c r="B22" s="587" t="str">
        <f>'Cost Summary'!A22</f>
        <v>08 11 00</v>
      </c>
      <c r="C22" s="191" t="str">
        <f>'08 11 Insect Screens'!H5</f>
        <v>Shades by Design</v>
      </c>
    </row>
    <row r="23" spans="1:3" s="192" customFormat="1">
      <c r="A23" s="193">
        <f t="shared" si="0"/>
        <v>16</v>
      </c>
      <c r="B23" s="587" t="str">
        <f>'Cost Summary'!A23</f>
        <v>08 33 00</v>
      </c>
      <c r="C23" s="191" t="str">
        <f>'08 33 OH Coiling Doors'!H5</f>
        <v>D&amp;D Garage Door</v>
      </c>
    </row>
    <row r="24" spans="1:3" s="192" customFormat="1">
      <c r="A24" s="193">
        <f t="shared" si="0"/>
        <v>17</v>
      </c>
      <c r="B24" s="587" t="str">
        <f>'Cost Summary'!A24</f>
        <v>08 50 00</v>
      </c>
      <c r="C24" s="191" t="str">
        <f>'08 50 Storefront'!H5</f>
        <v>Ready Window</v>
      </c>
    </row>
    <row r="25" spans="1:3" s="192" customFormat="1">
      <c r="A25" s="193">
        <f t="shared" si="0"/>
        <v>18</v>
      </c>
      <c r="B25" s="587" t="str">
        <f>'Cost Summary'!A25</f>
        <v>08 60 00</v>
      </c>
      <c r="C25" s="191" t="str">
        <f>'08 60 Skylights'!H5</f>
        <v>Skylight Concepts</v>
      </c>
    </row>
    <row r="26" spans="1:3" s="192" customFormat="1">
      <c r="A26" s="193">
        <f t="shared" si="0"/>
        <v>19</v>
      </c>
      <c r="B26" s="587" t="str">
        <f>'Cost Summary'!A26</f>
        <v>09 24 00</v>
      </c>
      <c r="C26" s="191" t="str">
        <f>'09 24 Stucco'!H5</f>
        <v>Welch Plastering, Inc.</v>
      </c>
    </row>
    <row r="27" spans="1:3" s="192" customFormat="1">
      <c r="A27" s="193">
        <f t="shared" si="0"/>
        <v>20</v>
      </c>
      <c r="B27" s="587" t="str">
        <f>'Cost Summary'!A27</f>
        <v>09 26 00</v>
      </c>
      <c r="C27" s="191" t="str">
        <f>'09 26 Plaster'!L5</f>
        <v>Foster Reeve &amp; Associates</v>
      </c>
    </row>
    <row r="28" spans="1:3" s="192" customFormat="1">
      <c r="A28" s="193">
        <f t="shared" si="0"/>
        <v>21</v>
      </c>
      <c r="B28" s="587" t="str">
        <f>'Cost Summary'!A28</f>
        <v>09 29 00</v>
      </c>
      <c r="C28" s="191" t="str">
        <f>'09 29 Gypsum Board'!H5</f>
        <v>Tony Rodrigues Metal Framing, Inc.</v>
      </c>
    </row>
    <row r="29" spans="1:3" s="192" customFormat="1">
      <c r="A29" s="193">
        <f t="shared" si="0"/>
        <v>22</v>
      </c>
      <c r="B29" s="587" t="str">
        <f>'Cost Summary'!A29</f>
        <v>09 30 00</v>
      </c>
      <c r="C29" s="191" t="str">
        <f>'09 30 Tile'!H5</f>
        <v>Jack Walsh Carpets &amp; Rugs, Inc.</v>
      </c>
    </row>
    <row r="30" spans="1:3" s="192" customFormat="1">
      <c r="A30" s="193">
        <f t="shared" si="0"/>
        <v>23</v>
      </c>
      <c r="B30" s="587" t="str">
        <f>'Cost Summary'!A30</f>
        <v>09 41 00</v>
      </c>
      <c r="C30" s="191" t="str">
        <f>'09 41 Resinous Flooring'!H5</f>
        <v>Applied Flooring Technologies</v>
      </c>
    </row>
    <row r="31" spans="1:3" s="192" customFormat="1">
      <c r="A31" s="193">
        <f t="shared" si="0"/>
        <v>24</v>
      </c>
      <c r="B31" s="587" t="str">
        <f>'Cost Summary'!A31</f>
        <v>09 51 00</v>
      </c>
      <c r="C31" s="191" t="str">
        <f>'09 51 ACT'!H5</f>
        <v>Lotspeich Co.</v>
      </c>
    </row>
    <row r="32" spans="1:3" s="192" customFormat="1">
      <c r="A32" s="193">
        <f t="shared" si="0"/>
        <v>25</v>
      </c>
      <c r="B32" s="587" t="str">
        <f>'Cost Summary'!A32</f>
        <v>09 60 00</v>
      </c>
      <c r="C32" s="191" t="str">
        <f>'09 60 Resilient Flooring'!H5</f>
        <v>Jack Walsh Carpets &amp; Rugs, Inc.</v>
      </c>
    </row>
    <row r="33" spans="1:3" s="192" customFormat="1">
      <c r="A33" s="193">
        <f t="shared" si="0"/>
        <v>26</v>
      </c>
      <c r="B33" s="587" t="str">
        <f>'Cost Summary'!A33</f>
        <v>09 64 00</v>
      </c>
      <c r="C33" s="191" t="str">
        <f>'09 64 Wood Flooring'!H5</f>
        <v>Jack Walsh Carpets &amp; Rugs, Inc.</v>
      </c>
    </row>
    <row r="34" spans="1:3" s="192" customFormat="1">
      <c r="A34" s="193">
        <f t="shared" si="0"/>
        <v>27</v>
      </c>
      <c r="B34" s="587" t="str">
        <f>'Cost Summary'!A34</f>
        <v>09 90 00</v>
      </c>
      <c r="C34" s="191" t="str">
        <f>'09 90 Painting'!H5</f>
        <v>Advanced Painting Contractors</v>
      </c>
    </row>
    <row r="35" spans="1:3" s="192" customFormat="1">
      <c r="A35" s="193">
        <f t="shared" si="0"/>
        <v>28</v>
      </c>
      <c r="B35" s="587" t="str">
        <f>'Cost Summary'!A35</f>
        <v>10 22 00</v>
      </c>
      <c r="C35" s="191" t="str">
        <f>'10 22 Demountable Part'!H5</f>
        <v>Pending</v>
      </c>
    </row>
    <row r="36" spans="1:3" s="192" customFormat="1">
      <c r="A36" s="193">
        <f t="shared" si="0"/>
        <v>29</v>
      </c>
      <c r="B36" s="587" t="str">
        <f>'Cost Summary'!A36</f>
        <v>10 28 00</v>
      </c>
      <c r="C36" s="191" t="str">
        <f>'10 28 Specialties'!H5</f>
        <v xml:space="preserve">Interior Specialties </v>
      </c>
    </row>
    <row r="37" spans="1:3" s="192" customFormat="1">
      <c r="A37" s="193">
        <f t="shared" si="0"/>
        <v>30</v>
      </c>
      <c r="B37" s="587" t="str">
        <f>'Cost Summary'!A37</f>
        <v>10 30 00</v>
      </c>
      <c r="C37" s="191" t="str">
        <f>'10 30 Fireplace '!H5</f>
        <v>Hedrick</v>
      </c>
    </row>
    <row r="38" spans="1:3" s="192" customFormat="1">
      <c r="A38" s="193">
        <f t="shared" si="0"/>
        <v>31</v>
      </c>
      <c r="B38" s="587" t="str">
        <f>'Cost Summary'!A38</f>
        <v>10 51 00</v>
      </c>
      <c r="C38" s="191" t="str">
        <f>'10 51 Lockers'!H5</f>
        <v>Hollman</v>
      </c>
    </row>
    <row r="39" spans="1:3" s="192" customFormat="1">
      <c r="A39" s="193">
        <f t="shared" si="0"/>
        <v>32</v>
      </c>
      <c r="B39" s="587" t="str">
        <f>'Cost Summary'!A39</f>
        <v>10 53 00</v>
      </c>
      <c r="C39" s="191" t="str">
        <f>'10 53 Signage'!H5</f>
        <v>Pending</v>
      </c>
    </row>
    <row r="40" spans="1:3" s="184" customFormat="1">
      <c r="A40" s="577">
        <f t="shared" si="0"/>
        <v>33</v>
      </c>
      <c r="B40" s="587" t="str">
        <f>'Cost Summary'!A40</f>
        <v>10 73 00</v>
      </c>
      <c r="C40" s="575" t="str">
        <f>'10 73 Canopy'!H5</f>
        <v>Pending</v>
      </c>
    </row>
    <row r="41" spans="1:3" s="192" customFormat="1">
      <c r="A41" s="193">
        <f t="shared" si="0"/>
        <v>34</v>
      </c>
      <c r="B41" s="587" t="str">
        <f>'Cost Summary'!A41</f>
        <v>11 40 00</v>
      </c>
      <c r="C41" s="191" t="str">
        <f>'11 40 FS Equip'!H5</f>
        <v>Cheney Bros</v>
      </c>
    </row>
    <row r="42" spans="1:3" s="192" customFormat="1">
      <c r="A42" s="193">
        <f t="shared" si="0"/>
        <v>35</v>
      </c>
      <c r="B42" s="587" t="str">
        <f>'Cost Summary'!A42</f>
        <v>11 40 00</v>
      </c>
      <c r="C42" s="191" t="str">
        <f>'11 40 Appliances'!H5</f>
        <v>Hedrick</v>
      </c>
    </row>
    <row r="43" spans="1:3" s="192" customFormat="1">
      <c r="A43" s="193">
        <f t="shared" si="0"/>
        <v>36</v>
      </c>
      <c r="B43" s="587" t="str">
        <f>'Cost Summary'!A43</f>
        <v>12 20 00</v>
      </c>
      <c r="C43" s="191" t="str">
        <f>'12 20 Window Treatments'!H5</f>
        <v>Shades by Design</v>
      </c>
    </row>
    <row r="44" spans="1:3" s="192" customFormat="1">
      <c r="A44" s="193">
        <f t="shared" si="0"/>
        <v>37</v>
      </c>
      <c r="B44" s="587" t="str">
        <f>'Cost Summary'!A44</f>
        <v>13 11 00</v>
      </c>
      <c r="C44" s="191" t="str">
        <f>'13 11 Pool'!H5</f>
        <v>Apex</v>
      </c>
    </row>
    <row r="45" spans="1:3" s="184" customFormat="1">
      <c r="A45" s="577">
        <f t="shared" si="0"/>
        <v>38</v>
      </c>
      <c r="B45" s="587" t="str">
        <f>'Cost Summary'!A45</f>
        <v>13 12 00</v>
      </c>
      <c r="C45" s="575" t="str">
        <f>'13 12 Spa Rooms'!H5</f>
        <v>Design for Leisure</v>
      </c>
    </row>
    <row r="46" spans="1:3" s="192" customFormat="1">
      <c r="A46" s="193">
        <f t="shared" si="0"/>
        <v>39</v>
      </c>
      <c r="B46" s="587" t="str">
        <f>'Cost Summary'!A46</f>
        <v>14 00 00</v>
      </c>
      <c r="C46" s="191" t="str">
        <f>'14 00 Elevators'!H5</f>
        <v>Otis Elevator Company</v>
      </c>
    </row>
    <row r="47" spans="1:3" s="192" customFormat="1">
      <c r="A47" s="193">
        <f t="shared" si="0"/>
        <v>40</v>
      </c>
      <c r="B47" s="587" t="str">
        <f>'Cost Summary'!A47</f>
        <v>14 91 00</v>
      </c>
      <c r="C47" s="191" t="str">
        <f>'14 91 Linen Chute'!H5</f>
        <v>Wilkinson Hi-Rise</v>
      </c>
    </row>
    <row r="48" spans="1:3" s="184" customFormat="1">
      <c r="A48" s="577">
        <f t="shared" si="0"/>
        <v>41</v>
      </c>
      <c r="B48" s="587" t="str">
        <f>'Cost Summary'!A48</f>
        <v>21 13 00</v>
      </c>
      <c r="C48" s="575" t="str">
        <f>'21 13 Fire Protection'!H5</f>
        <v>Century</v>
      </c>
    </row>
    <row r="49" spans="1:3" s="184" customFormat="1">
      <c r="A49" s="577">
        <f t="shared" si="0"/>
        <v>42</v>
      </c>
      <c r="B49" s="587" t="str">
        <f>'Cost Summary'!A49</f>
        <v>22 00 00</v>
      </c>
      <c r="C49" s="575" t="str">
        <f>'22 00 Plumbing '!H5</f>
        <v>Medic Air Systems</v>
      </c>
    </row>
    <row r="50" spans="1:3" s="184" customFormat="1">
      <c r="A50" s="577">
        <f t="shared" si="0"/>
        <v>43</v>
      </c>
      <c r="B50" s="587" t="str">
        <f>'Cost Summary'!A50</f>
        <v>23 00 00</v>
      </c>
      <c r="C50" s="575" t="str">
        <f>'23 00 HVAC'!H5</f>
        <v>Mechanicool Inc.</v>
      </c>
    </row>
    <row r="51" spans="1:3" s="184" customFormat="1">
      <c r="A51" s="577">
        <f t="shared" si="0"/>
        <v>44</v>
      </c>
      <c r="B51" s="587" t="str">
        <f>'Cost Summary'!A51</f>
        <v>26 00 00</v>
      </c>
      <c r="C51" s="575" t="str">
        <f>'26 00 Electrical'!H5</f>
        <v>ECSI</v>
      </c>
    </row>
    <row r="52" spans="1:3" s="184" customFormat="1">
      <c r="A52" s="577">
        <f t="shared" si="0"/>
        <v>45</v>
      </c>
      <c r="B52" s="587" t="str">
        <f>'Cost Summary'!A52</f>
        <v>27 10 00</v>
      </c>
      <c r="C52" s="575" t="str">
        <f>'27 10 Structured Cable'!H5</f>
        <v>Jade Communications</v>
      </c>
    </row>
    <row r="53" spans="1:3" s="184" customFormat="1">
      <c r="A53" s="577">
        <f t="shared" si="0"/>
        <v>46</v>
      </c>
      <c r="B53" s="587" t="str">
        <f>'Cost Summary'!A53</f>
        <v>27 40 00</v>
      </c>
      <c r="C53" s="575" t="str">
        <f>'27 40 AV System'!H5</f>
        <v>Jade Communications</v>
      </c>
    </row>
    <row r="54" spans="1:3" s="184" customFormat="1">
      <c r="A54" s="577">
        <f t="shared" si="0"/>
        <v>47</v>
      </c>
      <c r="B54" s="587" t="str">
        <f>'Cost Summary'!A54</f>
        <v>27 50 00</v>
      </c>
      <c r="C54" s="575" t="str">
        <f>'27 53 BDA System'!H5</f>
        <v>Nautilus RF LLC</v>
      </c>
    </row>
    <row r="55" spans="1:3" s="184" customFormat="1">
      <c r="A55" s="577">
        <f t="shared" si="0"/>
        <v>48</v>
      </c>
      <c r="B55" s="587" t="str">
        <f>'Cost Summary'!A55</f>
        <v>28 10 00</v>
      </c>
      <c r="C55" s="575" t="str">
        <f>'28 10 Security'!H5</f>
        <v>Jade Communications</v>
      </c>
    </row>
    <row r="56" spans="1:3" s="184" customFormat="1">
      <c r="A56" s="577">
        <f t="shared" si="0"/>
        <v>49</v>
      </c>
      <c r="B56" s="587" t="str">
        <f>'Cost Summary'!A56</f>
        <v>31 30 10</v>
      </c>
      <c r="C56" s="575" t="str">
        <f>'31 30 Site Work'!H5</f>
        <v>Guettler Brothers</v>
      </c>
    </row>
    <row r="57" spans="1:3" s="184" customFormat="1">
      <c r="A57" s="577">
        <f t="shared" si="0"/>
        <v>50</v>
      </c>
      <c r="B57" s="587" t="str">
        <f>'Cost Summary'!A57</f>
        <v>31 32 00</v>
      </c>
      <c r="C57" s="575" t="str">
        <f>'31 32 Soil Stabilization'!H5</f>
        <v>Pending</v>
      </c>
    </row>
    <row r="58" spans="1:3" s="184" customFormat="1">
      <c r="A58" s="577">
        <f t="shared" si="0"/>
        <v>51</v>
      </c>
      <c r="B58" s="587" t="str">
        <f>'Cost Summary'!A58</f>
        <v>32 14 00</v>
      </c>
      <c r="C58" s="575" t="str">
        <f>'32 14 Hardsacpe - Walls'!H5</f>
        <v>Pending</v>
      </c>
    </row>
    <row r="59" spans="1:3" s="192" customFormat="1">
      <c r="A59" s="577">
        <f t="shared" si="0"/>
        <v>52</v>
      </c>
      <c r="B59" s="587" t="str">
        <f>'Cost Summary'!A59</f>
        <v>32 14 00</v>
      </c>
      <c r="C59" s="191" t="str">
        <f>'32 14 Hardsacpe - Pavers'!H5</f>
        <v>Apex</v>
      </c>
    </row>
    <row r="60" spans="1:3" s="192" customFormat="1">
      <c r="A60" s="193">
        <f t="shared" si="0"/>
        <v>53</v>
      </c>
      <c r="B60" s="587" t="str">
        <f>'Cost Summary'!A60</f>
        <v>32 31 00</v>
      </c>
      <c r="C60" s="191" t="str">
        <f>'32 31 Fence &amp; Gates'!H5</f>
        <v>A Great Fence</v>
      </c>
    </row>
    <row r="61" spans="1:3" s="192" customFormat="1">
      <c r="A61" s="193">
        <f t="shared" si="0"/>
        <v>54</v>
      </c>
      <c r="B61" s="587" t="str">
        <f>'Cost Summary'!A61</f>
        <v>32 80 00</v>
      </c>
      <c r="C61" s="191" t="str">
        <f>'32 80 Landscape'!H5</f>
        <v>TCI Rood</v>
      </c>
    </row>
    <row r="62" spans="1:3" s="192" customFormat="1">
      <c r="A62" s="593">
        <f t="shared" si="0"/>
        <v>55</v>
      </c>
      <c r="B62" s="591"/>
      <c r="C62" s="197"/>
    </row>
    <row r="63" spans="1:3" s="192" customFormat="1">
      <c r="A63" s="199"/>
      <c r="B63" s="199"/>
      <c r="C63" s="200"/>
    </row>
    <row r="64" spans="1:3" ht="15">
      <c r="A64" s="187"/>
      <c r="B64" s="187"/>
      <c r="C64" s="188"/>
    </row>
  </sheetData>
  <mergeCells count="3">
    <mergeCell ref="A3:C3"/>
    <mergeCell ref="A5:C5"/>
    <mergeCell ref="A6:C6"/>
  </mergeCells>
  <pageMargins left="0.25" right="0.25" top="0.5" bottom="0.75" header="0.3" footer="0.3"/>
  <pageSetup fitToHeight="0" orientation="portrait" r:id="rId1"/>
  <headerFooter>
    <oddFooter>&amp;C&amp;P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EDEE6-7DCC-49C0-A96A-02BFC2AFD5A4}">
  <sheetPr>
    <tabColor rgb="FFFFFF00"/>
    <pageSetUpPr fitToPage="1"/>
  </sheetPr>
  <dimension ref="A1:U64"/>
  <sheetViews>
    <sheetView zoomScaleNormal="100" workbookViewId="0">
      <selection activeCell="C42" sqref="C42"/>
    </sheetView>
  </sheetViews>
  <sheetFormatPr defaultColWidth="9.140625" defaultRowHeight="14.25"/>
  <cols>
    <col min="1" max="1" width="5.7109375" style="190" customWidth="1"/>
    <col min="2" max="2" width="15.7109375" style="190" customWidth="1"/>
    <col min="3" max="3" width="55.7109375" style="190" customWidth="1"/>
    <col min="4" max="4" width="13.7109375" style="190" customWidth="1"/>
    <col min="5" max="5" width="13.7109375" style="609" customWidth="1"/>
    <col min="6" max="6" width="75.7109375" style="151" customWidth="1"/>
    <col min="7" max="7" width="9.140625" style="151"/>
    <col min="8" max="8" width="11.28515625" style="151" bestFit="1" customWidth="1"/>
    <col min="9" max="16384" width="9.140625" style="151"/>
  </cols>
  <sheetData>
    <row r="1" spans="1:21" s="184" customFormat="1" ht="45" customHeight="1">
      <c r="A1" s="183"/>
      <c r="B1" s="183"/>
      <c r="C1" s="183"/>
      <c r="D1" s="183"/>
      <c r="E1" s="277"/>
    </row>
    <row r="2" spans="1:21" s="184" customFormat="1" ht="6" customHeight="1">
      <c r="A2" s="736"/>
      <c r="B2" s="736"/>
      <c r="C2" s="736"/>
      <c r="D2" s="736"/>
      <c r="E2" s="737"/>
      <c r="F2" s="736"/>
      <c r="I2" s="151"/>
      <c r="J2" s="151"/>
      <c r="K2" s="151"/>
    </row>
    <row r="3" spans="1:21" s="203" customFormat="1" ht="18">
      <c r="A3" s="855" t="str">
        <f>'Area Calculations'!B4</f>
        <v>Atlantic Fields Club Core / Dock Bar / Spa Pods / Water Features</v>
      </c>
      <c r="B3" s="855"/>
      <c r="C3" s="855"/>
      <c r="D3" s="855"/>
      <c r="E3" s="855"/>
      <c r="F3" s="855"/>
      <c r="G3" s="185"/>
      <c r="H3" s="186"/>
      <c r="I3" s="162"/>
      <c r="J3" s="162"/>
      <c r="K3" s="162"/>
    </row>
    <row r="4" spans="1:21" s="162" customFormat="1">
      <c r="A4" s="162" t="str">
        <f>'Area Calculations'!B5</f>
        <v>Hobe Sound</v>
      </c>
      <c r="E4" s="603"/>
      <c r="O4" s="204"/>
      <c r="Q4" s="204"/>
      <c r="S4" s="204"/>
      <c r="U4" s="204"/>
    </row>
    <row r="5" spans="1:21" s="162" customFormat="1" ht="15">
      <c r="A5" s="851" t="s">
        <v>2545</v>
      </c>
      <c r="B5" s="851"/>
      <c r="C5" s="851"/>
      <c r="D5" s="851"/>
      <c r="E5" s="851"/>
      <c r="F5" s="851"/>
      <c r="O5" s="204"/>
      <c r="Q5" s="204"/>
      <c r="S5" s="204"/>
      <c r="U5" s="204"/>
    </row>
    <row r="6" spans="1:21" s="162" customFormat="1">
      <c r="A6" s="852">
        <f ca="1">TODAY()</f>
        <v>46146</v>
      </c>
      <c r="B6" s="852"/>
      <c r="C6" s="852"/>
      <c r="D6" s="852"/>
      <c r="E6" s="852"/>
      <c r="F6" s="852"/>
      <c r="O6" s="204"/>
      <c r="Q6" s="204"/>
      <c r="S6" s="204"/>
      <c r="U6" s="204"/>
    </row>
    <row r="7" spans="1:21" ht="15">
      <c r="A7" s="1028" t="s">
        <v>2541</v>
      </c>
      <c r="B7" s="1063" t="s">
        <v>2542</v>
      </c>
      <c r="C7" s="1063" t="s">
        <v>2546</v>
      </c>
      <c r="D7" s="1065" t="s">
        <v>2547</v>
      </c>
      <c r="E7" s="1065" t="s">
        <v>2548</v>
      </c>
      <c r="F7" s="1064" t="s">
        <v>2549</v>
      </c>
    </row>
    <row r="8" spans="1:21" s="184" customFormat="1">
      <c r="A8" s="574">
        <v>1</v>
      </c>
      <c r="B8" s="587" t="str">
        <f>'Cost Summary'!A8</f>
        <v>02 21 00</v>
      </c>
      <c r="C8" s="601" t="s">
        <v>2550</v>
      </c>
      <c r="D8" s="604">
        <v>1</v>
      </c>
      <c r="E8" s="604">
        <v>1</v>
      </c>
      <c r="F8" s="575" t="s">
        <v>2551</v>
      </c>
    </row>
    <row r="9" spans="1:21" s="192" customFormat="1">
      <c r="A9" s="193">
        <f t="shared" ref="A9:A62" si="0">A8+1</f>
        <v>2</v>
      </c>
      <c r="B9" s="587" t="str">
        <f>'Cost Summary'!A9</f>
        <v>03 30 00</v>
      </c>
      <c r="C9" s="601" t="s">
        <v>2552</v>
      </c>
      <c r="D9" s="605">
        <v>31</v>
      </c>
      <c r="E9" s="605">
        <v>7</v>
      </c>
      <c r="F9" s="191"/>
    </row>
    <row r="10" spans="1:21" s="192" customFormat="1">
      <c r="A10" s="193">
        <f t="shared" si="0"/>
        <v>3</v>
      </c>
      <c r="B10" s="587" t="str">
        <f>'Cost Summary'!A10</f>
        <v>04 40 00</v>
      </c>
      <c r="C10" s="601" t="s">
        <v>2553</v>
      </c>
      <c r="D10" s="605">
        <v>19</v>
      </c>
      <c r="E10" s="605">
        <v>4</v>
      </c>
      <c r="F10" s="191"/>
    </row>
    <row r="11" spans="1:21" s="192" customFormat="1">
      <c r="A11" s="193">
        <f t="shared" si="0"/>
        <v>4</v>
      </c>
      <c r="B11" s="587" t="str">
        <f>'Cost Summary'!A11</f>
        <v>05 10 00</v>
      </c>
      <c r="C11" s="601" t="s">
        <v>2554</v>
      </c>
      <c r="D11" s="605">
        <v>24</v>
      </c>
      <c r="E11" s="605">
        <v>3</v>
      </c>
      <c r="F11" s="191"/>
    </row>
    <row r="12" spans="1:21" s="192" customFormat="1">
      <c r="A12" s="193">
        <f t="shared" si="0"/>
        <v>5</v>
      </c>
      <c r="B12" s="587" t="str">
        <f>'Cost Summary'!A12</f>
        <v>05 52 00</v>
      </c>
      <c r="C12" s="601" t="s">
        <v>2555</v>
      </c>
      <c r="D12" s="605">
        <v>13</v>
      </c>
      <c r="E12" s="605">
        <v>1</v>
      </c>
      <c r="F12" s="191"/>
    </row>
    <row r="13" spans="1:21" s="192" customFormat="1">
      <c r="A13" s="193">
        <f t="shared" si="0"/>
        <v>6</v>
      </c>
      <c r="B13" s="587" t="str">
        <f>'Cost Summary'!A13</f>
        <v>05 70 00</v>
      </c>
      <c r="C13" s="601" t="s">
        <v>2556</v>
      </c>
      <c r="D13" s="605">
        <v>15</v>
      </c>
      <c r="E13" s="605">
        <v>1</v>
      </c>
      <c r="F13" s="191" t="s">
        <v>2557</v>
      </c>
    </row>
    <row r="14" spans="1:21" s="184" customFormat="1">
      <c r="A14" s="577">
        <f t="shared" si="0"/>
        <v>7</v>
      </c>
      <c r="B14" s="587" t="str">
        <f>'Cost Summary'!A14</f>
        <v>06 10 00</v>
      </c>
      <c r="C14" s="601" t="s">
        <v>2558</v>
      </c>
      <c r="D14" s="604">
        <v>3</v>
      </c>
      <c r="E14" s="604">
        <v>2</v>
      </c>
      <c r="F14" s="575" t="s">
        <v>2559</v>
      </c>
    </row>
    <row r="15" spans="1:21" s="192" customFormat="1">
      <c r="A15" s="193">
        <f t="shared" si="0"/>
        <v>8</v>
      </c>
      <c r="B15" s="587" t="str">
        <f>'Cost Summary'!A15</f>
        <v>06 40 00</v>
      </c>
      <c r="C15" s="601" t="s">
        <v>2560</v>
      </c>
      <c r="D15" s="605">
        <v>17</v>
      </c>
      <c r="E15" s="605">
        <v>2</v>
      </c>
      <c r="F15" s="191" t="s">
        <v>2561</v>
      </c>
    </row>
    <row r="16" spans="1:21" s="184" customFormat="1">
      <c r="A16" s="577">
        <f t="shared" si="0"/>
        <v>9</v>
      </c>
      <c r="B16" s="587" t="str">
        <f>'Cost Summary'!A16</f>
        <v>06 50 00</v>
      </c>
      <c r="C16" s="601" t="s">
        <v>236</v>
      </c>
      <c r="D16" s="604">
        <v>23</v>
      </c>
      <c r="E16" s="604">
        <v>8</v>
      </c>
      <c r="F16" s="575"/>
    </row>
    <row r="17" spans="1:6" s="192" customFormat="1">
      <c r="A17" s="193">
        <f t="shared" si="0"/>
        <v>10</v>
      </c>
      <c r="B17" s="587" t="str">
        <f>'Cost Summary'!A17</f>
        <v>07 17 00</v>
      </c>
      <c r="C17" s="601" t="s">
        <v>2562</v>
      </c>
      <c r="D17" s="605">
        <v>25</v>
      </c>
      <c r="E17" s="605">
        <v>2</v>
      </c>
      <c r="F17" s="191"/>
    </row>
    <row r="18" spans="1:6" s="184" customFormat="1">
      <c r="A18" s="577">
        <f t="shared" si="0"/>
        <v>11</v>
      </c>
      <c r="B18" s="587" t="str">
        <f>'Cost Summary'!A18</f>
        <v>07 21 00</v>
      </c>
      <c r="C18" s="601" t="s">
        <v>2563</v>
      </c>
      <c r="D18" s="604">
        <v>10</v>
      </c>
      <c r="E18" s="604">
        <v>2</v>
      </c>
      <c r="F18" s="575"/>
    </row>
    <row r="19" spans="1:6" s="192" customFormat="1">
      <c r="A19" s="193">
        <f t="shared" si="0"/>
        <v>12</v>
      </c>
      <c r="B19" s="587" t="str">
        <f>'Cost Summary'!A19</f>
        <v>07 50 00</v>
      </c>
      <c r="C19" s="601" t="s">
        <v>2564</v>
      </c>
      <c r="D19" s="605">
        <v>34</v>
      </c>
      <c r="E19" s="605">
        <v>6</v>
      </c>
      <c r="F19" s="191"/>
    </row>
    <row r="20" spans="1:6" s="192" customFormat="1">
      <c r="A20" s="193">
        <f t="shared" si="0"/>
        <v>13</v>
      </c>
      <c r="B20" s="587" t="str">
        <f>'Cost Summary'!A20</f>
        <v>07 81 00</v>
      </c>
      <c r="C20" s="601" t="s">
        <v>559</v>
      </c>
      <c r="D20" s="605">
        <v>8</v>
      </c>
      <c r="E20" s="605">
        <v>1</v>
      </c>
      <c r="F20" s="191"/>
    </row>
    <row r="21" spans="1:6" s="192" customFormat="1">
      <c r="A21" s="193">
        <f t="shared" si="0"/>
        <v>14</v>
      </c>
      <c r="B21" s="587" t="str">
        <f>'Cost Summary'!A21</f>
        <v>08 10 70</v>
      </c>
      <c r="C21" s="601" t="s">
        <v>2565</v>
      </c>
      <c r="D21" s="605">
        <v>41</v>
      </c>
      <c r="E21" s="605">
        <v>1</v>
      </c>
      <c r="F21" s="191" t="s">
        <v>2566</v>
      </c>
    </row>
    <row r="22" spans="1:6" s="192" customFormat="1">
      <c r="A22" s="193">
        <f t="shared" si="0"/>
        <v>15</v>
      </c>
      <c r="B22" s="587" t="str">
        <f>'Cost Summary'!A22</f>
        <v>08 11 00</v>
      </c>
      <c r="C22" s="601" t="s">
        <v>2567</v>
      </c>
      <c r="D22" s="605">
        <v>4</v>
      </c>
      <c r="E22" s="605">
        <v>2</v>
      </c>
      <c r="F22" s="191"/>
    </row>
    <row r="23" spans="1:6" s="192" customFormat="1">
      <c r="A23" s="193">
        <f t="shared" si="0"/>
        <v>16</v>
      </c>
      <c r="B23" s="587" t="str">
        <f>'Cost Summary'!A23</f>
        <v>08 33 00</v>
      </c>
      <c r="C23" s="601" t="s">
        <v>2568</v>
      </c>
      <c r="D23" s="605">
        <v>36</v>
      </c>
      <c r="E23" s="605">
        <v>6</v>
      </c>
      <c r="F23" s="191"/>
    </row>
    <row r="24" spans="1:6" s="192" customFormat="1">
      <c r="A24" s="193">
        <f t="shared" si="0"/>
        <v>17</v>
      </c>
      <c r="B24" s="587" t="str">
        <f>'Cost Summary'!A24</f>
        <v>08 50 00</v>
      </c>
      <c r="C24" s="601" t="s">
        <v>2569</v>
      </c>
      <c r="D24" s="605">
        <v>29</v>
      </c>
      <c r="E24" s="605">
        <v>5</v>
      </c>
      <c r="F24" s="191"/>
    </row>
    <row r="25" spans="1:6" s="192" customFormat="1">
      <c r="A25" s="193">
        <f t="shared" si="0"/>
        <v>18</v>
      </c>
      <c r="B25" s="587" t="str">
        <f>'Cost Summary'!A25</f>
        <v>08 60 00</v>
      </c>
      <c r="C25" s="601" t="s">
        <v>2570</v>
      </c>
      <c r="D25" s="605">
        <v>2</v>
      </c>
      <c r="E25" s="605">
        <v>1</v>
      </c>
      <c r="F25" s="191"/>
    </row>
    <row r="26" spans="1:6" s="192" customFormat="1">
      <c r="A26" s="193">
        <f t="shared" si="0"/>
        <v>19</v>
      </c>
      <c r="B26" s="587" t="str">
        <f>'Cost Summary'!A26</f>
        <v>09 24 00</v>
      </c>
      <c r="C26" s="601" t="s">
        <v>2571</v>
      </c>
      <c r="D26" s="605">
        <v>12</v>
      </c>
      <c r="E26" s="605">
        <v>3</v>
      </c>
      <c r="F26" s="191"/>
    </row>
    <row r="27" spans="1:6" s="192" customFormat="1">
      <c r="A27" s="193">
        <f t="shared" si="0"/>
        <v>20</v>
      </c>
      <c r="B27" s="587" t="str">
        <f>'Cost Summary'!A27</f>
        <v>09 26 00</v>
      </c>
      <c r="C27" s="601" t="s">
        <v>2572</v>
      </c>
      <c r="D27" s="605">
        <v>40</v>
      </c>
      <c r="E27" s="605">
        <v>5</v>
      </c>
      <c r="F27" s="191"/>
    </row>
    <row r="28" spans="1:6" s="192" customFormat="1">
      <c r="A28" s="193">
        <f t="shared" si="0"/>
        <v>21</v>
      </c>
      <c r="B28" s="587" t="str">
        <f>'Cost Summary'!A28</f>
        <v>09 29 00</v>
      </c>
      <c r="C28" s="601" t="s">
        <v>2573</v>
      </c>
      <c r="D28" s="605">
        <v>23</v>
      </c>
      <c r="E28" s="605">
        <v>5</v>
      </c>
      <c r="F28" s="191"/>
    </row>
    <row r="29" spans="1:6" s="192" customFormat="1">
      <c r="A29" s="193">
        <f t="shared" si="0"/>
        <v>22</v>
      </c>
      <c r="B29" s="587" t="str">
        <f>'Cost Summary'!A29</f>
        <v>09 30 00</v>
      </c>
      <c r="C29" s="601" t="s">
        <v>2574</v>
      </c>
      <c r="D29" s="605">
        <v>30</v>
      </c>
      <c r="E29" s="605">
        <v>3</v>
      </c>
      <c r="F29" s="191"/>
    </row>
    <row r="30" spans="1:6" s="192" customFormat="1">
      <c r="A30" s="193">
        <f t="shared" si="0"/>
        <v>23</v>
      </c>
      <c r="B30" s="587" t="str">
        <f>'Cost Summary'!A30</f>
        <v>09 41 00</v>
      </c>
      <c r="C30" s="601" t="s">
        <v>2575</v>
      </c>
      <c r="D30" s="605">
        <v>30</v>
      </c>
      <c r="E30" s="605">
        <v>3</v>
      </c>
      <c r="F30" s="191"/>
    </row>
    <row r="31" spans="1:6" s="192" customFormat="1">
      <c r="A31" s="193">
        <f t="shared" si="0"/>
        <v>24</v>
      </c>
      <c r="B31" s="587" t="str">
        <f>'Cost Summary'!A31</f>
        <v>09 51 00</v>
      </c>
      <c r="C31" s="601" t="s">
        <v>2576</v>
      </c>
      <c r="D31" s="605">
        <v>11</v>
      </c>
      <c r="E31" s="605">
        <v>5</v>
      </c>
      <c r="F31" s="191"/>
    </row>
    <row r="32" spans="1:6" s="192" customFormat="1">
      <c r="A32" s="193">
        <f t="shared" si="0"/>
        <v>25</v>
      </c>
      <c r="B32" s="587" t="str">
        <f>'Cost Summary'!A32</f>
        <v>09 60 00</v>
      </c>
      <c r="C32" s="601" t="s">
        <v>2577</v>
      </c>
      <c r="D32" s="605">
        <v>30</v>
      </c>
      <c r="E32" s="605">
        <v>3</v>
      </c>
      <c r="F32" s="191"/>
    </row>
    <row r="33" spans="1:6" s="192" customFormat="1">
      <c r="A33" s="193">
        <f t="shared" si="0"/>
        <v>26</v>
      </c>
      <c r="B33" s="587" t="str">
        <f>'Cost Summary'!A33</f>
        <v>09 64 00</v>
      </c>
      <c r="C33" s="601" t="s">
        <v>2578</v>
      </c>
      <c r="D33" s="605">
        <v>11</v>
      </c>
      <c r="E33" s="605">
        <v>4</v>
      </c>
      <c r="F33" s="191"/>
    </row>
    <row r="34" spans="1:6" s="192" customFormat="1">
      <c r="A34" s="193">
        <f t="shared" si="0"/>
        <v>27</v>
      </c>
      <c r="B34" s="587" t="str">
        <f>'Cost Summary'!A34</f>
        <v>09 90 00</v>
      </c>
      <c r="C34" s="601" t="s">
        <v>2579</v>
      </c>
      <c r="D34" s="605">
        <v>43</v>
      </c>
      <c r="E34" s="605">
        <v>5</v>
      </c>
      <c r="F34" s="191"/>
    </row>
    <row r="35" spans="1:6" s="192" customFormat="1">
      <c r="A35" s="193">
        <f t="shared" si="0"/>
        <v>28</v>
      </c>
      <c r="B35" s="587" t="str">
        <f>'Cost Summary'!A35</f>
        <v>10 22 00</v>
      </c>
      <c r="C35" s="601" t="s">
        <v>2580</v>
      </c>
      <c r="D35" s="605">
        <v>0</v>
      </c>
      <c r="E35" s="605">
        <v>0</v>
      </c>
      <c r="F35" s="191" t="s">
        <v>2581</v>
      </c>
    </row>
    <row r="36" spans="1:6" s="192" customFormat="1">
      <c r="A36" s="193">
        <f t="shared" si="0"/>
        <v>29</v>
      </c>
      <c r="B36" s="587" t="str">
        <f>'Cost Summary'!A36</f>
        <v>10 28 00</v>
      </c>
      <c r="C36" s="601" t="s">
        <v>2582</v>
      </c>
      <c r="D36" s="605">
        <v>15</v>
      </c>
      <c r="E36" s="605">
        <v>3</v>
      </c>
      <c r="F36" s="191"/>
    </row>
    <row r="37" spans="1:6" s="192" customFormat="1">
      <c r="A37" s="193">
        <f t="shared" si="0"/>
        <v>30</v>
      </c>
      <c r="B37" s="587" t="str">
        <f>'Cost Summary'!A37</f>
        <v>10 30 00</v>
      </c>
      <c r="C37" s="601" t="s">
        <v>2583</v>
      </c>
      <c r="D37" s="605">
        <v>1</v>
      </c>
      <c r="E37" s="605">
        <v>1</v>
      </c>
      <c r="F37" s="191"/>
    </row>
    <row r="38" spans="1:6" s="192" customFormat="1">
      <c r="A38" s="193">
        <f t="shared" si="0"/>
        <v>31</v>
      </c>
      <c r="B38" s="587" t="str">
        <f>'Cost Summary'!A38</f>
        <v>10 51 00</v>
      </c>
      <c r="C38" s="601" t="s">
        <v>2584</v>
      </c>
      <c r="D38" s="605">
        <v>2</v>
      </c>
      <c r="E38" s="605">
        <v>2</v>
      </c>
      <c r="F38" s="191" t="s">
        <v>2585</v>
      </c>
    </row>
    <row r="39" spans="1:6" s="192" customFormat="1">
      <c r="A39" s="193">
        <f t="shared" si="0"/>
        <v>32</v>
      </c>
      <c r="B39" s="587" t="str">
        <f>'Cost Summary'!A39</f>
        <v>10 53 00</v>
      </c>
      <c r="C39" s="601" t="s">
        <v>2586</v>
      </c>
      <c r="D39" s="605">
        <v>0</v>
      </c>
      <c r="E39" s="605">
        <v>0</v>
      </c>
      <c r="F39" s="191" t="s">
        <v>2587</v>
      </c>
    </row>
    <row r="40" spans="1:6" s="184" customFormat="1">
      <c r="A40" s="577">
        <f t="shared" si="0"/>
        <v>33</v>
      </c>
      <c r="B40" s="587" t="str">
        <f>'Cost Summary'!A40</f>
        <v>10 73 00</v>
      </c>
      <c r="C40" s="601" t="s">
        <v>2588</v>
      </c>
      <c r="D40" s="604">
        <v>0</v>
      </c>
      <c r="E40" s="604">
        <v>0</v>
      </c>
      <c r="F40" s="575" t="s">
        <v>2587</v>
      </c>
    </row>
    <row r="41" spans="1:6" s="192" customFormat="1">
      <c r="A41" s="193">
        <f t="shared" si="0"/>
        <v>34</v>
      </c>
      <c r="B41" s="587" t="str">
        <f>'Cost Summary'!A41</f>
        <v>11 40 00</v>
      </c>
      <c r="C41" s="601" t="s">
        <v>2589</v>
      </c>
      <c r="D41" s="605">
        <v>16</v>
      </c>
      <c r="E41" s="605">
        <v>1</v>
      </c>
      <c r="F41" s="191" t="s">
        <v>2590</v>
      </c>
    </row>
    <row r="42" spans="1:6" s="192" customFormat="1">
      <c r="A42" s="193">
        <f t="shared" si="0"/>
        <v>35</v>
      </c>
      <c r="B42" s="587" t="str">
        <f>'Cost Summary'!A42</f>
        <v>11 40 00</v>
      </c>
      <c r="C42" s="601" t="s">
        <v>2591</v>
      </c>
      <c r="D42" s="605">
        <v>1</v>
      </c>
      <c r="E42" s="605">
        <v>1</v>
      </c>
      <c r="F42" s="191"/>
    </row>
    <row r="43" spans="1:6" s="192" customFormat="1">
      <c r="A43" s="193">
        <f t="shared" si="0"/>
        <v>36</v>
      </c>
      <c r="B43" s="587" t="str">
        <f>'Cost Summary'!A43</f>
        <v>12 20 00</v>
      </c>
      <c r="C43" s="601" t="s">
        <v>2592</v>
      </c>
      <c r="D43" s="605">
        <v>21</v>
      </c>
      <c r="E43" s="605">
        <v>2</v>
      </c>
      <c r="F43" s="191"/>
    </row>
    <row r="44" spans="1:6" s="192" customFormat="1">
      <c r="A44" s="193">
        <f t="shared" si="0"/>
        <v>37</v>
      </c>
      <c r="B44" s="587" t="str">
        <f>'Cost Summary'!A44</f>
        <v>13 11 00</v>
      </c>
      <c r="C44" s="601" t="s">
        <v>2593</v>
      </c>
      <c r="D44" s="605">
        <v>8</v>
      </c>
      <c r="E44" s="605">
        <v>7</v>
      </c>
      <c r="F44" s="191"/>
    </row>
    <row r="45" spans="1:6" s="184" customFormat="1">
      <c r="A45" s="577">
        <f t="shared" si="0"/>
        <v>38</v>
      </c>
      <c r="B45" s="587" t="str">
        <f>'Cost Summary'!A45</f>
        <v>13 12 00</v>
      </c>
      <c r="C45" s="601" t="s">
        <v>2594</v>
      </c>
      <c r="D45" s="604">
        <v>1</v>
      </c>
      <c r="E45" s="604">
        <v>1</v>
      </c>
      <c r="F45" s="575" t="s">
        <v>2595</v>
      </c>
    </row>
    <row r="46" spans="1:6" s="192" customFormat="1">
      <c r="A46" s="193">
        <f t="shared" si="0"/>
        <v>39</v>
      </c>
      <c r="B46" s="587" t="str">
        <f>'Cost Summary'!A46</f>
        <v>14 00 00</v>
      </c>
      <c r="C46" s="601" t="s">
        <v>2596</v>
      </c>
      <c r="D46" s="605">
        <v>4</v>
      </c>
      <c r="E46" s="605">
        <v>1</v>
      </c>
      <c r="F46" s="191" t="s">
        <v>2597</v>
      </c>
    </row>
    <row r="47" spans="1:6" s="192" customFormat="1">
      <c r="A47" s="193">
        <f t="shared" si="0"/>
        <v>40</v>
      </c>
      <c r="B47" s="587" t="str">
        <f>'Cost Summary'!A47</f>
        <v>14 91 00</v>
      </c>
      <c r="C47" s="601" t="s">
        <v>2598</v>
      </c>
      <c r="D47" s="605">
        <v>6</v>
      </c>
      <c r="E47" s="605">
        <v>1</v>
      </c>
      <c r="F47" s="191"/>
    </row>
    <row r="48" spans="1:6" s="184" customFormat="1">
      <c r="A48" s="577">
        <f t="shared" si="0"/>
        <v>41</v>
      </c>
      <c r="B48" s="587" t="str">
        <f>'Cost Summary'!A48</f>
        <v>21 13 00</v>
      </c>
      <c r="C48" s="601" t="s">
        <v>2599</v>
      </c>
      <c r="D48" s="604">
        <v>22</v>
      </c>
      <c r="E48" s="604">
        <v>4</v>
      </c>
      <c r="F48" s="575"/>
    </row>
    <row r="49" spans="1:6" s="184" customFormat="1">
      <c r="A49" s="577">
        <f t="shared" si="0"/>
        <v>42</v>
      </c>
      <c r="B49" s="587" t="str">
        <f>'Cost Summary'!A49</f>
        <v>22 00 00</v>
      </c>
      <c r="C49" s="601" t="s">
        <v>557</v>
      </c>
      <c r="D49" s="604">
        <v>62</v>
      </c>
      <c r="E49" s="604">
        <v>5</v>
      </c>
      <c r="F49" s="575"/>
    </row>
    <row r="50" spans="1:6" s="184" customFormat="1">
      <c r="A50" s="577">
        <f t="shared" si="0"/>
        <v>43</v>
      </c>
      <c r="B50" s="587" t="str">
        <f>'Cost Summary'!A50</f>
        <v>23 00 00</v>
      </c>
      <c r="C50" s="601" t="s">
        <v>2600</v>
      </c>
      <c r="D50" s="604">
        <v>99</v>
      </c>
      <c r="E50" s="604">
        <v>6</v>
      </c>
      <c r="F50" s="575"/>
    </row>
    <row r="51" spans="1:6" s="184" customFormat="1">
      <c r="A51" s="577">
        <f t="shared" si="0"/>
        <v>44</v>
      </c>
      <c r="B51" s="587" t="str">
        <f>'Cost Summary'!A51</f>
        <v>26 00 00</v>
      </c>
      <c r="C51" s="601" t="s">
        <v>2601</v>
      </c>
      <c r="D51" s="604">
        <v>45</v>
      </c>
      <c r="E51" s="604">
        <v>4</v>
      </c>
      <c r="F51" s="575"/>
    </row>
    <row r="52" spans="1:6" s="184" customFormat="1">
      <c r="A52" s="577">
        <f t="shared" si="0"/>
        <v>45</v>
      </c>
      <c r="B52" s="587" t="str">
        <f>'Cost Summary'!A52</f>
        <v>27 10 00</v>
      </c>
      <c r="C52" s="601" t="s">
        <v>2602</v>
      </c>
      <c r="D52" s="604">
        <v>43</v>
      </c>
      <c r="E52" s="604">
        <v>4</v>
      </c>
      <c r="F52" s="575"/>
    </row>
    <row r="53" spans="1:6" s="184" customFormat="1">
      <c r="A53" s="577">
        <f t="shared" si="0"/>
        <v>46</v>
      </c>
      <c r="B53" s="587" t="str">
        <f>'Cost Summary'!A53</f>
        <v>27 40 00</v>
      </c>
      <c r="C53" s="601" t="s">
        <v>2603</v>
      </c>
      <c r="D53" s="604">
        <v>42</v>
      </c>
      <c r="E53" s="604">
        <v>4</v>
      </c>
      <c r="F53" s="575"/>
    </row>
    <row r="54" spans="1:6" s="184" customFormat="1">
      <c r="A54" s="577">
        <f t="shared" si="0"/>
        <v>47</v>
      </c>
      <c r="B54" s="587" t="str">
        <f>'Cost Summary'!A54</f>
        <v>27 50 00</v>
      </c>
      <c r="C54" s="601" t="s">
        <v>2604</v>
      </c>
      <c r="D54" s="604">
        <v>2</v>
      </c>
      <c r="E54" s="604">
        <v>2</v>
      </c>
      <c r="F54" s="575"/>
    </row>
    <row r="55" spans="1:6" s="184" customFormat="1">
      <c r="A55" s="577">
        <f t="shared" si="0"/>
        <v>48</v>
      </c>
      <c r="B55" s="587" t="str">
        <f>'Cost Summary'!A55</f>
        <v>28 10 00</v>
      </c>
      <c r="C55" s="601" t="s">
        <v>2605</v>
      </c>
      <c r="D55" s="604">
        <v>40</v>
      </c>
      <c r="E55" s="604">
        <v>2</v>
      </c>
      <c r="F55" s="575"/>
    </row>
    <row r="56" spans="1:6" s="184" customFormat="1">
      <c r="A56" s="577">
        <f t="shared" si="0"/>
        <v>49</v>
      </c>
      <c r="B56" s="587" t="str">
        <f>'Cost Summary'!A56</f>
        <v>31 30 10</v>
      </c>
      <c r="C56" s="601" t="s">
        <v>2606</v>
      </c>
      <c r="D56" s="604">
        <v>1</v>
      </c>
      <c r="E56" s="604">
        <v>1</v>
      </c>
      <c r="F56" s="575" t="s">
        <v>2607</v>
      </c>
    </row>
    <row r="57" spans="1:6" s="184" customFormat="1">
      <c r="A57" s="577">
        <f t="shared" si="0"/>
        <v>50</v>
      </c>
      <c r="B57" s="587" t="str">
        <f>'Cost Summary'!A57</f>
        <v>31 32 00</v>
      </c>
      <c r="C57" s="601" t="s">
        <v>2608</v>
      </c>
      <c r="D57" s="604">
        <v>0</v>
      </c>
      <c r="E57" s="604">
        <v>0</v>
      </c>
      <c r="F57" s="575" t="s">
        <v>2609</v>
      </c>
    </row>
    <row r="58" spans="1:6" s="184" customFormat="1">
      <c r="A58" s="577">
        <f t="shared" si="0"/>
        <v>51</v>
      </c>
      <c r="B58" s="587" t="str">
        <f>'Cost Summary'!A58</f>
        <v>32 14 00</v>
      </c>
      <c r="C58" s="601" t="s">
        <v>2610</v>
      </c>
      <c r="D58" s="604">
        <v>0</v>
      </c>
      <c r="E58" s="604">
        <v>0</v>
      </c>
      <c r="F58" s="575" t="s">
        <v>2611</v>
      </c>
    </row>
    <row r="59" spans="1:6" s="192" customFormat="1">
      <c r="A59" s="577">
        <f t="shared" si="0"/>
        <v>52</v>
      </c>
      <c r="B59" s="587" t="str">
        <f>'Cost Summary'!A59</f>
        <v>32 14 00</v>
      </c>
      <c r="C59" s="601" t="s">
        <v>2612</v>
      </c>
      <c r="D59" s="605">
        <v>13</v>
      </c>
      <c r="E59" s="605">
        <v>6</v>
      </c>
      <c r="F59" s="191"/>
    </row>
    <row r="60" spans="1:6" s="192" customFormat="1">
      <c r="A60" s="193">
        <f t="shared" si="0"/>
        <v>53</v>
      </c>
      <c r="B60" s="587" t="str">
        <f>'Cost Summary'!A60</f>
        <v>32 31 00</v>
      </c>
      <c r="C60" s="601" t="s">
        <v>2613</v>
      </c>
      <c r="D60" s="605">
        <v>9</v>
      </c>
      <c r="E60" s="605">
        <v>1</v>
      </c>
      <c r="F60" s="191" t="s">
        <v>2614</v>
      </c>
    </row>
    <row r="61" spans="1:6" s="192" customFormat="1">
      <c r="A61" s="193">
        <f t="shared" si="0"/>
        <v>54</v>
      </c>
      <c r="B61" s="587" t="str">
        <f>'Cost Summary'!A61</f>
        <v>32 80 00</v>
      </c>
      <c r="C61" s="601" t="s">
        <v>2615</v>
      </c>
      <c r="D61" s="605">
        <v>19</v>
      </c>
      <c r="E61" s="605">
        <v>5</v>
      </c>
      <c r="F61" s="191"/>
    </row>
    <row r="62" spans="1:6" s="192" customFormat="1">
      <c r="A62" s="593">
        <f t="shared" si="0"/>
        <v>55</v>
      </c>
      <c r="B62" s="591"/>
      <c r="C62" s="602"/>
      <c r="D62" s="606"/>
      <c r="E62" s="606"/>
      <c r="F62" s="197"/>
    </row>
    <row r="63" spans="1:6" s="192" customFormat="1">
      <c r="A63" s="199"/>
      <c r="B63" s="199"/>
      <c r="C63" s="199"/>
      <c r="D63" s="607">
        <f>SUM(D8:D62)</f>
        <v>1037</v>
      </c>
      <c r="E63" s="607">
        <f>SUM(E8:E62)</f>
        <v>155</v>
      </c>
      <c r="F63" s="200"/>
    </row>
    <row r="64" spans="1:6" ht="15">
      <c r="A64" s="187"/>
      <c r="B64" s="187"/>
      <c r="C64" s="187"/>
      <c r="D64" s="187"/>
      <c r="E64" s="608"/>
      <c r="F64" s="188"/>
    </row>
  </sheetData>
  <mergeCells count="3">
    <mergeCell ref="A3:F3"/>
    <mergeCell ref="A5:F5"/>
    <mergeCell ref="A6:F6"/>
  </mergeCells>
  <pageMargins left="0.25" right="0.25" top="0.5" bottom="0.75" header="0.3" footer="0.3"/>
  <pageSetup fitToHeight="0" orientation="portrait" r:id="rId1"/>
  <headerFooter>
    <oddFooter>&amp;C&amp;P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sheetPr>
    <tabColor rgb="FFFFFF00"/>
    <pageSetUpPr fitToPage="1"/>
  </sheetPr>
  <dimension ref="A1:S64"/>
  <sheetViews>
    <sheetView zoomScaleNormal="100" workbookViewId="0">
      <selection activeCell="F8" sqref="F8"/>
    </sheetView>
  </sheetViews>
  <sheetFormatPr defaultColWidth="9.140625" defaultRowHeight="14.25"/>
  <cols>
    <col min="1" max="1" width="5.7109375" style="190" customWidth="1"/>
    <col min="2" max="2" width="15.7109375" style="190" customWidth="1"/>
    <col min="3" max="3" width="75.7109375" style="151" customWidth="1"/>
    <col min="4" max="4" width="20.7109375" style="151" customWidth="1"/>
    <col min="5" max="5" width="9.140625" style="151"/>
    <col min="6" max="6" width="11.28515625" style="151" bestFit="1" customWidth="1"/>
    <col min="7" max="16384" width="9.140625" style="151"/>
  </cols>
  <sheetData>
    <row r="1" spans="1:19" s="184" customFormat="1" ht="45" customHeight="1">
      <c r="A1" s="183"/>
      <c r="B1" s="183"/>
    </row>
    <row r="2" spans="1:19" s="184" customFormat="1" ht="6" customHeight="1">
      <c r="A2" s="736"/>
      <c r="B2" s="736"/>
      <c r="C2" s="736"/>
      <c r="D2" s="738"/>
      <c r="G2" s="151"/>
      <c r="H2" s="151"/>
      <c r="I2" s="151"/>
    </row>
    <row r="3" spans="1:19" s="203" customFormat="1" ht="18">
      <c r="A3" s="855" t="str">
        <f>'Area Calculations'!B4</f>
        <v>Atlantic Fields Club Core / Dock Bar / Spa Pods / Water Features</v>
      </c>
      <c r="B3" s="855"/>
      <c r="C3" s="855"/>
      <c r="D3" s="287"/>
      <c r="E3" s="185"/>
      <c r="F3" s="186"/>
      <c r="G3" s="162"/>
      <c r="H3" s="162"/>
      <c r="I3" s="162"/>
    </row>
    <row r="4" spans="1:19" s="162" customFormat="1">
      <c r="A4" s="162" t="str">
        <f>'Area Calculations'!B5</f>
        <v>Hobe Sound</v>
      </c>
      <c r="D4" s="204"/>
      <c r="M4" s="204"/>
      <c r="O4" s="204"/>
      <c r="Q4" s="204"/>
      <c r="S4" s="204"/>
    </row>
    <row r="5" spans="1:19" s="162" customFormat="1" ht="15">
      <c r="A5" s="851" t="s">
        <v>115</v>
      </c>
      <c r="B5" s="851"/>
      <c r="C5" s="851"/>
      <c r="D5" s="204"/>
      <c r="M5" s="204"/>
      <c r="O5" s="204"/>
      <c r="Q5" s="204"/>
      <c r="S5" s="204"/>
    </row>
    <row r="6" spans="1:19" s="162" customFormat="1">
      <c r="A6" s="852">
        <f ca="1">TODAY()</f>
        <v>46146</v>
      </c>
      <c r="B6" s="852"/>
      <c r="C6" s="852"/>
      <c r="D6" s="205"/>
      <c r="M6" s="204"/>
      <c r="O6" s="204"/>
      <c r="Q6" s="204"/>
      <c r="S6" s="204"/>
    </row>
    <row r="7" spans="1:19" ht="15">
      <c r="A7" s="1028" t="s">
        <v>2541</v>
      </c>
      <c r="B7" s="1063" t="s">
        <v>2542</v>
      </c>
      <c r="C7" s="1064" t="s">
        <v>588</v>
      </c>
      <c r="D7" s="1066" t="s">
        <v>2616</v>
      </c>
    </row>
    <row r="8" spans="1:19" s="184" customFormat="1" ht="85.5">
      <c r="A8" s="574">
        <v>1</v>
      </c>
      <c r="B8" s="587" t="s">
        <v>2617</v>
      </c>
      <c r="C8" s="575" t="s">
        <v>2618</v>
      </c>
      <c r="D8" s="576">
        <f>'03 30 CIP Concrete'!G219</f>
        <v>25000</v>
      </c>
      <c r="F8" s="184" t="s">
        <v>2619</v>
      </c>
    </row>
    <row r="9" spans="1:19" s="192" customFormat="1">
      <c r="A9" s="193">
        <f t="shared" ref="A9:A26" si="0">A8+1</f>
        <v>2</v>
      </c>
      <c r="B9" s="588" t="s">
        <v>2620</v>
      </c>
      <c r="C9" s="191" t="s">
        <v>2621</v>
      </c>
      <c r="D9" s="194">
        <f>'05 10 Structural Steel'!I187</f>
        <v>193446</v>
      </c>
    </row>
    <row r="10" spans="1:19" s="192" customFormat="1">
      <c r="A10" s="193">
        <f t="shared" si="0"/>
        <v>3</v>
      </c>
      <c r="B10" s="588" t="s">
        <v>2620</v>
      </c>
      <c r="C10" s="191" t="s">
        <v>2622</v>
      </c>
      <c r="D10" s="194">
        <f>'05 10 Structural Steel'!I201</f>
        <v>14100</v>
      </c>
    </row>
    <row r="11" spans="1:19" s="192" customFormat="1">
      <c r="A11" s="193">
        <f t="shared" si="0"/>
        <v>4</v>
      </c>
      <c r="B11" s="588" t="s">
        <v>2620</v>
      </c>
      <c r="C11" s="191" t="s">
        <v>2623</v>
      </c>
      <c r="D11" s="194">
        <f>'05 10 Structural Steel'!I203</f>
        <v>149601</v>
      </c>
    </row>
    <row r="12" spans="1:19" s="192" customFormat="1">
      <c r="A12" s="193">
        <f t="shared" si="0"/>
        <v>5</v>
      </c>
      <c r="B12" s="588" t="s">
        <v>2620</v>
      </c>
      <c r="C12" s="191" t="s">
        <v>2624</v>
      </c>
      <c r="D12" s="194">
        <f>'05 10 Structural Steel'!I215</f>
        <v>210000</v>
      </c>
    </row>
    <row r="13" spans="1:19" s="192" customFormat="1" ht="28.5">
      <c r="A13" s="193">
        <f t="shared" si="0"/>
        <v>6</v>
      </c>
      <c r="B13" s="588" t="s">
        <v>2620</v>
      </c>
      <c r="C13" s="191" t="s">
        <v>2625</v>
      </c>
      <c r="D13" s="194">
        <f>'05 10 Structural Steel'!I237</f>
        <v>350000</v>
      </c>
    </row>
    <row r="14" spans="1:19" s="184" customFormat="1" ht="71.25">
      <c r="A14" s="577">
        <f t="shared" si="0"/>
        <v>7</v>
      </c>
      <c r="B14" s="588" t="s">
        <v>2620</v>
      </c>
      <c r="C14" s="575" t="s">
        <v>2626</v>
      </c>
      <c r="D14" s="578">
        <f>'05 10 Structural Steel'!I241+'05 10 Structural Steel'!I242</f>
        <v>60000</v>
      </c>
    </row>
    <row r="15" spans="1:19" s="192" customFormat="1">
      <c r="A15" s="193">
        <f t="shared" si="0"/>
        <v>8</v>
      </c>
      <c r="B15" s="588" t="s">
        <v>2620</v>
      </c>
      <c r="C15" s="191" t="s">
        <v>2627</v>
      </c>
      <c r="D15" s="194">
        <f>'05 10 Structural Steel'!I279</f>
        <v>45998</v>
      </c>
    </row>
    <row r="16" spans="1:19" s="184" customFormat="1" ht="42.75">
      <c r="A16" s="577">
        <f t="shared" si="0"/>
        <v>9</v>
      </c>
      <c r="B16" s="589" t="s">
        <v>2620</v>
      </c>
      <c r="C16" s="575" t="s">
        <v>2628</v>
      </c>
      <c r="D16" s="578">
        <f>'05 10 Structural Steel'!I268</f>
        <v>144000</v>
      </c>
    </row>
    <row r="17" spans="1:4" s="184" customFormat="1" ht="28.5">
      <c r="A17" s="193">
        <f t="shared" si="0"/>
        <v>10</v>
      </c>
      <c r="B17" s="589" t="s">
        <v>2629</v>
      </c>
      <c r="C17" s="575" t="s">
        <v>2630</v>
      </c>
      <c r="D17" s="578">
        <f>'05 70 Arch Metals'!G23</f>
        <v>32580</v>
      </c>
    </row>
    <row r="18" spans="1:4" s="192" customFormat="1">
      <c r="A18" s="193">
        <f t="shared" si="0"/>
        <v>11</v>
      </c>
      <c r="B18" s="588" t="s">
        <v>2629</v>
      </c>
      <c r="C18" s="191" t="s">
        <v>2631</v>
      </c>
      <c r="D18" s="194">
        <f>'05 70 Arch Metals'!G25</f>
        <v>288100</v>
      </c>
    </row>
    <row r="19" spans="1:4" s="184" customFormat="1" ht="28.5">
      <c r="A19" s="577">
        <f t="shared" si="0"/>
        <v>12</v>
      </c>
      <c r="B19" s="589" t="s">
        <v>2629</v>
      </c>
      <c r="C19" s="575" t="s">
        <v>2632</v>
      </c>
      <c r="D19" s="578">
        <f>'05 70 Arch Metals'!G42</f>
        <v>154759</v>
      </c>
    </row>
    <row r="20" spans="1:4" s="192" customFormat="1">
      <c r="A20" s="193">
        <f t="shared" si="0"/>
        <v>13</v>
      </c>
      <c r="B20" s="588" t="s">
        <v>2629</v>
      </c>
      <c r="C20" s="191" t="s">
        <v>2633</v>
      </c>
      <c r="D20" s="194">
        <f>'05 70 Arch Metals'!G55</f>
        <v>22365</v>
      </c>
    </row>
    <row r="21" spans="1:4" s="192" customFormat="1">
      <c r="A21" s="193">
        <f t="shared" si="0"/>
        <v>14</v>
      </c>
      <c r="B21" s="588" t="s">
        <v>2629</v>
      </c>
      <c r="C21" s="191" t="s">
        <v>2634</v>
      </c>
      <c r="D21" s="194">
        <f>'05 70 Arch Metals'!I62</f>
        <v>47180</v>
      </c>
    </row>
    <row r="22" spans="1:4" s="192" customFormat="1">
      <c r="A22" s="193">
        <f t="shared" si="0"/>
        <v>15</v>
      </c>
      <c r="B22" s="588" t="s">
        <v>2629</v>
      </c>
      <c r="C22" s="191" t="s">
        <v>2635</v>
      </c>
      <c r="D22" s="194">
        <f>'05 70 Arch Metals'!G69</f>
        <v>63350</v>
      </c>
    </row>
    <row r="23" spans="1:4" s="192" customFormat="1">
      <c r="A23" s="193">
        <f t="shared" si="0"/>
        <v>16</v>
      </c>
      <c r="B23" s="588" t="s">
        <v>2636</v>
      </c>
      <c r="C23" s="191" t="s">
        <v>2637</v>
      </c>
      <c r="D23" s="194">
        <f>'06 40 Exterior Finish Carpentry'!G34</f>
        <v>116400</v>
      </c>
    </row>
    <row r="24" spans="1:4" s="192" customFormat="1">
      <c r="A24" s="193">
        <f t="shared" si="0"/>
        <v>17</v>
      </c>
      <c r="B24" s="588" t="s">
        <v>2636</v>
      </c>
      <c r="C24" s="191" t="s">
        <v>2638</v>
      </c>
      <c r="D24" s="194">
        <f>'06 40 Exterior Finish Carpentry'!G36</f>
        <v>21870</v>
      </c>
    </row>
    <row r="25" spans="1:4" s="192" customFormat="1">
      <c r="A25" s="193">
        <f t="shared" si="0"/>
        <v>18</v>
      </c>
      <c r="B25" s="588" t="s">
        <v>2636</v>
      </c>
      <c r="C25" s="191" t="s">
        <v>2639</v>
      </c>
      <c r="D25" s="194">
        <f>'06 40 Exterior Finish Carpentry'!G40</f>
        <v>53039</v>
      </c>
    </row>
    <row r="26" spans="1:4" s="192" customFormat="1">
      <c r="A26" s="193">
        <f t="shared" si="0"/>
        <v>19</v>
      </c>
      <c r="B26" s="588" t="s">
        <v>2636</v>
      </c>
      <c r="C26" s="191" t="s">
        <v>2640</v>
      </c>
      <c r="D26" s="194">
        <f>'06 40 Exterior Finish Carpentry'!G52</f>
        <v>76800</v>
      </c>
    </row>
    <row r="27" spans="1:4" s="192" customFormat="1">
      <c r="A27" s="193">
        <f t="shared" ref="A27:A62" si="1">A26+1</f>
        <v>20</v>
      </c>
      <c r="B27" s="588" t="s">
        <v>2636</v>
      </c>
      <c r="C27" s="191" t="s">
        <v>2641</v>
      </c>
      <c r="D27" s="194">
        <f>'06 40 Exterior Finish Carpentry'!G53</f>
        <v>42720</v>
      </c>
    </row>
    <row r="28" spans="1:4" s="192" customFormat="1">
      <c r="A28" s="193">
        <f t="shared" si="1"/>
        <v>21</v>
      </c>
      <c r="B28" s="588" t="s">
        <v>2636</v>
      </c>
      <c r="C28" s="191" t="s">
        <v>2642</v>
      </c>
      <c r="D28" s="194">
        <f>'06 40 Exterior Finish Carpentry'!I69</f>
        <v>508440</v>
      </c>
    </row>
    <row r="29" spans="1:4" s="192" customFormat="1">
      <c r="A29" s="193">
        <f t="shared" si="1"/>
        <v>22</v>
      </c>
      <c r="B29" s="588" t="s">
        <v>2643</v>
      </c>
      <c r="C29" s="594" t="s">
        <v>2644</v>
      </c>
      <c r="D29" s="194">
        <f>'06 50 Millwork'!$I$24</f>
        <v>210000</v>
      </c>
    </row>
    <row r="30" spans="1:4" s="192" customFormat="1">
      <c r="A30" s="193">
        <f t="shared" si="1"/>
        <v>23</v>
      </c>
      <c r="B30" s="588" t="s">
        <v>2643</v>
      </c>
      <c r="C30" s="596" t="s">
        <v>2645</v>
      </c>
      <c r="D30" s="194">
        <f>43000</f>
        <v>43000</v>
      </c>
    </row>
    <row r="31" spans="1:4" s="192" customFormat="1">
      <c r="A31" s="193">
        <f t="shared" si="1"/>
        <v>24</v>
      </c>
      <c r="B31" s="588" t="s">
        <v>2646</v>
      </c>
      <c r="C31" s="191" t="s">
        <v>2647</v>
      </c>
      <c r="D31" s="194">
        <f>'07 50 Roofing'!G79</f>
        <v>27150</v>
      </c>
    </row>
    <row r="32" spans="1:4" s="192" customFormat="1">
      <c r="A32" s="193">
        <f t="shared" si="1"/>
        <v>25</v>
      </c>
      <c r="B32" s="588" t="s">
        <v>2646</v>
      </c>
      <c r="C32" s="191" t="s">
        <v>2648</v>
      </c>
      <c r="D32" s="194">
        <f>'07 50 Roofing'!G80</f>
        <v>2500</v>
      </c>
    </row>
    <row r="33" spans="1:4" s="192" customFormat="1">
      <c r="A33" s="193">
        <f t="shared" si="1"/>
        <v>26</v>
      </c>
      <c r="B33" s="588" t="s">
        <v>2649</v>
      </c>
      <c r="C33" s="191" t="s">
        <v>2650</v>
      </c>
      <c r="D33" s="194">
        <f>'08 10 DFH'!G167</f>
        <v>84996</v>
      </c>
    </row>
    <row r="34" spans="1:4" s="192" customFormat="1">
      <c r="A34" s="193">
        <f t="shared" si="1"/>
        <v>27</v>
      </c>
      <c r="B34" s="588" t="s">
        <v>2651</v>
      </c>
      <c r="C34" s="191" t="s">
        <v>2652</v>
      </c>
      <c r="D34" s="194">
        <f>'08 50 Storefront'!G184</f>
        <v>149000</v>
      </c>
    </row>
    <row r="35" spans="1:4" s="192" customFormat="1">
      <c r="A35" s="193">
        <f t="shared" si="1"/>
        <v>28</v>
      </c>
      <c r="B35" s="588" t="s">
        <v>2653</v>
      </c>
      <c r="C35" s="191" t="s">
        <v>2654</v>
      </c>
      <c r="D35" s="194">
        <f>'10 22 Demountable Part'!G24</f>
        <v>17246</v>
      </c>
    </row>
    <row r="36" spans="1:4" s="192" customFormat="1">
      <c r="A36" s="193">
        <f t="shared" si="1"/>
        <v>29</v>
      </c>
      <c r="B36" s="588" t="s">
        <v>2653</v>
      </c>
      <c r="C36" s="191" t="s">
        <v>2655</v>
      </c>
      <c r="D36" s="194">
        <f>'10 22 Demountable Part'!G26+'10 22 Demountable Part'!G27</f>
        <v>30389</v>
      </c>
    </row>
    <row r="37" spans="1:4" s="192" customFormat="1">
      <c r="A37" s="193">
        <f t="shared" si="1"/>
        <v>30</v>
      </c>
      <c r="B37" s="588" t="s">
        <v>2656</v>
      </c>
      <c r="C37" s="191" t="s">
        <v>2657</v>
      </c>
      <c r="D37" s="194">
        <f>'10 51 Lockers'!G59</f>
        <v>26800</v>
      </c>
    </row>
    <row r="38" spans="1:4" s="192" customFormat="1">
      <c r="A38" s="193">
        <f t="shared" si="1"/>
        <v>31</v>
      </c>
      <c r="B38" s="588" t="s">
        <v>2658</v>
      </c>
      <c r="C38" s="191" t="s">
        <v>2659</v>
      </c>
      <c r="D38" s="194">
        <f>'10 53 Signage'!I21</f>
        <v>52750</v>
      </c>
    </row>
    <row r="39" spans="1:4" s="192" customFormat="1">
      <c r="A39" s="193">
        <f t="shared" si="1"/>
        <v>32</v>
      </c>
      <c r="B39" s="588" t="s">
        <v>2660</v>
      </c>
      <c r="C39" s="191" t="s">
        <v>2661</v>
      </c>
      <c r="D39" s="194">
        <f>'10 73 Canopy'!G22</f>
        <v>350000</v>
      </c>
    </row>
    <row r="40" spans="1:4" s="192" customFormat="1">
      <c r="A40" s="193">
        <f t="shared" si="1"/>
        <v>33</v>
      </c>
      <c r="B40" s="588" t="s">
        <v>2662</v>
      </c>
      <c r="C40" s="191" t="s">
        <v>2663</v>
      </c>
      <c r="D40" s="194">
        <f>'12 20 Window Treatments'!I79+'12 20 Window Treatments'!I89+'12 20 Window Treatments'!I92</f>
        <v>11085</v>
      </c>
    </row>
    <row r="41" spans="1:4" s="184" customFormat="1" ht="28.5">
      <c r="A41" s="577">
        <f t="shared" si="1"/>
        <v>34</v>
      </c>
      <c r="B41" s="589" t="s">
        <v>2662</v>
      </c>
      <c r="C41" s="575" t="s">
        <v>2664</v>
      </c>
      <c r="D41" s="578">
        <f>'12 20 Window Treatments'!G84</f>
        <v>34500</v>
      </c>
    </row>
    <row r="42" spans="1:4" s="192" customFormat="1">
      <c r="A42" s="193">
        <f t="shared" si="1"/>
        <v>35</v>
      </c>
      <c r="B42" s="588" t="s">
        <v>2665</v>
      </c>
      <c r="C42" s="191" t="s">
        <v>2666</v>
      </c>
      <c r="D42" s="194">
        <f>'13 11 Pool'!G66+'13 11 Pool'!G73</f>
        <v>817100</v>
      </c>
    </row>
    <row r="43" spans="1:4" s="192" customFormat="1">
      <c r="A43" s="193">
        <f t="shared" si="1"/>
        <v>36</v>
      </c>
      <c r="B43" s="588" t="s">
        <v>2665</v>
      </c>
      <c r="C43" s="191" t="s">
        <v>2667</v>
      </c>
      <c r="D43" s="194">
        <f>'13 11 Pool'!G77</f>
        <v>70000</v>
      </c>
    </row>
    <row r="44" spans="1:4" s="192" customFormat="1">
      <c r="A44" s="193">
        <f t="shared" si="1"/>
        <v>37</v>
      </c>
      <c r="B44" s="588" t="s">
        <v>2668</v>
      </c>
      <c r="C44" s="191" t="s">
        <v>2669</v>
      </c>
      <c r="D44" s="194">
        <f>'13 12 Spa Rooms'!G66</f>
        <v>21000</v>
      </c>
    </row>
    <row r="45" spans="1:4" s="192" customFormat="1">
      <c r="A45" s="193">
        <f t="shared" si="1"/>
        <v>38</v>
      </c>
      <c r="B45" s="588" t="s">
        <v>2670</v>
      </c>
      <c r="C45" s="191" t="s">
        <v>2671</v>
      </c>
      <c r="D45" s="194">
        <f>'14 00 Elevators'!G73</f>
        <v>75000</v>
      </c>
    </row>
    <row r="46" spans="1:4" s="184" customFormat="1" ht="28.5">
      <c r="A46" s="577">
        <f t="shared" si="1"/>
        <v>39</v>
      </c>
      <c r="B46" s="589" t="s">
        <v>2672</v>
      </c>
      <c r="C46" s="575" t="s">
        <v>2673</v>
      </c>
      <c r="D46" s="578">
        <f>'22 00 Plumbing '!G138</f>
        <v>25000</v>
      </c>
    </row>
    <row r="47" spans="1:4" s="192" customFormat="1">
      <c r="A47" s="193">
        <f t="shared" si="1"/>
        <v>40</v>
      </c>
      <c r="B47" s="588" t="s">
        <v>2672</v>
      </c>
      <c r="C47" s="191" t="s">
        <v>2674</v>
      </c>
      <c r="D47" s="194">
        <f>'22 00 Plumbing '!G145</f>
        <v>31000</v>
      </c>
    </row>
    <row r="48" spans="1:4" s="192" customFormat="1">
      <c r="A48" s="193">
        <f t="shared" si="1"/>
        <v>41</v>
      </c>
      <c r="B48" s="588" t="s">
        <v>2672</v>
      </c>
      <c r="C48" s="191" t="s">
        <v>2675</v>
      </c>
      <c r="D48" s="194">
        <f>'22 00 Plumbing '!G164</f>
        <v>5000</v>
      </c>
    </row>
    <row r="49" spans="1:4" s="184" customFormat="1" ht="28.5">
      <c r="A49" s="577">
        <f t="shared" si="1"/>
        <v>42</v>
      </c>
      <c r="B49" s="589" t="s">
        <v>2676</v>
      </c>
      <c r="C49" s="575" t="s">
        <v>2677</v>
      </c>
      <c r="D49" s="578">
        <f>'23 00 HVAC'!G131</f>
        <v>7500</v>
      </c>
    </row>
    <row r="50" spans="1:4" s="184" customFormat="1" ht="42.75">
      <c r="A50" s="577">
        <f t="shared" si="1"/>
        <v>43</v>
      </c>
      <c r="B50" s="589" t="s">
        <v>2678</v>
      </c>
      <c r="C50" s="575" t="s">
        <v>2679</v>
      </c>
      <c r="D50" s="578">
        <f>'26 00 Electrical'!G82</f>
        <v>400000</v>
      </c>
    </row>
    <row r="51" spans="1:4" s="184" customFormat="1" ht="28.5">
      <c r="A51" s="577">
        <f t="shared" si="1"/>
        <v>44</v>
      </c>
      <c r="B51" s="589" t="s">
        <v>2680</v>
      </c>
      <c r="C51" s="575" t="s">
        <v>2681</v>
      </c>
      <c r="D51" s="578">
        <f>'32 14 Hardsacpe - Walls'!G36</f>
        <v>806000</v>
      </c>
    </row>
    <row r="52" spans="1:4" s="184" customFormat="1">
      <c r="A52" s="577">
        <f t="shared" si="1"/>
        <v>45</v>
      </c>
      <c r="B52" s="589" t="s">
        <v>2680</v>
      </c>
      <c r="C52" s="575" t="s">
        <v>2682</v>
      </c>
      <c r="D52" s="578">
        <f>'32 14 Hardsacpe - Walls'!I97</f>
        <v>24700</v>
      </c>
    </row>
    <row r="53" spans="1:4" s="184" customFormat="1">
      <c r="A53" s="577">
        <f t="shared" si="1"/>
        <v>46</v>
      </c>
      <c r="B53" s="589" t="s">
        <v>2680</v>
      </c>
      <c r="C53" s="575" t="s">
        <v>2683</v>
      </c>
      <c r="D53" s="578">
        <f>'32 14 Hardsacpe - Walls'!I101</f>
        <v>39600</v>
      </c>
    </row>
    <row r="54" spans="1:4" s="184" customFormat="1">
      <c r="A54" s="577">
        <f t="shared" si="1"/>
        <v>47</v>
      </c>
      <c r="B54" s="589" t="s">
        <v>2680</v>
      </c>
      <c r="C54" s="575" t="s">
        <v>2684</v>
      </c>
      <c r="D54" s="578">
        <f>'32 14 Hardsacpe - Walls'!I104</f>
        <v>5600</v>
      </c>
    </row>
    <row r="55" spans="1:4" s="184" customFormat="1">
      <c r="A55" s="577">
        <f t="shared" si="1"/>
        <v>48</v>
      </c>
      <c r="B55" s="589" t="s">
        <v>2680</v>
      </c>
      <c r="C55" s="575" t="s">
        <v>2685</v>
      </c>
      <c r="D55" s="578">
        <f>'32 14 Hardsacpe - Walls'!I107</f>
        <v>1100</v>
      </c>
    </row>
    <row r="56" spans="1:4" s="184" customFormat="1">
      <c r="A56" s="577">
        <f t="shared" si="1"/>
        <v>49</v>
      </c>
      <c r="B56" s="589" t="s">
        <v>2680</v>
      </c>
      <c r="C56" s="575" t="s">
        <v>2686</v>
      </c>
      <c r="D56" s="578">
        <f>'32 14 Hardsacpe - Walls'!I108</f>
        <v>2100</v>
      </c>
    </row>
    <row r="57" spans="1:4" s="184" customFormat="1" ht="28.5">
      <c r="A57" s="577">
        <f t="shared" si="1"/>
        <v>50</v>
      </c>
      <c r="B57" s="589" t="s">
        <v>2680</v>
      </c>
      <c r="C57" s="575" t="s">
        <v>2687</v>
      </c>
      <c r="D57" s="578">
        <f>'32 14 Hardsacpe - Walls'!I110</f>
        <v>542938</v>
      </c>
    </row>
    <row r="58" spans="1:4" s="184" customFormat="1">
      <c r="A58" s="577">
        <f t="shared" si="1"/>
        <v>51</v>
      </c>
      <c r="B58" s="589" t="s">
        <v>2688</v>
      </c>
      <c r="C58" s="575" t="s">
        <v>2689</v>
      </c>
      <c r="D58" s="578">
        <f>'32 31 Fence &amp; Gates'!G31</f>
        <v>25000</v>
      </c>
    </row>
    <row r="59" spans="1:4" s="184" customFormat="1">
      <c r="A59" s="577">
        <f t="shared" si="1"/>
        <v>52</v>
      </c>
      <c r="B59" s="589" t="s">
        <v>2690</v>
      </c>
      <c r="C59" s="575" t="s">
        <v>2691</v>
      </c>
      <c r="D59" s="578">
        <f>'32 80 Landscape'!G32</f>
        <v>98000</v>
      </c>
    </row>
    <row r="60" spans="1:4" s="192" customFormat="1">
      <c r="A60" s="577">
        <f t="shared" si="1"/>
        <v>53</v>
      </c>
      <c r="B60" s="588"/>
      <c r="C60" s="191"/>
      <c r="D60" s="194"/>
    </row>
    <row r="61" spans="1:4" s="192" customFormat="1">
      <c r="A61" s="577">
        <f t="shared" si="1"/>
        <v>54</v>
      </c>
      <c r="B61" s="590"/>
      <c r="C61" s="195"/>
      <c r="D61" s="196"/>
    </row>
    <row r="62" spans="1:4" s="192" customFormat="1">
      <c r="A62" s="593">
        <f t="shared" si="1"/>
        <v>55</v>
      </c>
      <c r="B62" s="591"/>
      <c r="C62" s="197" t="s">
        <v>2692</v>
      </c>
      <c r="D62" s="198">
        <f>SUM(D8:D61)</f>
        <v>6655802</v>
      </c>
    </row>
    <row r="63" spans="1:4" s="192" customFormat="1">
      <c r="A63" s="199"/>
      <c r="B63" s="199"/>
      <c r="C63" s="200"/>
      <c r="D63" s="201"/>
    </row>
    <row r="64" spans="1:4" ht="15">
      <c r="A64" s="187"/>
      <c r="B64" s="187"/>
      <c r="C64" s="188"/>
      <c r="D64" s="189"/>
    </row>
  </sheetData>
  <mergeCells count="3">
    <mergeCell ref="A3:C3"/>
    <mergeCell ref="A5:C5"/>
    <mergeCell ref="A6:C6"/>
  </mergeCells>
  <pageMargins left="0.25" right="0.25" top="0.5" bottom="0.5" header="0.3" footer="0.3"/>
  <pageSetup scale="86" fitToHeight="0" orientation="portrait" r:id="rId1"/>
  <headerFooter>
    <oddFooter>&amp;CPage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tabColor rgb="FF00B0F0"/>
    <pageSetUpPr fitToPage="1"/>
  </sheetPr>
  <dimension ref="A1:K80"/>
  <sheetViews>
    <sheetView zoomScale="90" zoomScaleNormal="90" workbookViewId="0">
      <pane xSplit="2" ySplit="7" topLeftCell="C23" activePane="bottomRight" state="frozen"/>
      <selection pane="bottomRight" activeCell="G26" sqref="G26"/>
      <selection pane="bottomLeft" activeCell="A8" sqref="A8"/>
      <selection pane="topRight" activeCell="C1" sqref="C1"/>
    </sheetView>
  </sheetViews>
  <sheetFormatPr defaultColWidth="9.140625" defaultRowHeight="15"/>
  <cols>
    <col min="1" max="1" width="15.7109375" style="151" customWidth="1"/>
    <col min="2" max="2" width="55.7109375" style="151" customWidth="1"/>
    <col min="3" max="3" width="24.42578125" style="442" customWidth="1"/>
    <col min="4" max="7" width="16.7109375" style="442" customWidth="1"/>
    <col min="8" max="8" width="16.7109375" style="152" customWidth="1"/>
    <col min="9" max="9" width="15.7109375" style="152" customWidth="1"/>
    <col min="10" max="10" width="15.7109375" customWidth="1"/>
    <col min="11" max="11" width="19.42578125" style="151" customWidth="1"/>
    <col min="12" max="16384" width="9.140625" style="151"/>
  </cols>
  <sheetData>
    <row r="1" spans="1:11" ht="45" customHeight="1">
      <c r="A1" s="238"/>
      <c r="B1" s="238"/>
      <c r="C1" s="431"/>
      <c r="D1" s="431"/>
      <c r="E1" s="431"/>
      <c r="F1" s="431"/>
      <c r="G1" s="431"/>
      <c r="H1" s="151"/>
      <c r="I1" s="151"/>
    </row>
    <row r="2" spans="1:11" ht="6" customHeight="1">
      <c r="A2" s="1067"/>
      <c r="B2" s="1068"/>
      <c r="C2" s="432"/>
      <c r="D2" s="432"/>
      <c r="E2" s="432"/>
      <c r="F2" s="432"/>
      <c r="G2" s="432"/>
      <c r="H2" s="261"/>
      <c r="I2" s="261"/>
    </row>
    <row r="3" spans="1:11" ht="18" customHeight="1">
      <c r="A3" s="847" t="str">
        <f>'Area Calculations'!B4</f>
        <v>Atlantic Fields Club Core / Dock Bar / Spa Pods / Water Features</v>
      </c>
      <c r="B3" s="847"/>
      <c r="C3" s="847"/>
      <c r="D3" s="847"/>
      <c r="E3" s="847"/>
      <c r="F3" s="847"/>
      <c r="G3" s="847"/>
      <c r="H3" s="847"/>
      <c r="I3" s="847"/>
    </row>
    <row r="4" spans="1:11" ht="15" customHeight="1">
      <c r="A4" s="239" t="str">
        <f>'Area Calculations'!B5</f>
        <v>Hobe Sound</v>
      </c>
      <c r="B4" s="239"/>
      <c r="C4" s="433"/>
      <c r="D4" s="433"/>
      <c r="E4" s="433"/>
      <c r="F4" s="433"/>
      <c r="G4" s="433"/>
      <c r="H4" s="151"/>
      <c r="I4" s="151"/>
    </row>
    <row r="5" spans="1:11" ht="15" customHeight="1">
      <c r="A5" s="240" t="s">
        <v>2693</v>
      </c>
      <c r="B5" s="240"/>
      <c r="C5" s="434"/>
      <c r="D5" s="434"/>
      <c r="E5" s="434"/>
      <c r="F5" s="434"/>
      <c r="G5" s="434"/>
      <c r="H5" s="151"/>
      <c r="I5" s="151"/>
    </row>
    <row r="6" spans="1:11" ht="15" customHeight="1" thickBot="1">
      <c r="A6" s="856">
        <f ca="1">NOW()</f>
        <v>46146.221191087963</v>
      </c>
      <c r="B6" s="856"/>
      <c r="C6" s="205"/>
      <c r="D6" s="205"/>
      <c r="E6" s="205"/>
      <c r="F6" s="205"/>
      <c r="G6" s="205"/>
    </row>
    <row r="7" spans="1:11" s="230" customFormat="1" ht="45">
      <c r="A7" s="739" t="s">
        <v>2694</v>
      </c>
      <c r="B7" s="740" t="s">
        <v>2546</v>
      </c>
      <c r="C7" s="741" t="s">
        <v>2695</v>
      </c>
      <c r="D7" s="741" t="s">
        <v>2696</v>
      </c>
      <c r="E7" s="741" t="s">
        <v>2697</v>
      </c>
      <c r="F7" s="742" t="s">
        <v>2698</v>
      </c>
      <c r="G7" s="741" t="s">
        <v>2699</v>
      </c>
      <c r="H7" s="743" t="s">
        <v>38</v>
      </c>
      <c r="I7" s="743" t="s">
        <v>2700</v>
      </c>
      <c r="J7"/>
    </row>
    <row r="8" spans="1:11" ht="18" customHeight="1">
      <c r="A8" s="242" t="s">
        <v>2701</v>
      </c>
      <c r="B8" s="247" t="s">
        <v>2550</v>
      </c>
      <c r="C8" s="435">
        <f>'02 21 Survey '!$I21</f>
        <v>22000</v>
      </c>
      <c r="D8" s="435">
        <f>'02 21 Survey '!$I30</f>
        <v>0</v>
      </c>
      <c r="E8" s="435">
        <f>'02 21 Survey '!$I33</f>
        <v>9350</v>
      </c>
      <c r="F8" s="435">
        <f>'02 21 Survey '!$I42</f>
        <v>22000</v>
      </c>
      <c r="G8" s="435">
        <f>'02 21 Survey '!$I50</f>
        <v>20000</v>
      </c>
      <c r="H8" s="229">
        <f>'02 21 Survey '!$B$95</f>
        <v>73350</v>
      </c>
      <c r="I8" s="229"/>
      <c r="K8" s="443">
        <f>SUM(C8:G8)-H8</f>
        <v>0</v>
      </c>
    </row>
    <row r="9" spans="1:11" ht="18" customHeight="1">
      <c r="A9" s="242" t="s">
        <v>2617</v>
      </c>
      <c r="B9" s="247" t="s">
        <v>2552</v>
      </c>
      <c r="C9" s="435">
        <f>'03 30 CIP Concrete'!I21</f>
        <v>7239482</v>
      </c>
      <c r="D9" s="435">
        <f>'03 30 CIP Concrete'!I221</f>
        <v>108738</v>
      </c>
      <c r="E9" s="435">
        <f>'03 30 CIP Concrete'!I240</f>
        <v>300788</v>
      </c>
      <c r="F9" s="479"/>
      <c r="G9" s="479"/>
      <c r="H9" s="229">
        <f>'03 30 CIP Concrete'!$B300</f>
        <v>7649008</v>
      </c>
      <c r="I9" s="229"/>
      <c r="K9" s="443">
        <f t="shared" ref="K9:K77" si="0">SUM(C9:G9)-H9</f>
        <v>0</v>
      </c>
    </row>
    <row r="10" spans="1:11" ht="18" customHeight="1">
      <c r="A10" s="242" t="s">
        <v>2702</v>
      </c>
      <c r="B10" s="247" t="s">
        <v>2553</v>
      </c>
      <c r="C10" s="435">
        <f>'04 40 Stone Veneer'!I21</f>
        <v>983329</v>
      </c>
      <c r="D10" s="479"/>
      <c r="E10" s="479"/>
      <c r="F10" s="479"/>
      <c r="G10" s="479"/>
      <c r="H10" s="229">
        <f>'04 40 Stone Veneer'!$B$107</f>
        <v>983329</v>
      </c>
      <c r="I10" s="229"/>
      <c r="K10" s="443">
        <f t="shared" si="0"/>
        <v>0</v>
      </c>
    </row>
    <row r="11" spans="1:11" ht="18" customHeight="1">
      <c r="A11" s="242" t="s">
        <v>2620</v>
      </c>
      <c r="B11" s="247" t="s">
        <v>2554</v>
      </c>
      <c r="C11" s="435">
        <f>'05 10 Structural Steel'!K21</f>
        <v>4903059</v>
      </c>
      <c r="D11" s="435">
        <f>'05 10 Structural Steel'!K244</f>
        <v>368224</v>
      </c>
      <c r="E11" s="435">
        <f>'05 10 Structural Steel'!K270</f>
        <v>67958</v>
      </c>
      <c r="F11" s="479"/>
      <c r="G11" s="479"/>
      <c r="H11" s="229">
        <f>'05 10 Structural Steel'!$B331</f>
        <v>5339241</v>
      </c>
      <c r="I11" s="229"/>
      <c r="K11" s="443">
        <f t="shared" si="0"/>
        <v>0</v>
      </c>
    </row>
    <row r="12" spans="1:11" ht="18" customHeight="1">
      <c r="A12" s="242" t="s">
        <v>2703</v>
      </c>
      <c r="B12" s="247" t="s">
        <v>2704</v>
      </c>
      <c r="C12" s="435">
        <f>'05 52 Railings'!I21</f>
        <v>0</v>
      </c>
      <c r="D12" s="435">
        <f>'05 52 Railings'!I27</f>
        <v>138000</v>
      </c>
      <c r="E12" s="435">
        <f>'05 52 Railings'!I32</f>
        <v>0</v>
      </c>
      <c r="F12" s="479"/>
      <c r="G12" s="479"/>
      <c r="H12" s="229">
        <f>'05 52 Railings'!$B$90</f>
        <v>138000</v>
      </c>
      <c r="I12" s="229"/>
      <c r="K12" s="443">
        <f t="shared" si="0"/>
        <v>0</v>
      </c>
    </row>
    <row r="13" spans="1:11" ht="18" customHeight="1">
      <c r="A13" s="298" t="s">
        <v>2629</v>
      </c>
      <c r="B13" s="247" t="s">
        <v>2556</v>
      </c>
      <c r="C13" s="435">
        <f>'05 70 Arch Metals'!I21</f>
        <v>1247804</v>
      </c>
      <c r="D13" s="435">
        <f>'05 70 Arch Metals'!I61</f>
        <v>47180</v>
      </c>
      <c r="E13" s="435">
        <f>'05 70 Arch Metals'!I68</f>
        <v>63350</v>
      </c>
      <c r="F13" s="479"/>
      <c r="G13" s="479"/>
      <c r="H13" s="229">
        <f>'05 70 Arch Metals'!$B$112</f>
        <v>1358334</v>
      </c>
      <c r="I13" s="229"/>
      <c r="K13" s="443">
        <f t="shared" si="0"/>
        <v>0</v>
      </c>
    </row>
    <row r="14" spans="1:11" ht="18" customHeight="1">
      <c r="A14" s="242" t="s">
        <v>2705</v>
      </c>
      <c r="B14" s="247" t="s">
        <v>2558</v>
      </c>
      <c r="C14" s="435">
        <f>'06 10 Rough Carpentry'!I21</f>
        <v>109293</v>
      </c>
      <c r="D14" s="435">
        <f>'06 10 Rough Carpentry'!I49</f>
        <v>42397</v>
      </c>
      <c r="E14" s="435">
        <f>'06 10 Rough Carpentry'!I58</f>
        <v>141562.91999999998</v>
      </c>
      <c r="F14" s="479"/>
      <c r="G14" s="479"/>
      <c r="H14" s="229">
        <f>'06 10 Rough Carpentry'!$B$119</f>
        <v>293252.92</v>
      </c>
      <c r="I14" s="229"/>
      <c r="K14" s="443">
        <f t="shared" si="0"/>
        <v>0</v>
      </c>
    </row>
    <row r="15" spans="1:11" ht="18" customHeight="1">
      <c r="A15" s="242" t="s">
        <v>2636</v>
      </c>
      <c r="B15" s="247" t="s">
        <v>2560</v>
      </c>
      <c r="C15" s="435">
        <f>'06 40 Exterior Finish Carpentry'!I21</f>
        <v>3087156.7525252523</v>
      </c>
      <c r="D15" s="435">
        <f>'06 40 Exterior Finish Carpentry'!I73</f>
        <v>611228.58080808073</v>
      </c>
      <c r="E15" s="435">
        <f>'06 40 Exterior Finish Carpentry'!I92</f>
        <v>708166.66666666651</v>
      </c>
      <c r="F15" s="479"/>
      <c r="G15" s="479"/>
      <c r="H15" s="229">
        <f>'06 40 Exterior Finish Carpentry'!$B$150</f>
        <v>4406552</v>
      </c>
      <c r="I15" s="229"/>
      <c r="K15" s="443">
        <f t="shared" si="0"/>
        <v>0</v>
      </c>
    </row>
    <row r="16" spans="1:11" ht="18" customHeight="1">
      <c r="A16" s="242" t="s">
        <v>2643</v>
      </c>
      <c r="B16" s="247" t="s">
        <v>236</v>
      </c>
      <c r="C16" s="435">
        <f>SUM('06 50 Millwork'!$I$12:$I$511)</f>
        <v>6072272</v>
      </c>
      <c r="D16" s="435">
        <f>SUM('06 50 Millwork'!$I$512:$I$610)</f>
        <v>590857</v>
      </c>
      <c r="E16" s="580">
        <f>SUM('06 50 Millwork'!$I$611:$I$651)+'06 50 Millwork'!$I$656</f>
        <v>194657</v>
      </c>
      <c r="F16" s="479"/>
      <c r="G16" s="479"/>
      <c r="H16" s="229">
        <f>'06 50 Millwork'!$B$693</f>
        <v>6857786</v>
      </c>
      <c r="I16" s="229"/>
      <c r="K16" s="443">
        <f t="shared" si="0"/>
        <v>0</v>
      </c>
    </row>
    <row r="17" spans="1:11" ht="18" customHeight="1">
      <c r="A17" s="242" t="s">
        <v>2706</v>
      </c>
      <c r="B17" s="247" t="s">
        <v>2562</v>
      </c>
      <c r="C17" s="435">
        <f>'07 17 Waterproofing &amp; Caulk'!I$43</f>
        <v>2045883.5</v>
      </c>
      <c r="D17" s="435">
        <f>'07 17 Waterproofing &amp; Caulk'!I$151</f>
        <v>8509</v>
      </c>
      <c r="E17" s="435">
        <f>'07 17 Waterproofing &amp; Caulk'!I$157</f>
        <v>29850</v>
      </c>
      <c r="F17" s="479"/>
      <c r="G17" s="479"/>
      <c r="H17" s="229">
        <f>'07 17 Waterproofing &amp; Caulk'!$B$203</f>
        <v>2084242.5</v>
      </c>
      <c r="I17" s="229"/>
      <c r="K17" s="443">
        <f t="shared" si="0"/>
        <v>0</v>
      </c>
    </row>
    <row r="18" spans="1:11" ht="18" customHeight="1">
      <c r="A18" s="242" t="s">
        <v>2707</v>
      </c>
      <c r="B18" s="247" t="s">
        <v>2708</v>
      </c>
      <c r="C18" s="435">
        <f>'07 21 Insulation'!I21</f>
        <v>16261</v>
      </c>
      <c r="D18" s="435">
        <f>'07 21 Insulation'!I26</f>
        <v>36200</v>
      </c>
      <c r="E18" s="435">
        <f>'07 21 Insulation'!I33</f>
        <v>20510</v>
      </c>
      <c r="F18" s="479"/>
      <c r="G18" s="479"/>
      <c r="H18" s="229">
        <f>'07 21 Insulation'!$B$90</f>
        <v>72971</v>
      </c>
      <c r="I18" s="229"/>
      <c r="K18" s="443">
        <f t="shared" si="0"/>
        <v>0</v>
      </c>
    </row>
    <row r="19" spans="1:11" ht="18" customHeight="1">
      <c r="A19" s="242" t="s">
        <v>2646</v>
      </c>
      <c r="B19" s="247" t="s">
        <v>2564</v>
      </c>
      <c r="C19" s="435">
        <f>'07 50 Roofing'!I21</f>
        <v>2220525</v>
      </c>
      <c r="D19" s="435">
        <f>'07 50 Roofing'!I99</f>
        <v>60300</v>
      </c>
      <c r="E19" s="435">
        <f>'07 50 Roofing'!I105</f>
        <v>92210</v>
      </c>
      <c r="F19" s="479"/>
      <c r="G19" s="479"/>
      <c r="H19" s="229">
        <f>'07 50 Roofing'!$B$153</f>
        <v>2373035</v>
      </c>
      <c r="I19" s="229"/>
      <c r="K19" s="443">
        <f t="shared" si="0"/>
        <v>0</v>
      </c>
    </row>
    <row r="20" spans="1:11" ht="18" customHeight="1">
      <c r="A20" s="242" t="s">
        <v>2709</v>
      </c>
      <c r="B20" s="247" t="s">
        <v>559</v>
      </c>
      <c r="C20" s="435">
        <f>'07 81 Fireproofing'!$I$21</f>
        <v>343200</v>
      </c>
      <c r="D20" s="479"/>
      <c r="E20" s="479"/>
      <c r="F20" s="479"/>
      <c r="G20" s="479"/>
      <c r="H20" s="229">
        <f>'07 81 Fireproofing'!$B$90</f>
        <v>343200</v>
      </c>
      <c r="I20" s="229"/>
      <c r="K20" s="443">
        <f t="shared" si="0"/>
        <v>0</v>
      </c>
    </row>
    <row r="21" spans="1:11" ht="18" customHeight="1">
      <c r="A21" s="242" t="s">
        <v>2710</v>
      </c>
      <c r="B21" s="247" t="s">
        <v>2565</v>
      </c>
      <c r="C21" s="435">
        <f>'08 10 DFH'!I21</f>
        <v>555850</v>
      </c>
      <c r="D21" s="435">
        <f>'08 10 DFH'!I145</f>
        <v>19950</v>
      </c>
      <c r="E21" s="435">
        <f>'08 10 DFH'!I160</f>
        <v>135946</v>
      </c>
      <c r="F21" s="479"/>
      <c r="G21" s="479"/>
      <c r="H21" s="229">
        <f>'08 10 DFH'!$B$220</f>
        <v>711746</v>
      </c>
      <c r="I21" s="229"/>
      <c r="K21" s="443">
        <f t="shared" si="0"/>
        <v>0</v>
      </c>
    </row>
    <row r="22" spans="1:11" ht="18" customHeight="1">
      <c r="A22" s="242" t="s">
        <v>2711</v>
      </c>
      <c r="B22" s="247" t="s">
        <v>2567</v>
      </c>
      <c r="C22" s="435">
        <f>'08 11 Insect Screens'!$I$23</f>
        <v>260965.48101572369</v>
      </c>
      <c r="D22" s="435">
        <f>'08 11 Insect Screens'!$I$50</f>
        <v>61218.13794965647</v>
      </c>
      <c r="E22" s="435">
        <f>'08 11 Insect Screens'!$I$59</f>
        <v>39820.514565702382</v>
      </c>
      <c r="F22" s="479"/>
      <c r="G22" s="479"/>
      <c r="H22" s="229">
        <f>'08 11 Insect Screens'!$B$110</f>
        <v>362004.1335310826</v>
      </c>
      <c r="I22" s="229"/>
      <c r="K22" s="443">
        <f t="shared" si="0"/>
        <v>0</v>
      </c>
    </row>
    <row r="23" spans="1:11" ht="18" customHeight="1">
      <c r="A23" s="242" t="s">
        <v>2712</v>
      </c>
      <c r="B23" s="247" t="s">
        <v>2568</v>
      </c>
      <c r="C23" s="435">
        <f>'08 33 OH Coiling Doors'!I21</f>
        <v>20237.39</v>
      </c>
      <c r="D23" s="479"/>
      <c r="E23" s="479"/>
      <c r="F23" s="479"/>
      <c r="G23" s="479"/>
      <c r="H23" s="229">
        <f>'08 33 OH Coiling Doors'!$B$90</f>
        <v>20237.39</v>
      </c>
      <c r="I23" s="229"/>
      <c r="K23" s="443">
        <f t="shared" si="0"/>
        <v>0</v>
      </c>
    </row>
    <row r="24" spans="1:11" ht="18" customHeight="1">
      <c r="A24" s="242" t="s">
        <v>2651</v>
      </c>
      <c r="B24" s="247" t="s">
        <v>2569</v>
      </c>
      <c r="C24" s="435">
        <f>'08 50 Storefront'!I25</f>
        <v>2327406.34</v>
      </c>
      <c r="D24" s="479"/>
      <c r="E24" s="435">
        <f>'08 50 Storefront'!I193</f>
        <v>247760.7</v>
      </c>
      <c r="F24" s="479"/>
      <c r="G24" s="479"/>
      <c r="H24" s="229">
        <f>'08 50 Storefront'!$B$274</f>
        <v>2575167.04</v>
      </c>
      <c r="I24" s="229"/>
      <c r="K24" s="443">
        <f t="shared" si="0"/>
        <v>0</v>
      </c>
    </row>
    <row r="25" spans="1:11" ht="18" customHeight="1">
      <c r="A25" s="242" t="s">
        <v>2713</v>
      </c>
      <c r="B25" s="247" t="s">
        <v>2570</v>
      </c>
      <c r="C25" s="435">
        <f>'08 60 Skylights'!I$21</f>
        <v>24736</v>
      </c>
      <c r="D25" s="479"/>
      <c r="E25" s="479"/>
      <c r="F25" s="479"/>
      <c r="G25" s="479"/>
      <c r="H25" s="229">
        <f>'08 60 Skylights'!$B$90</f>
        <v>24736</v>
      </c>
      <c r="I25" s="229"/>
      <c r="K25" s="443">
        <f t="shared" si="0"/>
        <v>0</v>
      </c>
    </row>
    <row r="26" spans="1:11" ht="18" customHeight="1">
      <c r="A26" s="242" t="s">
        <v>2714</v>
      </c>
      <c r="B26" s="247" t="s">
        <v>2571</v>
      </c>
      <c r="C26" s="435">
        <f>'09 24 Stucco'!C72</f>
        <v>200300</v>
      </c>
      <c r="D26" s="479"/>
      <c r="E26" s="479"/>
      <c r="F26" s="479"/>
      <c r="G26" s="479"/>
      <c r="H26" s="229">
        <f>'09 24 Stucco'!$B$72</f>
        <v>200300</v>
      </c>
      <c r="I26" s="229"/>
      <c r="K26" s="443">
        <f t="shared" si="0"/>
        <v>0</v>
      </c>
    </row>
    <row r="27" spans="1:11" ht="18" customHeight="1">
      <c r="A27" s="242" t="s">
        <v>2715</v>
      </c>
      <c r="B27" s="247" t="s">
        <v>2572</v>
      </c>
      <c r="C27" s="435">
        <f>'09 26 Plaster'!C92</f>
        <v>565992.54</v>
      </c>
      <c r="D27" s="479"/>
      <c r="E27" s="479"/>
      <c r="F27" s="479"/>
      <c r="G27" s="479"/>
      <c r="H27" s="229">
        <f>'09 26 Plaster'!$B$92</f>
        <v>565992.54</v>
      </c>
      <c r="I27" s="229"/>
      <c r="K27" s="443">
        <f t="shared" si="0"/>
        <v>0</v>
      </c>
    </row>
    <row r="28" spans="1:11" ht="18" customHeight="1">
      <c r="A28" s="242" t="s">
        <v>2716</v>
      </c>
      <c r="B28" s="247" t="s">
        <v>2573</v>
      </c>
      <c r="C28" s="435">
        <f>'09 29 Gypsum Board'!C239</f>
        <v>2972787</v>
      </c>
      <c r="D28" s="435">
        <f>'09 29 Gypsum Board'!D239</f>
        <v>76546</v>
      </c>
      <c r="E28" s="435">
        <f>'09 29 Gypsum Board'!E239</f>
        <v>148960</v>
      </c>
      <c r="F28" s="479"/>
      <c r="G28" s="479"/>
      <c r="H28" s="229">
        <f>'09 29 Gypsum Board'!$B$239</f>
        <v>3198293</v>
      </c>
      <c r="I28" s="229"/>
      <c r="K28" s="443">
        <f t="shared" si="0"/>
        <v>0</v>
      </c>
    </row>
    <row r="29" spans="1:11" ht="18" customHeight="1">
      <c r="A29" s="242" t="s">
        <v>2717</v>
      </c>
      <c r="B29" s="247" t="s">
        <v>2574</v>
      </c>
      <c r="C29" s="435">
        <f>'09 30 Tile'!C253</f>
        <v>2681349.7199999997</v>
      </c>
      <c r="D29" s="435">
        <f>'09 30 Tile'!D253</f>
        <v>4619.2</v>
      </c>
      <c r="E29" s="435">
        <f>'09 30 Tile'!E253</f>
        <v>207716.72999999998</v>
      </c>
      <c r="F29" s="479"/>
      <c r="G29" s="479"/>
      <c r="H29" s="229">
        <f>'09 30 Tile'!$B$253</f>
        <v>2893685.65</v>
      </c>
      <c r="I29" s="229"/>
      <c r="K29" s="443">
        <f t="shared" si="0"/>
        <v>0</v>
      </c>
    </row>
    <row r="30" spans="1:11" ht="18" customHeight="1">
      <c r="A30" s="242" t="s">
        <v>2718</v>
      </c>
      <c r="B30" s="247" t="s">
        <v>2575</v>
      </c>
      <c r="C30" s="435">
        <f>'09 41 Resinous Flooring'!C88</f>
        <v>223898.41999999998</v>
      </c>
      <c r="D30" s="435">
        <f>'09 41 Resinous Flooring'!D88</f>
        <v>12480</v>
      </c>
      <c r="E30" s="435">
        <f>'09 41 Resinous Flooring'!E88</f>
        <v>0</v>
      </c>
      <c r="F30" s="479"/>
      <c r="G30" s="479"/>
      <c r="H30" s="229">
        <f>'09 41 Resinous Flooring'!$B88</f>
        <v>236378.41999999998</v>
      </c>
      <c r="I30" s="229"/>
      <c r="K30" s="443">
        <f t="shared" si="0"/>
        <v>0</v>
      </c>
    </row>
    <row r="31" spans="1:11" ht="18" customHeight="1">
      <c r="A31" s="242" t="s">
        <v>2719</v>
      </c>
      <c r="B31" s="247" t="s">
        <v>2576</v>
      </c>
      <c r="C31" s="435">
        <f>'09 51 ACT'!C79</f>
        <v>1536725</v>
      </c>
      <c r="D31" s="435">
        <f>'09 51 ACT'!D79</f>
        <v>2960</v>
      </c>
      <c r="E31" s="435">
        <f>'09 51 ACT'!E79</f>
        <v>106490</v>
      </c>
      <c r="F31" s="479"/>
      <c r="G31" s="479"/>
      <c r="H31" s="229">
        <f>'09 51 ACT'!$B79</f>
        <v>1646175</v>
      </c>
      <c r="I31" s="229"/>
      <c r="K31" s="443">
        <f t="shared" si="0"/>
        <v>0</v>
      </c>
    </row>
    <row r="32" spans="1:11" ht="18" customHeight="1">
      <c r="A32" s="242" t="s">
        <v>2720</v>
      </c>
      <c r="B32" s="247" t="s">
        <v>2577</v>
      </c>
      <c r="C32" s="435">
        <f>'09 60 Resilient Flooring'!C94</f>
        <v>279493.41000000003</v>
      </c>
      <c r="D32" s="435">
        <f>'09 60 Resilient Flooring'!D94</f>
        <v>0</v>
      </c>
      <c r="E32" s="435">
        <f>'09 60 Resilient Flooring'!E94</f>
        <v>11766.18</v>
      </c>
      <c r="F32" s="479"/>
      <c r="G32" s="479"/>
      <c r="H32" s="229">
        <f>'09 60 Resilient Flooring'!$B$94</f>
        <v>291259.59000000003</v>
      </c>
      <c r="I32" s="229"/>
      <c r="K32" s="443">
        <f t="shared" si="0"/>
        <v>0</v>
      </c>
    </row>
    <row r="33" spans="1:11" ht="18" customHeight="1">
      <c r="A33" s="242" t="s">
        <v>2721</v>
      </c>
      <c r="B33" s="247" t="s">
        <v>2578</v>
      </c>
      <c r="C33" s="435">
        <f>'09 64 Wood Flooring'!C84</f>
        <v>879439.92999999993</v>
      </c>
      <c r="D33" s="435">
        <f>'09 64 Wood Flooring'!D84</f>
        <v>14434.03</v>
      </c>
      <c r="E33" s="435">
        <f>'09 64 Wood Flooring'!E84</f>
        <v>0</v>
      </c>
      <c r="F33" s="479"/>
      <c r="G33" s="479"/>
      <c r="H33" s="229">
        <f>'09 64 Wood Flooring'!$B$84</f>
        <v>893873.96</v>
      </c>
      <c r="I33" s="229"/>
      <c r="K33" s="443">
        <f t="shared" si="0"/>
        <v>0</v>
      </c>
    </row>
    <row r="34" spans="1:11" ht="18" customHeight="1">
      <c r="A34" s="242" t="s">
        <v>2722</v>
      </c>
      <c r="B34" s="247" t="s">
        <v>2579</v>
      </c>
      <c r="C34" s="435">
        <f>'09 90 Painting'!C155</f>
        <v>935578.34</v>
      </c>
      <c r="D34" s="435">
        <f>'09 90 Painting'!D155</f>
        <v>25276</v>
      </c>
      <c r="E34" s="435">
        <f>'09 90 Painting'!E155</f>
        <v>14685</v>
      </c>
      <c r="F34" s="479"/>
      <c r="G34" s="479"/>
      <c r="H34" s="229">
        <f>'09 90 Painting'!$B155</f>
        <v>975539.34</v>
      </c>
      <c r="I34" s="229"/>
      <c r="K34" s="443">
        <f t="shared" si="0"/>
        <v>0</v>
      </c>
    </row>
    <row r="35" spans="1:11" ht="18" customHeight="1">
      <c r="A35" s="242" t="s">
        <v>2653</v>
      </c>
      <c r="B35" s="247" t="s">
        <v>2580</v>
      </c>
      <c r="C35" s="435">
        <f>'10 22 Demountable Part'!I21</f>
        <v>47635</v>
      </c>
      <c r="D35" s="479"/>
      <c r="E35" s="479"/>
      <c r="F35" s="479"/>
      <c r="G35" s="479"/>
      <c r="H35" s="229">
        <f>'10 22 Demountable Part'!$B$90</f>
        <v>47635</v>
      </c>
      <c r="I35" s="229"/>
      <c r="K35" s="443">
        <f t="shared" si="0"/>
        <v>0</v>
      </c>
    </row>
    <row r="36" spans="1:11" ht="18" customHeight="1">
      <c r="A36" s="242" t="s">
        <v>2723</v>
      </c>
      <c r="B36" s="247" t="s">
        <v>2582</v>
      </c>
      <c r="C36" s="435">
        <f>'10 28 Specialties'!C214</f>
        <v>99213.86</v>
      </c>
      <c r="D36" s="435">
        <f>'10 28 Specialties'!D214</f>
        <v>9942.2999999999993</v>
      </c>
      <c r="E36" s="435">
        <f>'10 28 Specialties'!E214</f>
        <v>11170.600000000002</v>
      </c>
      <c r="F36" s="479"/>
      <c r="G36" s="479"/>
      <c r="H36" s="229">
        <f>'10 28 Specialties'!$B214</f>
        <v>120326.76000000001</v>
      </c>
      <c r="I36" s="229"/>
      <c r="K36" s="443">
        <f t="shared" si="0"/>
        <v>0</v>
      </c>
    </row>
    <row r="37" spans="1:11" ht="18" customHeight="1">
      <c r="A37" s="242" t="s">
        <v>2724</v>
      </c>
      <c r="B37" s="247" t="s">
        <v>2583</v>
      </c>
      <c r="C37" s="435">
        <f>'10 30 Fireplace '!I21</f>
        <v>28550</v>
      </c>
      <c r="D37" s="479"/>
      <c r="E37" s="479"/>
      <c r="F37" s="479"/>
      <c r="G37" s="479"/>
      <c r="H37" s="229">
        <f>'10 30 Fireplace '!$B90</f>
        <v>28550</v>
      </c>
      <c r="I37" s="229"/>
      <c r="K37" s="443">
        <f t="shared" si="0"/>
        <v>0</v>
      </c>
    </row>
    <row r="38" spans="1:11" ht="18" customHeight="1">
      <c r="A38" s="242" t="s">
        <v>2656</v>
      </c>
      <c r="B38" s="247" t="s">
        <v>2584</v>
      </c>
      <c r="C38" s="435">
        <f>'10 51 Lockers'!I21</f>
        <v>414093.8</v>
      </c>
      <c r="D38" s="479"/>
      <c r="E38" s="479"/>
      <c r="F38" s="479"/>
      <c r="G38" s="479"/>
      <c r="H38" s="229">
        <f>'10 51 Lockers'!$B$105</f>
        <v>414093.8</v>
      </c>
      <c r="I38" s="229"/>
      <c r="K38" s="443">
        <f t="shared" ref="K38" si="1">SUM(C38:G38)-H38</f>
        <v>0</v>
      </c>
    </row>
    <row r="39" spans="1:11" ht="18" customHeight="1">
      <c r="A39" s="242" t="s">
        <v>2658</v>
      </c>
      <c r="B39" s="247" t="s">
        <v>2586</v>
      </c>
      <c r="C39" s="435">
        <f>'10 53 Signage'!I23</f>
        <v>36500</v>
      </c>
      <c r="D39" s="435">
        <f>'10 53 Signage'!I31</f>
        <v>1050</v>
      </c>
      <c r="E39" s="435">
        <f>'10 53 Signage'!I34</f>
        <v>7700</v>
      </c>
      <c r="F39" s="479"/>
      <c r="G39" s="435">
        <f>'10 53 Signage'!I39</f>
        <v>7500</v>
      </c>
      <c r="H39" s="229">
        <f>'10 53 Signage'!$B93</f>
        <v>52750</v>
      </c>
      <c r="I39" s="229"/>
      <c r="K39" s="443">
        <f t="shared" si="0"/>
        <v>0</v>
      </c>
    </row>
    <row r="40" spans="1:11" ht="18" customHeight="1">
      <c r="A40" s="242" t="s">
        <v>2660</v>
      </c>
      <c r="B40" s="247" t="s">
        <v>2588</v>
      </c>
      <c r="C40" s="435">
        <f>'10 73 Canopy'!$I$21</f>
        <v>350000</v>
      </c>
      <c r="D40" s="479"/>
      <c r="E40" s="479"/>
      <c r="F40" s="479"/>
      <c r="G40" s="479"/>
      <c r="H40" s="229">
        <f>'10 73 Canopy'!$B$91</f>
        <v>350000</v>
      </c>
      <c r="I40" s="229"/>
      <c r="K40" s="443">
        <f t="shared" si="0"/>
        <v>0</v>
      </c>
    </row>
    <row r="41" spans="1:11" ht="18" customHeight="1">
      <c r="A41" s="242" t="s">
        <v>2725</v>
      </c>
      <c r="B41" s="247" t="s">
        <v>2589</v>
      </c>
      <c r="C41" s="435">
        <f>'11 40 FS Equip'!I21</f>
        <v>184253.95</v>
      </c>
      <c r="D41" s="435">
        <f>'11 40 FS Equip'!I48</f>
        <v>4480</v>
      </c>
      <c r="E41" s="479"/>
      <c r="F41" s="479"/>
      <c r="G41" s="479"/>
      <c r="H41" s="229">
        <f>'11 40 FS Equip'!$B98</f>
        <v>188733.95</v>
      </c>
      <c r="I41" s="229"/>
      <c r="K41" s="443">
        <f t="shared" si="0"/>
        <v>0</v>
      </c>
    </row>
    <row r="42" spans="1:11" ht="18" customHeight="1">
      <c r="A42" s="242" t="s">
        <v>2725</v>
      </c>
      <c r="B42" s="247" t="s">
        <v>2591</v>
      </c>
      <c r="C42" s="435">
        <f>'11 40 Appliances'!I21</f>
        <v>102552</v>
      </c>
      <c r="D42" s="435">
        <f>'11 40 Appliances'!I70</f>
        <v>11984</v>
      </c>
      <c r="E42" s="479"/>
      <c r="F42" s="479"/>
      <c r="G42" s="479"/>
      <c r="H42" s="229">
        <f>'11 40 Appliances'!B120</f>
        <v>114536</v>
      </c>
      <c r="I42" s="229"/>
      <c r="K42" s="443">
        <f t="shared" ref="K42" si="2">SUM(C42:G42)-H42</f>
        <v>0</v>
      </c>
    </row>
    <row r="43" spans="1:11" ht="18" customHeight="1">
      <c r="A43" s="242" t="s">
        <v>2662</v>
      </c>
      <c r="B43" s="247" t="s">
        <v>2592</v>
      </c>
      <c r="C43" s="435">
        <f>'12 20 Window Treatments'!I26</f>
        <v>451948.81999999995</v>
      </c>
      <c r="D43" s="435">
        <f>'12 20 Window Treatments'!I88</f>
        <v>6420</v>
      </c>
      <c r="E43" s="435">
        <f>'12 20 Window Treatments'!I91</f>
        <v>3000</v>
      </c>
      <c r="F43" s="479"/>
      <c r="G43" s="479"/>
      <c r="H43" s="229">
        <f>'12 20 Window Treatments'!$B$134</f>
        <v>461368.81999999995</v>
      </c>
      <c r="I43" s="229"/>
      <c r="K43" s="443">
        <f t="shared" si="0"/>
        <v>0</v>
      </c>
    </row>
    <row r="44" spans="1:11" ht="18" customHeight="1">
      <c r="A44" s="242" t="s">
        <v>2665</v>
      </c>
      <c r="B44" s="247" t="s">
        <v>2593</v>
      </c>
      <c r="C44" s="435">
        <f>'13 11 Pool'!I21</f>
        <v>1910189</v>
      </c>
      <c r="D44" s="479"/>
      <c r="E44" s="435">
        <f>'13 11 Pool'!I55</f>
        <v>234057</v>
      </c>
      <c r="F44" s="435">
        <f>'13 11 Pool'!I63</f>
        <v>3951946</v>
      </c>
      <c r="G44" s="479"/>
      <c r="H44" s="229">
        <f>'13 11 Pool'!$B145</f>
        <v>6096192</v>
      </c>
      <c r="I44" s="229"/>
      <c r="K44" s="443">
        <f t="shared" si="0"/>
        <v>0</v>
      </c>
    </row>
    <row r="45" spans="1:11" ht="18" customHeight="1">
      <c r="A45" s="242" t="s">
        <v>2668</v>
      </c>
      <c r="B45" s="291" t="s">
        <v>2594</v>
      </c>
      <c r="C45" s="435">
        <f>'13 12 Spa Rooms'!$I$21</f>
        <v>1706404</v>
      </c>
      <c r="D45" s="479"/>
      <c r="E45" s="479"/>
      <c r="F45" s="479"/>
      <c r="G45" s="479"/>
      <c r="H45" s="229">
        <f>'13 12 Spa Rooms'!$B110</f>
        <v>1706404</v>
      </c>
      <c r="I45" s="229"/>
      <c r="K45" s="443">
        <f t="shared" si="0"/>
        <v>0</v>
      </c>
    </row>
    <row r="46" spans="1:11" ht="18" customHeight="1">
      <c r="A46" s="242" t="s">
        <v>2670</v>
      </c>
      <c r="B46" s="291" t="s">
        <v>2596</v>
      </c>
      <c r="C46" s="435">
        <f>'14 00 Elevators'!I23</f>
        <v>1230500</v>
      </c>
      <c r="D46" s="479"/>
      <c r="E46" s="479"/>
      <c r="F46" s="479"/>
      <c r="G46" s="479"/>
      <c r="H46" s="229">
        <f>'14 00 Elevators'!$B$119</f>
        <v>1230500</v>
      </c>
      <c r="I46" s="229"/>
      <c r="K46" s="443">
        <f t="shared" si="0"/>
        <v>0</v>
      </c>
    </row>
    <row r="47" spans="1:11" ht="18" customHeight="1">
      <c r="A47" s="242" t="s">
        <v>2726</v>
      </c>
      <c r="B47" s="291" t="s">
        <v>2598</v>
      </c>
      <c r="C47" s="435">
        <f>'14 91 Linen Chute'!$I$21</f>
        <v>42026</v>
      </c>
      <c r="D47" s="479"/>
      <c r="E47" s="479"/>
      <c r="F47" s="479"/>
      <c r="G47" s="479"/>
      <c r="H47" s="229">
        <f>'14 91 Linen Chute'!$B$90</f>
        <v>42026</v>
      </c>
      <c r="I47" s="229"/>
      <c r="K47" s="443">
        <f t="shared" si="0"/>
        <v>0</v>
      </c>
    </row>
    <row r="48" spans="1:11" ht="18" customHeight="1">
      <c r="A48" s="242" t="s">
        <v>2727</v>
      </c>
      <c r="B48" s="247" t="s">
        <v>2599</v>
      </c>
      <c r="C48" s="435">
        <f>'21 13 Fire Protection'!I21</f>
        <v>319000</v>
      </c>
      <c r="D48" s="479"/>
      <c r="E48" s="479"/>
      <c r="F48" s="479"/>
      <c r="G48" s="479"/>
      <c r="H48" s="229">
        <f>'21 13 Fire Protection'!B95</f>
        <v>319000</v>
      </c>
      <c r="I48" s="610">
        <f t="shared" ref="I48:I51" si="3">H48/86144</f>
        <v>3.7031017830609212</v>
      </c>
      <c r="K48" s="443">
        <f t="shared" si="0"/>
        <v>0</v>
      </c>
    </row>
    <row r="49" spans="1:11" ht="18" customHeight="1">
      <c r="A49" s="242" t="s">
        <v>2672</v>
      </c>
      <c r="B49" s="247" t="s">
        <v>557</v>
      </c>
      <c r="C49" s="435">
        <f>'22 00 Plumbing '!I21</f>
        <v>3758478</v>
      </c>
      <c r="D49" s="435">
        <f>'22 00 Plumbing '!I173</f>
        <v>140000</v>
      </c>
      <c r="E49" s="435">
        <f>'22 00 Plumbing '!I198</f>
        <v>88622</v>
      </c>
      <c r="F49" s="479"/>
      <c r="G49" s="479"/>
      <c r="H49" s="229">
        <f>'22 00 Plumbing '!$B268</f>
        <v>3987100</v>
      </c>
      <c r="I49" s="610">
        <f t="shared" si="3"/>
        <v>46.284128900445765</v>
      </c>
      <c r="K49" s="443">
        <f t="shared" si="0"/>
        <v>0</v>
      </c>
    </row>
    <row r="50" spans="1:11" ht="18" customHeight="1">
      <c r="A50" s="242" t="s">
        <v>2676</v>
      </c>
      <c r="B50" s="247" t="s">
        <v>2600</v>
      </c>
      <c r="C50" s="435">
        <f>'23 00 HVAC'!I21</f>
        <v>4652684</v>
      </c>
      <c r="D50" s="435">
        <f>'23 00 HVAC'!I136</f>
        <v>54504</v>
      </c>
      <c r="E50" s="435">
        <f>'23 00 HVAC'!I146</f>
        <v>562496</v>
      </c>
      <c r="F50" s="479"/>
      <c r="G50" s="479"/>
      <c r="H50" s="229">
        <f>'23 00 HVAC'!$B204</f>
        <v>5269684</v>
      </c>
      <c r="I50" s="610">
        <f t="shared" si="3"/>
        <v>61.172966196136699</v>
      </c>
      <c r="K50" s="443">
        <f t="shared" si="0"/>
        <v>0</v>
      </c>
    </row>
    <row r="51" spans="1:11" ht="18" customHeight="1">
      <c r="A51" s="242" t="s">
        <v>2678</v>
      </c>
      <c r="B51" s="247" t="s">
        <v>2601</v>
      </c>
      <c r="C51" s="435">
        <f>'26 00 Electrical'!I21</f>
        <v>4679125</v>
      </c>
      <c r="D51" s="435">
        <f>'26 00 Electrical'!I64</f>
        <v>296113</v>
      </c>
      <c r="E51" s="435">
        <f>'26 00 Electrical'!I72</f>
        <v>281439</v>
      </c>
      <c r="F51" s="435">
        <f>'26 00 Electrical'!I81</f>
        <v>400000</v>
      </c>
      <c r="G51" s="479"/>
      <c r="H51" s="229">
        <f>'26 00 Electrical'!$B129</f>
        <v>5656677</v>
      </c>
      <c r="I51" s="610">
        <f t="shared" si="3"/>
        <v>65.665362648588413</v>
      </c>
      <c r="K51" s="443">
        <f t="shared" si="0"/>
        <v>0</v>
      </c>
    </row>
    <row r="52" spans="1:11" ht="18" customHeight="1">
      <c r="A52" s="242" t="s">
        <v>2728</v>
      </c>
      <c r="B52" s="247" t="s">
        <v>2602</v>
      </c>
      <c r="C52" s="435">
        <f>'27 10 Structured Cable'!I21</f>
        <v>358290.72</v>
      </c>
      <c r="D52" s="435">
        <f>'27 10 Structured Cable'!I92</f>
        <v>27213.11</v>
      </c>
      <c r="E52" s="435">
        <f>'27 10 Structured Cable'!I106</f>
        <v>26005.11</v>
      </c>
      <c r="F52" s="479"/>
      <c r="G52" s="479"/>
      <c r="H52" s="229">
        <f>'27 10 Structured Cable'!$B162</f>
        <v>411508.93999999994</v>
      </c>
      <c r="I52" s="610">
        <f>H52/86144</f>
        <v>4.7769889951708757</v>
      </c>
      <c r="K52" s="443">
        <f t="shared" si="0"/>
        <v>0</v>
      </c>
    </row>
    <row r="53" spans="1:11" ht="18" customHeight="1">
      <c r="A53" s="242" t="s">
        <v>2729</v>
      </c>
      <c r="B53" s="247" t="s">
        <v>2603</v>
      </c>
      <c r="C53" s="435">
        <f>'27 40 AV System'!I21</f>
        <v>728428.08</v>
      </c>
      <c r="D53" s="435">
        <f>'27 40 AV System'!I189</f>
        <v>33762.14</v>
      </c>
      <c r="E53" s="435">
        <f>'27 40 AV System'!I210</f>
        <v>81614.28</v>
      </c>
      <c r="F53" s="479"/>
      <c r="G53" s="479"/>
      <c r="H53" s="229">
        <f>'27 40 AV System'!$B266</f>
        <v>843804.5</v>
      </c>
      <c r="I53" s="610">
        <f t="shared" ref="I53:I55" si="4">H53/86144</f>
        <v>9.7952788354383351</v>
      </c>
      <c r="K53" s="443">
        <f t="shared" si="0"/>
        <v>0</v>
      </c>
    </row>
    <row r="54" spans="1:11" ht="18" customHeight="1">
      <c r="A54" s="298" t="s">
        <v>2730</v>
      </c>
      <c r="B54" s="247" t="s">
        <v>2604</v>
      </c>
      <c r="C54" s="435">
        <f>'27 53 BDA System'!I21</f>
        <v>95500</v>
      </c>
      <c r="D54" s="479"/>
      <c r="E54" s="479"/>
      <c r="F54" s="479"/>
      <c r="G54" s="479"/>
      <c r="H54" s="509">
        <f>'27 53 BDA System'!$B90</f>
        <v>95500</v>
      </c>
      <c r="I54" s="610">
        <f t="shared" si="4"/>
        <v>1.1086088410104011</v>
      </c>
      <c r="K54" s="443">
        <f>SUM(C54:G54)-H54</f>
        <v>0</v>
      </c>
    </row>
    <row r="55" spans="1:11" ht="18" customHeight="1">
      <c r="A55" s="242" t="s">
        <v>2731</v>
      </c>
      <c r="B55" s="247" t="s">
        <v>2605</v>
      </c>
      <c r="C55" s="435">
        <f>'28 10 Security'!I21</f>
        <v>401795.27999999997</v>
      </c>
      <c r="D55" s="479"/>
      <c r="E55" s="479"/>
      <c r="F55" s="479"/>
      <c r="G55" s="479"/>
      <c r="H55" s="229">
        <f>'28 10 Security'!$B149</f>
        <v>401795.27999999997</v>
      </c>
      <c r="I55" s="610">
        <f t="shared" si="4"/>
        <v>4.6642282689450223</v>
      </c>
      <c r="K55" s="443">
        <f t="shared" si="0"/>
        <v>0</v>
      </c>
    </row>
    <row r="56" spans="1:11" ht="18" customHeight="1">
      <c r="A56" s="298" t="s">
        <v>2732</v>
      </c>
      <c r="B56" s="247" t="s">
        <v>2606</v>
      </c>
      <c r="C56" s="479"/>
      <c r="D56" s="479"/>
      <c r="E56" s="479"/>
      <c r="F56" s="479"/>
      <c r="G56" s="435">
        <f>'31 30 Site Work'!B112</f>
        <v>2628144</v>
      </c>
      <c r="H56" s="229">
        <f>'31 30 Site Work'!$B112</f>
        <v>2628144</v>
      </c>
      <c r="I56" s="229"/>
      <c r="K56" s="443">
        <f t="shared" si="0"/>
        <v>0</v>
      </c>
    </row>
    <row r="57" spans="1:11" ht="18" customHeight="1">
      <c r="A57" s="242" t="s">
        <v>2733</v>
      </c>
      <c r="B57" s="247" t="s">
        <v>2608</v>
      </c>
      <c r="C57" s="479"/>
      <c r="D57" s="479"/>
      <c r="E57" s="479"/>
      <c r="F57" s="479"/>
      <c r="G57" s="435">
        <v>0</v>
      </c>
      <c r="H57" s="229">
        <f>'31 32 Soil Stabilization'!$B91</f>
        <v>0</v>
      </c>
      <c r="I57" s="229"/>
      <c r="K57" s="443">
        <f t="shared" ref="K57" si="5">SUM(C57:G57)-H57</f>
        <v>0</v>
      </c>
    </row>
    <row r="58" spans="1:11" ht="18" customHeight="1">
      <c r="A58" s="242" t="s">
        <v>2680</v>
      </c>
      <c r="B58" s="247" t="s">
        <v>2610</v>
      </c>
      <c r="C58" s="479"/>
      <c r="D58" s="479"/>
      <c r="E58" s="479"/>
      <c r="F58" s="435">
        <f>'32 14 Hardsacpe - Walls'!$I$21</f>
        <v>2205447</v>
      </c>
      <c r="G58" s="481"/>
      <c r="H58" s="229">
        <f>'32 14 Hardsacpe - Walls'!$B$180</f>
        <v>2205447</v>
      </c>
      <c r="I58" s="229"/>
      <c r="K58" s="443">
        <f>SUM(C58:G58)-H58</f>
        <v>0</v>
      </c>
    </row>
    <row r="59" spans="1:11" ht="18" customHeight="1">
      <c r="A59" s="242" t="s">
        <v>2680</v>
      </c>
      <c r="B59" s="247" t="s">
        <v>2612</v>
      </c>
      <c r="C59" s="479"/>
      <c r="D59" s="479"/>
      <c r="E59" s="479"/>
      <c r="F59" s="435">
        <f>'32 14 Hardsacpe - Pavers'!$I$21</f>
        <v>2904043</v>
      </c>
      <c r="G59" s="481"/>
      <c r="H59" s="229">
        <f>'32 14 Hardsacpe - Pavers'!$B$105</f>
        <v>2904043</v>
      </c>
      <c r="I59" s="229"/>
      <c r="K59" s="443">
        <f>SUM(C59:G59)-H59</f>
        <v>0</v>
      </c>
    </row>
    <row r="60" spans="1:11" ht="18" customHeight="1">
      <c r="A60" s="242" t="s">
        <v>2688</v>
      </c>
      <c r="B60" s="247" t="s">
        <v>2613</v>
      </c>
      <c r="C60" s="481"/>
      <c r="D60" s="481"/>
      <c r="E60" s="481"/>
      <c r="F60" s="436">
        <f>'32 31 Fence &amp; Gates'!$I$21</f>
        <v>206780</v>
      </c>
      <c r="G60" s="481"/>
      <c r="H60" s="255">
        <f>'32 31 Fence &amp; Gates'!$B$90</f>
        <v>206780</v>
      </c>
      <c r="I60" s="255"/>
      <c r="K60" s="443">
        <f t="shared" si="0"/>
        <v>0</v>
      </c>
    </row>
    <row r="61" spans="1:11" ht="18" customHeight="1">
      <c r="A61" s="242" t="s">
        <v>2690</v>
      </c>
      <c r="B61" s="247" t="s">
        <v>2615</v>
      </c>
      <c r="C61" s="480"/>
      <c r="D61" s="480"/>
      <c r="E61" s="481"/>
      <c r="F61" s="436">
        <f>'32 80 Landscape'!I51</f>
        <v>1769458.72</v>
      </c>
      <c r="G61" s="481"/>
      <c r="H61" s="255">
        <f>'32 80 Landscape'!B90</f>
        <v>1769458.72</v>
      </c>
      <c r="I61" s="255"/>
      <c r="K61" s="443">
        <f t="shared" si="0"/>
        <v>0</v>
      </c>
    </row>
    <row r="62" spans="1:11" ht="18" customHeight="1">
      <c r="A62" s="242" t="s">
        <v>2734</v>
      </c>
      <c r="B62" s="247" t="s">
        <v>2735</v>
      </c>
      <c r="C62" s="480"/>
      <c r="D62" s="530" t="s">
        <v>2736</v>
      </c>
      <c r="E62" s="481"/>
      <c r="F62" s="481"/>
      <c r="G62" s="481"/>
      <c r="H62" s="255">
        <f>'35 00 Marine'!$B$90</f>
        <v>0</v>
      </c>
      <c r="I62" s="292"/>
      <c r="K62" s="443">
        <f t="shared" si="0"/>
        <v>0</v>
      </c>
    </row>
    <row r="63" spans="1:11" ht="18" customHeight="1">
      <c r="A63" s="242"/>
      <c r="B63" s="247"/>
      <c r="C63" s="437"/>
      <c r="D63" s="437"/>
      <c r="E63" s="437"/>
      <c r="F63" s="437"/>
      <c r="G63" s="437"/>
      <c r="H63" s="482"/>
      <c r="I63" s="257"/>
      <c r="K63" s="443">
        <f t="shared" si="0"/>
        <v>0</v>
      </c>
    </row>
    <row r="64" spans="1:11" ht="18" customHeight="1">
      <c r="A64" s="244"/>
      <c r="B64" s="248" t="s">
        <v>2737</v>
      </c>
      <c r="C64" s="438">
        <f t="shared" ref="C64:I64" si="6">SUM(C8:C63)</f>
        <v>63352192.333540976</v>
      </c>
      <c r="D64" s="438">
        <f t="shared" si="6"/>
        <v>2814585.4987577372</v>
      </c>
      <c r="E64" s="438">
        <f>SUM(E8:E63)</f>
        <v>3837651.7012323686</v>
      </c>
      <c r="F64" s="438">
        <f>SUM(F8:F63)</f>
        <v>11459674.720000001</v>
      </c>
      <c r="G64" s="438">
        <f t="shared" si="6"/>
        <v>2655644</v>
      </c>
      <c r="H64" s="483">
        <f t="shared" si="6"/>
        <v>84119748.253531098</v>
      </c>
      <c r="I64" s="258">
        <f t="shared" si="6"/>
        <v>197.17066446879642</v>
      </c>
      <c r="K64" s="443">
        <f t="shared" si="0"/>
        <v>0</v>
      </c>
    </row>
    <row r="65" spans="1:11" ht="18" customHeight="1">
      <c r="A65" s="243"/>
      <c r="B65" s="247" t="s">
        <v>2738</v>
      </c>
      <c r="C65" s="437">
        <f>C64*$J$65</f>
        <v>1267043.8466708194</v>
      </c>
      <c r="D65" s="437">
        <f t="shared" ref="D65:H65" si="7">D64*$J$65</f>
        <v>56291.709975154743</v>
      </c>
      <c r="E65" s="437">
        <f t="shared" si="7"/>
        <v>76753.034024647379</v>
      </c>
      <c r="F65" s="437">
        <f t="shared" si="7"/>
        <v>229193.49440000003</v>
      </c>
      <c r="G65" s="437">
        <f t="shared" si="7"/>
        <v>53112.880000000005</v>
      </c>
      <c r="H65" s="484">
        <f t="shared" si="7"/>
        <v>1682394.965070622</v>
      </c>
      <c r="I65" s="259"/>
      <c r="J65" s="444">
        <v>0.02</v>
      </c>
      <c r="K65" s="443">
        <f t="shared" si="0"/>
        <v>0</v>
      </c>
    </row>
    <row r="66" spans="1:11" ht="18" customHeight="1">
      <c r="A66" s="244"/>
      <c r="B66" s="248" t="s">
        <v>2739</v>
      </c>
      <c r="C66" s="438">
        <f t="shared" ref="C66:I66" si="8">SUM(C64:C65)</f>
        <v>64619236.180211797</v>
      </c>
      <c r="D66" s="438">
        <f t="shared" si="8"/>
        <v>2870877.2087328918</v>
      </c>
      <c r="E66" s="438">
        <f t="shared" si="8"/>
        <v>3914404.735257016</v>
      </c>
      <c r="F66" s="438">
        <f t="shared" si="8"/>
        <v>11688868.214400001</v>
      </c>
      <c r="G66" s="438">
        <f t="shared" si="8"/>
        <v>2708756.88</v>
      </c>
      <c r="H66" s="438">
        <f t="shared" si="8"/>
        <v>85802143.218601719</v>
      </c>
      <c r="I66" s="258">
        <f t="shared" si="8"/>
        <v>197.17066446879642</v>
      </c>
      <c r="K66" s="443">
        <f t="shared" si="0"/>
        <v>0</v>
      </c>
    </row>
    <row r="67" spans="1:11" ht="18" customHeight="1">
      <c r="A67" s="153"/>
      <c r="B67" s="247" t="s">
        <v>2740</v>
      </c>
      <c r="C67" s="437">
        <f>C66*$J$67</f>
        <v>3283436.0034764963</v>
      </c>
      <c r="D67" s="437">
        <f>D66*$J$67</f>
        <v>145875.16265938614</v>
      </c>
      <c r="E67" s="437">
        <f>E66*$J$67</f>
        <v>198898.93783451468</v>
      </c>
      <c r="F67" s="437">
        <f t="shared" ref="F67:G67" si="9">F66*$J$67</f>
        <v>593935.38215182279</v>
      </c>
      <c r="G67" s="437">
        <f t="shared" si="9"/>
        <v>137637.49604920679</v>
      </c>
      <c r="H67" s="229">
        <f>'GCs &amp; GRs'!L158</f>
        <v>4359782.9821714275</v>
      </c>
      <c r="I67" s="256"/>
      <c r="J67" s="444">
        <f>H67/H66</f>
        <v>5.0812052224194743E-2</v>
      </c>
      <c r="K67" s="443">
        <f t="shared" si="0"/>
        <v>0</v>
      </c>
    </row>
    <row r="68" spans="1:11" ht="18" customHeight="1">
      <c r="A68" s="245"/>
      <c r="B68" s="247" t="s">
        <v>2741</v>
      </c>
      <c r="C68" s="437">
        <f>C66*$J$68</f>
        <v>981937.2432876263</v>
      </c>
      <c r="D68" s="437">
        <f>D66*$J$68</f>
        <v>43625.109468931078</v>
      </c>
      <c r="E68" s="437">
        <f>E66*$J$68</f>
        <v>59482.284565092901</v>
      </c>
      <c r="F68" s="437">
        <f t="shared" ref="F68:G68" si="10">F66*$J$68</f>
        <v>177621.02602994087</v>
      </c>
      <c r="G68" s="437">
        <f t="shared" si="10"/>
        <v>41161.570775392502</v>
      </c>
      <c r="H68" s="229">
        <f>'GCs &amp; GRs'!L159</f>
        <v>1303827.2341269839</v>
      </c>
      <c r="I68" s="256"/>
      <c r="J68" s="444">
        <f>H68/H66</f>
        <v>1.5195742031818116E-2</v>
      </c>
      <c r="K68" s="443">
        <f t="shared" si="0"/>
        <v>0</v>
      </c>
    </row>
    <row r="69" spans="1:11" ht="18" customHeight="1">
      <c r="A69" s="245"/>
      <c r="B69" s="247" t="s">
        <v>2742</v>
      </c>
      <c r="C69" s="437">
        <f>C66*$J$69</f>
        <v>56483.935385721066</v>
      </c>
      <c r="D69" s="437">
        <f>D66*$J$69</f>
        <v>2509.4453655592006</v>
      </c>
      <c r="E69" s="437">
        <f>E66*$J$69</f>
        <v>3421.5969920041416</v>
      </c>
      <c r="F69" s="437">
        <f>F66*$J$69</f>
        <v>10217.286925414946</v>
      </c>
      <c r="G69" s="437">
        <f>G66*$J$69</f>
        <v>2367.7353313006292</v>
      </c>
      <c r="H69" s="229">
        <v>75000</v>
      </c>
      <c r="I69" s="256"/>
      <c r="J69" s="444">
        <f>H69/H66</f>
        <v>8.7410403967322066E-4</v>
      </c>
      <c r="K69" s="443">
        <f t="shared" si="0"/>
        <v>0</v>
      </c>
    </row>
    <row r="70" spans="1:11" ht="18" customHeight="1">
      <c r="A70" s="245"/>
      <c r="B70" s="247" t="s">
        <v>2743</v>
      </c>
      <c r="C70" s="437"/>
      <c r="D70" s="437"/>
      <c r="E70" s="437"/>
      <c r="F70" s="437"/>
      <c r="G70" s="437"/>
      <c r="H70" s="482" t="s">
        <v>2744</v>
      </c>
      <c r="I70" s="257"/>
      <c r="J70" s="445"/>
      <c r="K70" s="443"/>
    </row>
    <row r="71" spans="1:11" ht="18" customHeight="1">
      <c r="A71" s="245"/>
      <c r="B71" s="247" t="s">
        <v>2745</v>
      </c>
      <c r="C71" s="437"/>
      <c r="D71" s="437"/>
      <c r="E71" s="437"/>
      <c r="F71" s="437"/>
      <c r="G71" s="437"/>
      <c r="H71" s="482" t="s">
        <v>2744</v>
      </c>
      <c r="I71" s="257"/>
      <c r="J71" s="445"/>
      <c r="K71" s="443"/>
    </row>
    <row r="72" spans="1:11" ht="18" customHeight="1">
      <c r="A72" s="154"/>
      <c r="B72" s="247" t="s">
        <v>2746</v>
      </c>
      <c r="C72" s="437"/>
      <c r="D72" s="437"/>
      <c r="E72" s="437"/>
      <c r="F72" s="437"/>
      <c r="G72" s="437"/>
      <c r="H72" s="482" t="s">
        <v>2744</v>
      </c>
      <c r="I72" s="257"/>
      <c r="J72" s="445"/>
      <c r="K72" s="443"/>
    </row>
    <row r="73" spans="1:11" ht="18" customHeight="1">
      <c r="A73" s="245"/>
      <c r="B73" s="247" t="s">
        <v>2747</v>
      </c>
      <c r="C73" s="437">
        <f>C66*$J$73</f>
        <v>969288.54270317697</v>
      </c>
      <c r="D73" s="437">
        <f>D66*$J$73</f>
        <v>43063.158130993375</v>
      </c>
      <c r="E73" s="437">
        <f>E66*$J$73</f>
        <v>58716.071028855236</v>
      </c>
      <c r="F73" s="437">
        <f t="shared" ref="F73:G73" si="11">F66*$J$73</f>
        <v>175333.023216</v>
      </c>
      <c r="G73" s="437">
        <f t="shared" si="11"/>
        <v>40631.353199999998</v>
      </c>
      <c r="H73" s="229">
        <f>H66*$J$73</f>
        <v>1287032.1482790257</v>
      </c>
      <c r="I73" s="256"/>
      <c r="J73" s="444">
        <v>1.4999999999999999E-2</v>
      </c>
      <c r="K73" s="443">
        <f t="shared" si="0"/>
        <v>0</v>
      </c>
    </row>
    <row r="74" spans="1:11" ht="18" customHeight="1">
      <c r="A74" s="154"/>
      <c r="B74" s="247" t="s">
        <v>2748</v>
      </c>
      <c r="C74" s="437">
        <f>(C66+C67+C68+C73)*$J$74</f>
        <v>873173.72462098883</v>
      </c>
      <c r="D74" s="437">
        <f>(D66+D67+D68+D73)*$J$74</f>
        <v>38793.007987402532</v>
      </c>
      <c r="E74" s="437">
        <f>(E66+E67+E68+E73)*$J$74</f>
        <v>52893.775358568499</v>
      </c>
      <c r="F74" s="437">
        <f t="shared" ref="F74:G74" si="12">(F66+F67+F68+F73)*$J$74</f>
        <v>157946.97057247208</v>
      </c>
      <c r="G74" s="437">
        <f t="shared" si="12"/>
        <v>36602.341250307487</v>
      </c>
      <c r="H74" s="229">
        <f>(H66+H67+H68+H73)*$J$74</f>
        <v>1159409.8197897396</v>
      </c>
      <c r="I74" s="256"/>
      <c r="J74" s="586">
        <v>1.2500000000000001E-2</v>
      </c>
      <c r="K74" s="443">
        <f t="shared" si="0"/>
        <v>0</v>
      </c>
    </row>
    <row r="75" spans="1:11" ht="18" customHeight="1">
      <c r="A75" s="244"/>
      <c r="B75" s="248" t="s">
        <v>2749</v>
      </c>
      <c r="C75" s="438">
        <f>SUM(C66:C74)</f>
        <v>70783555.629685804</v>
      </c>
      <c r="D75" s="438">
        <f>SUM(D66:D74)</f>
        <v>3144743.0923451642</v>
      </c>
      <c r="E75" s="438">
        <f>SUM(E66:E74)</f>
        <v>4287817.401036052</v>
      </c>
      <c r="F75" s="438">
        <f t="shared" ref="F75:G75" si="13">SUM(F66:F74)</f>
        <v>12803921.903295651</v>
      </c>
      <c r="G75" s="438">
        <f t="shared" si="13"/>
        <v>2967157.3766062069</v>
      </c>
      <c r="H75" s="483">
        <f>SUM(H66:H74)</f>
        <v>93987195.402968898</v>
      </c>
      <c r="I75" s="258">
        <f>SUM(I66:I74)</f>
        <v>197.17066446879642</v>
      </c>
      <c r="J75" s="445"/>
      <c r="K75" s="443">
        <f t="shared" si="0"/>
        <v>0</v>
      </c>
    </row>
    <row r="76" spans="1:11" ht="18" customHeight="1">
      <c r="A76" s="153"/>
      <c r="B76" s="247" t="s">
        <v>2750</v>
      </c>
      <c r="C76" s="437">
        <f>C75*$J$76</f>
        <v>3362218.8924100758</v>
      </c>
      <c r="D76" s="437">
        <f>D75*$J$76</f>
        <v>149375.29688639531</v>
      </c>
      <c r="E76" s="437">
        <f>E75*$J$76</f>
        <v>203671.32654921248</v>
      </c>
      <c r="F76" s="437">
        <f t="shared" ref="F76:G76" si="14">F75*$J$76</f>
        <v>608186.29040654341</v>
      </c>
      <c r="G76" s="437">
        <f t="shared" si="14"/>
        <v>140939.97538879482</v>
      </c>
      <c r="H76" s="229">
        <f t="shared" ref="H76" si="15">H75*$J$76</f>
        <v>4464391.7816410223</v>
      </c>
      <c r="I76" s="256">
        <f t="shared" ref="I76" si="16">I75*$J$76</f>
        <v>9.3656065622678302</v>
      </c>
      <c r="J76" s="444">
        <v>4.7500000000000001E-2</v>
      </c>
      <c r="K76" s="443">
        <f t="shared" si="0"/>
        <v>0</v>
      </c>
    </row>
    <row r="77" spans="1:11" s="155" customFormat="1" ht="18" customHeight="1" thickBot="1">
      <c r="A77" s="246"/>
      <c r="B77" s="249" t="s">
        <v>2751</v>
      </c>
      <c r="C77" s="439">
        <f t="shared" ref="C77:G77" si="17">SUM(C75:C76)</f>
        <v>74145774.522095874</v>
      </c>
      <c r="D77" s="439">
        <f t="shared" si="17"/>
        <v>3294118.3892315594</v>
      </c>
      <c r="E77" s="439">
        <f t="shared" si="17"/>
        <v>4491488.7275852645</v>
      </c>
      <c r="F77" s="439">
        <f t="shared" si="17"/>
        <v>13412108.193702195</v>
      </c>
      <c r="G77" s="439">
        <f t="shared" si="17"/>
        <v>3108097.3519950015</v>
      </c>
      <c r="H77" s="485">
        <f>SUM(H75:H76)</f>
        <v>98451587.18460992</v>
      </c>
      <c r="I77" s="260">
        <f>C77/C78</f>
        <v>860.71896501318577</v>
      </c>
      <c r="J77"/>
      <c r="K77" s="443">
        <f t="shared" si="0"/>
        <v>0</v>
      </c>
    </row>
    <row r="78" spans="1:11">
      <c r="A78" s="156"/>
      <c r="B78" s="156" t="s">
        <v>2752</v>
      </c>
      <c r="C78" s="440">
        <f>SUM('Area Calculations'!D16:D36)</f>
        <v>86144</v>
      </c>
      <c r="D78" s="440">
        <f>'Area Calculations'!D38</f>
        <v>2528</v>
      </c>
      <c r="E78" s="440"/>
      <c r="F78" s="440"/>
      <c r="G78" s="440"/>
      <c r="K78" s="443">
        <f t="shared" ref="K78" si="18">SUM(C78:G78)-H78</f>
        <v>88672</v>
      </c>
    </row>
    <row r="79" spans="1:11">
      <c r="A79" s="157"/>
      <c r="B79" s="609" t="s">
        <v>2753</v>
      </c>
      <c r="C79" s="441">
        <f>C77/C78</f>
        <v>860.71896501318577</v>
      </c>
      <c r="D79" s="441">
        <f>D77/D78</f>
        <v>1303.053160297294</v>
      </c>
      <c r="E79" s="441"/>
      <c r="F79" s="441"/>
      <c r="G79" s="441"/>
      <c r="H79" s="158"/>
      <c r="I79" s="158"/>
    </row>
    <row r="80" spans="1:11">
      <c r="D80" s="442">
        <f>D79/'Area Calculations'!D45</f>
        <v>1.4695204351963347E-2</v>
      </c>
    </row>
  </sheetData>
  <mergeCells count="2">
    <mergeCell ref="A6:B6"/>
    <mergeCell ref="A3:I3"/>
  </mergeCells>
  <phoneticPr fontId="27" type="noConversion"/>
  <hyperlinks>
    <hyperlink ref="A8" location="'02 21 Survey '!A1" display="02 21 00" xr:uid="{8E8C6C1C-02F0-4081-8A53-A88A6D232623}"/>
    <hyperlink ref="A9" location="'03 30 CIP Concrete'!A1" display="03 30 00" xr:uid="{9756DEC6-0795-497B-9184-1DC00B1C57DE}"/>
    <hyperlink ref="A12" location="'05 52 Railings'!Print_Area" display="05 52 00" xr:uid="{18BEF301-1B59-4C05-9911-B74296AFD5E2}"/>
    <hyperlink ref="A14" location="'06 10 Rough Carpentry'!A1" display="06 10 00" xr:uid="{245256BE-820C-470E-A32C-C75FF08749FD}"/>
    <hyperlink ref="A17" location="'07 17 Waterproofing &amp; Caulk'!A1" display="07 17 00" xr:uid="{B14A5544-AF99-4DB3-8C77-B6E2701A5C1A}"/>
    <hyperlink ref="A19" location="'07 50 Roofing'!A1" display="07 50 00" xr:uid="{77261076-E384-4BC4-84A5-D12BDAFE0DCA}"/>
    <hyperlink ref="A24" location="'08 50 Storefront'!A1" display="08 50 00" xr:uid="{8725BAF2-6888-4710-8C23-1A61F2912952}"/>
    <hyperlink ref="A26" location="'09 24 Stucco'!Print_Area" display="09 24 00" xr:uid="{95BB78F4-0BD5-4CE1-B9C5-F5F6C08552FF}"/>
    <hyperlink ref="A21" location="'08 10 DFH'!Print_Area" display="08 10 70" xr:uid="{A27C7CF1-5397-4929-B1F5-782515E249DA}"/>
    <hyperlink ref="A28" location="'09 29 Gypsum Board'!A1" display="90 29 500" xr:uid="{CF3834EC-F56A-4DEA-AC77-95FE43B83EB7}"/>
    <hyperlink ref="A32" location="'09 60 Resilient Flooring'!Print_Area" display="09 60 00" xr:uid="{6C432F32-C356-49A0-A372-74F8E19F8FD4}"/>
    <hyperlink ref="A34" location="'09 90 Painting'!A1" display="09 90 00" xr:uid="{EA340A71-30F9-4761-A3A2-39A59071C627}"/>
    <hyperlink ref="A39" location="'10 53 Signage'!A1" display="10 53 00" xr:uid="{4C9CBF5A-917E-4E26-8D2C-6F8B9961CB47}"/>
    <hyperlink ref="A36" location="'10 28 Specialties'!A1" display="10 28 00" xr:uid="{FE5C09F1-8F66-4A61-9B02-35B391D89D36}"/>
    <hyperlink ref="A41" location="'11 40 FS Equip'!A1" display="11 40 00" xr:uid="{2FF1B20D-4FF2-4174-AD9C-FE7BE76AE17E}"/>
    <hyperlink ref="A48" location="'21 13 Fire Protection'!A1" display="21 13 00" xr:uid="{4A8007BD-49A9-47A0-88AC-C31A90572A09}"/>
    <hyperlink ref="A49" location="'22 00 Plumbing '!A1" display="22 00 00" xr:uid="{A793DFDE-06FD-4F67-B53E-62B5C3B659AA}"/>
    <hyperlink ref="A50" location="'23 00 HVAC'!A1" display="23 00 00" xr:uid="{65E768D4-C9C3-4345-AFD0-01DC2C9D25B9}"/>
    <hyperlink ref="A51" location="'26 00 Electrical'!A1" display="26 00 00" xr:uid="{13E3050E-4BE3-4241-9993-5DD20B1B74F5}"/>
    <hyperlink ref="A56" location="'31 30 Site Work'!Print_Area" display="31 30 10" xr:uid="{AE3A21CF-A649-45F2-8BDB-04241D3A4CBB}"/>
    <hyperlink ref="A61" location="'32 80 Landscape'!A1" display="32 80 00" xr:uid="{8FEA8996-F06C-4357-BD10-52A793765A39}"/>
    <hyperlink ref="A18" location="'07 21 Spray-Foam Insulation'!Print_Area" display="07 21 00" xr:uid="{782983C3-B152-40BC-9770-76C8E2FCA1DF}"/>
    <hyperlink ref="A15" location="'06 40 Exterior Finish Carpentry'!Print_Area" display="06 40 00" xr:uid="{2DAD1352-D86B-4631-839C-BA1A7665D1F8}"/>
    <hyperlink ref="A31" location="'09 51 ACT'!A1" display="09 51 00" xr:uid="{451DE512-C86B-4179-A1FC-8A79D4816430}"/>
    <hyperlink ref="A16" location="'06 50 Millwork'!A1" display="06 50 00" xr:uid="{072E4EFE-EC60-4951-9FF2-FA9D46DF663F}"/>
    <hyperlink ref="A58" location="'32 14 Hardsacpe - Walls'!Print_Area" display="32 14 00" xr:uid="{F945908C-5238-46F9-90D8-4340302D2A3C}"/>
    <hyperlink ref="A44" location="'13 11 Pool'!A1" display="13 11 00" xr:uid="{DCE9BED6-DBB8-4D98-91B7-A98D285B9E58}"/>
    <hyperlink ref="A10" location="'04 40 Stone Veneer'!Print_Area" display="04 40 00" xr:uid="{63FDB4EE-7374-4301-A0F2-E47C5824EA5A}"/>
    <hyperlink ref="A11" location="'05 10 Structural Steel'!Print_Area" display="05 10 00" xr:uid="{7D0558A3-522C-4C81-8F8A-D7D9B6733593}"/>
    <hyperlink ref="A23" location="'08 33 OH Coiling Doors'!Print_Area" display="08 33 00" xr:uid="{5FBB5413-658F-404E-8C9E-F0E71FBEA287}"/>
    <hyperlink ref="A20" location="'07 81 Fireproofing'!Print_Area" display="07 81 00" xr:uid="{0BC2F6C0-0B83-47B9-BD46-4D7EDF067774}"/>
    <hyperlink ref="A25" location="'08 60 Skylights'!Print_Area" display="08 60 00" xr:uid="{BF667BD0-642D-43DA-B010-335246AD0CE7}"/>
    <hyperlink ref="A22" location="'08 11 Insect Screens'!Print_Area" display="08 11 00" xr:uid="{06E35F0B-558C-45C1-8385-C4EC24B7F028}"/>
    <hyperlink ref="A27" location="'09 26 Plaster'!Print_Area" display="09 26 00" xr:uid="{3DDD33D0-A40C-433A-BF5C-B5667C93E090}"/>
    <hyperlink ref="A33" location="'09 64 Wood Flooring'!Print_Area" display="09 64 00" xr:uid="{E2BB104C-A396-424C-8629-A8186DCBA09B}"/>
    <hyperlink ref="A29" location="'09 30 Tile'!Print_Area" display="09 30 00" xr:uid="{A685D624-9E83-41B9-9F45-543D594148D4}"/>
    <hyperlink ref="A45" location="'13 12 Spa Rooms'!Print_Area" display="13 12 00" xr:uid="{65A01376-7C6F-4D21-9862-DEA27B7F8DA2}"/>
    <hyperlink ref="A46" location="'14 00 Elevators'!Print_Area" display="14 00 00" xr:uid="{D5C67A16-F9F2-4E82-97F7-6538580297FD}"/>
    <hyperlink ref="A62" location="'35 00 Marine'!Print_Area" display="35 00 00" xr:uid="{A6FCAE15-D7C1-48CB-A376-259DBED81D2E}"/>
    <hyperlink ref="A52" location="'27 10 Structured Cable'!A1" display="27 10 00" xr:uid="{D814DF03-2850-460E-9F23-749B832709B5}"/>
    <hyperlink ref="A53" location="'27 40 AV System'!A1" display="27 40 00" xr:uid="{9CDDAD4A-1179-4B12-80E4-53803A7F620B}"/>
    <hyperlink ref="A55" location="'28 10 Security'!A1" display="28 10 00" xr:uid="{BEFA75FD-6217-44A7-B262-709D2AAD8F5F}"/>
    <hyperlink ref="A13" location="'05 70 Arch Metals'!Print_Area" display="05 70 00" xr:uid="{6CDCBFC5-CCD5-4F2A-822D-2B631D95D4EF}"/>
    <hyperlink ref="A47" location="'14 91 Linen Chute'!Print_Area" display="14 91 00" xr:uid="{C74F9BF4-D2A4-4658-B993-D89A03AAAFF1}"/>
    <hyperlink ref="A35" location="'10 22 Demountable Part'!Print_Area" display="10 22 00" xr:uid="{D14DC386-CE98-47C4-8023-77F4562953E7}"/>
    <hyperlink ref="A40" location="'10 73 Canopy'!Print_Area" display="10 73 00" xr:uid="{DF6003FD-6A66-4441-85A4-EE1354449C6C}"/>
    <hyperlink ref="A43" location="'12 20 Window Treatmenst'!Print_Area" display="12 20 00" xr:uid="{5F8BD35D-D936-45AB-B173-6A6ABF48DB3F}"/>
    <hyperlink ref="A60" location="'32 31 Fence &amp; Gates'!Print_Area" display="32 31 00" xr:uid="{EA877699-1867-466A-9EE9-2966850FE120}"/>
    <hyperlink ref="A30" location="'09 41 Resinous Flooring'!Print_Area" display="09 41 00" xr:uid="{A51FEDEE-1E58-4879-ABFA-A71C027D678B}"/>
    <hyperlink ref="A37" location="'10 28 Specialties'!A1" display="10 28 00" xr:uid="{BEC31C22-C448-4FA8-9B8F-16348EF40094}"/>
    <hyperlink ref="A57" location="'31 32 Soil Stabilization'!Print_Area" display="31 32 00" xr:uid="{031A11E1-BC0C-4889-AFC8-0C3CF0CD614F}"/>
    <hyperlink ref="A38" location="'10 51 Lockers'!Print_Area" display="10 51 00" xr:uid="{B7026A1B-C00C-4509-A50E-87AA1AA28E09}"/>
    <hyperlink ref="A54" location="'27 53 BDA System'!Print_Area" display="27 50 00" xr:uid="{1181DCF3-40C9-4F7D-83EC-618DA4397345}"/>
    <hyperlink ref="A42" location="'11 40 Appliances'!A1" display="11 40 00" xr:uid="{C82354F5-650D-4FF1-84B0-6A360AD307F2}"/>
    <hyperlink ref="A59" location="'32 14 Hardsacpe - Pavers'!Print_Area" display="32 14 00" xr:uid="{A8F2C6D3-777C-404C-AE68-8CBD7DFB8C36}"/>
  </hyperlinks>
  <printOptions horizontalCentered="1"/>
  <pageMargins left="0.1" right="0.1" top="0.25" bottom="0.25" header="0.3" footer="0.3"/>
  <pageSetup scale="55"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1ECC-755B-4386-B5C3-90F9DDF26D7D}">
  <sheetPr>
    <tabColor rgb="FFFFC000"/>
    <pageSetUpPr fitToPage="1"/>
  </sheetPr>
  <dimension ref="A1:DZ182"/>
  <sheetViews>
    <sheetView zoomScaleNormal="100" workbookViewId="0">
      <pane xSplit="3" ySplit="9" topLeftCell="D124" activePane="bottomRight" state="frozen"/>
      <selection pane="bottomRight" activeCell="J121" sqref="J121"/>
      <selection pane="bottomLeft" activeCell="A10" sqref="A10"/>
      <selection pane="topRight" activeCell="D1" sqref="D1"/>
    </sheetView>
  </sheetViews>
  <sheetFormatPr defaultColWidth="9.140625" defaultRowHeight="15" customHeight="1"/>
  <cols>
    <col min="1" max="1" width="3.28515625" style="94" bestFit="1" customWidth="1"/>
    <col min="2" max="2" width="5.85546875" style="94" customWidth="1"/>
    <col min="3" max="3" width="44.42578125" bestFit="1" customWidth="1"/>
    <col min="4" max="4" width="8.85546875" style="146" bestFit="1" customWidth="1"/>
    <col min="5" max="5" width="5.7109375" style="94" customWidth="1"/>
    <col min="6" max="6" width="9.85546875" style="71" bestFit="1" customWidth="1"/>
    <col min="7" max="7" width="11.42578125" style="71" bestFit="1" customWidth="1"/>
    <col min="8" max="8" width="14.28515625" style="71" customWidth="1"/>
    <col min="9" max="9" width="12.85546875" style="71" customWidth="1"/>
    <col min="10" max="10" width="10.85546875" style="71" bestFit="1" customWidth="1"/>
    <col min="11" max="11" width="11.85546875" style="71" customWidth="1"/>
    <col min="12" max="12" width="12.85546875" style="142" customWidth="1"/>
    <col min="13" max="13" width="10.42578125" style="142" bestFit="1" customWidth="1"/>
    <col min="14" max="14" width="46.42578125" style="71" hidden="1" customWidth="1"/>
    <col min="15" max="15" width="19.85546875" customWidth="1"/>
    <col min="16" max="16" width="6.7109375" customWidth="1"/>
    <col min="17" max="23" width="9.140625" customWidth="1"/>
  </cols>
  <sheetData>
    <row r="1" spans="1:23" ht="15" customHeight="1">
      <c r="A1" s="884" t="s">
        <v>2754</v>
      </c>
      <c r="B1" s="1069" t="s">
        <v>2755</v>
      </c>
      <c r="C1" s="889" t="str">
        <f>'Area Calculations'!B4</f>
        <v>Atlantic Fields Club Core / Dock Bar / Spa Pods / Water Features</v>
      </c>
      <c r="D1" s="890"/>
      <c r="E1" s="890"/>
      <c r="F1" s="890"/>
      <c r="G1" s="890"/>
      <c r="H1" s="890"/>
      <c r="I1" s="890"/>
      <c r="J1" s="890"/>
      <c r="K1" s="890"/>
      <c r="L1" s="890"/>
      <c r="M1" s="890"/>
      <c r="N1" s="891"/>
      <c r="O1" s="744"/>
      <c r="Q1" s="524"/>
      <c r="R1" s="524"/>
      <c r="S1" s="524"/>
      <c r="T1" s="524"/>
      <c r="U1" s="524"/>
      <c r="V1" s="524"/>
      <c r="W1" s="524"/>
    </row>
    <row r="2" spans="1:23" ht="15" customHeight="1">
      <c r="A2" s="885"/>
      <c r="B2" s="887"/>
      <c r="C2" s="892"/>
      <c r="D2" s="893"/>
      <c r="E2" s="893"/>
      <c r="F2" s="893"/>
      <c r="G2" s="893"/>
      <c r="H2" s="893"/>
      <c r="I2" s="893"/>
      <c r="J2" s="893"/>
      <c r="K2" s="893"/>
      <c r="L2" s="893"/>
      <c r="M2" s="893"/>
      <c r="N2" s="894"/>
      <c r="O2" s="525"/>
    </row>
    <row r="3" spans="1:23" s="96" customFormat="1" ht="15" customHeight="1">
      <c r="A3" s="885"/>
      <c r="B3" s="887"/>
      <c r="C3" s="895" t="s">
        <v>2756</v>
      </c>
      <c r="D3" s="896"/>
      <c r="E3" s="897"/>
      <c r="F3" s="904" t="s">
        <v>2757</v>
      </c>
      <c r="G3" s="905"/>
      <c r="H3" s="746" t="s">
        <v>2758</v>
      </c>
      <c r="I3" s="746" t="s">
        <v>2759</v>
      </c>
      <c r="J3" s="746" t="s">
        <v>2760</v>
      </c>
      <c r="K3" s="746" t="s">
        <v>2761</v>
      </c>
      <c r="L3" s="745" t="s">
        <v>2762</v>
      </c>
      <c r="M3" s="921" t="s">
        <v>2763</v>
      </c>
      <c r="N3" s="915" t="s">
        <v>2764</v>
      </c>
      <c r="O3" s="95"/>
      <c r="P3"/>
      <c r="Q3"/>
      <c r="R3"/>
      <c r="S3" s="746" t="s">
        <v>2758</v>
      </c>
      <c r="T3" s="746" t="s">
        <v>2759</v>
      </c>
      <c r="U3" s="746" t="s">
        <v>2760</v>
      </c>
      <c r="V3" s="746" t="s">
        <v>2761</v>
      </c>
      <c r="W3" s="745" t="s">
        <v>2762</v>
      </c>
    </row>
    <row r="4" spans="1:23" s="96" customFormat="1" ht="15" customHeight="1">
      <c r="A4" s="885"/>
      <c r="B4" s="887"/>
      <c r="C4" s="898"/>
      <c r="D4" s="899"/>
      <c r="E4" s="900"/>
      <c r="F4" s="1070" t="s">
        <v>2756</v>
      </c>
      <c r="G4" s="918"/>
      <c r="H4" s="1071">
        <v>45839</v>
      </c>
      <c r="I4" s="1071">
        <v>46632</v>
      </c>
      <c r="J4" s="1072">
        <f>I4-H4</f>
        <v>793</v>
      </c>
      <c r="K4" s="1072">
        <f>J4/7</f>
        <v>113.28571428571429</v>
      </c>
      <c r="L4" s="747">
        <f>J4/30.42</f>
        <v>26.068376068376068</v>
      </c>
      <c r="M4" s="922"/>
      <c r="N4" s="916"/>
      <c r="O4" s="95"/>
      <c r="P4"/>
      <c r="Q4"/>
      <c r="R4"/>
      <c r="S4"/>
      <c r="T4"/>
      <c r="U4"/>
      <c r="V4"/>
      <c r="W4"/>
    </row>
    <row r="5" spans="1:23" s="96" customFormat="1" ht="15" customHeight="1">
      <c r="A5" s="885"/>
      <c r="B5" s="887"/>
      <c r="C5" s="898"/>
      <c r="D5" s="899"/>
      <c r="E5" s="900"/>
      <c r="F5" s="1073" t="s">
        <v>2765</v>
      </c>
      <c r="G5" s="1074"/>
      <c r="H5" s="1075"/>
      <c r="I5" s="1075"/>
      <c r="J5" s="1072">
        <f>L5*30.4</f>
        <v>30.4</v>
      </c>
      <c r="K5" s="1072">
        <f>L5*4.33</f>
        <v>4.33</v>
      </c>
      <c r="L5" s="747">
        <v>1</v>
      </c>
      <c r="M5" s="922"/>
      <c r="N5" s="916"/>
      <c r="O5" s="95"/>
      <c r="P5"/>
      <c r="Q5"/>
      <c r="R5"/>
      <c r="S5"/>
      <c r="T5"/>
      <c r="U5"/>
      <c r="V5"/>
      <c r="W5"/>
    </row>
    <row r="6" spans="1:23" s="96" customFormat="1" ht="15" customHeight="1">
      <c r="A6" s="885"/>
      <c r="B6" s="887"/>
      <c r="C6" s="901"/>
      <c r="D6" s="902"/>
      <c r="E6" s="903"/>
      <c r="F6" s="919" t="s">
        <v>2740</v>
      </c>
      <c r="G6" s="920"/>
      <c r="H6" s="919" t="s">
        <v>2766</v>
      </c>
      <c r="I6" s="920"/>
      <c r="J6" s="919" t="s">
        <v>2767</v>
      </c>
      <c r="K6" s="920"/>
      <c r="L6" s="915" t="s">
        <v>2768</v>
      </c>
      <c r="M6" s="922"/>
      <c r="N6" s="916"/>
      <c r="O6" s="95"/>
      <c r="P6"/>
      <c r="Q6"/>
      <c r="R6"/>
      <c r="S6"/>
      <c r="T6"/>
      <c r="U6"/>
      <c r="V6"/>
      <c r="W6"/>
    </row>
    <row r="7" spans="1:23" s="99" customFormat="1" ht="15" customHeight="1">
      <c r="A7" s="885"/>
      <c r="B7" s="887"/>
      <c r="C7" s="906" t="s">
        <v>2769</v>
      </c>
      <c r="D7" s="908" t="s">
        <v>2770</v>
      </c>
      <c r="E7" s="880" t="s">
        <v>2771</v>
      </c>
      <c r="F7" s="97" t="s">
        <v>2772</v>
      </c>
      <c r="G7" s="98" t="s">
        <v>2773</v>
      </c>
      <c r="H7" s="97" t="s">
        <v>2774</v>
      </c>
      <c r="I7" s="98" t="s">
        <v>2775</v>
      </c>
      <c r="J7" s="97" t="s">
        <v>2774</v>
      </c>
      <c r="K7" s="98" t="s">
        <v>2775</v>
      </c>
      <c r="L7" s="916"/>
      <c r="M7" s="922"/>
      <c r="N7" s="916"/>
      <c r="O7" s="163" t="s">
        <v>2776</v>
      </c>
      <c r="P7"/>
      <c r="Q7"/>
      <c r="R7"/>
      <c r="S7"/>
      <c r="T7"/>
      <c r="U7"/>
      <c r="V7"/>
      <c r="W7"/>
    </row>
    <row r="8" spans="1:23" s="96" customFormat="1" ht="15" customHeight="1">
      <c r="A8" s="886"/>
      <c r="B8" s="888"/>
      <c r="C8" s="907"/>
      <c r="D8" s="909"/>
      <c r="E8" s="881"/>
      <c r="F8" s="101" t="s">
        <v>2777</v>
      </c>
      <c r="G8" s="102" t="s">
        <v>2778</v>
      </c>
      <c r="H8" s="101" t="s">
        <v>2777</v>
      </c>
      <c r="I8" s="102" t="s">
        <v>2779</v>
      </c>
      <c r="J8" s="101" t="s">
        <v>2777</v>
      </c>
      <c r="K8" s="102" t="s">
        <v>2779</v>
      </c>
      <c r="L8" s="917"/>
      <c r="M8" s="923"/>
      <c r="N8" s="917"/>
      <c r="O8" s="100"/>
      <c r="P8"/>
      <c r="Q8"/>
      <c r="R8"/>
      <c r="S8"/>
      <c r="T8"/>
      <c r="U8"/>
      <c r="V8"/>
      <c r="W8"/>
    </row>
    <row r="9" spans="1:23" s="99" customFormat="1" ht="15" customHeight="1">
      <c r="A9" s="882"/>
      <c r="B9" s="883"/>
      <c r="C9" s="103" t="s">
        <v>2780</v>
      </c>
      <c r="D9" s="104"/>
      <c r="E9" s="105"/>
      <c r="F9" s="105"/>
      <c r="G9" s="105"/>
      <c r="H9" s="105"/>
      <c r="I9" s="105"/>
      <c r="J9" s="105"/>
      <c r="K9" s="105"/>
      <c r="L9" s="106">
        <f>SUM(L10:L27)</f>
        <v>4280977.3285714285</v>
      </c>
      <c r="M9" s="106"/>
      <c r="N9" s="107"/>
      <c r="O9" s="108"/>
      <c r="P9"/>
    </row>
    <row r="10" spans="1:23" ht="15" customHeight="1">
      <c r="A10" s="748"/>
      <c r="B10" s="749"/>
      <c r="C10" s="1076" t="s">
        <v>2781</v>
      </c>
      <c r="D10" s="1077">
        <f>V10</f>
        <v>124.42857142857143</v>
      </c>
      <c r="E10" s="1078" t="s">
        <v>2782</v>
      </c>
      <c r="F10" s="750">
        <f t="shared" ref="F10:F26" si="0">(O10*40)*M10</f>
        <v>1813.1999999999998</v>
      </c>
      <c r="G10" s="751">
        <f t="shared" ref="G10:G27" si="1">SUM(D10*F10)</f>
        <v>225613.88571428569</v>
      </c>
      <c r="H10" s="1079"/>
      <c r="I10" s="910"/>
      <c r="J10" s="1079"/>
      <c r="K10" s="910"/>
      <c r="L10" s="752">
        <f t="shared" ref="L10:L27" si="2">SUM(G10+I10+K10)</f>
        <v>225613.88571428569</v>
      </c>
      <c r="M10" s="1080">
        <v>0.25</v>
      </c>
      <c r="N10" s="1081"/>
      <c r="O10" s="753">
        <v>181.32</v>
      </c>
      <c r="Q10" s="1082" t="s">
        <v>2756</v>
      </c>
      <c r="R10" s="754"/>
      <c r="S10" s="1071">
        <v>45761</v>
      </c>
      <c r="T10" s="1071">
        <v>46632</v>
      </c>
      <c r="U10" s="1083">
        <f>SUM(T10-S10)</f>
        <v>871</v>
      </c>
      <c r="V10" s="1083">
        <f>SUM(U10/7)</f>
        <v>124.42857142857143</v>
      </c>
      <c r="W10" s="755">
        <f>SUM(U10/30)</f>
        <v>29.033333333333335</v>
      </c>
    </row>
    <row r="11" spans="1:23" ht="15" customHeight="1">
      <c r="A11" s="1084"/>
      <c r="B11" s="1085"/>
      <c r="C11" s="1086"/>
      <c r="D11" s="1077">
        <f>$K$4</f>
        <v>113.28571428571429</v>
      </c>
      <c r="E11" s="1078" t="s">
        <v>2782</v>
      </c>
      <c r="F11" s="1087">
        <f t="shared" si="0"/>
        <v>0</v>
      </c>
      <c r="G11" s="1088">
        <f t="shared" si="1"/>
        <v>0</v>
      </c>
      <c r="H11" s="911"/>
      <c r="I11" s="912"/>
      <c r="J11" s="911"/>
      <c r="K11" s="912"/>
      <c r="L11" s="1089">
        <f t="shared" si="2"/>
        <v>0</v>
      </c>
      <c r="M11" s="1080">
        <v>0</v>
      </c>
      <c r="N11" s="1081"/>
      <c r="O11" s="1090"/>
    </row>
    <row r="12" spans="1:23" ht="15" customHeight="1">
      <c r="A12" s="1084"/>
      <c r="B12" s="1085"/>
      <c r="C12" s="1076" t="s">
        <v>2783</v>
      </c>
      <c r="D12" s="1077">
        <f>V12</f>
        <v>124.42857142857143</v>
      </c>
      <c r="E12" s="1078" t="s">
        <v>2782</v>
      </c>
      <c r="F12" s="1087">
        <f t="shared" si="0"/>
        <v>6011.2</v>
      </c>
      <c r="G12" s="1088">
        <f t="shared" si="1"/>
        <v>747965.02857142861</v>
      </c>
      <c r="H12" s="911"/>
      <c r="I12" s="912"/>
      <c r="J12" s="911"/>
      <c r="K12" s="912"/>
      <c r="L12" s="1091">
        <f t="shared" si="2"/>
        <v>747965.02857142861</v>
      </c>
      <c r="M12" s="1080">
        <v>1</v>
      </c>
      <c r="N12" s="1081"/>
      <c r="O12" s="1090">
        <v>150.28</v>
      </c>
      <c r="Q12" s="1082" t="s">
        <v>2756</v>
      </c>
      <c r="R12" s="754"/>
      <c r="S12" s="1071">
        <v>45761</v>
      </c>
      <c r="T12" s="1071">
        <v>46632</v>
      </c>
      <c r="U12" s="1083">
        <f>SUM(T12-S12)</f>
        <v>871</v>
      </c>
      <c r="V12" s="1083">
        <f>SUM(U12/7)</f>
        <v>124.42857142857143</v>
      </c>
      <c r="W12" s="755">
        <f>SUM(U12/30)</f>
        <v>29.033333333333335</v>
      </c>
    </row>
    <row r="13" spans="1:23" ht="15" customHeight="1">
      <c r="A13" s="1084"/>
      <c r="B13" s="1085"/>
      <c r="C13" s="1086" t="s">
        <v>2784</v>
      </c>
      <c r="D13" s="1077">
        <f t="shared" ref="D13:D26" si="3">$K$4</f>
        <v>113.28571428571429</v>
      </c>
      <c r="E13" s="1078" t="s">
        <v>2782</v>
      </c>
      <c r="F13" s="1087">
        <f t="shared" si="0"/>
        <v>0</v>
      </c>
      <c r="G13" s="1088">
        <f t="shared" si="1"/>
        <v>0</v>
      </c>
      <c r="H13" s="911"/>
      <c r="I13" s="912"/>
      <c r="J13" s="911"/>
      <c r="K13" s="912"/>
      <c r="L13" s="1089">
        <f t="shared" si="2"/>
        <v>0</v>
      </c>
      <c r="M13" s="1080">
        <v>0</v>
      </c>
      <c r="N13" s="1081"/>
      <c r="O13" s="1090"/>
    </row>
    <row r="14" spans="1:23" ht="15" customHeight="1">
      <c r="A14" s="1084"/>
      <c r="B14" s="1085"/>
      <c r="C14" s="1076" t="s">
        <v>2785</v>
      </c>
      <c r="D14" s="1077">
        <f>V14</f>
        <v>111</v>
      </c>
      <c r="E14" s="1078" t="s">
        <v>2782</v>
      </c>
      <c r="F14" s="1087">
        <f t="shared" si="0"/>
        <v>4336.3999999999996</v>
      </c>
      <c r="G14" s="1088">
        <f t="shared" si="1"/>
        <v>481340.39999999997</v>
      </c>
      <c r="H14" s="911"/>
      <c r="I14" s="912"/>
      <c r="J14" s="911"/>
      <c r="K14" s="912"/>
      <c r="L14" s="1091">
        <f t="shared" si="2"/>
        <v>481340.39999999997</v>
      </c>
      <c r="M14" s="1080">
        <v>1</v>
      </c>
      <c r="N14" s="1081"/>
      <c r="O14" s="1090">
        <v>108.41</v>
      </c>
      <c r="Q14" s="1082" t="s">
        <v>2756</v>
      </c>
      <c r="R14" s="754"/>
      <c r="S14" s="1071">
        <v>45855</v>
      </c>
      <c r="T14" s="1071">
        <v>46632</v>
      </c>
      <c r="U14" s="1083">
        <f t="shared" ref="U14:U20" si="4">SUM(T14-S14)</f>
        <v>777</v>
      </c>
      <c r="V14" s="1083">
        <f t="shared" ref="V14:V20" si="5">SUM(U14/7)</f>
        <v>111</v>
      </c>
      <c r="W14" s="755">
        <f t="shared" ref="W14:W20" si="6">SUM(U14/30)</f>
        <v>25.9</v>
      </c>
    </row>
    <row r="15" spans="1:23" ht="15" customHeight="1">
      <c r="A15" s="1084"/>
      <c r="B15" s="1085"/>
      <c r="C15" s="1076" t="s">
        <v>2786</v>
      </c>
      <c r="D15" s="1077">
        <f>V15</f>
        <v>111</v>
      </c>
      <c r="E15" s="1078" t="s">
        <v>2782</v>
      </c>
      <c r="F15" s="109">
        <f t="shared" si="0"/>
        <v>3059.2000000000003</v>
      </c>
      <c r="G15" s="1092">
        <f t="shared" si="1"/>
        <v>339571.20000000001</v>
      </c>
      <c r="H15" s="911"/>
      <c r="I15" s="912"/>
      <c r="J15" s="911"/>
      <c r="K15" s="912"/>
      <c r="L15" s="1091">
        <f t="shared" si="2"/>
        <v>339571.20000000001</v>
      </c>
      <c r="M15" s="1080">
        <v>1</v>
      </c>
      <c r="N15" s="1081"/>
      <c r="O15" s="1090">
        <v>76.48</v>
      </c>
      <c r="Q15" s="1082" t="s">
        <v>2756</v>
      </c>
      <c r="R15" s="754"/>
      <c r="S15" s="1071">
        <v>45855</v>
      </c>
      <c r="T15" s="1071">
        <v>46632</v>
      </c>
      <c r="U15" s="1083">
        <f t="shared" ref="U15" si="7">SUM(T15-S15)</f>
        <v>777</v>
      </c>
      <c r="V15" s="1083">
        <f t="shared" si="5"/>
        <v>111</v>
      </c>
      <c r="W15" s="755">
        <f t="shared" ref="W15" si="8">SUM(U15/30)</f>
        <v>25.9</v>
      </c>
    </row>
    <row r="16" spans="1:23" ht="15" customHeight="1">
      <c r="A16" s="1093"/>
      <c r="B16" s="1094"/>
      <c r="C16" s="1095" t="s">
        <v>2787</v>
      </c>
      <c r="D16" s="1077">
        <f>V16</f>
        <v>111</v>
      </c>
      <c r="E16" s="1094" t="s">
        <v>2782</v>
      </c>
      <c r="F16" s="756">
        <f t="shared" si="0"/>
        <v>1973.6000000000001</v>
      </c>
      <c r="G16" s="1092">
        <f t="shared" si="1"/>
        <v>219069.6</v>
      </c>
      <c r="H16" s="911"/>
      <c r="I16" s="912"/>
      <c r="J16" s="911"/>
      <c r="K16" s="912"/>
      <c r="L16" s="1091">
        <f>SUM(G16+I16+K16)</f>
        <v>219069.6</v>
      </c>
      <c r="M16" s="757">
        <v>0.5</v>
      </c>
      <c r="N16" s="1096"/>
      <c r="O16" s="1097">
        <v>98.68</v>
      </c>
      <c r="Q16" s="1082" t="s">
        <v>2756</v>
      </c>
      <c r="R16" s="754"/>
      <c r="S16" s="1071">
        <v>45855</v>
      </c>
      <c r="T16" s="1071">
        <v>46632</v>
      </c>
      <c r="U16" s="1083">
        <f t="shared" si="4"/>
        <v>777</v>
      </c>
      <c r="V16" s="1083">
        <f t="shared" si="5"/>
        <v>111</v>
      </c>
      <c r="W16" s="755">
        <f t="shared" si="6"/>
        <v>25.9</v>
      </c>
    </row>
    <row r="17" spans="1:122" ht="15" customHeight="1">
      <c r="A17" s="1093"/>
      <c r="B17" s="1094"/>
      <c r="C17" s="1098" t="s">
        <v>2788</v>
      </c>
      <c r="D17" s="1077">
        <f t="shared" si="3"/>
        <v>113.28571428571429</v>
      </c>
      <c r="E17" s="1094" t="s">
        <v>2782</v>
      </c>
      <c r="F17" s="756">
        <f t="shared" si="0"/>
        <v>0</v>
      </c>
      <c r="G17" s="1092">
        <f t="shared" si="1"/>
        <v>0</v>
      </c>
      <c r="H17" s="911"/>
      <c r="I17" s="912"/>
      <c r="J17" s="911"/>
      <c r="K17" s="912"/>
      <c r="L17" s="1099">
        <f t="shared" si="2"/>
        <v>0</v>
      </c>
      <c r="M17" s="757">
        <v>0</v>
      </c>
      <c r="N17" s="1096"/>
      <c r="O17" s="1097"/>
      <c r="Q17" s="1082" t="s">
        <v>2756</v>
      </c>
      <c r="R17" s="754"/>
      <c r="S17" s="1071"/>
      <c r="T17" s="1071"/>
      <c r="U17" s="1083">
        <f t="shared" si="4"/>
        <v>0</v>
      </c>
      <c r="V17" s="1083">
        <f t="shared" si="5"/>
        <v>0</v>
      </c>
      <c r="W17" s="755">
        <f t="shared" si="6"/>
        <v>0</v>
      </c>
    </row>
    <row r="18" spans="1:122" ht="15" customHeight="1">
      <c r="A18" s="1093"/>
      <c r="B18" s="1094"/>
      <c r="C18" s="1095" t="s">
        <v>2789</v>
      </c>
      <c r="D18" s="1077">
        <f>V18</f>
        <v>117.28571428571429</v>
      </c>
      <c r="E18" s="1094" t="s">
        <v>2782</v>
      </c>
      <c r="F18" s="756">
        <f t="shared" si="0"/>
        <v>6060.4</v>
      </c>
      <c r="G18" s="1092">
        <f t="shared" si="1"/>
        <v>710798.34285714279</v>
      </c>
      <c r="H18" s="911"/>
      <c r="I18" s="912"/>
      <c r="J18" s="911"/>
      <c r="K18" s="912"/>
      <c r="L18" s="1100">
        <f t="shared" si="2"/>
        <v>710798.34285714279</v>
      </c>
      <c r="M18" s="757">
        <v>1</v>
      </c>
      <c r="N18" s="1081"/>
      <c r="O18" s="1097">
        <v>151.51</v>
      </c>
      <c r="Q18" s="1082" t="s">
        <v>2756</v>
      </c>
      <c r="R18" s="754"/>
      <c r="S18" s="1071">
        <v>45811</v>
      </c>
      <c r="T18" s="1071">
        <v>46632</v>
      </c>
      <c r="U18" s="1083">
        <f t="shared" si="4"/>
        <v>821</v>
      </c>
      <c r="V18" s="1083">
        <f t="shared" si="5"/>
        <v>117.28571428571429</v>
      </c>
      <c r="W18" s="755">
        <f t="shared" si="6"/>
        <v>27.366666666666667</v>
      </c>
    </row>
    <row r="19" spans="1:122" ht="15" customHeight="1">
      <c r="A19" s="1093"/>
      <c r="B19" s="1094"/>
      <c r="C19" s="1095" t="s">
        <v>2790</v>
      </c>
      <c r="D19" s="1077">
        <f>V19</f>
        <v>97.428571428571431</v>
      </c>
      <c r="E19" s="1094" t="s">
        <v>2782</v>
      </c>
      <c r="F19" s="756">
        <f t="shared" si="0"/>
        <v>5087.2000000000007</v>
      </c>
      <c r="G19" s="1092">
        <f t="shared" si="1"/>
        <v>495638.62857142865</v>
      </c>
      <c r="H19" s="911"/>
      <c r="I19" s="912"/>
      <c r="J19" s="911"/>
      <c r="K19" s="912"/>
      <c r="L19" s="1100">
        <f t="shared" si="2"/>
        <v>495638.62857142865</v>
      </c>
      <c r="M19" s="757">
        <v>1</v>
      </c>
      <c r="N19" s="1081"/>
      <c r="O19" s="1097">
        <v>127.18</v>
      </c>
      <c r="Q19" s="1082" t="s">
        <v>2756</v>
      </c>
      <c r="R19" s="754"/>
      <c r="S19" s="1071">
        <v>45950</v>
      </c>
      <c r="T19" s="1071">
        <v>46632</v>
      </c>
      <c r="U19" s="1083">
        <f t="shared" si="4"/>
        <v>682</v>
      </c>
      <c r="V19" s="1083">
        <f t="shared" si="5"/>
        <v>97.428571428571431</v>
      </c>
      <c r="W19" s="755">
        <f t="shared" si="6"/>
        <v>22.733333333333334</v>
      </c>
    </row>
    <row r="20" spans="1:122" ht="15" customHeight="1">
      <c r="A20" s="1093"/>
      <c r="B20" s="1094"/>
      <c r="C20" s="1095" t="s">
        <v>2790</v>
      </c>
      <c r="D20" s="1101">
        <f>V20</f>
        <v>81.428571428571431</v>
      </c>
      <c r="E20" s="1094" t="s">
        <v>2782</v>
      </c>
      <c r="F20" s="758">
        <f>(O20*40)*M20</f>
        <v>5087.2000000000007</v>
      </c>
      <c r="G20" s="1102">
        <f>SUM(D20*F20)</f>
        <v>414243.42857142864</v>
      </c>
      <c r="H20" s="911"/>
      <c r="I20" s="912"/>
      <c r="J20" s="911"/>
      <c r="K20" s="912"/>
      <c r="L20" s="1100">
        <f>SUM(G20+I20+K20)</f>
        <v>414243.42857142864</v>
      </c>
      <c r="M20" s="759">
        <v>1</v>
      </c>
      <c r="N20" s="1103"/>
      <c r="O20" s="1097">
        <v>127.18</v>
      </c>
      <c r="Q20" s="1082" t="s">
        <v>2756</v>
      </c>
      <c r="R20" s="754"/>
      <c r="S20" s="1071">
        <v>46062</v>
      </c>
      <c r="T20" s="1071">
        <v>46632</v>
      </c>
      <c r="U20" s="1083">
        <f t="shared" si="4"/>
        <v>570</v>
      </c>
      <c r="V20" s="1083">
        <f t="shared" si="5"/>
        <v>81.428571428571431</v>
      </c>
      <c r="W20" s="755">
        <f t="shared" si="6"/>
        <v>19</v>
      </c>
    </row>
    <row r="21" spans="1:122" ht="15" customHeight="1">
      <c r="A21" s="1093"/>
      <c r="B21" s="1094"/>
      <c r="C21" s="1098" t="s">
        <v>2791</v>
      </c>
      <c r="D21" s="1077">
        <f t="shared" si="3"/>
        <v>113.28571428571429</v>
      </c>
      <c r="E21" s="1094" t="s">
        <v>2782</v>
      </c>
      <c r="F21" s="756">
        <f t="shared" si="0"/>
        <v>0</v>
      </c>
      <c r="G21" s="1092">
        <f t="shared" si="1"/>
        <v>0</v>
      </c>
      <c r="H21" s="911"/>
      <c r="I21" s="912"/>
      <c r="J21" s="911"/>
      <c r="K21" s="912"/>
      <c r="L21" s="1099">
        <f t="shared" si="2"/>
        <v>0</v>
      </c>
      <c r="M21" s="757">
        <v>0</v>
      </c>
      <c r="N21" s="1081"/>
      <c r="O21" s="1097"/>
    </row>
    <row r="22" spans="1:122" ht="15" customHeight="1">
      <c r="A22" s="1093"/>
      <c r="B22" s="1094"/>
      <c r="C22" s="1098" t="s">
        <v>2792</v>
      </c>
      <c r="D22" s="1077">
        <f>V22</f>
        <v>113.28571428571429</v>
      </c>
      <c r="E22" s="1094" t="s">
        <v>2782</v>
      </c>
      <c r="F22" s="756">
        <f t="shared" si="0"/>
        <v>0</v>
      </c>
      <c r="G22" s="1092">
        <f t="shared" si="1"/>
        <v>0</v>
      </c>
      <c r="H22" s="911"/>
      <c r="I22" s="912"/>
      <c r="J22" s="911"/>
      <c r="K22" s="912"/>
      <c r="L22" s="1099">
        <f t="shared" si="2"/>
        <v>0</v>
      </c>
      <c r="M22" s="757">
        <v>0</v>
      </c>
      <c r="N22" s="1081"/>
      <c r="O22" s="1097"/>
      <c r="Q22" s="1082" t="s">
        <v>2756</v>
      </c>
      <c r="R22" s="754"/>
      <c r="S22" s="1071">
        <v>45839</v>
      </c>
      <c r="T22" s="1071">
        <v>46632</v>
      </c>
      <c r="U22" s="1083">
        <f>SUM(T22-S22)</f>
        <v>793</v>
      </c>
      <c r="V22" s="1083">
        <f>SUM(U22/7)</f>
        <v>113.28571428571429</v>
      </c>
      <c r="W22" s="755">
        <f>SUM(U22/30)</f>
        <v>26.433333333333334</v>
      </c>
    </row>
    <row r="23" spans="1:122" ht="15" customHeight="1">
      <c r="A23" s="1093"/>
      <c r="B23" s="1094"/>
      <c r="C23" s="648" t="s">
        <v>2793</v>
      </c>
      <c r="D23" s="1077">
        <f t="shared" si="3"/>
        <v>113.28571428571429</v>
      </c>
      <c r="E23" s="1094" t="s">
        <v>2782</v>
      </c>
      <c r="F23" s="756">
        <f>(O23*40)*M23</f>
        <v>1183.7</v>
      </c>
      <c r="G23" s="1092">
        <f>SUM(D23*F23)</f>
        <v>134096.30000000002</v>
      </c>
      <c r="H23" s="911"/>
      <c r="I23" s="912"/>
      <c r="J23" s="911"/>
      <c r="K23" s="912"/>
      <c r="L23" s="1099">
        <f>SUM(G23+I23+K23)</f>
        <v>134096.30000000002</v>
      </c>
      <c r="M23" s="757">
        <v>0.25</v>
      </c>
      <c r="N23" s="1081"/>
      <c r="O23" s="1097">
        <v>118.37</v>
      </c>
      <c r="Q23" s="1082" t="s">
        <v>2756</v>
      </c>
      <c r="R23" s="754"/>
      <c r="S23" s="1071"/>
      <c r="T23" s="1071"/>
      <c r="U23" s="1083">
        <f>SUM(T23-S23)</f>
        <v>0</v>
      </c>
      <c r="V23" s="1083">
        <f>SUM(U23/7)</f>
        <v>0</v>
      </c>
      <c r="W23" s="755">
        <f>SUM(U23/30)</f>
        <v>0</v>
      </c>
    </row>
    <row r="24" spans="1:122" ht="15" customHeight="1">
      <c r="A24" s="1093"/>
      <c r="B24" s="1094"/>
      <c r="C24" s="1095" t="s">
        <v>2794</v>
      </c>
      <c r="D24" s="1077">
        <f t="shared" si="3"/>
        <v>113.28571428571429</v>
      </c>
      <c r="E24" s="613" t="s">
        <v>2782</v>
      </c>
      <c r="F24" s="756">
        <f t="shared" si="0"/>
        <v>1910.3999999999999</v>
      </c>
      <c r="G24" s="1092">
        <f>SUM(D24*F24)</f>
        <v>216421.02857142856</v>
      </c>
      <c r="H24" s="911"/>
      <c r="I24" s="912"/>
      <c r="J24" s="911"/>
      <c r="K24" s="912"/>
      <c r="L24" s="1091">
        <f t="shared" si="2"/>
        <v>216421.02857142856</v>
      </c>
      <c r="M24" s="1104">
        <v>1</v>
      </c>
      <c r="N24" s="1096"/>
      <c r="O24" s="1097">
        <v>47.76</v>
      </c>
      <c r="Y24" t="s">
        <v>2795</v>
      </c>
    </row>
    <row r="25" spans="1:122" s="110" customFormat="1" ht="15" customHeight="1">
      <c r="A25" s="1093"/>
      <c r="B25" s="1094"/>
      <c r="C25" s="648" t="s">
        <v>2796</v>
      </c>
      <c r="D25" s="1077">
        <f t="shared" si="3"/>
        <v>113.28571428571429</v>
      </c>
      <c r="E25" s="1094" t="s">
        <v>2782</v>
      </c>
      <c r="F25" s="756">
        <f t="shared" si="0"/>
        <v>1066.6400000000001</v>
      </c>
      <c r="G25" s="1092">
        <f t="shared" si="1"/>
        <v>120835.07428571431</v>
      </c>
      <c r="H25" s="911"/>
      <c r="I25" s="912"/>
      <c r="J25" s="911"/>
      <c r="K25" s="912"/>
      <c r="L25" s="1089">
        <f t="shared" si="2"/>
        <v>120835.07428571431</v>
      </c>
      <c r="M25" s="614">
        <v>0.2</v>
      </c>
      <c r="N25" s="1096"/>
      <c r="O25" s="649">
        <v>133.33000000000001</v>
      </c>
      <c r="P25"/>
      <c r="Q25" s="1082" t="s">
        <v>2756</v>
      </c>
      <c r="R25" s="754"/>
      <c r="S25" s="1071"/>
      <c r="T25" s="1071"/>
      <c r="U25" s="1083">
        <f>SUM(T25-S25)</f>
        <v>0</v>
      </c>
      <c r="V25" s="1083">
        <f>SUM(U25/7)</f>
        <v>0</v>
      </c>
      <c r="W25" s="755">
        <f>SUM(U25/30)</f>
        <v>0</v>
      </c>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row>
    <row r="26" spans="1:122" ht="15" customHeight="1">
      <c r="A26" s="1093"/>
      <c r="B26" s="1094"/>
      <c r="C26" s="648" t="s">
        <v>2797</v>
      </c>
      <c r="D26" s="1077">
        <f t="shared" si="3"/>
        <v>113.28571428571429</v>
      </c>
      <c r="E26" s="613" t="s">
        <v>2782</v>
      </c>
      <c r="F26" s="756">
        <f t="shared" si="0"/>
        <v>1181.4000000000001</v>
      </c>
      <c r="G26" s="1092">
        <f t="shared" si="1"/>
        <v>133835.74285714288</v>
      </c>
      <c r="H26" s="911"/>
      <c r="I26" s="912"/>
      <c r="J26" s="911"/>
      <c r="K26" s="912"/>
      <c r="L26" s="1099">
        <f t="shared" si="2"/>
        <v>133835.74285714288</v>
      </c>
      <c r="M26" s="614">
        <v>0.25</v>
      </c>
      <c r="N26" s="1096"/>
      <c r="O26" s="649">
        <v>118.14</v>
      </c>
      <c r="Q26" s="1082" t="s">
        <v>2756</v>
      </c>
      <c r="R26" s="754"/>
      <c r="S26" s="1071"/>
      <c r="T26" s="1071"/>
      <c r="U26" s="1083">
        <f>SUM(T26-S26)</f>
        <v>0</v>
      </c>
      <c r="V26" s="1083">
        <f>SUM(U26/7)</f>
        <v>0</v>
      </c>
      <c r="W26" s="755">
        <f>SUM(U26/30)</f>
        <v>0</v>
      </c>
    </row>
    <row r="27" spans="1:122" ht="15" customHeight="1" thickBot="1">
      <c r="A27" s="640"/>
      <c r="B27" s="613"/>
      <c r="C27" s="648" t="s">
        <v>2798</v>
      </c>
      <c r="D27" s="111">
        <f>K4</f>
        <v>113.28571428571429</v>
      </c>
      <c r="E27" s="615" t="s">
        <v>2782</v>
      </c>
      <c r="F27" s="1105">
        <f>(O27*40)*M27</f>
        <v>366.76</v>
      </c>
      <c r="G27" s="1106">
        <f t="shared" si="1"/>
        <v>41548.66857142857</v>
      </c>
      <c r="H27" s="913"/>
      <c r="I27" s="914"/>
      <c r="J27" s="913"/>
      <c r="K27" s="914"/>
      <c r="L27" s="1107">
        <f t="shared" si="2"/>
        <v>41548.66857142857</v>
      </c>
      <c r="M27" s="614">
        <v>0.1</v>
      </c>
      <c r="N27" s="112"/>
      <c r="O27" s="649">
        <v>91.69</v>
      </c>
      <c r="Q27" s="1082" t="s">
        <v>2756</v>
      </c>
      <c r="R27" s="754"/>
      <c r="S27" s="1071"/>
      <c r="T27" s="1071"/>
      <c r="U27" s="1083">
        <f>SUM(T27-S27)</f>
        <v>0</v>
      </c>
      <c r="V27" s="1083">
        <f>SUM(U27/7)</f>
        <v>0</v>
      </c>
      <c r="W27" s="755">
        <f>SUM(U27/30)</f>
        <v>0</v>
      </c>
    </row>
    <row r="28" spans="1:122" s="99" customFormat="1" ht="15" customHeight="1" thickBot="1">
      <c r="A28" s="882"/>
      <c r="B28" s="883"/>
      <c r="C28" s="103" t="s">
        <v>2799</v>
      </c>
      <c r="D28" s="104"/>
      <c r="E28" s="105"/>
      <c r="F28" s="105"/>
      <c r="G28" s="105"/>
      <c r="H28" s="105"/>
      <c r="I28" s="105"/>
      <c r="J28" s="105"/>
      <c r="K28" s="105"/>
      <c r="L28" s="106">
        <f>SUM(L29:L43)</f>
        <v>78805.653600000005</v>
      </c>
      <c r="M28" s="106"/>
      <c r="N28" s="107"/>
      <c r="O28" s="10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row>
    <row r="29" spans="1:122" ht="15" customHeight="1">
      <c r="A29" s="748"/>
      <c r="B29" s="749"/>
      <c r="C29" s="760" t="s">
        <v>2781</v>
      </c>
      <c r="D29" s="761">
        <f t="shared" ref="D29:D43" si="9">$K$5</f>
        <v>4.33</v>
      </c>
      <c r="E29" s="749" t="s">
        <v>2782</v>
      </c>
      <c r="F29" s="762">
        <f>(40*O29)*M29</f>
        <v>725.28</v>
      </c>
      <c r="G29" s="763">
        <f>SUM(D29*F29)</f>
        <v>3140.4623999999999</v>
      </c>
      <c r="H29" s="1108"/>
      <c r="I29" s="866"/>
      <c r="J29" s="1108"/>
      <c r="K29" s="866"/>
      <c r="L29" s="764">
        <f t="shared" ref="L29:L42" si="10">SUM(G29+I29+K29)</f>
        <v>3140.4623999999999</v>
      </c>
      <c r="M29" s="765">
        <v>0.1</v>
      </c>
      <c r="N29" s="1103"/>
      <c r="O29" s="766">
        <f>+O10</f>
        <v>181.32</v>
      </c>
    </row>
    <row r="30" spans="1:122" ht="15" customHeight="1">
      <c r="A30" s="1093"/>
      <c r="B30" s="1094"/>
      <c r="C30" s="1098" t="s">
        <v>2783</v>
      </c>
      <c r="D30" s="1101">
        <f t="shared" si="9"/>
        <v>4.33</v>
      </c>
      <c r="E30" s="1094" t="s">
        <v>2782</v>
      </c>
      <c r="F30" s="1109">
        <f>(40*O30)*M30</f>
        <v>0</v>
      </c>
      <c r="G30" s="1102">
        <f>SUM(D30*F30)</f>
        <v>0</v>
      </c>
      <c r="H30" s="867"/>
      <c r="I30" s="868"/>
      <c r="J30" s="867"/>
      <c r="K30" s="868"/>
      <c r="L30" s="1110">
        <f t="shared" si="10"/>
        <v>0</v>
      </c>
      <c r="M30" s="1111">
        <f>+M11</f>
        <v>0</v>
      </c>
      <c r="N30" s="1112"/>
      <c r="O30" s="1113">
        <f>+O11</f>
        <v>0</v>
      </c>
    </row>
    <row r="31" spans="1:122" ht="15" customHeight="1">
      <c r="A31" s="1093"/>
      <c r="B31" s="1094"/>
      <c r="C31" s="1086" t="s">
        <v>2800</v>
      </c>
      <c r="D31" s="1101">
        <f t="shared" si="9"/>
        <v>4.33</v>
      </c>
      <c r="E31" s="1094" t="s">
        <v>2782</v>
      </c>
      <c r="F31" s="1109">
        <f>(40*O31)*M31</f>
        <v>6011.2</v>
      </c>
      <c r="G31" s="1102">
        <f>SUM(D31*F31)</f>
        <v>26028.495999999999</v>
      </c>
      <c r="H31" s="867"/>
      <c r="I31" s="868"/>
      <c r="J31" s="867"/>
      <c r="K31" s="868"/>
      <c r="L31" s="1110">
        <f t="shared" si="10"/>
        <v>26028.495999999999</v>
      </c>
      <c r="M31" s="1111">
        <f>+M12</f>
        <v>1</v>
      </c>
      <c r="N31" s="1112"/>
      <c r="O31" s="1113">
        <f>O12</f>
        <v>150.28</v>
      </c>
    </row>
    <row r="32" spans="1:122" ht="15" customHeight="1">
      <c r="A32" s="1093"/>
      <c r="B32" s="1094"/>
      <c r="C32" s="1098" t="s">
        <v>2784</v>
      </c>
      <c r="D32" s="1101">
        <f t="shared" si="9"/>
        <v>4.33</v>
      </c>
      <c r="E32" s="1094" t="s">
        <v>2782</v>
      </c>
      <c r="F32" s="1109">
        <f t="shared" ref="F32:F42" si="11">(40*O32)*M32</f>
        <v>0</v>
      </c>
      <c r="G32" s="1102">
        <f t="shared" ref="G32:G43" si="12">SUM(D32*F32)</f>
        <v>0</v>
      </c>
      <c r="H32" s="867"/>
      <c r="I32" s="868"/>
      <c r="J32" s="867"/>
      <c r="K32" s="868"/>
      <c r="L32" s="1110">
        <f t="shared" si="10"/>
        <v>0</v>
      </c>
      <c r="M32" s="1111">
        <f>+M13</f>
        <v>0</v>
      </c>
      <c r="N32" s="1112"/>
      <c r="O32" s="1113">
        <f>+O13</f>
        <v>0</v>
      </c>
    </row>
    <row r="33" spans="1:130" ht="15" customHeight="1">
      <c r="A33" s="1093"/>
      <c r="B33" s="1094"/>
      <c r="C33" s="1098" t="s">
        <v>2785</v>
      </c>
      <c r="D33" s="1101">
        <f t="shared" si="9"/>
        <v>4.33</v>
      </c>
      <c r="E33" s="1094" t="s">
        <v>2782</v>
      </c>
      <c r="F33" s="1109">
        <f t="shared" si="11"/>
        <v>4336.3999999999996</v>
      </c>
      <c r="G33" s="1102">
        <f t="shared" si="12"/>
        <v>18776.611999999997</v>
      </c>
      <c r="H33" s="867"/>
      <c r="I33" s="868"/>
      <c r="J33" s="867"/>
      <c r="K33" s="868"/>
      <c r="L33" s="1110">
        <f t="shared" si="10"/>
        <v>18776.611999999997</v>
      </c>
      <c r="M33" s="1111">
        <f>+M14</f>
        <v>1</v>
      </c>
      <c r="N33" s="1112"/>
      <c r="O33" s="1113">
        <f>+O14</f>
        <v>108.41</v>
      </c>
    </row>
    <row r="34" spans="1:130" ht="15" customHeight="1">
      <c r="A34" s="1093"/>
      <c r="B34" s="1094"/>
      <c r="C34" s="1098" t="s">
        <v>2786</v>
      </c>
      <c r="D34" s="1101">
        <f t="shared" si="9"/>
        <v>4.33</v>
      </c>
      <c r="E34" s="1094" t="s">
        <v>2782</v>
      </c>
      <c r="F34" s="1109">
        <f t="shared" si="11"/>
        <v>0</v>
      </c>
      <c r="G34" s="1102">
        <f t="shared" si="12"/>
        <v>0</v>
      </c>
      <c r="H34" s="867"/>
      <c r="I34" s="868"/>
      <c r="J34" s="867"/>
      <c r="K34" s="868"/>
      <c r="L34" s="1110">
        <f t="shared" si="10"/>
        <v>0</v>
      </c>
      <c r="M34" s="1111">
        <v>0</v>
      </c>
      <c r="N34" s="1103"/>
      <c r="O34" s="1113">
        <f>+O15</f>
        <v>76.48</v>
      </c>
    </row>
    <row r="35" spans="1:130" ht="15" customHeight="1">
      <c r="A35" s="1093"/>
      <c r="B35" s="1094"/>
      <c r="C35" s="1098" t="s">
        <v>2788</v>
      </c>
      <c r="D35" s="1101">
        <f t="shared" si="9"/>
        <v>4.33</v>
      </c>
      <c r="E35" s="1094" t="s">
        <v>2782</v>
      </c>
      <c r="F35" s="1109">
        <f t="shared" si="11"/>
        <v>0</v>
      </c>
      <c r="G35" s="1102">
        <f t="shared" si="12"/>
        <v>0</v>
      </c>
      <c r="H35" s="867"/>
      <c r="I35" s="868"/>
      <c r="J35" s="867"/>
      <c r="K35" s="868"/>
      <c r="L35" s="1110">
        <f t="shared" si="10"/>
        <v>0</v>
      </c>
      <c r="M35" s="1111">
        <f>+M17</f>
        <v>0</v>
      </c>
      <c r="N35" s="1112"/>
      <c r="O35" s="1113">
        <f>+O17</f>
        <v>0</v>
      </c>
    </row>
    <row r="36" spans="1:130" ht="15" customHeight="1">
      <c r="A36" s="640"/>
      <c r="B36" s="613"/>
      <c r="C36" s="648" t="s">
        <v>2789</v>
      </c>
      <c r="D36" s="1101">
        <f t="shared" si="9"/>
        <v>4.33</v>
      </c>
      <c r="E36" s="1094" t="s">
        <v>2782</v>
      </c>
      <c r="F36" s="1109">
        <f t="shared" si="11"/>
        <v>6060.4</v>
      </c>
      <c r="G36" s="1102">
        <f t="shared" si="12"/>
        <v>26241.531999999999</v>
      </c>
      <c r="H36" s="867"/>
      <c r="I36" s="868"/>
      <c r="J36" s="867"/>
      <c r="K36" s="868"/>
      <c r="L36" s="1110">
        <f t="shared" si="10"/>
        <v>26241.531999999999</v>
      </c>
      <c r="M36" s="1111">
        <f>+M18</f>
        <v>1</v>
      </c>
      <c r="N36" s="1112"/>
      <c r="O36" s="1113">
        <f>+O18</f>
        <v>151.51</v>
      </c>
    </row>
    <row r="37" spans="1:130" ht="15" customHeight="1">
      <c r="A37" s="640"/>
      <c r="B37" s="613"/>
      <c r="C37" s="648" t="s">
        <v>2790</v>
      </c>
      <c r="D37" s="1101">
        <f t="shared" si="9"/>
        <v>4.33</v>
      </c>
      <c r="E37" s="1094" t="s">
        <v>2782</v>
      </c>
      <c r="F37" s="1109">
        <f t="shared" si="11"/>
        <v>0</v>
      </c>
      <c r="G37" s="1102">
        <f t="shared" si="12"/>
        <v>0</v>
      </c>
      <c r="H37" s="867"/>
      <c r="I37" s="868"/>
      <c r="J37" s="867"/>
      <c r="K37" s="868"/>
      <c r="L37" s="1110">
        <f t="shared" si="10"/>
        <v>0</v>
      </c>
      <c r="M37" s="1111">
        <v>0</v>
      </c>
      <c r="N37" s="1112"/>
      <c r="O37" s="1113">
        <f>+O19</f>
        <v>127.18</v>
      </c>
    </row>
    <row r="38" spans="1:130" ht="15" customHeight="1">
      <c r="A38" s="640"/>
      <c r="B38" s="613"/>
      <c r="C38" s="648" t="s">
        <v>2791</v>
      </c>
      <c r="D38" s="1101">
        <f t="shared" si="9"/>
        <v>4.33</v>
      </c>
      <c r="E38" s="1094" t="s">
        <v>2782</v>
      </c>
      <c r="F38" s="1109">
        <f t="shared" si="11"/>
        <v>0</v>
      </c>
      <c r="G38" s="1102">
        <f t="shared" si="12"/>
        <v>0</v>
      </c>
      <c r="H38" s="867"/>
      <c r="I38" s="868"/>
      <c r="J38" s="867"/>
      <c r="K38" s="868"/>
      <c r="L38" s="1110">
        <f t="shared" si="10"/>
        <v>0</v>
      </c>
      <c r="M38" s="1111">
        <f>+M21</f>
        <v>0</v>
      </c>
      <c r="N38" s="1112"/>
      <c r="O38" s="1113">
        <f>+O21</f>
        <v>0</v>
      </c>
    </row>
    <row r="39" spans="1:130" ht="15" customHeight="1">
      <c r="A39" s="640"/>
      <c r="B39" s="613"/>
      <c r="C39" s="648" t="s">
        <v>2792</v>
      </c>
      <c r="D39" s="1101">
        <f t="shared" si="9"/>
        <v>4.33</v>
      </c>
      <c r="E39" s="1094" t="s">
        <v>2782</v>
      </c>
      <c r="F39" s="1109">
        <f t="shared" si="11"/>
        <v>0</v>
      </c>
      <c r="G39" s="1102">
        <f t="shared" si="12"/>
        <v>0</v>
      </c>
      <c r="H39" s="867"/>
      <c r="I39" s="868"/>
      <c r="J39" s="867"/>
      <c r="K39" s="868"/>
      <c r="L39" s="1110">
        <f t="shared" si="10"/>
        <v>0</v>
      </c>
      <c r="M39" s="1111">
        <f>+M22</f>
        <v>0</v>
      </c>
      <c r="N39" s="1112"/>
      <c r="O39" s="1113">
        <f>+O22</f>
        <v>0</v>
      </c>
    </row>
    <row r="40" spans="1:130" ht="15" customHeight="1">
      <c r="A40" s="640"/>
      <c r="B40" s="613"/>
      <c r="C40" s="648" t="s">
        <v>2794</v>
      </c>
      <c r="D40" s="1101">
        <f t="shared" si="9"/>
        <v>4.33</v>
      </c>
      <c r="E40" s="1094" t="s">
        <v>2782</v>
      </c>
      <c r="F40" s="1109">
        <f t="shared" si="11"/>
        <v>0</v>
      </c>
      <c r="G40" s="1102">
        <f t="shared" si="12"/>
        <v>0</v>
      </c>
      <c r="H40" s="867"/>
      <c r="I40" s="868"/>
      <c r="J40" s="867"/>
      <c r="K40" s="868"/>
      <c r="L40" s="1110">
        <f t="shared" si="10"/>
        <v>0</v>
      </c>
      <c r="M40" s="1111">
        <v>0</v>
      </c>
      <c r="N40" s="1112"/>
      <c r="O40" s="1113">
        <f>+O24</f>
        <v>47.76</v>
      </c>
    </row>
    <row r="41" spans="1:130" ht="15" customHeight="1">
      <c r="A41" s="640"/>
      <c r="B41" s="613"/>
      <c r="C41" s="648" t="s">
        <v>2796</v>
      </c>
      <c r="D41" s="1101">
        <f t="shared" si="9"/>
        <v>4.33</v>
      </c>
      <c r="E41" s="1094" t="s">
        <v>2782</v>
      </c>
      <c r="F41" s="1109">
        <f t="shared" si="11"/>
        <v>1066.6400000000001</v>
      </c>
      <c r="G41" s="1102">
        <f t="shared" si="12"/>
        <v>4618.5512000000008</v>
      </c>
      <c r="H41" s="867"/>
      <c r="I41" s="868"/>
      <c r="J41" s="867"/>
      <c r="K41" s="868"/>
      <c r="L41" s="1110">
        <f t="shared" si="10"/>
        <v>4618.5512000000008</v>
      </c>
      <c r="M41" s="1111">
        <f>+M25</f>
        <v>0.2</v>
      </c>
      <c r="N41" s="1112"/>
      <c r="O41" s="1113">
        <f>+O25</f>
        <v>133.33000000000001</v>
      </c>
    </row>
    <row r="42" spans="1:130" ht="15" customHeight="1">
      <c r="A42" s="640"/>
      <c r="B42" s="613"/>
      <c r="C42" s="648" t="s">
        <v>2797</v>
      </c>
      <c r="D42" s="1101">
        <f t="shared" si="9"/>
        <v>4.33</v>
      </c>
      <c r="E42" s="1094" t="s">
        <v>2782</v>
      </c>
      <c r="F42" s="1109">
        <f t="shared" si="11"/>
        <v>0</v>
      </c>
      <c r="G42" s="1102">
        <f t="shared" si="12"/>
        <v>0</v>
      </c>
      <c r="H42" s="867"/>
      <c r="I42" s="868"/>
      <c r="J42" s="867"/>
      <c r="K42" s="868"/>
      <c r="L42" s="1110">
        <f t="shared" si="10"/>
        <v>0</v>
      </c>
      <c r="M42" s="1111">
        <v>0</v>
      </c>
      <c r="N42" s="1112"/>
      <c r="O42" s="1113">
        <f>+O26</f>
        <v>118.14</v>
      </c>
    </row>
    <row r="43" spans="1:130" s="110" customFormat="1" ht="15" customHeight="1" thickBot="1">
      <c r="A43" s="1114"/>
      <c r="B43" s="1115"/>
      <c r="C43" s="1116" t="s">
        <v>2798</v>
      </c>
      <c r="D43" s="113">
        <f t="shared" si="9"/>
        <v>4.33</v>
      </c>
      <c r="E43" s="1117" t="s">
        <v>2782</v>
      </c>
      <c r="F43" s="1118">
        <f>(40*O43)*M43</f>
        <v>0</v>
      </c>
      <c r="G43" s="114">
        <f t="shared" si="12"/>
        <v>0</v>
      </c>
      <c r="H43" s="873"/>
      <c r="I43" s="874"/>
      <c r="J43" s="873"/>
      <c r="K43" s="874"/>
      <c r="L43" s="1119">
        <f>SUM(G43+I43+K43)</f>
        <v>0</v>
      </c>
      <c r="M43" s="1120">
        <v>0</v>
      </c>
      <c r="O43" s="1121">
        <f>+O27</f>
        <v>91.69</v>
      </c>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row>
    <row r="44" spans="1:130" ht="15" customHeight="1" thickBot="1">
      <c r="A44" s="860"/>
      <c r="B44" s="861"/>
      <c r="C44" s="115" t="s">
        <v>2801</v>
      </c>
      <c r="D44" s="116"/>
      <c r="E44" s="117"/>
      <c r="F44" s="117"/>
      <c r="G44" s="117"/>
      <c r="H44" s="117"/>
      <c r="I44" s="117"/>
      <c r="J44" s="117"/>
      <c r="K44" s="117"/>
      <c r="L44" s="118">
        <f>SUM(L45:L64)</f>
        <v>247378.76068376069</v>
      </c>
      <c r="M44" s="118"/>
      <c r="N44" s="119"/>
    </row>
    <row r="45" spans="1:130" ht="15" customHeight="1">
      <c r="A45" s="1093"/>
      <c r="B45" s="1094"/>
      <c r="C45" s="1086" t="s">
        <v>2802</v>
      </c>
      <c r="D45" s="1101">
        <v>1</v>
      </c>
      <c r="E45" s="1085" t="s">
        <v>2803</v>
      </c>
      <c r="F45" s="1108"/>
      <c r="G45" s="866"/>
      <c r="H45" s="1122">
        <v>16000</v>
      </c>
      <c r="I45" s="1102">
        <f t="shared" ref="I45:I63" si="13">SUM(D45*H45)</f>
        <v>16000</v>
      </c>
      <c r="J45" s="1108" t="s">
        <v>2804</v>
      </c>
      <c r="K45" s="866"/>
      <c r="L45" s="1110">
        <f t="shared" ref="L45:L64" si="14">SUM(G45+I45+K45)</f>
        <v>16000</v>
      </c>
      <c r="M45" s="857"/>
      <c r="N45" s="1103"/>
    </row>
    <row r="46" spans="1:130" ht="15" customHeight="1">
      <c r="A46" s="1093"/>
      <c r="B46" s="1094"/>
      <c r="C46" s="1098" t="s">
        <v>2805</v>
      </c>
      <c r="D46" s="1101">
        <f>$L$4</f>
        <v>26.068376068376068</v>
      </c>
      <c r="E46" s="1094" t="s">
        <v>2806</v>
      </c>
      <c r="F46" s="867"/>
      <c r="G46" s="868"/>
      <c r="H46" s="1105">
        <v>3500</v>
      </c>
      <c r="I46" s="1102">
        <f t="shared" si="13"/>
        <v>91239.316239316235</v>
      </c>
      <c r="J46" s="867"/>
      <c r="K46" s="868"/>
      <c r="L46" s="1110">
        <f t="shared" si="14"/>
        <v>91239.316239316235</v>
      </c>
      <c r="M46" s="858"/>
      <c r="N46" s="1096"/>
    </row>
    <row r="47" spans="1:130" ht="15" customHeight="1">
      <c r="A47" s="1093"/>
      <c r="B47" s="1094"/>
      <c r="C47" s="1086" t="s">
        <v>2807</v>
      </c>
      <c r="D47" s="1101"/>
      <c r="E47" s="1094" t="s">
        <v>2803</v>
      </c>
      <c r="F47" s="867"/>
      <c r="G47" s="868"/>
      <c r="H47" s="1105">
        <v>15958</v>
      </c>
      <c r="I47" s="1102">
        <f t="shared" si="13"/>
        <v>0</v>
      </c>
      <c r="J47" s="867"/>
      <c r="K47" s="868"/>
      <c r="L47" s="1110">
        <f t="shared" si="14"/>
        <v>0</v>
      </c>
      <c r="M47" s="858"/>
      <c r="N47" s="1096" t="s">
        <v>2808</v>
      </c>
    </row>
    <row r="48" spans="1:130" ht="15" customHeight="1">
      <c r="A48" s="1093"/>
      <c r="B48" s="1094"/>
      <c r="C48" s="1098" t="s">
        <v>2809</v>
      </c>
      <c r="D48" s="1101"/>
      <c r="E48" s="1094" t="s">
        <v>2806</v>
      </c>
      <c r="F48" s="867"/>
      <c r="G48" s="868"/>
      <c r="H48" s="1105">
        <v>1732</v>
      </c>
      <c r="I48" s="1102">
        <f t="shared" si="13"/>
        <v>0</v>
      </c>
      <c r="J48" s="867"/>
      <c r="K48" s="868"/>
      <c r="L48" s="1110">
        <f t="shared" si="14"/>
        <v>0</v>
      </c>
      <c r="M48" s="858"/>
      <c r="N48" s="1096" t="s">
        <v>2808</v>
      </c>
    </row>
    <row r="49" spans="1:14" ht="15" customHeight="1">
      <c r="A49" s="1093"/>
      <c r="B49" s="1094"/>
      <c r="C49" s="1098" t="s">
        <v>2810</v>
      </c>
      <c r="D49" s="1123">
        <v>1</v>
      </c>
      <c r="E49" s="1094" t="s">
        <v>2803</v>
      </c>
      <c r="F49" s="867"/>
      <c r="G49" s="868"/>
      <c r="H49" s="1087">
        <v>1371</v>
      </c>
      <c r="I49" s="1124">
        <f t="shared" si="13"/>
        <v>1371</v>
      </c>
      <c r="J49" s="867"/>
      <c r="K49" s="868"/>
      <c r="L49" s="1125">
        <f t="shared" si="14"/>
        <v>1371</v>
      </c>
      <c r="M49" s="858"/>
      <c r="N49" s="1096" t="s">
        <v>2811</v>
      </c>
    </row>
    <row r="50" spans="1:14" ht="15" customHeight="1">
      <c r="A50" s="1093"/>
      <c r="B50" s="1094"/>
      <c r="C50" s="1098" t="s">
        <v>2812</v>
      </c>
      <c r="D50" s="1123">
        <v>18</v>
      </c>
      <c r="E50" s="1094" t="s">
        <v>2806</v>
      </c>
      <c r="F50" s="867"/>
      <c r="G50" s="868"/>
      <c r="H50" s="1087">
        <v>573</v>
      </c>
      <c r="I50" s="1124">
        <f t="shared" si="13"/>
        <v>10314</v>
      </c>
      <c r="J50" s="867"/>
      <c r="K50" s="868"/>
      <c r="L50" s="1125">
        <f t="shared" si="14"/>
        <v>10314</v>
      </c>
      <c r="M50" s="858"/>
      <c r="N50" s="1096" t="s">
        <v>2811</v>
      </c>
    </row>
    <row r="51" spans="1:14" ht="15" customHeight="1">
      <c r="A51" s="1093"/>
      <c r="B51" s="1094"/>
      <c r="C51" s="1098" t="s">
        <v>2813</v>
      </c>
      <c r="D51" s="1101">
        <v>1</v>
      </c>
      <c r="E51" s="1094" t="s">
        <v>2803</v>
      </c>
      <c r="F51" s="867"/>
      <c r="G51" s="868"/>
      <c r="H51" s="1122">
        <v>2000</v>
      </c>
      <c r="I51" s="1102">
        <f t="shared" si="13"/>
        <v>2000</v>
      </c>
      <c r="J51" s="867"/>
      <c r="K51" s="868"/>
      <c r="L51" s="1110">
        <f t="shared" si="14"/>
        <v>2000</v>
      </c>
      <c r="M51" s="858"/>
      <c r="N51" s="1112"/>
    </row>
    <row r="52" spans="1:14" ht="15" customHeight="1">
      <c r="A52" s="1093"/>
      <c r="B52" s="1094"/>
      <c r="C52" s="1098" t="s">
        <v>2814</v>
      </c>
      <c r="D52" s="1101">
        <f>$L$4</f>
        <v>26.068376068376068</v>
      </c>
      <c r="E52" s="1094" t="s">
        <v>2806</v>
      </c>
      <c r="F52" s="867"/>
      <c r="G52" s="868"/>
      <c r="H52" s="1105">
        <v>250</v>
      </c>
      <c r="I52" s="1102">
        <f t="shared" si="13"/>
        <v>6517.0940170940166</v>
      </c>
      <c r="J52" s="867"/>
      <c r="K52" s="868"/>
      <c r="L52" s="1110">
        <f t="shared" si="14"/>
        <v>6517.0940170940166</v>
      </c>
      <c r="M52" s="858"/>
      <c r="N52" s="1112"/>
    </row>
    <row r="53" spans="1:14" ht="15" customHeight="1">
      <c r="A53" s="1093"/>
      <c r="B53" s="1094"/>
      <c r="C53" s="1098" t="s">
        <v>2815</v>
      </c>
      <c r="D53" s="1101">
        <f>$L$4</f>
        <v>26.068376068376068</v>
      </c>
      <c r="E53" s="1094" t="s">
        <v>2806</v>
      </c>
      <c r="F53" s="867"/>
      <c r="G53" s="868"/>
      <c r="H53" s="1122">
        <v>0</v>
      </c>
      <c r="I53" s="1102">
        <f t="shared" si="13"/>
        <v>0</v>
      </c>
      <c r="J53" s="867"/>
      <c r="K53" s="868"/>
      <c r="L53" s="1110">
        <f t="shared" si="14"/>
        <v>0</v>
      </c>
      <c r="M53" s="858"/>
      <c r="N53" s="1112" t="s">
        <v>2816</v>
      </c>
    </row>
    <row r="54" spans="1:14" ht="15" customHeight="1">
      <c r="A54" s="1093"/>
      <c r="B54" s="1094"/>
      <c r="C54" s="1098" t="s">
        <v>2817</v>
      </c>
      <c r="D54" s="1101">
        <v>0</v>
      </c>
      <c r="E54" s="1094" t="s">
        <v>2818</v>
      </c>
      <c r="F54" s="867"/>
      <c r="G54" s="868"/>
      <c r="H54" s="1122">
        <v>500</v>
      </c>
      <c r="I54" s="1102">
        <f t="shared" si="13"/>
        <v>0</v>
      </c>
      <c r="J54" s="867"/>
      <c r="K54" s="868"/>
      <c r="L54" s="1110">
        <f t="shared" si="14"/>
        <v>0</v>
      </c>
      <c r="M54" s="858"/>
      <c r="N54" s="1112"/>
    </row>
    <row r="55" spans="1:14" ht="15" customHeight="1">
      <c r="A55" s="1093"/>
      <c r="B55" s="1094"/>
      <c r="C55" s="1098" t="s">
        <v>2819</v>
      </c>
      <c r="D55" s="1101">
        <f>$L$4</f>
        <v>26.068376068376068</v>
      </c>
      <c r="E55" s="1094" t="s">
        <v>2806</v>
      </c>
      <c r="F55" s="867"/>
      <c r="G55" s="868"/>
      <c r="H55" s="1122">
        <v>100</v>
      </c>
      <c r="I55" s="1102">
        <f t="shared" si="13"/>
        <v>2606.8376068376069</v>
      </c>
      <c r="J55" s="867"/>
      <c r="K55" s="868"/>
      <c r="L55" s="1110">
        <f t="shared" si="14"/>
        <v>2606.8376068376069</v>
      </c>
      <c r="M55" s="858"/>
      <c r="N55" s="1112"/>
    </row>
    <row r="56" spans="1:14" ht="15" customHeight="1">
      <c r="A56" s="1093"/>
      <c r="B56" s="1094"/>
      <c r="C56" s="1098" t="s">
        <v>2820</v>
      </c>
      <c r="D56" s="1101">
        <f>$L$4</f>
        <v>26.068376068376068</v>
      </c>
      <c r="E56" s="1094" t="s">
        <v>2806</v>
      </c>
      <c r="F56" s="867"/>
      <c r="G56" s="868"/>
      <c r="H56" s="1122">
        <v>50</v>
      </c>
      <c r="I56" s="1102">
        <f t="shared" si="13"/>
        <v>1303.4188034188035</v>
      </c>
      <c r="J56" s="867"/>
      <c r="K56" s="868"/>
      <c r="L56" s="1110">
        <f t="shared" si="14"/>
        <v>1303.4188034188035</v>
      </c>
      <c r="M56" s="858"/>
      <c r="N56" s="1112"/>
    </row>
    <row r="57" spans="1:14" ht="15" customHeight="1">
      <c r="A57" s="1093"/>
      <c r="B57" s="1094"/>
      <c r="C57" s="1098" t="s">
        <v>2821</v>
      </c>
      <c r="D57" s="1101">
        <f>$L$4</f>
        <v>26.068376068376068</v>
      </c>
      <c r="E57" s="1094" t="s">
        <v>2806</v>
      </c>
      <c r="F57" s="867"/>
      <c r="G57" s="868"/>
      <c r="H57" s="1122">
        <v>250</v>
      </c>
      <c r="I57" s="1102">
        <f t="shared" si="13"/>
        <v>6517.0940170940166</v>
      </c>
      <c r="J57" s="867"/>
      <c r="K57" s="868"/>
      <c r="L57" s="1110">
        <f t="shared" si="14"/>
        <v>6517.0940170940166</v>
      </c>
      <c r="M57" s="858"/>
      <c r="N57" s="1112"/>
    </row>
    <row r="58" spans="1:14" ht="15" customHeight="1">
      <c r="A58" s="1093"/>
      <c r="B58" s="1094"/>
      <c r="C58" s="1098" t="s">
        <v>2822</v>
      </c>
      <c r="D58" s="1126">
        <v>0</v>
      </c>
      <c r="E58" s="1094" t="s">
        <v>2818</v>
      </c>
      <c r="F58" s="867"/>
      <c r="G58" s="868"/>
      <c r="H58" s="1122">
        <v>0</v>
      </c>
      <c r="I58" s="1102">
        <f t="shared" si="13"/>
        <v>0</v>
      </c>
      <c r="J58" s="867"/>
      <c r="K58" s="868"/>
      <c r="L58" s="1110">
        <f t="shared" si="14"/>
        <v>0</v>
      </c>
      <c r="M58" s="858"/>
      <c r="N58" s="1112"/>
    </row>
    <row r="59" spans="1:14" ht="15" customHeight="1">
      <c r="A59" s="1093"/>
      <c r="B59" s="1094"/>
      <c r="C59" s="1098" t="s">
        <v>2823</v>
      </c>
      <c r="D59" s="1126">
        <v>2</v>
      </c>
      <c r="E59" s="1094" t="s">
        <v>2818</v>
      </c>
      <c r="F59" s="867"/>
      <c r="G59" s="868"/>
      <c r="H59" s="1122">
        <v>500</v>
      </c>
      <c r="I59" s="1102">
        <f t="shared" si="13"/>
        <v>1000</v>
      </c>
      <c r="J59" s="867"/>
      <c r="K59" s="868"/>
      <c r="L59" s="1110">
        <f t="shared" si="14"/>
        <v>1000</v>
      </c>
      <c r="M59" s="858"/>
      <c r="N59" s="1112"/>
    </row>
    <row r="60" spans="1:14" ht="15" customHeight="1">
      <c r="A60" s="1093"/>
      <c r="B60" s="1094"/>
      <c r="C60" s="1098" t="s">
        <v>2824</v>
      </c>
      <c r="D60" s="1126">
        <v>1</v>
      </c>
      <c r="E60" s="1094" t="s">
        <v>2818</v>
      </c>
      <c r="F60" s="867"/>
      <c r="G60" s="868"/>
      <c r="H60" s="1105">
        <v>750</v>
      </c>
      <c r="I60" s="1102">
        <f t="shared" si="13"/>
        <v>750</v>
      </c>
      <c r="J60" s="867"/>
      <c r="K60" s="868"/>
      <c r="L60" s="1110">
        <f t="shared" si="14"/>
        <v>750</v>
      </c>
      <c r="M60" s="858"/>
      <c r="N60" s="1112"/>
    </row>
    <row r="61" spans="1:14" ht="15" customHeight="1">
      <c r="A61" s="1093"/>
      <c r="B61" s="1094"/>
      <c r="C61" s="1098" t="s">
        <v>2825</v>
      </c>
      <c r="D61" s="1126">
        <f>$L$4</f>
        <v>26.068376068376068</v>
      </c>
      <c r="E61" s="1094" t="s">
        <v>2806</v>
      </c>
      <c r="F61" s="867"/>
      <c r="G61" s="868"/>
      <c r="H61" s="1122">
        <v>0</v>
      </c>
      <c r="I61" s="1102">
        <f t="shared" si="13"/>
        <v>0</v>
      </c>
      <c r="J61" s="867"/>
      <c r="K61" s="868"/>
      <c r="L61" s="1110">
        <f t="shared" si="14"/>
        <v>0</v>
      </c>
      <c r="M61" s="858"/>
      <c r="N61" s="1112"/>
    </row>
    <row r="62" spans="1:14" ht="15" customHeight="1">
      <c r="A62" s="1093"/>
      <c r="B62" s="1094"/>
      <c r="C62" s="1098" t="s">
        <v>2826</v>
      </c>
      <c r="D62" s="1126">
        <v>12</v>
      </c>
      <c r="E62" s="1094" t="s">
        <v>2806</v>
      </c>
      <c r="F62" s="867"/>
      <c r="G62" s="868"/>
      <c r="H62" s="1122">
        <v>7500</v>
      </c>
      <c r="I62" s="1102">
        <f t="shared" si="13"/>
        <v>90000</v>
      </c>
      <c r="J62" s="867"/>
      <c r="K62" s="868"/>
      <c r="L62" s="1110">
        <f t="shared" si="14"/>
        <v>90000</v>
      </c>
      <c r="M62" s="858"/>
      <c r="N62" s="1112"/>
    </row>
    <row r="63" spans="1:14" ht="15" customHeight="1">
      <c r="A63" s="1093"/>
      <c r="B63" s="1094"/>
      <c r="C63" s="1098" t="s">
        <v>2827</v>
      </c>
      <c r="D63" s="1126">
        <v>4</v>
      </c>
      <c r="E63" s="1094" t="s">
        <v>2803</v>
      </c>
      <c r="F63" s="867"/>
      <c r="G63" s="868"/>
      <c r="H63" s="1087">
        <v>840</v>
      </c>
      <c r="I63" s="1102">
        <f t="shared" si="13"/>
        <v>3360</v>
      </c>
      <c r="J63" s="867"/>
      <c r="K63" s="868"/>
      <c r="L63" s="1125">
        <f t="shared" si="14"/>
        <v>3360</v>
      </c>
      <c r="M63" s="858"/>
      <c r="N63" s="1096" t="s">
        <v>2828</v>
      </c>
    </row>
    <row r="64" spans="1:14" ht="15" customHeight="1" thickBot="1">
      <c r="A64" s="1093"/>
      <c r="B64" s="1094"/>
      <c r="C64" s="1127" t="s">
        <v>2829</v>
      </c>
      <c r="D64" s="120">
        <v>12</v>
      </c>
      <c r="E64" s="1115" t="s">
        <v>2806</v>
      </c>
      <c r="F64" s="873"/>
      <c r="G64" s="874"/>
      <c r="H64" s="121">
        <v>1200</v>
      </c>
      <c r="I64" s="1102">
        <f>SUM(D64*H64)</f>
        <v>14400</v>
      </c>
      <c r="J64" s="873"/>
      <c r="K64" s="874"/>
      <c r="L64" s="122">
        <f t="shared" si="14"/>
        <v>14400</v>
      </c>
      <c r="M64" s="859"/>
      <c r="N64" s="1096" t="s">
        <v>2830</v>
      </c>
    </row>
    <row r="65" spans="1:14" ht="15" customHeight="1" thickBot="1">
      <c r="A65" s="860"/>
      <c r="B65" s="861"/>
      <c r="C65" s="123" t="s">
        <v>2831</v>
      </c>
      <c r="D65" s="877"/>
      <c r="E65" s="878"/>
      <c r="F65" s="878"/>
      <c r="G65" s="878"/>
      <c r="H65" s="878"/>
      <c r="I65" s="878"/>
      <c r="J65" s="878"/>
      <c r="K65" s="878"/>
      <c r="L65" s="879"/>
      <c r="M65" s="124"/>
      <c r="N65" s="119">
        <f>SUM(L66:L80)</f>
        <v>0</v>
      </c>
    </row>
    <row r="66" spans="1:14" ht="15" hidden="1" customHeight="1">
      <c r="A66" s="748"/>
      <c r="B66" s="749"/>
      <c r="C66" s="760" t="s">
        <v>2832</v>
      </c>
      <c r="D66" s="761">
        <v>1</v>
      </c>
      <c r="E66" s="749" t="s">
        <v>2818</v>
      </c>
      <c r="F66" s="1108"/>
      <c r="G66" s="866"/>
      <c r="H66" s="1108"/>
      <c r="I66" s="866"/>
      <c r="J66" s="762">
        <v>0</v>
      </c>
      <c r="K66" s="763">
        <f>SUM(D66*J66)</f>
        <v>0</v>
      </c>
      <c r="L66" s="764">
        <f t="shared" ref="L66:L80" si="15">SUM(G66+I66+K66)</f>
        <v>0</v>
      </c>
      <c r="M66" s="764"/>
      <c r="N66" s="767" t="s">
        <v>2833</v>
      </c>
    </row>
    <row r="67" spans="1:14" ht="15" hidden="1" customHeight="1">
      <c r="A67" s="1093"/>
      <c r="B67" s="1094"/>
      <c r="C67" s="1098" t="s">
        <v>2834</v>
      </c>
      <c r="D67" s="1101">
        <f>L4</f>
        <v>26.068376068376068</v>
      </c>
      <c r="E67" s="1094" t="s">
        <v>2806</v>
      </c>
      <c r="F67" s="867"/>
      <c r="G67" s="868"/>
      <c r="H67" s="867"/>
      <c r="I67" s="868"/>
      <c r="J67" s="1109">
        <v>0</v>
      </c>
      <c r="K67" s="1102">
        <f t="shared" ref="K67:K80" si="16">SUM(D67*J67)</f>
        <v>0</v>
      </c>
      <c r="L67" s="1110">
        <f t="shared" si="15"/>
        <v>0</v>
      </c>
      <c r="M67" s="1110"/>
      <c r="N67" s="1103" t="s">
        <v>2833</v>
      </c>
    </row>
    <row r="68" spans="1:14" ht="15" hidden="1" customHeight="1">
      <c r="A68" s="1093"/>
      <c r="B68" s="1094"/>
      <c r="C68" s="1098" t="s">
        <v>2813</v>
      </c>
      <c r="D68" s="1101">
        <v>1</v>
      </c>
      <c r="E68" s="1094" t="s">
        <v>2818</v>
      </c>
      <c r="F68" s="867"/>
      <c r="G68" s="868"/>
      <c r="H68" s="867"/>
      <c r="I68" s="868"/>
      <c r="J68" s="1109">
        <v>0</v>
      </c>
      <c r="K68" s="1102">
        <f t="shared" si="16"/>
        <v>0</v>
      </c>
      <c r="L68" s="1110">
        <f t="shared" si="15"/>
        <v>0</v>
      </c>
      <c r="M68" s="1110"/>
      <c r="N68" s="1103" t="s">
        <v>2833</v>
      </c>
    </row>
    <row r="69" spans="1:14" ht="15" hidden="1" customHeight="1">
      <c r="A69" s="1093"/>
      <c r="B69" s="1094"/>
      <c r="C69" s="1098" t="s">
        <v>2835</v>
      </c>
      <c r="D69" s="1101">
        <f>L4</f>
        <v>26.068376068376068</v>
      </c>
      <c r="E69" s="1094" t="s">
        <v>2806</v>
      </c>
      <c r="F69" s="867"/>
      <c r="G69" s="868"/>
      <c r="H69" s="867"/>
      <c r="I69" s="868"/>
      <c r="J69" s="1109">
        <v>0</v>
      </c>
      <c r="K69" s="1102">
        <f t="shared" si="16"/>
        <v>0</v>
      </c>
      <c r="L69" s="1110">
        <f t="shared" si="15"/>
        <v>0</v>
      </c>
      <c r="M69" s="1110"/>
      <c r="N69" s="1103" t="s">
        <v>2833</v>
      </c>
    </row>
    <row r="70" spans="1:14" ht="15" hidden="1" customHeight="1">
      <c r="A70" s="1093"/>
      <c r="B70" s="1094"/>
      <c r="C70" s="1098" t="s">
        <v>2815</v>
      </c>
      <c r="D70" s="1101">
        <f>L4+L5</f>
        <v>27.068376068376068</v>
      </c>
      <c r="E70" s="1094" t="s">
        <v>2806</v>
      </c>
      <c r="F70" s="867"/>
      <c r="G70" s="868"/>
      <c r="H70" s="867"/>
      <c r="I70" s="868"/>
      <c r="J70" s="1109">
        <v>0</v>
      </c>
      <c r="K70" s="1102">
        <f t="shared" si="16"/>
        <v>0</v>
      </c>
      <c r="L70" s="1110">
        <f t="shared" si="15"/>
        <v>0</v>
      </c>
      <c r="M70" s="1110"/>
      <c r="N70" s="1103" t="s">
        <v>2833</v>
      </c>
    </row>
    <row r="71" spans="1:14" ht="15" hidden="1" customHeight="1">
      <c r="A71" s="1093"/>
      <c r="B71" s="1094"/>
      <c r="C71" s="1098" t="s">
        <v>2817</v>
      </c>
      <c r="D71" s="1101">
        <v>1</v>
      </c>
      <c r="E71" s="1094" t="s">
        <v>2818</v>
      </c>
      <c r="F71" s="867"/>
      <c r="G71" s="868"/>
      <c r="H71" s="867"/>
      <c r="I71" s="868"/>
      <c r="J71" s="1109">
        <v>0</v>
      </c>
      <c r="K71" s="1102">
        <f t="shared" si="16"/>
        <v>0</v>
      </c>
      <c r="L71" s="1110">
        <f t="shared" si="15"/>
        <v>0</v>
      </c>
      <c r="M71" s="1110"/>
      <c r="N71" s="1103" t="s">
        <v>2833</v>
      </c>
    </row>
    <row r="72" spans="1:14" ht="15" hidden="1" customHeight="1">
      <c r="A72" s="1093"/>
      <c r="B72" s="1094"/>
      <c r="C72" s="1098" t="s">
        <v>2819</v>
      </c>
      <c r="D72" s="1101">
        <f>L4+L5</f>
        <v>27.068376068376068</v>
      </c>
      <c r="E72" s="1094" t="s">
        <v>2806</v>
      </c>
      <c r="F72" s="867"/>
      <c r="G72" s="868"/>
      <c r="H72" s="867"/>
      <c r="I72" s="868"/>
      <c r="J72" s="1109">
        <v>0</v>
      </c>
      <c r="K72" s="1102">
        <f t="shared" si="16"/>
        <v>0</v>
      </c>
      <c r="L72" s="1110">
        <f t="shared" si="15"/>
        <v>0</v>
      </c>
      <c r="M72" s="1110"/>
      <c r="N72" s="1103" t="s">
        <v>2833</v>
      </c>
    </row>
    <row r="73" spans="1:14" ht="15" hidden="1" customHeight="1">
      <c r="A73" s="1093"/>
      <c r="B73" s="1094"/>
      <c r="C73" s="1098" t="s">
        <v>2820</v>
      </c>
      <c r="D73" s="1101">
        <f>L4+L5</f>
        <v>27.068376068376068</v>
      </c>
      <c r="E73" s="1094" t="s">
        <v>2806</v>
      </c>
      <c r="F73" s="867"/>
      <c r="G73" s="868"/>
      <c r="H73" s="867"/>
      <c r="I73" s="868"/>
      <c r="J73" s="1109">
        <v>0</v>
      </c>
      <c r="K73" s="1102">
        <f t="shared" si="16"/>
        <v>0</v>
      </c>
      <c r="L73" s="1110">
        <f t="shared" si="15"/>
        <v>0</v>
      </c>
      <c r="M73" s="1110"/>
      <c r="N73" s="1103" t="s">
        <v>2833</v>
      </c>
    </row>
    <row r="74" spans="1:14" ht="15" hidden="1" customHeight="1">
      <c r="A74" s="1093"/>
      <c r="B74" s="1094"/>
      <c r="C74" s="1098" t="s">
        <v>2836</v>
      </c>
      <c r="D74" s="1101">
        <f>L4</f>
        <v>26.068376068376068</v>
      </c>
      <c r="E74" s="1094" t="s">
        <v>2806</v>
      </c>
      <c r="F74" s="867"/>
      <c r="G74" s="868"/>
      <c r="H74" s="867"/>
      <c r="I74" s="868"/>
      <c r="J74" s="1109">
        <v>0</v>
      </c>
      <c r="K74" s="1102">
        <f t="shared" si="16"/>
        <v>0</v>
      </c>
      <c r="L74" s="1110">
        <f t="shared" si="15"/>
        <v>0</v>
      </c>
      <c r="M74" s="1110"/>
      <c r="N74" s="1103" t="s">
        <v>2833</v>
      </c>
    </row>
    <row r="75" spans="1:14" ht="15" hidden="1" customHeight="1">
      <c r="A75" s="1093"/>
      <c r="B75" s="1094"/>
      <c r="C75" s="1098" t="s">
        <v>2822</v>
      </c>
      <c r="D75" s="1101">
        <v>1</v>
      </c>
      <c r="E75" s="1094" t="s">
        <v>2818</v>
      </c>
      <c r="F75" s="867"/>
      <c r="G75" s="868"/>
      <c r="H75" s="867"/>
      <c r="I75" s="868"/>
      <c r="J75" s="1109">
        <v>0</v>
      </c>
      <c r="K75" s="1102">
        <f t="shared" si="16"/>
        <v>0</v>
      </c>
      <c r="L75" s="1110">
        <f t="shared" si="15"/>
        <v>0</v>
      </c>
      <c r="M75" s="1110"/>
      <c r="N75" s="1103" t="s">
        <v>2833</v>
      </c>
    </row>
    <row r="76" spans="1:14" ht="15" hidden="1" customHeight="1">
      <c r="A76" s="1093"/>
      <c r="B76" s="1094"/>
      <c r="C76" s="1098" t="s">
        <v>2823</v>
      </c>
      <c r="D76" s="1101">
        <v>1</v>
      </c>
      <c r="E76" s="1094" t="s">
        <v>2818</v>
      </c>
      <c r="F76" s="867"/>
      <c r="G76" s="868"/>
      <c r="H76" s="867"/>
      <c r="I76" s="868"/>
      <c r="J76" s="1109">
        <v>0</v>
      </c>
      <c r="K76" s="1102">
        <f t="shared" si="16"/>
        <v>0</v>
      </c>
      <c r="L76" s="1110">
        <f t="shared" si="15"/>
        <v>0</v>
      </c>
      <c r="M76" s="1110"/>
      <c r="N76" s="1103" t="s">
        <v>2833</v>
      </c>
    </row>
    <row r="77" spans="1:14" ht="15" hidden="1" customHeight="1">
      <c r="A77" s="1093"/>
      <c r="B77" s="1094"/>
      <c r="C77" s="1098" t="s">
        <v>2824</v>
      </c>
      <c r="D77" s="1101">
        <f>L4+L5</f>
        <v>27.068376068376068</v>
      </c>
      <c r="E77" s="1094" t="s">
        <v>2806</v>
      </c>
      <c r="F77" s="867"/>
      <c r="G77" s="868"/>
      <c r="H77" s="867"/>
      <c r="I77" s="868"/>
      <c r="J77" s="1109">
        <v>0</v>
      </c>
      <c r="K77" s="1102">
        <f t="shared" si="16"/>
        <v>0</v>
      </c>
      <c r="L77" s="1110">
        <f t="shared" si="15"/>
        <v>0</v>
      </c>
      <c r="M77" s="1110"/>
      <c r="N77" s="1103" t="s">
        <v>2833</v>
      </c>
    </row>
    <row r="78" spans="1:14" ht="15" hidden="1" customHeight="1">
      <c r="A78" s="1093"/>
      <c r="B78" s="1094"/>
      <c r="C78" s="1098" t="s">
        <v>2837</v>
      </c>
      <c r="D78" s="1101">
        <v>1</v>
      </c>
      <c r="E78" s="1094" t="s">
        <v>2818</v>
      </c>
      <c r="F78" s="867"/>
      <c r="G78" s="868"/>
      <c r="H78" s="867"/>
      <c r="I78" s="868"/>
      <c r="J78" s="1109">
        <v>0</v>
      </c>
      <c r="K78" s="1102">
        <f t="shared" si="16"/>
        <v>0</v>
      </c>
      <c r="L78" s="1110">
        <f t="shared" si="15"/>
        <v>0</v>
      </c>
      <c r="M78" s="1110"/>
      <c r="N78" s="1103" t="s">
        <v>2833</v>
      </c>
    </row>
    <row r="79" spans="1:14" ht="15" hidden="1" customHeight="1">
      <c r="A79" s="1093"/>
      <c r="B79" s="1094"/>
      <c r="C79" s="1098" t="s">
        <v>2825</v>
      </c>
      <c r="D79" s="1101">
        <f>L4</f>
        <v>26.068376068376068</v>
      </c>
      <c r="E79" s="1094" t="s">
        <v>2806</v>
      </c>
      <c r="F79" s="867"/>
      <c r="G79" s="868"/>
      <c r="H79" s="867"/>
      <c r="I79" s="868"/>
      <c r="J79" s="1109">
        <v>0</v>
      </c>
      <c r="K79" s="1102">
        <f t="shared" si="16"/>
        <v>0</v>
      </c>
      <c r="L79" s="1125">
        <f t="shared" si="15"/>
        <v>0</v>
      </c>
      <c r="M79" s="1110"/>
      <c r="N79" s="1103" t="s">
        <v>2833</v>
      </c>
    </row>
    <row r="80" spans="1:14" ht="15" hidden="1" customHeight="1" thickBot="1">
      <c r="A80" s="1114"/>
      <c r="B80" s="1115"/>
      <c r="C80" s="1127" t="s">
        <v>2838</v>
      </c>
      <c r="D80" s="113">
        <v>1</v>
      </c>
      <c r="E80" s="1115" t="s">
        <v>2818</v>
      </c>
      <c r="F80" s="873"/>
      <c r="G80" s="874"/>
      <c r="H80" s="873"/>
      <c r="I80" s="874"/>
      <c r="J80" s="125">
        <v>0</v>
      </c>
      <c r="K80" s="114">
        <f t="shared" si="16"/>
        <v>0</v>
      </c>
      <c r="L80" s="122">
        <f t="shared" si="15"/>
        <v>0</v>
      </c>
      <c r="M80" s="122"/>
      <c r="N80" s="126" t="s">
        <v>2833</v>
      </c>
    </row>
    <row r="81" spans="1:14" ht="15" customHeight="1" thickBot="1">
      <c r="A81" s="860"/>
      <c r="B81" s="861"/>
      <c r="C81" s="123" t="s">
        <v>2839</v>
      </c>
      <c r="D81" s="116"/>
      <c r="E81" s="117"/>
      <c r="F81" s="117"/>
      <c r="G81" s="117"/>
      <c r="H81" s="117"/>
      <c r="I81" s="117"/>
      <c r="J81" s="117"/>
      <c r="K81" s="117"/>
      <c r="L81" s="118">
        <f>SUM(L82:L94)</f>
        <v>181598.58119658119</v>
      </c>
      <c r="M81" s="118"/>
      <c r="N81" s="119"/>
    </row>
    <row r="82" spans="1:14" ht="15" customHeight="1">
      <c r="A82" s="1093"/>
      <c r="B82" s="1094"/>
      <c r="C82" s="1086" t="s">
        <v>2840</v>
      </c>
      <c r="D82" s="1101">
        <v>1</v>
      </c>
      <c r="E82" s="1085" t="s">
        <v>2818</v>
      </c>
      <c r="F82" s="1108"/>
      <c r="G82" s="866"/>
      <c r="H82" s="1108"/>
      <c r="I82" s="866"/>
      <c r="J82" s="1122">
        <v>5000</v>
      </c>
      <c r="K82" s="1102">
        <f>SUM(D82*J82)</f>
        <v>5000</v>
      </c>
      <c r="L82" s="1110">
        <f t="shared" ref="L82:L94" si="17">SUM(G82+I82+K82)</f>
        <v>5000</v>
      </c>
      <c r="M82" s="857"/>
      <c r="N82" s="1128"/>
    </row>
    <row r="83" spans="1:14" ht="15" customHeight="1">
      <c r="A83" s="1093"/>
      <c r="B83" s="1094"/>
      <c r="C83" s="1098" t="s">
        <v>2841</v>
      </c>
      <c r="D83" s="1126">
        <f>$L$4</f>
        <v>26.068376068376068</v>
      </c>
      <c r="E83" s="1094" t="s">
        <v>2806</v>
      </c>
      <c r="F83" s="867"/>
      <c r="G83" s="868"/>
      <c r="H83" s="867"/>
      <c r="I83" s="868"/>
      <c r="J83" s="1122">
        <v>1050</v>
      </c>
      <c r="K83" s="1102">
        <f t="shared" ref="K83:K94" si="18">SUM(D83*J83)</f>
        <v>27371.794871794871</v>
      </c>
      <c r="L83" s="1110">
        <f t="shared" si="17"/>
        <v>27371.794871794871</v>
      </c>
      <c r="M83" s="858"/>
      <c r="N83" s="1129"/>
    </row>
    <row r="84" spans="1:14" ht="15" customHeight="1">
      <c r="A84" s="1093"/>
      <c r="B84" s="1094"/>
      <c r="C84" s="1098" t="s">
        <v>2842</v>
      </c>
      <c r="D84" s="1126">
        <f>L4</f>
        <v>26.068376068376068</v>
      </c>
      <c r="E84" s="1094" t="s">
        <v>2806</v>
      </c>
      <c r="F84" s="867"/>
      <c r="G84" s="868"/>
      <c r="H84" s="867"/>
      <c r="I84" s="868"/>
      <c r="J84" s="1122">
        <v>0</v>
      </c>
      <c r="K84" s="1102">
        <f t="shared" si="18"/>
        <v>0</v>
      </c>
      <c r="L84" s="1110">
        <f t="shared" si="17"/>
        <v>0</v>
      </c>
      <c r="M84" s="858"/>
      <c r="N84" s="1129" t="s">
        <v>2843</v>
      </c>
    </row>
    <row r="85" spans="1:14" ht="15" customHeight="1">
      <c r="A85" s="1093"/>
      <c r="B85" s="1094"/>
      <c r="C85" s="1098" t="s">
        <v>2844</v>
      </c>
      <c r="D85" s="1126">
        <v>0</v>
      </c>
      <c r="E85" s="1094" t="s">
        <v>2845</v>
      </c>
      <c r="F85" s="867"/>
      <c r="G85" s="868"/>
      <c r="H85" s="867"/>
      <c r="I85" s="868"/>
      <c r="J85" s="1122">
        <v>0</v>
      </c>
      <c r="K85" s="1102">
        <f t="shared" si="18"/>
        <v>0</v>
      </c>
      <c r="L85" s="1110">
        <f t="shared" si="17"/>
        <v>0</v>
      </c>
      <c r="M85" s="858"/>
      <c r="N85" s="1128" t="s">
        <v>2846</v>
      </c>
    </row>
    <row r="86" spans="1:14" ht="15" customHeight="1">
      <c r="A86" s="1093"/>
      <c r="B86" s="1094"/>
      <c r="C86" s="1098" t="s">
        <v>2847</v>
      </c>
      <c r="D86" s="1126">
        <v>1</v>
      </c>
      <c r="E86" s="1094" t="s">
        <v>2818</v>
      </c>
      <c r="F86" s="867"/>
      <c r="G86" s="868"/>
      <c r="H86" s="867"/>
      <c r="I86" s="868"/>
      <c r="J86" s="1122">
        <v>3500</v>
      </c>
      <c r="K86" s="1102">
        <f t="shared" si="18"/>
        <v>3500</v>
      </c>
      <c r="L86" s="1110">
        <f t="shared" si="17"/>
        <v>3500</v>
      </c>
      <c r="M86" s="858"/>
      <c r="N86" s="1129" t="s">
        <v>2843</v>
      </c>
    </row>
    <row r="87" spans="1:14" ht="15" customHeight="1">
      <c r="A87" s="1093"/>
      <c r="B87" s="1094"/>
      <c r="C87" s="1098" t="s">
        <v>2848</v>
      </c>
      <c r="D87" s="1126">
        <f>L4</f>
        <v>26.068376068376068</v>
      </c>
      <c r="E87" s="1094" t="s">
        <v>2806</v>
      </c>
      <c r="F87" s="867"/>
      <c r="G87" s="868"/>
      <c r="H87" s="867"/>
      <c r="I87" s="868"/>
      <c r="J87" s="1122">
        <v>150</v>
      </c>
      <c r="K87" s="1102">
        <f t="shared" si="18"/>
        <v>3910.2564102564102</v>
      </c>
      <c r="L87" s="1110">
        <f t="shared" si="17"/>
        <v>3910.2564102564102</v>
      </c>
      <c r="M87" s="858"/>
      <c r="N87" s="1129"/>
    </row>
    <row r="88" spans="1:14" ht="15" customHeight="1">
      <c r="A88" s="1093"/>
      <c r="B88" s="1094"/>
      <c r="C88" s="1098" t="s">
        <v>2849</v>
      </c>
      <c r="D88" s="1077">
        <f>L4</f>
        <v>26.068376068376068</v>
      </c>
      <c r="E88" s="1094" t="s">
        <v>2806</v>
      </c>
      <c r="F88" s="867"/>
      <c r="G88" s="868"/>
      <c r="H88" s="867"/>
      <c r="I88" s="868"/>
      <c r="J88" s="1130">
        <f>410*10</f>
        <v>4100</v>
      </c>
      <c r="K88" s="1092">
        <f>SUM(D88*J88)</f>
        <v>106880.34188034188</v>
      </c>
      <c r="L88" s="1099">
        <f t="shared" si="17"/>
        <v>106880.34188034188</v>
      </c>
      <c r="M88" s="858"/>
      <c r="N88" s="1131" t="s">
        <v>2850</v>
      </c>
    </row>
    <row r="89" spans="1:14" ht="15" customHeight="1">
      <c r="A89" s="1093"/>
      <c r="B89" s="1094"/>
      <c r="C89" s="1086" t="s">
        <v>2851</v>
      </c>
      <c r="D89" s="1077">
        <v>4</v>
      </c>
      <c r="E89" s="1085" t="s">
        <v>2803</v>
      </c>
      <c r="F89" s="867"/>
      <c r="G89" s="868"/>
      <c r="H89" s="867"/>
      <c r="I89" s="868"/>
      <c r="J89" s="1105">
        <v>100</v>
      </c>
      <c r="K89" s="1092">
        <f t="shared" ref="K89:K91" si="19">SUM(D89*J89)</f>
        <v>400</v>
      </c>
      <c r="L89" s="1099">
        <f t="shared" si="17"/>
        <v>400</v>
      </c>
      <c r="M89" s="858"/>
      <c r="N89" s="1096"/>
    </row>
    <row r="90" spans="1:14" ht="15" customHeight="1">
      <c r="A90" s="1093"/>
      <c r="B90" s="1094"/>
      <c r="C90" s="1098" t="s">
        <v>2852</v>
      </c>
      <c r="D90" s="1077">
        <v>26.1</v>
      </c>
      <c r="E90" s="1094" t="s">
        <v>2806</v>
      </c>
      <c r="F90" s="867"/>
      <c r="G90" s="868"/>
      <c r="H90" s="867"/>
      <c r="I90" s="868"/>
      <c r="J90" s="1105">
        <f>2*410</f>
        <v>820</v>
      </c>
      <c r="K90" s="1092">
        <f t="shared" si="19"/>
        <v>21402</v>
      </c>
      <c r="L90" s="1099">
        <f t="shared" si="17"/>
        <v>21402</v>
      </c>
      <c r="M90" s="858"/>
      <c r="N90" s="1096"/>
    </row>
    <row r="91" spans="1:14" ht="15" customHeight="1">
      <c r="A91" s="1093"/>
      <c r="B91" s="1094"/>
      <c r="C91" s="1086" t="s">
        <v>2853</v>
      </c>
      <c r="D91" s="1101">
        <v>1</v>
      </c>
      <c r="E91" s="1085" t="s">
        <v>2803</v>
      </c>
      <c r="F91" s="867"/>
      <c r="G91" s="868"/>
      <c r="H91" s="867"/>
      <c r="I91" s="868"/>
      <c r="J91" s="1105">
        <v>100</v>
      </c>
      <c r="K91" s="1092">
        <f t="shared" si="19"/>
        <v>100</v>
      </c>
      <c r="L91" s="1099">
        <f t="shared" si="17"/>
        <v>100</v>
      </c>
      <c r="M91" s="858"/>
      <c r="N91" s="1096"/>
    </row>
    <row r="92" spans="1:14" ht="15" customHeight="1">
      <c r="A92" s="1093"/>
      <c r="B92" s="1094"/>
      <c r="C92" s="1098" t="s">
        <v>2854</v>
      </c>
      <c r="D92" s="1126">
        <f>L4</f>
        <v>26.068376068376068</v>
      </c>
      <c r="E92" s="1094" t="s">
        <v>2806</v>
      </c>
      <c r="F92" s="867"/>
      <c r="G92" s="868"/>
      <c r="H92" s="867"/>
      <c r="I92" s="868"/>
      <c r="J92" s="1122">
        <v>500</v>
      </c>
      <c r="K92" s="1102">
        <f t="shared" si="18"/>
        <v>13034.188034188033</v>
      </c>
      <c r="L92" s="1110">
        <f t="shared" si="17"/>
        <v>13034.188034188033</v>
      </c>
      <c r="M92" s="858"/>
      <c r="N92" s="1129"/>
    </row>
    <row r="93" spans="1:14" ht="15" customHeight="1">
      <c r="A93" s="1093"/>
      <c r="B93" s="1094"/>
      <c r="C93" s="1098" t="s">
        <v>2855</v>
      </c>
      <c r="D93" s="1126">
        <v>0</v>
      </c>
      <c r="E93" s="1094" t="s">
        <v>2818</v>
      </c>
      <c r="F93" s="867"/>
      <c r="G93" s="868"/>
      <c r="H93" s="867"/>
      <c r="I93" s="868"/>
      <c r="J93" s="1122">
        <v>0</v>
      </c>
      <c r="K93" s="1102">
        <f t="shared" si="18"/>
        <v>0</v>
      </c>
      <c r="L93" s="1110">
        <f t="shared" si="17"/>
        <v>0</v>
      </c>
      <c r="M93" s="858"/>
      <c r="N93" s="1129"/>
    </row>
    <row r="94" spans="1:14" ht="15" customHeight="1" thickBot="1">
      <c r="A94" s="1093"/>
      <c r="B94" s="1094"/>
      <c r="C94" s="1098" t="s">
        <v>2856</v>
      </c>
      <c r="D94" s="1126">
        <f>L4</f>
        <v>26.068376068376068</v>
      </c>
      <c r="E94" s="1094" t="s">
        <v>2806</v>
      </c>
      <c r="F94" s="867"/>
      <c r="G94" s="868"/>
      <c r="H94" s="867"/>
      <c r="I94" s="868"/>
      <c r="J94" s="1109">
        <v>0</v>
      </c>
      <c r="K94" s="1102">
        <f t="shared" si="18"/>
        <v>0</v>
      </c>
      <c r="L94" s="1125">
        <f t="shared" si="17"/>
        <v>0</v>
      </c>
      <c r="M94" s="858"/>
      <c r="N94" s="1129"/>
    </row>
    <row r="95" spans="1:14" ht="15" customHeight="1" thickBot="1">
      <c r="A95" s="860"/>
      <c r="B95" s="861"/>
      <c r="C95" s="123" t="s">
        <v>2857</v>
      </c>
      <c r="D95" s="116"/>
      <c r="E95" s="117"/>
      <c r="F95" s="117"/>
      <c r="G95" s="117"/>
      <c r="H95" s="117"/>
      <c r="I95" s="117"/>
      <c r="J95" s="117"/>
      <c r="K95" s="117"/>
      <c r="L95" s="119">
        <f>SUM(L96:L99)</f>
        <v>397542.735042735</v>
      </c>
      <c r="M95" s="119"/>
      <c r="N95" s="119"/>
    </row>
    <row r="96" spans="1:14" ht="15" customHeight="1">
      <c r="A96" s="1093"/>
      <c r="B96" s="1094"/>
      <c r="C96" s="760" t="s">
        <v>2858</v>
      </c>
      <c r="D96" s="1101">
        <f>$L$4</f>
        <v>26.068376068376068</v>
      </c>
      <c r="E96" s="768" t="s">
        <v>2806</v>
      </c>
      <c r="F96" s="1108"/>
      <c r="G96" s="866"/>
      <c r="H96" s="1108"/>
      <c r="I96" s="866"/>
      <c r="J96" s="762">
        <v>750</v>
      </c>
      <c r="K96" s="763">
        <f>SUM(D96*J96)</f>
        <v>19551.282051282051</v>
      </c>
      <c r="L96" s="764">
        <f>SUM(G96+I96+K96)</f>
        <v>19551.282051282051</v>
      </c>
      <c r="M96" s="857"/>
      <c r="N96" s="767"/>
    </row>
    <row r="97" spans="1:14" ht="15" customHeight="1">
      <c r="A97" s="1093"/>
      <c r="B97" s="1094"/>
      <c r="C97" s="1098" t="s">
        <v>2859</v>
      </c>
      <c r="D97" s="1101">
        <f>$L$4</f>
        <v>26.068376068376068</v>
      </c>
      <c r="E97" s="1094" t="s">
        <v>2806</v>
      </c>
      <c r="F97" s="867"/>
      <c r="G97" s="868"/>
      <c r="H97" s="867"/>
      <c r="I97" s="868"/>
      <c r="J97" s="1109">
        <v>2500</v>
      </c>
      <c r="K97" s="1124">
        <f>SUM(D97*J97)</f>
        <v>65170.940170940172</v>
      </c>
      <c r="L97" s="1125">
        <f>SUM(G97+I97+K97)</f>
        <v>65170.940170940172</v>
      </c>
      <c r="M97" s="858"/>
      <c r="N97" s="132"/>
    </row>
    <row r="98" spans="1:14" ht="15" customHeight="1">
      <c r="A98" s="1093"/>
      <c r="B98" s="1094"/>
      <c r="C98" s="127" t="s">
        <v>2860</v>
      </c>
      <c r="D98" s="1101">
        <f>$L$4</f>
        <v>26.068376068376068</v>
      </c>
      <c r="E98" s="1094" t="s">
        <v>2806</v>
      </c>
      <c r="F98" s="867"/>
      <c r="G98" s="868"/>
      <c r="H98" s="867"/>
      <c r="I98" s="868"/>
      <c r="J98" s="129">
        <v>12000</v>
      </c>
      <c r="K98" s="1124">
        <f>SUM(D98*J98)</f>
        <v>312820.51282051281</v>
      </c>
      <c r="L98" s="1125">
        <f>SUM(G98+I98+K98)</f>
        <v>312820.51282051281</v>
      </c>
      <c r="M98" s="858"/>
      <c r="N98" s="132"/>
    </row>
    <row r="99" spans="1:14" ht="15" customHeight="1" thickBot="1">
      <c r="A99" s="1093"/>
      <c r="B99" s="1094"/>
      <c r="C99" s="1127" t="s">
        <v>2861</v>
      </c>
      <c r="D99" s="1132">
        <v>0</v>
      </c>
      <c r="E99" s="1115" t="s">
        <v>2818</v>
      </c>
      <c r="F99" s="873"/>
      <c r="G99" s="874"/>
      <c r="H99" s="873"/>
      <c r="I99" s="874"/>
      <c r="J99" s="1118">
        <v>1000</v>
      </c>
      <c r="K99" s="1133">
        <f>SUM(D99*J99)</f>
        <v>0</v>
      </c>
      <c r="L99" s="1119">
        <f>SUM(G99+I99+K99)</f>
        <v>0</v>
      </c>
      <c r="M99" s="859"/>
      <c r="N99" s="1134"/>
    </row>
    <row r="100" spans="1:14" ht="15" customHeight="1" thickBot="1">
      <c r="A100" s="860"/>
      <c r="B100" s="861"/>
      <c r="C100" s="123" t="s">
        <v>2862</v>
      </c>
      <c r="D100" s="116"/>
      <c r="E100" s="117"/>
      <c r="F100" s="117"/>
      <c r="G100" s="117"/>
      <c r="H100" s="117"/>
      <c r="I100" s="117"/>
      <c r="J100" s="117"/>
      <c r="K100" s="117"/>
      <c r="L100" s="119">
        <f>SUM(L101:L115)</f>
        <v>110815.47222222223</v>
      </c>
      <c r="M100" s="119"/>
      <c r="N100" s="119"/>
    </row>
    <row r="101" spans="1:14" ht="15" customHeight="1">
      <c r="A101" s="1093"/>
      <c r="B101" s="1094">
        <v>15000</v>
      </c>
      <c r="C101" s="1086" t="s">
        <v>2863</v>
      </c>
      <c r="D101" s="1077">
        <v>0</v>
      </c>
      <c r="E101" s="1085" t="s">
        <v>2864</v>
      </c>
      <c r="F101" s="1108"/>
      <c r="G101" s="866"/>
      <c r="H101" s="1108"/>
      <c r="I101" s="866"/>
      <c r="J101" s="1105">
        <v>8.3000000000000007</v>
      </c>
      <c r="K101" s="1092">
        <f>J101*D101</f>
        <v>0</v>
      </c>
      <c r="L101" s="1099">
        <f t="shared" ref="L101:L155" si="20">SUM(G101+I101+K101)</f>
        <v>0</v>
      </c>
      <c r="M101" s="857"/>
      <c r="N101" s="1081" t="s">
        <v>2865</v>
      </c>
    </row>
    <row r="102" spans="1:14" ht="15" customHeight="1">
      <c r="A102" s="1093"/>
      <c r="B102" s="1094"/>
      <c r="C102" s="1086" t="s">
        <v>2866</v>
      </c>
      <c r="D102" s="1135">
        <v>3055</v>
      </c>
      <c r="E102" s="1085" t="s">
        <v>2864</v>
      </c>
      <c r="F102" s="867"/>
      <c r="G102" s="868"/>
      <c r="H102" s="867"/>
      <c r="I102" s="868"/>
      <c r="J102" s="1105">
        <f>9.8*1.75</f>
        <v>17.150000000000002</v>
      </c>
      <c r="K102" s="1092">
        <f>J102*D102</f>
        <v>52393.250000000007</v>
      </c>
      <c r="L102" s="1099">
        <f t="shared" si="20"/>
        <v>52393.250000000007</v>
      </c>
      <c r="M102" s="858"/>
      <c r="N102" s="1081"/>
    </row>
    <row r="103" spans="1:14" ht="15" customHeight="1">
      <c r="A103" s="1093"/>
      <c r="B103" s="1094"/>
      <c r="C103" s="1086" t="s">
        <v>2867</v>
      </c>
      <c r="D103" s="1077">
        <v>0</v>
      </c>
      <c r="E103" s="1085" t="s">
        <v>2864</v>
      </c>
      <c r="F103" s="867"/>
      <c r="G103" s="868"/>
      <c r="H103" s="867"/>
      <c r="I103" s="868"/>
      <c r="J103" s="1122">
        <v>6.49</v>
      </c>
      <c r="K103" s="1102">
        <f>SUM(D103*J103)</f>
        <v>0</v>
      </c>
      <c r="L103" s="1110">
        <f t="shared" si="20"/>
        <v>0</v>
      </c>
      <c r="M103" s="858"/>
      <c r="N103" s="1081"/>
    </row>
    <row r="104" spans="1:14" ht="15" customHeight="1">
      <c r="A104" s="1093"/>
      <c r="B104" s="1094"/>
      <c r="C104" s="1086" t="s">
        <v>2868</v>
      </c>
      <c r="D104" s="1077">
        <v>0</v>
      </c>
      <c r="E104" s="1085" t="s">
        <v>2864</v>
      </c>
      <c r="F104" s="867"/>
      <c r="G104" s="868"/>
      <c r="H104" s="867"/>
      <c r="I104" s="868"/>
      <c r="J104" s="1122">
        <v>7.49</v>
      </c>
      <c r="K104" s="1102">
        <f>SUM(D104*J104)</f>
        <v>0</v>
      </c>
      <c r="L104" s="1110">
        <f t="shared" si="20"/>
        <v>0</v>
      </c>
      <c r="M104" s="858"/>
      <c r="N104" s="1081"/>
    </row>
    <row r="105" spans="1:14" ht="15" customHeight="1">
      <c r="A105" s="1093"/>
      <c r="B105" s="1094"/>
      <c r="C105" s="1086" t="s">
        <v>2869</v>
      </c>
      <c r="D105" s="1126">
        <v>1</v>
      </c>
      <c r="E105" s="1085" t="s">
        <v>2803</v>
      </c>
      <c r="F105" s="867"/>
      <c r="G105" s="868"/>
      <c r="H105" s="867"/>
      <c r="I105" s="868"/>
      <c r="J105" s="1122">
        <v>800</v>
      </c>
      <c r="K105" s="1102">
        <f>SUM(D105*J105)</f>
        <v>800</v>
      </c>
      <c r="L105" s="1110">
        <f t="shared" si="20"/>
        <v>800</v>
      </c>
      <c r="M105" s="858"/>
      <c r="N105" s="1081"/>
    </row>
    <row r="106" spans="1:14" ht="15" customHeight="1">
      <c r="A106" s="1093"/>
      <c r="B106" s="1094">
        <v>15000</v>
      </c>
      <c r="C106" s="1098" t="s">
        <v>2870</v>
      </c>
      <c r="D106" s="1126">
        <f>L4</f>
        <v>26.068376068376068</v>
      </c>
      <c r="E106" s="1094" t="s">
        <v>2806</v>
      </c>
      <c r="F106" s="867"/>
      <c r="G106" s="868"/>
      <c r="H106" s="867"/>
      <c r="I106" s="868"/>
      <c r="J106" s="1122">
        <v>150</v>
      </c>
      <c r="K106" s="1102">
        <f t="shared" ref="K106:K115" si="21">SUM(D106*J106)</f>
        <v>3910.2564102564102</v>
      </c>
      <c r="L106" s="1110">
        <f t="shared" si="20"/>
        <v>3910.2564102564102</v>
      </c>
      <c r="M106" s="858"/>
      <c r="N106" s="1103"/>
    </row>
    <row r="107" spans="1:14" ht="15" customHeight="1">
      <c r="A107" s="1093"/>
      <c r="B107" s="1094"/>
      <c r="C107" s="1098" t="s">
        <v>2871</v>
      </c>
      <c r="D107" s="1126">
        <v>26.1</v>
      </c>
      <c r="E107" s="1094" t="s">
        <v>2806</v>
      </c>
      <c r="F107" s="867"/>
      <c r="G107" s="868"/>
      <c r="H107" s="867"/>
      <c r="I107" s="868"/>
      <c r="J107" s="1122">
        <v>1500</v>
      </c>
      <c r="K107" s="1102">
        <f t="shared" si="21"/>
        <v>39150</v>
      </c>
      <c r="L107" s="1110">
        <f t="shared" si="20"/>
        <v>39150</v>
      </c>
      <c r="M107" s="858"/>
      <c r="N107" s="1129"/>
    </row>
    <row r="108" spans="1:14" ht="15" customHeight="1">
      <c r="A108" s="1093"/>
      <c r="B108" s="1094"/>
      <c r="C108" s="1098" t="s">
        <v>2872</v>
      </c>
      <c r="D108" s="1126">
        <v>1</v>
      </c>
      <c r="E108" s="1094" t="s">
        <v>2818</v>
      </c>
      <c r="F108" s="867"/>
      <c r="G108" s="868"/>
      <c r="H108" s="867"/>
      <c r="I108" s="868"/>
      <c r="J108" s="1105">
        <v>10000</v>
      </c>
      <c r="K108" s="1102">
        <f t="shared" si="21"/>
        <v>10000</v>
      </c>
      <c r="L108" s="1110">
        <f t="shared" si="20"/>
        <v>10000</v>
      </c>
      <c r="M108" s="858"/>
      <c r="N108" s="1112"/>
    </row>
    <row r="109" spans="1:14" ht="15" customHeight="1">
      <c r="A109" s="1093"/>
      <c r="B109" s="1094">
        <v>15000</v>
      </c>
      <c r="C109" s="1098" t="s">
        <v>2873</v>
      </c>
      <c r="D109" s="1126">
        <v>0</v>
      </c>
      <c r="E109" s="1094" t="s">
        <v>2818</v>
      </c>
      <c r="F109" s="867"/>
      <c r="G109" s="868"/>
      <c r="H109" s="867"/>
      <c r="I109" s="868"/>
      <c r="J109" s="1122">
        <v>5000</v>
      </c>
      <c r="K109" s="1102">
        <f t="shared" si="21"/>
        <v>0</v>
      </c>
      <c r="L109" s="1110">
        <f t="shared" si="20"/>
        <v>0</v>
      </c>
      <c r="M109" s="858"/>
      <c r="N109" s="1112"/>
    </row>
    <row r="110" spans="1:14" ht="15" customHeight="1">
      <c r="A110" s="1093"/>
      <c r="B110" s="1094"/>
      <c r="C110" s="1098" t="s">
        <v>2874</v>
      </c>
      <c r="D110" s="1126">
        <v>0</v>
      </c>
      <c r="E110" s="1094" t="s">
        <v>2818</v>
      </c>
      <c r="F110" s="867"/>
      <c r="G110" s="868"/>
      <c r="H110" s="867"/>
      <c r="I110" s="868"/>
      <c r="J110" s="1122">
        <v>0</v>
      </c>
      <c r="K110" s="1102">
        <f t="shared" si="21"/>
        <v>0</v>
      </c>
      <c r="L110" s="1110">
        <f t="shared" si="20"/>
        <v>0</v>
      </c>
      <c r="M110" s="858"/>
      <c r="N110" s="1112"/>
    </row>
    <row r="111" spans="1:14" ht="15" customHeight="1">
      <c r="A111" s="1093"/>
      <c r="B111" s="1094">
        <v>15000</v>
      </c>
      <c r="C111" s="1098" t="s">
        <v>2875</v>
      </c>
      <c r="D111" s="1126">
        <v>0</v>
      </c>
      <c r="E111" s="1094" t="s">
        <v>2818</v>
      </c>
      <c r="F111" s="867"/>
      <c r="G111" s="868"/>
      <c r="H111" s="867"/>
      <c r="I111" s="868"/>
      <c r="J111" s="1122">
        <v>5000</v>
      </c>
      <c r="K111" s="1102">
        <f t="shared" si="21"/>
        <v>0</v>
      </c>
      <c r="L111" s="1110">
        <f t="shared" si="20"/>
        <v>0</v>
      </c>
      <c r="M111" s="858"/>
      <c r="N111" s="1112"/>
    </row>
    <row r="112" spans="1:14" ht="15" customHeight="1">
      <c r="A112" s="1093"/>
      <c r="B112" s="1094">
        <v>15000</v>
      </c>
      <c r="C112" s="1098" t="s">
        <v>2876</v>
      </c>
      <c r="D112" s="1126">
        <v>0</v>
      </c>
      <c r="E112" s="1094" t="s">
        <v>2818</v>
      </c>
      <c r="F112" s="867"/>
      <c r="G112" s="868"/>
      <c r="H112" s="867"/>
      <c r="I112" s="868"/>
      <c r="J112" s="1122">
        <v>5000</v>
      </c>
      <c r="K112" s="1102">
        <f t="shared" si="21"/>
        <v>0</v>
      </c>
      <c r="L112" s="1110">
        <f t="shared" si="20"/>
        <v>0</v>
      </c>
      <c r="M112" s="858"/>
      <c r="N112" s="1112"/>
    </row>
    <row r="113" spans="1:14" ht="15" customHeight="1">
      <c r="A113" s="1093"/>
      <c r="B113" s="1094"/>
      <c r="C113" s="1098" t="s">
        <v>2877</v>
      </c>
      <c r="D113" s="1101">
        <f>L4</f>
        <v>26.068376068376068</v>
      </c>
      <c r="E113" s="1094" t="s">
        <v>2806</v>
      </c>
      <c r="F113" s="867"/>
      <c r="G113" s="868"/>
      <c r="H113" s="867"/>
      <c r="I113" s="868"/>
      <c r="J113" s="1122">
        <v>125</v>
      </c>
      <c r="K113" s="1102">
        <f t="shared" si="21"/>
        <v>3258.5470085470083</v>
      </c>
      <c r="L113" s="1110">
        <f t="shared" si="20"/>
        <v>3258.5470085470083</v>
      </c>
      <c r="M113" s="858"/>
      <c r="N113" s="1112"/>
    </row>
    <row r="114" spans="1:14" ht="15" customHeight="1">
      <c r="A114" s="1093"/>
      <c r="B114" s="1094"/>
      <c r="C114" s="1098" t="s">
        <v>2878</v>
      </c>
      <c r="D114" s="1101">
        <f>L4</f>
        <v>26.068376068376068</v>
      </c>
      <c r="E114" s="1094" t="s">
        <v>2806</v>
      </c>
      <c r="F114" s="867"/>
      <c r="G114" s="868"/>
      <c r="H114" s="867"/>
      <c r="I114" s="868"/>
      <c r="J114" s="1109">
        <v>50</v>
      </c>
      <c r="K114" s="1102">
        <f t="shared" si="21"/>
        <v>1303.4188034188035</v>
      </c>
      <c r="L114" s="1125">
        <f t="shared" si="20"/>
        <v>1303.4188034188035</v>
      </c>
      <c r="M114" s="858"/>
      <c r="N114" s="1112"/>
    </row>
    <row r="115" spans="1:14" ht="15" customHeight="1" thickBot="1">
      <c r="A115" s="1093"/>
      <c r="B115" s="1094"/>
      <c r="C115" s="1127" t="s">
        <v>2879</v>
      </c>
      <c r="D115" s="1136">
        <v>0</v>
      </c>
      <c r="E115" s="1115" t="s">
        <v>2803</v>
      </c>
      <c r="F115" s="873"/>
      <c r="G115" s="874"/>
      <c r="H115" s="873"/>
      <c r="I115" s="874"/>
      <c r="J115" s="125">
        <v>0</v>
      </c>
      <c r="K115" s="1102">
        <f t="shared" si="21"/>
        <v>0</v>
      </c>
      <c r="L115" s="122">
        <f t="shared" si="20"/>
        <v>0</v>
      </c>
      <c r="M115" s="859"/>
      <c r="N115" s="1134"/>
    </row>
    <row r="116" spans="1:14" ht="15" customHeight="1" thickBot="1">
      <c r="A116" s="860"/>
      <c r="B116" s="861"/>
      <c r="C116" s="123" t="s">
        <v>2880</v>
      </c>
      <c r="D116" s="116"/>
      <c r="E116" s="117"/>
      <c r="F116" s="117"/>
      <c r="G116" s="117"/>
      <c r="H116" s="117"/>
      <c r="I116" s="117"/>
      <c r="J116" s="117"/>
      <c r="K116" s="117"/>
      <c r="L116" s="119">
        <f>SUM(L117:L122)</f>
        <v>272881.42857142858</v>
      </c>
      <c r="M116" s="119"/>
      <c r="N116" s="119"/>
    </row>
    <row r="117" spans="1:14" ht="15" customHeight="1">
      <c r="A117" s="769"/>
      <c r="B117" s="768"/>
      <c r="C117" s="770" t="s">
        <v>2881</v>
      </c>
      <c r="D117" s="128"/>
      <c r="E117" s="768" t="s">
        <v>2782</v>
      </c>
      <c r="F117" s="1108"/>
      <c r="G117" s="866"/>
      <c r="H117" s="1108"/>
      <c r="I117" s="866"/>
      <c r="J117" s="771">
        <v>350</v>
      </c>
      <c r="K117" s="772">
        <f t="shared" ref="K117:K122" si="22">SUM(D117*J117)</f>
        <v>0</v>
      </c>
      <c r="L117" s="773">
        <f t="shared" si="20"/>
        <v>0</v>
      </c>
      <c r="M117" s="857"/>
      <c r="N117" s="774"/>
    </row>
    <row r="118" spans="1:14" ht="15" customHeight="1" thickBot="1">
      <c r="A118" s="1093"/>
      <c r="B118" s="1094"/>
      <c r="C118" s="1098" t="s">
        <v>2882</v>
      </c>
      <c r="D118" s="1137"/>
      <c r="E118" s="1094" t="s">
        <v>2782</v>
      </c>
      <c r="F118" s="867"/>
      <c r="G118" s="868"/>
      <c r="H118" s="867"/>
      <c r="I118" s="868"/>
      <c r="J118" s="1109">
        <v>400</v>
      </c>
      <c r="K118" s="1124">
        <f t="shared" si="22"/>
        <v>0</v>
      </c>
      <c r="L118" s="1125">
        <f>SUM(G118+I118+K118)</f>
        <v>0</v>
      </c>
      <c r="M118" s="858"/>
      <c r="N118" s="650"/>
    </row>
    <row r="119" spans="1:14" ht="15" customHeight="1">
      <c r="A119" s="1084"/>
      <c r="B119" s="1085"/>
      <c r="C119" s="1086" t="s">
        <v>2883</v>
      </c>
      <c r="D119" s="1101">
        <f>K4</f>
        <v>113.28571428571429</v>
      </c>
      <c r="E119" s="1085" t="s">
        <v>2782</v>
      </c>
      <c r="F119" s="867"/>
      <c r="G119" s="868"/>
      <c r="H119" s="867"/>
      <c r="I119" s="868"/>
      <c r="J119" s="1122">
        <v>750</v>
      </c>
      <c r="K119" s="1102">
        <f t="shared" si="22"/>
        <v>84964.285714285725</v>
      </c>
      <c r="L119" s="1110">
        <f>SUM(G119+I119+K119)</f>
        <v>84964.285714285725</v>
      </c>
      <c r="M119" s="858"/>
      <c r="N119" s="775" t="s">
        <v>2884</v>
      </c>
    </row>
    <row r="120" spans="1:14" ht="15" customHeight="1">
      <c r="A120" s="1093"/>
      <c r="B120" s="1094"/>
      <c r="C120" s="1098" t="s">
        <v>2885</v>
      </c>
      <c r="D120" s="1101">
        <f>K4</f>
        <v>113.28571428571429</v>
      </c>
      <c r="E120" s="1094" t="s">
        <v>2782</v>
      </c>
      <c r="F120" s="867"/>
      <c r="G120" s="868"/>
      <c r="H120" s="867"/>
      <c r="I120" s="868"/>
      <c r="J120" s="1109">
        <v>0</v>
      </c>
      <c r="K120" s="1102">
        <f t="shared" si="22"/>
        <v>0</v>
      </c>
      <c r="L120" s="1110">
        <f t="shared" si="20"/>
        <v>0</v>
      </c>
      <c r="M120" s="858"/>
      <c r="N120" s="1129"/>
    </row>
    <row r="121" spans="1:14" ht="15" customHeight="1">
      <c r="A121" s="1093"/>
      <c r="B121" s="1094">
        <v>17300</v>
      </c>
      <c r="C121" s="1098" t="s">
        <v>2886</v>
      </c>
      <c r="D121" s="1101">
        <f>K4</f>
        <v>113.28571428571429</v>
      </c>
      <c r="E121" s="1094" t="s">
        <v>2782</v>
      </c>
      <c r="F121" s="867"/>
      <c r="G121" s="868"/>
      <c r="H121" s="867"/>
      <c r="I121" s="868"/>
      <c r="J121" s="1109">
        <f>65*16</f>
        <v>1040</v>
      </c>
      <c r="K121" s="1102">
        <f t="shared" si="22"/>
        <v>117817.14285714287</v>
      </c>
      <c r="L121" s="1110">
        <f t="shared" si="20"/>
        <v>117817.14285714287</v>
      </c>
      <c r="M121" s="858"/>
      <c r="N121" s="1129"/>
    </row>
    <row r="122" spans="1:14" ht="15" customHeight="1" thickBot="1">
      <c r="A122" s="1114"/>
      <c r="B122" s="1115"/>
      <c r="C122" s="1127" t="s">
        <v>2887</v>
      </c>
      <c r="D122" s="579">
        <v>70100</v>
      </c>
      <c r="E122" s="1115" t="s">
        <v>2845</v>
      </c>
      <c r="F122" s="873"/>
      <c r="G122" s="874"/>
      <c r="H122" s="873"/>
      <c r="I122" s="874"/>
      <c r="J122" s="1138">
        <v>1</v>
      </c>
      <c r="K122" s="114">
        <f t="shared" si="22"/>
        <v>70100</v>
      </c>
      <c r="L122" s="1119">
        <f>SUM(G122+I122+K122)</f>
        <v>70100</v>
      </c>
      <c r="M122" s="859"/>
      <c r="N122" s="1139"/>
    </row>
    <row r="123" spans="1:14" ht="15" customHeight="1" thickBot="1">
      <c r="A123" s="860"/>
      <c r="B123" s="861"/>
      <c r="C123" s="123" t="s">
        <v>2888</v>
      </c>
      <c r="D123" s="116"/>
      <c r="E123" s="117"/>
      <c r="F123" s="117"/>
      <c r="G123" s="117"/>
      <c r="H123" s="117"/>
      <c r="I123" s="117"/>
      <c r="J123" s="117"/>
      <c r="K123" s="117"/>
      <c r="L123" s="119">
        <f>SUM(L124:L131)</f>
        <v>72200</v>
      </c>
      <c r="M123" s="119"/>
      <c r="N123" s="119"/>
    </row>
    <row r="124" spans="1:14" ht="15" customHeight="1">
      <c r="A124" s="1093"/>
      <c r="B124" s="1094">
        <v>13200</v>
      </c>
      <c r="C124" s="1098" t="s">
        <v>2889</v>
      </c>
      <c r="D124" s="1077">
        <v>1</v>
      </c>
      <c r="E124" s="1094" t="s">
        <v>2818</v>
      </c>
      <c r="F124" s="867"/>
      <c r="G124" s="868"/>
      <c r="H124" s="867"/>
      <c r="I124" s="868"/>
      <c r="J124" s="1087">
        <v>10000</v>
      </c>
      <c r="K124" s="1092">
        <f t="shared" ref="K124:K131" si="23">SUM(D124*J124)</f>
        <v>10000</v>
      </c>
      <c r="L124" s="1099">
        <f>SUM(G124+I124+K124)</f>
        <v>10000</v>
      </c>
      <c r="M124" s="858"/>
      <c r="N124" s="1140" t="s">
        <v>2890</v>
      </c>
    </row>
    <row r="125" spans="1:14" ht="15" customHeight="1">
      <c r="A125" s="1093"/>
      <c r="B125" s="1094">
        <v>13200</v>
      </c>
      <c r="C125" s="1098" t="s">
        <v>2891</v>
      </c>
      <c r="D125" s="1077">
        <v>26.1</v>
      </c>
      <c r="E125" s="1094" t="s">
        <v>2806</v>
      </c>
      <c r="F125" s="867"/>
      <c r="G125" s="868"/>
      <c r="H125" s="867"/>
      <c r="I125" s="868"/>
      <c r="J125" s="1087">
        <v>1650</v>
      </c>
      <c r="K125" s="1141">
        <f t="shared" si="23"/>
        <v>43065</v>
      </c>
      <c r="L125" s="1099">
        <f>SUM(G125+I125+K125)</f>
        <v>43065</v>
      </c>
      <c r="M125" s="858"/>
      <c r="N125" s="1140" t="s">
        <v>2892</v>
      </c>
    </row>
    <row r="126" spans="1:14" ht="15" customHeight="1">
      <c r="A126" s="1093"/>
      <c r="B126" s="1094">
        <v>13200</v>
      </c>
      <c r="C126" s="1098" t="s">
        <v>2893</v>
      </c>
      <c r="D126" s="1077">
        <f>L7</f>
        <v>0</v>
      </c>
      <c r="E126" s="1094" t="s">
        <v>2806</v>
      </c>
      <c r="F126" s="867"/>
      <c r="G126" s="868"/>
      <c r="H126" s="867"/>
      <c r="I126" s="868"/>
      <c r="J126" s="1087">
        <v>300</v>
      </c>
      <c r="K126" s="1092">
        <f t="shared" si="23"/>
        <v>0</v>
      </c>
      <c r="L126" s="1099">
        <f>SUM(G126+I126+K126)</f>
        <v>0</v>
      </c>
      <c r="M126" s="858"/>
      <c r="N126" s="1140" t="s">
        <v>2894</v>
      </c>
    </row>
    <row r="127" spans="1:14" ht="15" customHeight="1">
      <c r="A127" s="1093"/>
      <c r="B127" s="1094">
        <v>13233</v>
      </c>
      <c r="C127" s="1098" t="s">
        <v>2895</v>
      </c>
      <c r="D127" s="1101">
        <v>26.1</v>
      </c>
      <c r="E127" s="1094" t="s">
        <v>2806</v>
      </c>
      <c r="F127" s="867"/>
      <c r="G127" s="868"/>
      <c r="H127" s="867"/>
      <c r="I127" s="868"/>
      <c r="J127" s="1109">
        <v>100</v>
      </c>
      <c r="K127" s="1102">
        <f t="shared" si="23"/>
        <v>2610</v>
      </c>
      <c r="L127" s="1110">
        <f t="shared" si="20"/>
        <v>2610</v>
      </c>
      <c r="M127" s="858"/>
      <c r="N127" s="1129" t="s">
        <v>2896</v>
      </c>
    </row>
    <row r="128" spans="1:14" ht="15" customHeight="1">
      <c r="A128" s="1093"/>
      <c r="B128" s="1094">
        <v>13233</v>
      </c>
      <c r="C128" s="1098" t="s">
        <v>2897</v>
      </c>
      <c r="D128" s="1101">
        <v>26.1</v>
      </c>
      <c r="E128" s="1094" t="s">
        <v>2806</v>
      </c>
      <c r="F128" s="867"/>
      <c r="G128" s="868"/>
      <c r="H128" s="867"/>
      <c r="I128" s="868"/>
      <c r="J128" s="1109">
        <v>250</v>
      </c>
      <c r="K128" s="1102">
        <f t="shared" si="23"/>
        <v>6525</v>
      </c>
      <c r="L128" s="1125">
        <f t="shared" si="20"/>
        <v>6525</v>
      </c>
      <c r="M128" s="858"/>
      <c r="N128" s="1129" t="s">
        <v>2896</v>
      </c>
    </row>
    <row r="129" spans="1:14" ht="15" customHeight="1">
      <c r="A129" s="1093"/>
      <c r="B129" s="1094"/>
      <c r="C129" s="1098" t="s">
        <v>2898</v>
      </c>
      <c r="D129" s="1137">
        <v>1</v>
      </c>
      <c r="E129" s="1094" t="s">
        <v>2818</v>
      </c>
      <c r="F129" s="867"/>
      <c r="G129" s="868"/>
      <c r="H129" s="867"/>
      <c r="I129" s="868"/>
      <c r="J129" s="1122">
        <v>10000</v>
      </c>
      <c r="K129" s="1102">
        <f t="shared" si="23"/>
        <v>10000</v>
      </c>
      <c r="L129" s="1110">
        <f t="shared" si="20"/>
        <v>10000</v>
      </c>
      <c r="M129" s="858"/>
      <c r="N129" s="650"/>
    </row>
    <row r="130" spans="1:14" ht="15" customHeight="1">
      <c r="A130" s="1093"/>
      <c r="B130" s="1094">
        <v>13233</v>
      </c>
      <c r="C130" s="1086" t="s">
        <v>2899</v>
      </c>
      <c r="D130" s="1101">
        <v>0</v>
      </c>
      <c r="E130" s="1085" t="s">
        <v>2818</v>
      </c>
      <c r="F130" s="867"/>
      <c r="G130" s="868"/>
      <c r="H130" s="867"/>
      <c r="I130" s="868"/>
      <c r="J130" s="1109">
        <v>500</v>
      </c>
      <c r="K130" s="1102">
        <f t="shared" si="23"/>
        <v>0</v>
      </c>
      <c r="L130" s="1125">
        <f t="shared" si="20"/>
        <v>0</v>
      </c>
      <c r="M130" s="858"/>
      <c r="N130" s="650"/>
    </row>
    <row r="131" spans="1:14" ht="15" customHeight="1" thickBot="1">
      <c r="A131" s="1093"/>
      <c r="B131" s="1094"/>
      <c r="C131" s="648" t="s">
        <v>2900</v>
      </c>
      <c r="D131" s="128">
        <v>0</v>
      </c>
      <c r="E131" s="613" t="s">
        <v>2818</v>
      </c>
      <c r="F131" s="873"/>
      <c r="G131" s="874"/>
      <c r="H131" s="873"/>
      <c r="I131" s="874"/>
      <c r="J131" s="129">
        <v>0</v>
      </c>
      <c r="K131" s="1102">
        <f t="shared" si="23"/>
        <v>0</v>
      </c>
      <c r="L131" s="131">
        <f t="shared" si="20"/>
        <v>0</v>
      </c>
      <c r="M131" s="859"/>
      <c r="N131" s="650"/>
    </row>
    <row r="132" spans="1:14" ht="15" customHeight="1" thickBot="1">
      <c r="A132" s="860"/>
      <c r="B132" s="861"/>
      <c r="C132" s="123" t="s">
        <v>2901</v>
      </c>
      <c r="D132" s="116"/>
      <c r="E132" s="117"/>
      <c r="F132" s="117"/>
      <c r="G132" s="117"/>
      <c r="H132" s="117"/>
      <c r="I132" s="117"/>
      <c r="J132" s="117"/>
      <c r="K132" s="117"/>
      <c r="L132" s="119">
        <f>SUM(L133:L137)</f>
        <v>21410.256410256407</v>
      </c>
      <c r="M132" s="119"/>
      <c r="N132" s="119"/>
    </row>
    <row r="133" spans="1:14" ht="15" customHeight="1">
      <c r="A133" s="1093"/>
      <c r="B133" s="1094"/>
      <c r="C133" s="1086" t="s">
        <v>2902</v>
      </c>
      <c r="D133" s="1101">
        <v>1</v>
      </c>
      <c r="E133" s="1085" t="s">
        <v>2818</v>
      </c>
      <c r="F133" s="1108"/>
      <c r="G133" s="866"/>
      <c r="H133" s="1108"/>
      <c r="I133" s="866"/>
      <c r="J133" s="1109">
        <v>0</v>
      </c>
      <c r="K133" s="1102">
        <f>SUM(D133*J133)</f>
        <v>0</v>
      </c>
      <c r="L133" s="1110">
        <f t="shared" si="20"/>
        <v>0</v>
      </c>
      <c r="M133" s="857"/>
      <c r="N133" s="1103"/>
    </row>
    <row r="134" spans="1:14" ht="15" customHeight="1">
      <c r="A134" s="1093"/>
      <c r="B134" s="1094">
        <v>10550</v>
      </c>
      <c r="C134" s="1098" t="s">
        <v>2903</v>
      </c>
      <c r="D134" s="1101">
        <v>1</v>
      </c>
      <c r="E134" s="1094" t="s">
        <v>2818</v>
      </c>
      <c r="F134" s="867"/>
      <c r="G134" s="868"/>
      <c r="H134" s="1142"/>
      <c r="I134" s="1143"/>
      <c r="J134" s="1109">
        <v>2500</v>
      </c>
      <c r="K134" s="1102">
        <f>SUM(D134*J134)</f>
        <v>2500</v>
      </c>
      <c r="L134" s="1110">
        <f t="shared" si="20"/>
        <v>2500</v>
      </c>
      <c r="M134" s="858"/>
      <c r="N134" s="1112"/>
    </row>
    <row r="135" spans="1:14" ht="15" customHeight="1">
      <c r="A135" s="1093"/>
      <c r="B135" s="1094"/>
      <c r="C135" s="1098" t="s">
        <v>2904</v>
      </c>
      <c r="D135" s="1101">
        <v>1</v>
      </c>
      <c r="E135" s="1094" t="s">
        <v>2818</v>
      </c>
      <c r="F135" s="867"/>
      <c r="G135" s="868"/>
      <c r="H135" s="1109">
        <v>15000</v>
      </c>
      <c r="I135" s="1102">
        <f>SUM(D135*H135)</f>
        <v>15000</v>
      </c>
      <c r="J135" s="875"/>
      <c r="K135" s="876"/>
      <c r="L135" s="1110">
        <f t="shared" si="20"/>
        <v>15000</v>
      </c>
      <c r="M135" s="858"/>
      <c r="N135" s="1112"/>
    </row>
    <row r="136" spans="1:14" ht="15" customHeight="1">
      <c r="A136" s="1093"/>
      <c r="B136" s="1094"/>
      <c r="C136" s="1098" t="s">
        <v>2905</v>
      </c>
      <c r="D136" s="1101">
        <f>$L$4</f>
        <v>26.068376068376068</v>
      </c>
      <c r="E136" s="1094" t="s">
        <v>2806</v>
      </c>
      <c r="F136" s="867"/>
      <c r="G136" s="868"/>
      <c r="H136" s="1109">
        <v>75</v>
      </c>
      <c r="I136" s="1102">
        <f>SUM(D136*H136)</f>
        <v>1955.1282051282051</v>
      </c>
      <c r="J136" s="867"/>
      <c r="K136" s="868"/>
      <c r="L136" s="1125">
        <f t="shared" si="20"/>
        <v>1955.1282051282051</v>
      </c>
      <c r="M136" s="858"/>
      <c r="N136" s="1112"/>
    </row>
    <row r="137" spans="1:14" ht="15" customHeight="1" thickBot="1">
      <c r="A137" s="1093"/>
      <c r="B137" s="1094"/>
      <c r="C137" s="648" t="s">
        <v>2906</v>
      </c>
      <c r="D137" s="1101">
        <f>$L$4</f>
        <v>26.068376068376068</v>
      </c>
      <c r="E137" s="613" t="s">
        <v>2806</v>
      </c>
      <c r="F137" s="873"/>
      <c r="G137" s="874"/>
      <c r="H137" s="129">
        <v>75</v>
      </c>
      <c r="I137" s="1102">
        <f>SUM(D137*H137)</f>
        <v>1955.1282051282051</v>
      </c>
      <c r="J137" s="873"/>
      <c r="K137" s="874"/>
      <c r="L137" s="131">
        <f t="shared" si="20"/>
        <v>1955.1282051282051</v>
      </c>
      <c r="M137" s="859"/>
      <c r="N137" s="651"/>
    </row>
    <row r="138" spans="1:14" ht="15" customHeight="1" thickBot="1">
      <c r="A138" s="860"/>
      <c r="B138" s="861"/>
      <c r="C138" s="123" t="s">
        <v>2907</v>
      </c>
      <c r="D138" s="116"/>
      <c r="E138" s="117"/>
      <c r="F138" s="117"/>
      <c r="G138" s="117"/>
      <c r="H138" s="117"/>
      <c r="I138" s="117"/>
      <c r="J138" s="117"/>
      <c r="K138" s="117"/>
      <c r="L138" s="119">
        <f>SUM(L139:L141)</f>
        <v>0</v>
      </c>
      <c r="M138" s="119"/>
      <c r="N138" s="119"/>
    </row>
    <row r="139" spans="1:14" ht="15" customHeight="1">
      <c r="A139" s="1093"/>
      <c r="B139" s="1094"/>
      <c r="C139" s="1098" t="s">
        <v>2908</v>
      </c>
      <c r="D139" s="1126">
        <v>0</v>
      </c>
      <c r="E139" s="1094" t="s">
        <v>2818</v>
      </c>
      <c r="F139" s="867"/>
      <c r="G139" s="868"/>
      <c r="H139" s="867"/>
      <c r="I139" s="868"/>
      <c r="J139" s="1109">
        <v>0</v>
      </c>
      <c r="K139" s="1102">
        <f>SUM(D139*J139)</f>
        <v>0</v>
      </c>
      <c r="L139" s="1110">
        <f t="shared" si="20"/>
        <v>0</v>
      </c>
      <c r="M139" s="857"/>
      <c r="N139" s="1129" t="s">
        <v>2909</v>
      </c>
    </row>
    <row r="140" spans="1:14" ht="15" customHeight="1">
      <c r="A140" s="1093"/>
      <c r="B140" s="1094"/>
      <c r="C140" s="1098" t="s">
        <v>2910</v>
      </c>
      <c r="D140" s="1144">
        <v>0</v>
      </c>
      <c r="E140" s="1094" t="s">
        <v>2803</v>
      </c>
      <c r="F140" s="867"/>
      <c r="G140" s="868"/>
      <c r="H140" s="867"/>
      <c r="I140" s="868"/>
      <c r="J140" s="1109">
        <v>0</v>
      </c>
      <c r="K140" s="1102">
        <f>SUM(D140*J140)</f>
        <v>0</v>
      </c>
      <c r="L140" s="1125">
        <f t="shared" si="20"/>
        <v>0</v>
      </c>
      <c r="M140" s="858"/>
      <c r="N140" s="1129" t="s">
        <v>2909</v>
      </c>
    </row>
    <row r="141" spans="1:14" ht="15" customHeight="1" thickBot="1">
      <c r="A141" s="1093"/>
      <c r="B141" s="1094"/>
      <c r="C141" s="648" t="s">
        <v>2911</v>
      </c>
      <c r="D141" s="133">
        <v>0</v>
      </c>
      <c r="E141" s="134" t="s">
        <v>2818</v>
      </c>
      <c r="F141" s="873"/>
      <c r="G141" s="874"/>
      <c r="H141" s="873"/>
      <c r="I141" s="874"/>
      <c r="J141" s="129">
        <v>0</v>
      </c>
      <c r="K141" s="1102">
        <f>SUM(D141*J141)</f>
        <v>0</v>
      </c>
      <c r="L141" s="131">
        <f t="shared" si="20"/>
        <v>0</v>
      </c>
      <c r="M141" s="859"/>
      <c r="N141" s="1129" t="s">
        <v>2909</v>
      </c>
    </row>
    <row r="142" spans="1:14" ht="15" customHeight="1" thickBot="1">
      <c r="A142" s="860"/>
      <c r="B142" s="861"/>
      <c r="C142" s="123" t="s">
        <v>2912</v>
      </c>
      <c r="D142" s="116"/>
      <c r="E142" s="117"/>
      <c r="F142" s="117"/>
      <c r="G142" s="117"/>
      <c r="H142" s="117"/>
      <c r="I142" s="117"/>
      <c r="J142" s="117"/>
      <c r="K142" s="117"/>
      <c r="L142" s="119">
        <f>SUM(L143:L146)</f>
        <v>0</v>
      </c>
      <c r="M142" s="119"/>
      <c r="N142" s="119"/>
    </row>
    <row r="143" spans="1:14" ht="15" customHeight="1">
      <c r="A143" s="748"/>
      <c r="B143" s="749"/>
      <c r="C143" s="760" t="s">
        <v>2913</v>
      </c>
      <c r="D143" s="776">
        <v>0</v>
      </c>
      <c r="E143" s="749" t="s">
        <v>2818</v>
      </c>
      <c r="F143" s="1108"/>
      <c r="G143" s="866"/>
      <c r="H143" s="1108"/>
      <c r="I143" s="866"/>
      <c r="J143" s="762">
        <v>0</v>
      </c>
      <c r="K143" s="763">
        <f>SUM(D143*J143)</f>
        <v>0</v>
      </c>
      <c r="L143" s="764">
        <f t="shared" si="20"/>
        <v>0</v>
      </c>
      <c r="M143" s="857"/>
      <c r="N143" s="777" t="s">
        <v>2909</v>
      </c>
    </row>
    <row r="144" spans="1:14" ht="15" customHeight="1">
      <c r="A144" s="1093"/>
      <c r="B144" s="1094"/>
      <c r="C144" s="1098" t="s">
        <v>2914</v>
      </c>
      <c r="D144" s="1126">
        <v>0</v>
      </c>
      <c r="E144" s="1094" t="s">
        <v>2818</v>
      </c>
      <c r="F144" s="867"/>
      <c r="G144" s="868"/>
      <c r="H144" s="867"/>
      <c r="I144" s="868"/>
      <c r="J144" s="1109">
        <v>0</v>
      </c>
      <c r="K144" s="1102">
        <f>SUM(D144*J144)</f>
        <v>0</v>
      </c>
      <c r="L144" s="1110">
        <f t="shared" si="20"/>
        <v>0</v>
      </c>
      <c r="M144" s="858"/>
      <c r="N144" s="1129" t="s">
        <v>2909</v>
      </c>
    </row>
    <row r="145" spans="1:130" ht="15" customHeight="1">
      <c r="A145" s="1093"/>
      <c r="B145" s="1094"/>
      <c r="C145" s="1098" t="s">
        <v>2915</v>
      </c>
      <c r="D145" s="1126">
        <v>0</v>
      </c>
      <c r="E145" s="1094" t="s">
        <v>2803</v>
      </c>
      <c r="F145" s="867"/>
      <c r="G145" s="868"/>
      <c r="H145" s="867"/>
      <c r="I145" s="868"/>
      <c r="J145" s="641">
        <v>0</v>
      </c>
      <c r="K145" s="1102">
        <f>SUM(D145*J145)</f>
        <v>0</v>
      </c>
      <c r="L145" s="1125">
        <f t="shared" si="20"/>
        <v>0</v>
      </c>
      <c r="M145" s="858"/>
      <c r="N145" s="1129" t="s">
        <v>2909</v>
      </c>
    </row>
    <row r="146" spans="1:130" ht="15" customHeight="1" thickBot="1">
      <c r="A146" s="1114"/>
      <c r="B146" s="1115"/>
      <c r="C146" s="1127" t="s">
        <v>2916</v>
      </c>
      <c r="D146" s="120">
        <v>0</v>
      </c>
      <c r="E146" s="1115" t="s">
        <v>2818</v>
      </c>
      <c r="F146" s="873"/>
      <c r="G146" s="874"/>
      <c r="H146" s="873"/>
      <c r="I146" s="874"/>
      <c r="J146" s="1118">
        <v>0</v>
      </c>
      <c r="K146" s="114">
        <f>SUM(D146*J146)</f>
        <v>0</v>
      </c>
      <c r="L146" s="122">
        <f t="shared" si="20"/>
        <v>0</v>
      </c>
      <c r="M146" s="859"/>
      <c r="N146" s="1139" t="s">
        <v>2909</v>
      </c>
    </row>
    <row r="147" spans="1:130" ht="15" customHeight="1" thickBot="1">
      <c r="A147" s="860"/>
      <c r="B147" s="861"/>
      <c r="C147" s="123" t="s">
        <v>2917</v>
      </c>
      <c r="D147" s="116"/>
      <c r="E147" s="117"/>
      <c r="F147" s="117"/>
      <c r="G147" s="117"/>
      <c r="H147" s="117"/>
      <c r="I147" s="117"/>
      <c r="J147" s="117"/>
      <c r="K147" s="117"/>
      <c r="L147" s="119">
        <f>SUM(L148:L151)</f>
        <v>0</v>
      </c>
      <c r="M147" s="119"/>
      <c r="N147" s="119"/>
    </row>
    <row r="148" spans="1:130" ht="15" customHeight="1">
      <c r="A148" s="748"/>
      <c r="B148" s="749"/>
      <c r="C148" s="760" t="s">
        <v>2918</v>
      </c>
      <c r="D148" s="776">
        <v>0</v>
      </c>
      <c r="E148" s="749" t="s">
        <v>2806</v>
      </c>
      <c r="F148" s="1108"/>
      <c r="G148" s="866"/>
      <c r="H148" s="1108"/>
      <c r="I148" s="866"/>
      <c r="J148" s="762">
        <v>0</v>
      </c>
      <c r="K148" s="763">
        <f>SUM(D148*J148)</f>
        <v>0</v>
      </c>
      <c r="L148" s="764">
        <f>SUM(G148+I148+K148)</f>
        <v>0</v>
      </c>
      <c r="M148" s="857"/>
      <c r="N148" s="777"/>
    </row>
    <row r="149" spans="1:130" ht="15" customHeight="1">
      <c r="A149" s="1093"/>
      <c r="B149" s="1094"/>
      <c r="C149" s="1098" t="s">
        <v>2919</v>
      </c>
      <c r="D149" s="1126">
        <v>0</v>
      </c>
      <c r="E149" s="1094" t="s">
        <v>2806</v>
      </c>
      <c r="F149" s="867"/>
      <c r="G149" s="868"/>
      <c r="H149" s="867"/>
      <c r="I149" s="868"/>
      <c r="J149" s="1109">
        <v>0</v>
      </c>
      <c r="K149" s="1102">
        <f>SUM(D149*J149)</f>
        <v>0</v>
      </c>
      <c r="L149" s="1110">
        <f>SUM(G149+I149+K149)</f>
        <v>0</v>
      </c>
      <c r="M149" s="858"/>
      <c r="N149" s="1129"/>
    </row>
    <row r="150" spans="1:130" ht="15" customHeight="1">
      <c r="A150" s="1093"/>
      <c r="B150" s="1094"/>
      <c r="C150" s="1098" t="s">
        <v>2920</v>
      </c>
      <c r="D150" s="1126">
        <v>0</v>
      </c>
      <c r="E150" s="1094" t="s">
        <v>2806</v>
      </c>
      <c r="F150" s="867"/>
      <c r="G150" s="868"/>
      <c r="H150" s="867"/>
      <c r="I150" s="868"/>
      <c r="J150" s="641">
        <v>0</v>
      </c>
      <c r="K150" s="1102">
        <f>SUM(D150*J150)</f>
        <v>0</v>
      </c>
      <c r="L150" s="1125">
        <f>SUM(G150+I150+K150)</f>
        <v>0</v>
      </c>
      <c r="M150" s="858"/>
      <c r="N150" s="1129"/>
    </row>
    <row r="151" spans="1:130" ht="15" customHeight="1" thickBot="1">
      <c r="A151" s="1114"/>
      <c r="B151" s="1115"/>
      <c r="C151" s="1127" t="s">
        <v>2921</v>
      </c>
      <c r="D151" s="120">
        <v>0</v>
      </c>
      <c r="E151" s="1094" t="s">
        <v>2806</v>
      </c>
      <c r="F151" s="873"/>
      <c r="G151" s="874"/>
      <c r="H151" s="873"/>
      <c r="I151" s="874"/>
      <c r="J151" s="1118">
        <v>0</v>
      </c>
      <c r="K151" s="114">
        <f>SUM(D151*J151)</f>
        <v>0</v>
      </c>
      <c r="L151" s="122">
        <f>SUM(G151+I151+K151)</f>
        <v>0</v>
      </c>
      <c r="M151" s="859"/>
      <c r="N151" s="1139"/>
    </row>
    <row r="152" spans="1:130" ht="15" customHeight="1" thickBot="1">
      <c r="A152" s="860"/>
      <c r="B152" s="861"/>
      <c r="C152" s="123" t="s">
        <v>2921</v>
      </c>
      <c r="D152" s="116"/>
      <c r="E152" s="117"/>
      <c r="F152" s="117"/>
      <c r="G152" s="117"/>
      <c r="H152" s="117"/>
      <c r="I152" s="117"/>
      <c r="J152" s="117"/>
      <c r="K152" s="117"/>
      <c r="L152" s="119">
        <f>SUM(L153:L155)</f>
        <v>0</v>
      </c>
      <c r="M152" s="119"/>
      <c r="N152" s="119"/>
    </row>
    <row r="153" spans="1:130" ht="15" customHeight="1">
      <c r="A153" s="1093"/>
      <c r="B153" s="1094"/>
      <c r="C153" s="1086" t="s">
        <v>2922</v>
      </c>
      <c r="D153" s="1101">
        <v>1</v>
      </c>
      <c r="E153" s="1085" t="s">
        <v>2803</v>
      </c>
      <c r="F153" s="1108"/>
      <c r="G153" s="866"/>
      <c r="H153" s="1108"/>
      <c r="I153" s="866"/>
      <c r="J153" s="1122">
        <v>0</v>
      </c>
      <c r="K153" s="1102">
        <f>SUM(D153*J153)</f>
        <v>0</v>
      </c>
      <c r="L153" s="1110">
        <f t="shared" si="20"/>
        <v>0</v>
      </c>
      <c r="M153" s="857"/>
      <c r="N153" s="1128"/>
    </row>
    <row r="154" spans="1:130" ht="15" customHeight="1">
      <c r="A154" s="1093"/>
      <c r="B154" s="1094"/>
      <c r="C154" s="1098" t="s">
        <v>2923</v>
      </c>
      <c r="D154" s="1101">
        <v>0</v>
      </c>
      <c r="E154" s="1094" t="s">
        <v>2818</v>
      </c>
      <c r="F154" s="867"/>
      <c r="G154" s="868"/>
      <c r="H154" s="867"/>
      <c r="I154" s="868"/>
      <c r="J154" s="1109">
        <v>0</v>
      </c>
      <c r="K154" s="1102">
        <f>SUM(D154*J154)</f>
        <v>0</v>
      </c>
      <c r="L154" s="1110">
        <f t="shared" si="20"/>
        <v>0</v>
      </c>
      <c r="M154" s="858"/>
      <c r="N154" s="1129"/>
    </row>
    <row r="155" spans="1:130" ht="15" customHeight="1" thickBot="1">
      <c r="A155" s="1093"/>
      <c r="B155" s="1094"/>
      <c r="C155" s="1098" t="s">
        <v>2924</v>
      </c>
      <c r="D155" s="1101">
        <v>0</v>
      </c>
      <c r="E155" s="1094" t="s">
        <v>2803</v>
      </c>
      <c r="F155" s="867"/>
      <c r="G155" s="868"/>
      <c r="H155" s="867"/>
      <c r="I155" s="868"/>
      <c r="J155" s="1109">
        <v>0</v>
      </c>
      <c r="K155" s="130">
        <f>SUM(D155*J155)</f>
        <v>0</v>
      </c>
      <c r="L155" s="131">
        <f t="shared" si="20"/>
        <v>0</v>
      </c>
      <c r="M155" s="858"/>
      <c r="N155" s="1129"/>
    </row>
    <row r="156" spans="1:130" s="99" customFormat="1" ht="15" customHeight="1" thickBot="1">
      <c r="A156" s="869"/>
      <c r="B156" s="870"/>
      <c r="C156" s="135" t="s">
        <v>2768</v>
      </c>
      <c r="D156" s="136"/>
      <c r="E156" s="137"/>
      <c r="F156" s="138"/>
      <c r="G156" s="139">
        <f>SUM(G10:G155)</f>
        <v>4359782.9821714275</v>
      </c>
      <c r="H156" s="138"/>
      <c r="I156" s="139">
        <f>SUM(I10:I155)</f>
        <v>266289.01709401706</v>
      </c>
      <c r="J156" s="138"/>
      <c r="K156" s="139">
        <f>SUM(K10:K155)</f>
        <v>1037538.2170329669</v>
      </c>
      <c r="L156" s="139">
        <f>SUM(L9:L155)/2</f>
        <v>5663610.2162984116</v>
      </c>
      <c r="M156" s="140"/>
      <c r="N156" s="140"/>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row>
    <row r="157" spans="1:130" s="99" customFormat="1" ht="15" customHeight="1" thickBot="1">
      <c r="A157" s="94"/>
      <c r="B157" s="94"/>
      <c r="C157" s="46"/>
      <c r="D157" s="141"/>
      <c r="E157" s="96"/>
      <c r="F157" s="142"/>
      <c r="G157" s="142"/>
      <c r="H157" s="142"/>
      <c r="I157" s="142"/>
      <c r="J157" s="142"/>
      <c r="K157" s="142"/>
      <c r="L157" s="142"/>
      <c r="M157" s="142"/>
      <c r="N157" s="71"/>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row>
    <row r="158" spans="1:130" s="99" customFormat="1" ht="15" customHeight="1" thickBot="1">
      <c r="A158" s="94"/>
      <c r="B158" s="94"/>
      <c r="C158" s="46"/>
      <c r="D158" s="141"/>
      <c r="E158" s="96"/>
      <c r="F158" s="142"/>
      <c r="G158" s="142"/>
      <c r="H158" s="142"/>
      <c r="I158" s="142"/>
      <c r="J158" s="871" t="s">
        <v>2925</v>
      </c>
      <c r="K158" s="872"/>
      <c r="L158" s="143">
        <f>G156</f>
        <v>4359782.9821714275</v>
      </c>
      <c r="M158" s="71"/>
      <c r="O158"/>
      <c r="P158"/>
    </row>
    <row r="159" spans="1:130" s="99" customFormat="1" ht="15" customHeight="1" thickBot="1">
      <c r="A159" s="94"/>
      <c r="B159" s="94"/>
      <c r="D159" s="141"/>
      <c r="E159" s="96"/>
      <c r="F159" s="142"/>
      <c r="G159" s="142"/>
      <c r="H159" s="142"/>
      <c r="I159" s="142"/>
      <c r="J159" s="862" t="s">
        <v>2926</v>
      </c>
      <c r="K159" s="863"/>
      <c r="L159" s="144">
        <f>I156+K156</f>
        <v>1303827.2341269839</v>
      </c>
      <c r="M159" s="71"/>
      <c r="O159"/>
      <c r="P159"/>
    </row>
    <row r="160" spans="1:130" s="99" customFormat="1" ht="15" customHeight="1" thickBot="1">
      <c r="A160" s="94"/>
      <c r="B160" s="94"/>
      <c r="D160" s="141"/>
      <c r="E160" s="96"/>
      <c r="F160" s="142"/>
      <c r="G160" s="142"/>
      <c r="H160" s="142"/>
      <c r="I160" s="142"/>
      <c r="J160" s="864" t="s">
        <v>2927</v>
      </c>
      <c r="K160" s="865"/>
      <c r="L160" s="145">
        <f>SUM(L158:L159)</f>
        <v>5663610.2162984116</v>
      </c>
      <c r="M160" s="71">
        <f>L160/L4</f>
        <v>217259.80173997185</v>
      </c>
      <c r="N160"/>
      <c r="O160"/>
      <c r="P160"/>
    </row>
    <row r="161" spans="1:16" s="99" customFormat="1" ht="15" customHeight="1">
      <c r="A161" s="94"/>
      <c r="B161" s="94"/>
      <c r="D161" s="141"/>
      <c r="E161" s="96"/>
      <c r="F161" s="142"/>
      <c r="G161" s="142"/>
      <c r="H161" s="142"/>
      <c r="I161" s="142"/>
      <c r="J161" s="142"/>
      <c r="K161" s="142"/>
      <c r="L161" s="142">
        <f>L156-L160</f>
        <v>0</v>
      </c>
      <c r="M161" s="71"/>
      <c r="N161" s="71"/>
      <c r="O161"/>
      <c r="P161"/>
    </row>
    <row r="162" spans="1:16" s="99" customFormat="1" ht="15" customHeight="1">
      <c r="A162" s="94"/>
      <c r="B162" s="94"/>
      <c r="D162" s="141"/>
      <c r="E162" s="96"/>
      <c r="F162" s="142"/>
      <c r="G162" s="142"/>
      <c r="H162" s="142"/>
      <c r="I162" s="142"/>
      <c r="J162" s="142"/>
      <c r="K162" s="142"/>
      <c r="L162" s="142"/>
      <c r="M162" s="142"/>
      <c r="N162" s="71"/>
      <c r="O162"/>
      <c r="P162"/>
    </row>
    <row r="163" spans="1:16" s="99" customFormat="1" ht="15" customHeight="1">
      <c r="A163" s="94"/>
      <c r="B163" s="94"/>
      <c r="D163" s="141"/>
      <c r="E163" s="96"/>
      <c r="F163" s="142"/>
      <c r="G163" s="142"/>
      <c r="H163" s="142"/>
      <c r="I163" s="142"/>
      <c r="J163" s="142"/>
      <c r="K163" s="142"/>
      <c r="L163" s="142"/>
      <c r="M163" s="142"/>
      <c r="N163" s="71"/>
      <c r="O163"/>
      <c r="P163"/>
    </row>
    <row r="164" spans="1:16" s="99" customFormat="1" ht="15" customHeight="1">
      <c r="A164" s="94"/>
      <c r="B164" s="94"/>
      <c r="D164" s="141"/>
      <c r="E164" s="96"/>
      <c r="F164" s="142"/>
      <c r="G164" s="142"/>
      <c r="H164" s="142"/>
      <c r="I164" s="142"/>
      <c r="J164" s="142"/>
      <c r="K164" s="142"/>
      <c r="L164" s="142"/>
      <c r="M164" s="142"/>
      <c r="N164" s="71"/>
      <c r="O164"/>
      <c r="P164"/>
    </row>
    <row r="165" spans="1:16" s="99" customFormat="1" ht="15" customHeight="1">
      <c r="A165" s="94"/>
      <c r="B165" s="94"/>
      <c r="D165" s="141"/>
      <c r="E165" s="96"/>
      <c r="F165" s="142"/>
      <c r="G165" s="142"/>
      <c r="H165" s="142"/>
      <c r="I165" s="142"/>
      <c r="J165" s="142"/>
      <c r="K165" s="142"/>
      <c r="L165" s="142"/>
      <c r="M165" s="142"/>
      <c r="N165" s="71"/>
      <c r="O165"/>
      <c r="P165"/>
    </row>
    <row r="166" spans="1:16" s="99" customFormat="1" ht="15" customHeight="1">
      <c r="A166" s="94"/>
      <c r="B166" s="94"/>
      <c r="D166" s="141"/>
      <c r="E166" s="96"/>
      <c r="F166" s="142"/>
      <c r="G166" s="142"/>
      <c r="H166" s="142"/>
      <c r="I166" s="142"/>
      <c r="J166" s="142"/>
      <c r="K166" s="142"/>
      <c r="L166" s="142"/>
      <c r="M166" s="142"/>
      <c r="N166" s="71"/>
      <c r="O166"/>
      <c r="P166"/>
    </row>
    <row r="167" spans="1:16" s="99" customFormat="1" ht="15" customHeight="1">
      <c r="A167" s="94"/>
      <c r="B167" s="94"/>
      <c r="D167" s="141"/>
      <c r="E167" s="96"/>
      <c r="F167" s="142"/>
      <c r="G167" s="142"/>
      <c r="H167" s="142"/>
      <c r="I167" s="142"/>
      <c r="J167" s="142"/>
      <c r="K167" s="142"/>
      <c r="L167" s="142"/>
      <c r="M167" s="142"/>
      <c r="N167" s="71"/>
      <c r="O167"/>
      <c r="P167"/>
    </row>
    <row r="168" spans="1:16" s="99" customFormat="1" ht="15" customHeight="1">
      <c r="A168" s="94"/>
      <c r="B168" s="94"/>
      <c r="D168" s="141"/>
      <c r="E168" s="96"/>
      <c r="F168" s="142"/>
      <c r="G168" s="142"/>
      <c r="H168" s="142"/>
      <c r="I168" s="142"/>
      <c r="J168" s="142"/>
      <c r="K168" s="142"/>
      <c r="L168" s="142"/>
      <c r="M168" s="142"/>
      <c r="N168" s="71"/>
      <c r="O168"/>
      <c r="P168"/>
    </row>
    <row r="169" spans="1:16" s="99" customFormat="1" ht="15" customHeight="1">
      <c r="A169" s="94"/>
      <c r="B169" s="94"/>
      <c r="D169" s="141"/>
      <c r="E169" s="96"/>
      <c r="F169" s="142"/>
      <c r="G169" s="142"/>
      <c r="H169" s="142"/>
      <c r="I169" s="142"/>
      <c r="J169" s="142"/>
      <c r="K169" s="142"/>
      <c r="L169" s="142"/>
      <c r="M169" s="142"/>
      <c r="N169" s="71"/>
      <c r="O169"/>
      <c r="P169"/>
    </row>
    <row r="170" spans="1:16" s="99" customFormat="1" ht="15" customHeight="1">
      <c r="A170" s="94"/>
      <c r="B170" s="94"/>
      <c r="D170" s="141"/>
      <c r="E170" s="96"/>
      <c r="F170" s="142"/>
      <c r="G170" s="142"/>
      <c r="H170" s="142"/>
      <c r="I170" s="142"/>
      <c r="J170" s="142"/>
      <c r="K170" s="142"/>
      <c r="L170" s="142"/>
      <c r="M170" s="142"/>
      <c r="N170" s="71"/>
      <c r="O170"/>
      <c r="P170"/>
    </row>
    <row r="171" spans="1:16" s="99" customFormat="1" ht="15" customHeight="1">
      <c r="A171" s="94"/>
      <c r="B171" s="94"/>
      <c r="D171" s="141"/>
      <c r="E171" s="96"/>
      <c r="F171" s="142"/>
      <c r="G171" s="142"/>
      <c r="H171" s="142"/>
      <c r="I171" s="142"/>
      <c r="J171" s="142"/>
      <c r="K171" s="142"/>
      <c r="L171" s="142"/>
      <c r="M171" s="142"/>
      <c r="N171" s="71"/>
      <c r="O171"/>
      <c r="P171"/>
    </row>
    <row r="172" spans="1:16" s="99" customFormat="1" ht="15" customHeight="1">
      <c r="A172" s="94"/>
      <c r="B172" s="94"/>
      <c r="D172" s="141"/>
      <c r="E172" s="96"/>
      <c r="F172" s="142"/>
      <c r="G172" s="142"/>
      <c r="H172" s="142"/>
      <c r="I172" s="142"/>
      <c r="J172" s="142"/>
      <c r="K172" s="142"/>
      <c r="L172" s="142"/>
      <c r="M172" s="142"/>
      <c r="N172" s="71"/>
      <c r="O172"/>
      <c r="P172"/>
    </row>
    <row r="173" spans="1:16" s="99" customFormat="1" ht="15" customHeight="1">
      <c r="A173" s="94"/>
      <c r="B173" s="94"/>
      <c r="D173" s="141"/>
      <c r="E173" s="96"/>
      <c r="F173" s="142"/>
      <c r="G173" s="142"/>
      <c r="H173" s="142"/>
      <c r="I173" s="142"/>
      <c r="J173" s="142"/>
      <c r="K173" s="142"/>
      <c r="L173" s="142"/>
      <c r="M173" s="142"/>
      <c r="N173" s="71"/>
      <c r="O173"/>
      <c r="P173"/>
    </row>
    <row r="174" spans="1:16" s="99" customFormat="1" ht="15" customHeight="1">
      <c r="A174" s="94"/>
      <c r="B174" s="94"/>
      <c r="D174" s="141"/>
      <c r="E174" s="96"/>
      <c r="F174" s="142"/>
      <c r="G174" s="142"/>
      <c r="H174" s="142"/>
      <c r="I174" s="142"/>
      <c r="J174" s="142"/>
      <c r="K174" s="142"/>
      <c r="L174" s="142"/>
      <c r="M174" s="142"/>
      <c r="N174" s="71"/>
      <c r="O174"/>
      <c r="P174"/>
    </row>
    <row r="175" spans="1:16" s="99" customFormat="1" ht="15" customHeight="1">
      <c r="A175" s="94"/>
      <c r="B175" s="94"/>
      <c r="D175" s="141"/>
      <c r="E175" s="96"/>
      <c r="F175" s="142"/>
      <c r="G175" s="142"/>
      <c r="H175" s="142"/>
      <c r="I175" s="142"/>
      <c r="J175" s="142"/>
      <c r="K175" s="142"/>
      <c r="L175" s="142"/>
      <c r="M175" s="142"/>
      <c r="N175" s="71"/>
      <c r="O175"/>
      <c r="P175"/>
    </row>
    <row r="176" spans="1:16" s="99" customFormat="1" ht="15" customHeight="1">
      <c r="A176" s="94"/>
      <c r="B176" s="94"/>
      <c r="D176" s="141"/>
      <c r="E176" s="96"/>
      <c r="F176" s="142"/>
      <c r="G176" s="142"/>
      <c r="H176" s="142"/>
      <c r="I176" s="142"/>
      <c r="J176" s="142"/>
      <c r="K176" s="142"/>
      <c r="L176" s="142"/>
      <c r="M176" s="142"/>
      <c r="N176" s="71"/>
      <c r="O176"/>
      <c r="P176"/>
    </row>
    <row r="177" spans="1:16" s="99" customFormat="1" ht="15" customHeight="1">
      <c r="A177" s="94"/>
      <c r="B177" s="94"/>
      <c r="D177" s="141"/>
      <c r="E177" s="96"/>
      <c r="F177" s="142"/>
      <c r="G177" s="142"/>
      <c r="H177" s="142"/>
      <c r="I177" s="142"/>
      <c r="J177" s="142"/>
      <c r="K177" s="142"/>
      <c r="L177" s="142"/>
      <c r="M177" s="142"/>
      <c r="N177" s="71"/>
      <c r="O177"/>
      <c r="P177"/>
    </row>
    <row r="178" spans="1:16" s="99" customFormat="1" ht="15" customHeight="1">
      <c r="A178" s="94"/>
      <c r="B178" s="94"/>
      <c r="D178" s="141"/>
      <c r="E178" s="96"/>
      <c r="F178" s="142"/>
      <c r="G178" s="142"/>
      <c r="H178" s="142"/>
      <c r="I178" s="142"/>
      <c r="J178" s="142"/>
      <c r="K178" s="142"/>
      <c r="L178" s="142"/>
      <c r="M178" s="142"/>
      <c r="N178" s="71"/>
      <c r="O178"/>
      <c r="P178"/>
    </row>
    <row r="179" spans="1:16" s="99" customFormat="1" ht="15" customHeight="1">
      <c r="A179" s="94"/>
      <c r="B179" s="94"/>
      <c r="D179" s="141"/>
      <c r="E179" s="96"/>
      <c r="F179" s="142"/>
      <c r="G179" s="142"/>
      <c r="H179" s="142"/>
      <c r="I179" s="142"/>
      <c r="J179" s="142"/>
      <c r="K179" s="142"/>
      <c r="L179" s="142"/>
      <c r="M179" s="142"/>
      <c r="N179" s="71"/>
      <c r="O179"/>
      <c r="P179"/>
    </row>
    <row r="180" spans="1:16" s="99" customFormat="1" ht="15" customHeight="1">
      <c r="A180" s="94"/>
      <c r="B180" s="94"/>
      <c r="D180" s="141"/>
      <c r="E180" s="96"/>
      <c r="F180" s="142"/>
      <c r="G180" s="142"/>
      <c r="H180" s="142"/>
      <c r="I180" s="142"/>
      <c r="J180" s="142"/>
      <c r="K180" s="142"/>
      <c r="L180" s="142"/>
      <c r="M180" s="142"/>
      <c r="N180" s="71"/>
      <c r="O180"/>
      <c r="P180"/>
    </row>
    <row r="181" spans="1:16" s="99" customFormat="1" ht="15" customHeight="1">
      <c r="A181" s="94"/>
      <c r="B181" s="94"/>
      <c r="D181" s="141"/>
      <c r="E181" s="96"/>
      <c r="F181" s="142"/>
      <c r="G181" s="142"/>
      <c r="H181" s="142"/>
      <c r="I181" s="142"/>
      <c r="J181" s="142"/>
      <c r="K181" s="142"/>
      <c r="L181" s="142"/>
      <c r="M181" s="142"/>
      <c r="N181" s="71"/>
      <c r="O181"/>
      <c r="P181"/>
    </row>
    <row r="182" spans="1:16" s="99" customFormat="1" ht="15" customHeight="1">
      <c r="A182" s="94"/>
      <c r="B182" s="94"/>
      <c r="D182" s="141"/>
      <c r="E182" s="96"/>
      <c r="F182" s="71"/>
      <c r="G182" s="71"/>
      <c r="H182" s="71"/>
      <c r="I182" s="71"/>
      <c r="J182" s="71"/>
      <c r="K182" s="71"/>
      <c r="L182" s="142"/>
      <c r="M182" s="142"/>
      <c r="N182" s="71"/>
      <c r="O182"/>
      <c r="P182"/>
    </row>
  </sheetData>
  <mergeCells count="75">
    <mergeCell ref="A81:B81"/>
    <mergeCell ref="F82:G94"/>
    <mergeCell ref="H82:I94"/>
    <mergeCell ref="M82:M94"/>
    <mergeCell ref="F96:G99"/>
    <mergeCell ref="H96:I99"/>
    <mergeCell ref="M96:M99"/>
    <mergeCell ref="A95:B95"/>
    <mergeCell ref="H29:I43"/>
    <mergeCell ref="J29:K43"/>
    <mergeCell ref="N3:N8"/>
    <mergeCell ref="F4:G4"/>
    <mergeCell ref="F6:G6"/>
    <mergeCell ref="H6:I6"/>
    <mergeCell ref="J6:K6"/>
    <mergeCell ref="L6:L8"/>
    <mergeCell ref="M3:M8"/>
    <mergeCell ref="F66:G80"/>
    <mergeCell ref="H66:I80"/>
    <mergeCell ref="F45:G64"/>
    <mergeCell ref="J45:K64"/>
    <mergeCell ref="M45:M64"/>
    <mergeCell ref="A65:B65"/>
    <mergeCell ref="D65:L65"/>
    <mergeCell ref="A44:B44"/>
    <mergeCell ref="E7:E8"/>
    <mergeCell ref="A9:B9"/>
    <mergeCell ref="A1:A8"/>
    <mergeCell ref="B1:B8"/>
    <mergeCell ref="C1:N2"/>
    <mergeCell ref="C3:E6"/>
    <mergeCell ref="F3:G3"/>
    <mergeCell ref="C7:C8"/>
    <mergeCell ref="D7:D8"/>
    <mergeCell ref="F5:G5"/>
    <mergeCell ref="H10:I27"/>
    <mergeCell ref="J10:K27"/>
    <mergeCell ref="A28:B28"/>
    <mergeCell ref="A147:B147"/>
    <mergeCell ref="A100:B100"/>
    <mergeCell ref="F101:G115"/>
    <mergeCell ref="H101:I115"/>
    <mergeCell ref="M101:M115"/>
    <mergeCell ref="F139:G141"/>
    <mergeCell ref="H139:I141"/>
    <mergeCell ref="M139:M141"/>
    <mergeCell ref="M117:M122"/>
    <mergeCell ref="M124:M131"/>
    <mergeCell ref="F133:G137"/>
    <mergeCell ref="H133:I134"/>
    <mergeCell ref="M133:M137"/>
    <mergeCell ref="J135:K137"/>
    <mergeCell ref="A138:B138"/>
    <mergeCell ref="A132:B132"/>
    <mergeCell ref="A142:B142"/>
    <mergeCell ref="F143:G146"/>
    <mergeCell ref="H143:I146"/>
    <mergeCell ref="M143:M146"/>
    <mergeCell ref="A116:B116"/>
    <mergeCell ref="F117:G122"/>
    <mergeCell ref="H117:I122"/>
    <mergeCell ref="A123:B123"/>
    <mergeCell ref="F124:G131"/>
    <mergeCell ref="H124:I131"/>
    <mergeCell ref="M148:M151"/>
    <mergeCell ref="A152:B152"/>
    <mergeCell ref="J159:K159"/>
    <mergeCell ref="J160:K160"/>
    <mergeCell ref="F153:G155"/>
    <mergeCell ref="H153:I155"/>
    <mergeCell ref="M153:M155"/>
    <mergeCell ref="A156:B156"/>
    <mergeCell ref="J158:K158"/>
    <mergeCell ref="F148:G151"/>
    <mergeCell ref="H148:I151"/>
  </mergeCells>
  <pageMargins left="0.7" right="0.7" top="0.75" bottom="0.75" header="0.3" footer="0.3"/>
  <pageSetup paperSize="3" scale="95"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00B050"/>
    <pageSetUpPr fitToPage="1"/>
  </sheetPr>
  <dimension ref="A1:AH98"/>
  <sheetViews>
    <sheetView zoomScale="90" zoomScaleNormal="90" workbookViewId="0">
      <pane xSplit="2" ySplit="10" topLeftCell="D16" activePane="bottomRight" state="frozen"/>
      <selection pane="bottomRight" activeCell="K23" sqref="K23"/>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231" customWidth="1"/>
    <col min="5" max="5" width="7.42578125" style="2"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232"/>
      <c r="E5" s="5"/>
      <c r="F5" s="5"/>
      <c r="G5" s="6" t="s">
        <v>2936</v>
      </c>
      <c r="H5" s="837" t="s">
        <v>2937</v>
      </c>
      <c r="I5" s="838"/>
      <c r="J5" s="837"/>
      <c r="K5" s="838"/>
      <c r="L5" s="841"/>
      <c r="M5" s="842"/>
      <c r="N5" s="841"/>
      <c r="O5" s="842"/>
      <c r="P5" s="841"/>
      <c r="Q5" s="842"/>
      <c r="R5" s="841"/>
      <c r="S5" s="842"/>
    </row>
    <row r="6" spans="1:19">
      <c r="A6" s="818" t="s">
        <v>2938</v>
      </c>
      <c r="B6" s="806" t="s">
        <v>2550</v>
      </c>
      <c r="C6" s="807"/>
      <c r="D6" s="1145"/>
      <c r="E6" s="807"/>
      <c r="F6" s="807"/>
      <c r="G6" s="657" t="s">
        <v>2939</v>
      </c>
      <c r="H6" s="1001"/>
      <c r="I6" s="839"/>
      <c r="J6" s="1001"/>
      <c r="K6" s="839"/>
      <c r="L6" s="1003"/>
      <c r="M6" s="843"/>
      <c r="N6" s="1003"/>
      <c r="O6" s="843"/>
      <c r="P6" s="1003"/>
      <c r="Q6" s="843"/>
      <c r="R6" s="1003"/>
      <c r="S6" s="843"/>
    </row>
    <row r="7" spans="1:19">
      <c r="A7" s="818" t="s">
        <v>2940</v>
      </c>
      <c r="B7" s="808" t="s">
        <v>2701</v>
      </c>
      <c r="C7" s="807"/>
      <c r="D7" s="1145"/>
      <c r="E7" s="807"/>
      <c r="F7" s="807"/>
      <c r="G7" s="809" t="s">
        <v>2941</v>
      </c>
      <c r="H7" s="1000"/>
      <c r="I7" s="840"/>
      <c r="J7" s="1000"/>
      <c r="K7" s="840"/>
      <c r="L7" s="1002"/>
      <c r="M7" s="844"/>
      <c r="N7" s="1002"/>
      <c r="O7" s="844"/>
      <c r="P7" s="1002"/>
      <c r="Q7" s="844"/>
      <c r="R7" s="1002"/>
      <c r="S7" s="844"/>
    </row>
    <row r="8" spans="1:19">
      <c r="A8" s="818" t="s">
        <v>2942</v>
      </c>
      <c r="B8" s="810"/>
      <c r="C8" s="807"/>
      <c r="D8" s="1145"/>
      <c r="E8" s="807"/>
      <c r="F8" s="807"/>
      <c r="G8" s="809" t="s">
        <v>2943</v>
      </c>
      <c r="H8" s="999"/>
      <c r="I8" s="836"/>
      <c r="J8" s="999"/>
      <c r="K8" s="836"/>
      <c r="L8" s="1004"/>
      <c r="M8" s="845"/>
      <c r="N8" s="1004"/>
      <c r="O8" s="845"/>
      <c r="P8" s="1004"/>
      <c r="Q8" s="845"/>
      <c r="R8" s="1004"/>
      <c r="S8" s="845"/>
    </row>
    <row r="9" spans="1:19" ht="15.75" thickBot="1">
      <c r="A9" s="811"/>
      <c r="B9" s="812"/>
      <c r="C9" s="616"/>
      <c r="D9" s="617"/>
      <c r="E9" s="616"/>
      <c r="F9" s="813"/>
      <c r="G9" s="814" t="s">
        <v>2944</v>
      </c>
      <c r="H9" s="1146">
        <f>I60</f>
        <v>73350</v>
      </c>
      <c r="I9" s="1146"/>
      <c r="J9" s="995">
        <f>K64</f>
        <v>0</v>
      </c>
      <c r="K9" s="996"/>
      <c r="L9" s="995">
        <f>M64</f>
        <v>0</v>
      </c>
      <c r="M9" s="996"/>
      <c r="N9" s="995">
        <f>O64</f>
        <v>0</v>
      </c>
      <c r="O9" s="996"/>
      <c r="P9" s="995">
        <f>Q64</f>
        <v>0</v>
      </c>
      <c r="Q9" s="996"/>
      <c r="R9" s="995">
        <f>S64</f>
        <v>0</v>
      </c>
      <c r="S9" s="996"/>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147"/>
      <c r="B11" s="794" t="s">
        <v>2953</v>
      </c>
      <c r="C11" s="659"/>
      <c r="D11" s="1145"/>
      <c r="E11" s="807"/>
      <c r="F11" s="807"/>
      <c r="G11" s="660"/>
      <c r="H11" s="819"/>
      <c r="I11" s="1148"/>
      <c r="J11" s="819"/>
      <c r="K11" s="182"/>
      <c r="L11" s="819"/>
      <c r="M11" s="1149"/>
      <c r="N11" s="819"/>
      <c r="O11" s="1149"/>
      <c r="P11" s="819"/>
      <c r="Q11" s="1149"/>
      <c r="R11" s="819"/>
      <c r="S11" s="1149"/>
    </row>
    <row r="12" spans="1:19">
      <c r="A12" s="1150"/>
      <c r="B12" s="1151" t="s">
        <v>2954</v>
      </c>
      <c r="C12" s="807"/>
      <c r="D12" s="1145"/>
      <c r="E12" s="807"/>
      <c r="F12" s="807"/>
      <c r="G12" s="660"/>
      <c r="H12" s="819"/>
      <c r="I12" s="1148"/>
      <c r="J12" s="819"/>
      <c r="K12" s="1149"/>
      <c r="L12" s="819"/>
      <c r="M12" s="1149"/>
      <c r="N12" s="819"/>
      <c r="O12" s="1149"/>
      <c r="P12" s="819"/>
      <c r="Q12" s="1149"/>
      <c r="R12" s="819"/>
      <c r="S12" s="1149"/>
    </row>
    <row r="13" spans="1:19">
      <c r="A13" s="820"/>
      <c r="B13" s="1152" t="s">
        <v>2955</v>
      </c>
      <c r="C13" s="807"/>
      <c r="D13" s="1145"/>
      <c r="E13" s="807"/>
      <c r="F13" s="807"/>
      <c r="G13" s="660"/>
      <c r="H13" s="819"/>
      <c r="I13" s="1148"/>
      <c r="J13" s="819"/>
      <c r="K13" s="1149"/>
      <c r="L13" s="819"/>
      <c r="M13" s="1149"/>
      <c r="N13" s="819"/>
      <c r="O13" s="1149"/>
      <c r="P13" s="819"/>
      <c r="Q13" s="1149"/>
      <c r="R13" s="819"/>
      <c r="S13" s="1149"/>
    </row>
    <row r="14" spans="1:19">
      <c r="A14" s="820"/>
      <c r="B14" s="1153" t="s">
        <v>2956</v>
      </c>
      <c r="C14" s="807"/>
      <c r="D14" s="1145"/>
      <c r="E14" s="807"/>
      <c r="F14" s="807"/>
      <c r="G14" s="660"/>
      <c r="H14" s="819"/>
      <c r="I14" s="1148"/>
      <c r="J14" s="819"/>
      <c r="K14" s="1149"/>
      <c r="L14" s="819"/>
      <c r="M14" s="1149"/>
      <c r="N14" s="819"/>
      <c r="O14" s="1149"/>
      <c r="P14" s="819"/>
      <c r="Q14" s="1149"/>
      <c r="R14" s="819"/>
      <c r="S14" s="1149"/>
    </row>
    <row r="15" spans="1:19">
      <c r="A15" s="820"/>
      <c r="B15" s="1153" t="s">
        <v>2957</v>
      </c>
      <c r="C15" s="807"/>
      <c r="D15" s="1145"/>
      <c r="E15" s="807"/>
      <c r="F15" s="807"/>
      <c r="G15" s="660"/>
      <c r="H15" s="819"/>
      <c r="I15" s="1148"/>
      <c r="J15" s="819"/>
      <c r="K15" s="1148"/>
      <c r="L15" s="819"/>
      <c r="M15" s="1148"/>
      <c r="N15" s="819"/>
      <c r="O15" s="1148"/>
      <c r="P15" s="819"/>
      <c r="Q15" s="1148"/>
      <c r="R15" s="819"/>
      <c r="S15" s="1148"/>
    </row>
    <row r="16" spans="1:19">
      <c r="A16" s="820"/>
      <c r="B16" s="1153" t="s">
        <v>2958</v>
      </c>
      <c r="C16" s="807"/>
      <c r="D16" s="1145"/>
      <c r="E16" s="807"/>
      <c r="F16" s="807"/>
      <c r="G16" s="660"/>
      <c r="H16" s="819"/>
      <c r="I16" s="1148"/>
      <c r="J16" s="819"/>
      <c r="K16" s="1149"/>
      <c r="L16" s="819"/>
      <c r="M16" s="1149"/>
      <c r="N16" s="819"/>
      <c r="O16" s="1149"/>
      <c r="P16" s="819"/>
      <c r="Q16" s="1149"/>
      <c r="R16" s="819"/>
      <c r="S16" s="1149"/>
    </row>
    <row r="17" spans="1:19">
      <c r="A17" s="820"/>
      <c r="B17" s="1153" t="s">
        <v>2959</v>
      </c>
      <c r="C17" s="807"/>
      <c r="D17" s="1145"/>
      <c r="E17" s="807"/>
      <c r="F17" s="807"/>
      <c r="G17" s="660"/>
      <c r="H17" s="819"/>
      <c r="I17" s="1148"/>
      <c r="J17" s="819"/>
      <c r="K17" s="1149"/>
      <c r="L17" s="819"/>
      <c r="M17" s="1149"/>
      <c r="N17" s="819"/>
      <c r="O17" s="1149"/>
      <c r="P17" s="819"/>
      <c r="Q17" s="1149"/>
      <c r="R17" s="819"/>
      <c r="S17" s="1149"/>
    </row>
    <row r="18" spans="1:19">
      <c r="A18" s="820"/>
      <c r="B18" s="1154" t="s">
        <v>2960</v>
      </c>
      <c r="C18" s="807"/>
      <c r="D18" s="1145"/>
      <c r="E18" s="807"/>
      <c r="F18" s="807"/>
      <c r="G18" s="660"/>
      <c r="H18" s="819"/>
      <c r="I18" s="1148"/>
      <c r="J18" s="819"/>
      <c r="K18" s="1149"/>
      <c r="L18" s="819"/>
      <c r="M18" s="1149"/>
      <c r="N18" s="819"/>
      <c r="O18" s="1149"/>
      <c r="P18" s="819"/>
      <c r="Q18" s="1149"/>
      <c r="R18" s="819"/>
      <c r="S18" s="1149"/>
    </row>
    <row r="19" spans="1:19">
      <c r="A19" s="820"/>
      <c r="B19" s="1155" t="s">
        <v>2961</v>
      </c>
      <c r="C19" s="815"/>
      <c r="D19" s="1156"/>
      <c r="E19" s="815"/>
      <c r="F19" s="816"/>
      <c r="G19" s="661"/>
      <c r="H19" s="821"/>
      <c r="I19" s="1157"/>
      <c r="J19" s="821"/>
      <c r="K19" s="1158"/>
      <c r="L19" s="821"/>
      <c r="M19" s="1158"/>
      <c r="N19" s="821"/>
      <c r="O19" s="1158"/>
      <c r="P19" s="821"/>
      <c r="Q19" s="1158"/>
      <c r="R19" s="821"/>
      <c r="S19" s="1158"/>
    </row>
    <row r="20" spans="1:19">
      <c r="A20" s="820"/>
      <c r="B20" s="1159"/>
      <c r="C20" s="807"/>
      <c r="D20" s="1145"/>
      <c r="E20" s="807"/>
      <c r="F20" s="817"/>
      <c r="G20" s="660"/>
      <c r="H20" s="819"/>
      <c r="I20" s="1160"/>
      <c r="J20" s="819"/>
      <c r="K20" s="1161"/>
      <c r="L20" s="819"/>
      <c r="M20" s="1161"/>
      <c r="N20" s="819"/>
      <c r="O20" s="1161"/>
      <c r="P20" s="819"/>
      <c r="Q20" s="1161"/>
      <c r="R20" s="819"/>
      <c r="S20" s="1161"/>
    </row>
    <row r="21" spans="1:19">
      <c r="A21" s="1162"/>
      <c r="B21" s="1163" t="s">
        <v>2695</v>
      </c>
      <c r="C21" s="807"/>
      <c r="D21" s="1164"/>
      <c r="E21" s="1165"/>
      <c r="F21" s="817"/>
      <c r="G21" s="662"/>
      <c r="H21" s="819"/>
      <c r="I21" s="1166">
        <f>SUBTOTAL(9,I22:I29)</f>
        <v>22000</v>
      </c>
      <c r="J21" s="819"/>
      <c r="K21" s="1166">
        <f>SUBTOTAL(9,K22:K29)</f>
        <v>0</v>
      </c>
      <c r="L21" s="819"/>
      <c r="M21" s="1166">
        <f>SUBTOTAL(9,M22:M29)</f>
        <v>0</v>
      </c>
      <c r="N21" s="819"/>
      <c r="O21" s="1166">
        <f>SUBTOTAL(9,O22:O29)</f>
        <v>0</v>
      </c>
      <c r="P21" s="819"/>
      <c r="Q21" s="1166">
        <f>SUBTOTAL(9,Q22:Q29)</f>
        <v>0</v>
      </c>
      <c r="R21" s="819"/>
      <c r="S21" s="1166">
        <f>SUBTOTAL(9,S22:S29)</f>
        <v>0</v>
      </c>
    </row>
    <row r="22" spans="1:19">
      <c r="A22" s="820"/>
      <c r="B22" s="1167" t="s">
        <v>2962</v>
      </c>
      <c r="C22" s="1168"/>
      <c r="D22" s="1169">
        <v>1</v>
      </c>
      <c r="E22" s="807" t="s">
        <v>2818</v>
      </c>
      <c r="F22" s="1170">
        <v>1500</v>
      </c>
      <c r="G22" s="662">
        <f t="shared" ref="G22:G52" si="0">ROUND(D22*F22,0)</f>
        <v>1500</v>
      </c>
      <c r="H22" s="819"/>
      <c r="I22" s="1160">
        <f>G22</f>
        <v>1500</v>
      </c>
      <c r="J22" s="819"/>
      <c r="K22" s="1161"/>
      <c r="L22" s="819"/>
      <c r="M22" s="1161"/>
      <c r="N22" s="819"/>
      <c r="O22" s="1161"/>
      <c r="P22" s="819"/>
      <c r="Q22" s="1161"/>
      <c r="R22" s="819"/>
      <c r="S22" s="1161"/>
    </row>
    <row r="23" spans="1:19">
      <c r="A23" s="820"/>
      <c r="B23" s="1167" t="s">
        <v>2963</v>
      </c>
      <c r="C23" s="1168"/>
      <c r="D23" s="1169">
        <v>1</v>
      </c>
      <c r="E23" s="807" t="s">
        <v>2818</v>
      </c>
      <c r="F23" s="1170">
        <v>1000</v>
      </c>
      <c r="G23" s="662">
        <f t="shared" si="0"/>
        <v>1000</v>
      </c>
      <c r="H23" s="819"/>
      <c r="I23" s="1160">
        <f>G23</f>
        <v>1000</v>
      </c>
      <c r="J23" s="819"/>
      <c r="K23" s="1161"/>
      <c r="L23" s="819"/>
      <c r="M23" s="1161"/>
      <c r="N23" s="819"/>
      <c r="O23" s="1161"/>
      <c r="P23" s="819"/>
      <c r="Q23" s="1161"/>
      <c r="R23" s="819"/>
      <c r="S23" s="1161"/>
    </row>
    <row r="24" spans="1:19">
      <c r="A24" s="820"/>
      <c r="B24" s="1167" t="s">
        <v>2964</v>
      </c>
      <c r="C24" s="1168"/>
      <c r="D24" s="1169">
        <v>1</v>
      </c>
      <c r="E24" s="807" t="s">
        <v>2818</v>
      </c>
      <c r="F24" s="1170">
        <v>2500</v>
      </c>
      <c r="G24" s="662">
        <f t="shared" si="0"/>
        <v>2500</v>
      </c>
      <c r="H24" s="819"/>
      <c r="I24" s="1160">
        <f>G24</f>
        <v>2500</v>
      </c>
      <c r="J24" s="819"/>
      <c r="K24" s="1161"/>
      <c r="L24" s="819"/>
      <c r="M24" s="1161"/>
      <c r="N24" s="819"/>
      <c r="O24" s="1161"/>
      <c r="P24" s="819"/>
      <c r="Q24" s="1161"/>
      <c r="R24" s="819"/>
      <c r="S24" s="1161"/>
    </row>
    <row r="25" spans="1:19">
      <c r="A25" s="820"/>
      <c r="B25" s="1167" t="s">
        <v>2965</v>
      </c>
      <c r="C25" s="807"/>
      <c r="D25" s="1169">
        <v>1</v>
      </c>
      <c r="E25" s="807" t="s">
        <v>2818</v>
      </c>
      <c r="F25" s="1170">
        <f>1500*3</f>
        <v>4500</v>
      </c>
      <c r="G25" s="662">
        <f t="shared" si="0"/>
        <v>4500</v>
      </c>
      <c r="H25" s="819"/>
      <c r="I25" s="1160">
        <f t="shared" ref="I25:I28" si="1">G25</f>
        <v>4500</v>
      </c>
      <c r="J25" s="819"/>
      <c r="K25" s="1161"/>
      <c r="L25" s="819"/>
      <c r="M25" s="1161"/>
      <c r="N25" s="819"/>
      <c r="O25" s="1161"/>
      <c r="P25" s="819"/>
      <c r="Q25" s="1161"/>
      <c r="R25" s="819"/>
      <c r="S25" s="1161"/>
    </row>
    <row r="26" spans="1:19">
      <c r="A26" s="820"/>
      <c r="B26" s="1167" t="s">
        <v>2966</v>
      </c>
      <c r="C26" s="807"/>
      <c r="D26" s="1169">
        <v>1</v>
      </c>
      <c r="E26" s="807" t="s">
        <v>2818</v>
      </c>
      <c r="F26" s="1170">
        <v>3000</v>
      </c>
      <c r="G26" s="662">
        <f t="shared" si="0"/>
        <v>3000</v>
      </c>
      <c r="H26" s="819"/>
      <c r="I26" s="1160">
        <f t="shared" si="1"/>
        <v>3000</v>
      </c>
      <c r="J26" s="819"/>
      <c r="K26" s="1161"/>
      <c r="L26" s="819"/>
      <c r="M26" s="1161"/>
      <c r="N26" s="819"/>
      <c r="O26" s="1161"/>
      <c r="P26" s="819"/>
      <c r="Q26" s="1161"/>
      <c r="R26" s="819"/>
      <c r="S26" s="1161"/>
    </row>
    <row r="27" spans="1:19">
      <c r="A27" s="820"/>
      <c r="B27" s="1167" t="s">
        <v>2967</v>
      </c>
      <c r="C27" s="807"/>
      <c r="D27" s="1169">
        <v>1</v>
      </c>
      <c r="E27" s="807" t="s">
        <v>2818</v>
      </c>
      <c r="F27" s="1170">
        <v>7500</v>
      </c>
      <c r="G27" s="662">
        <f t="shared" si="0"/>
        <v>7500</v>
      </c>
      <c r="H27" s="819"/>
      <c r="I27" s="1160">
        <f t="shared" si="1"/>
        <v>7500</v>
      </c>
      <c r="J27" s="819"/>
      <c r="K27" s="1161"/>
      <c r="L27" s="819"/>
      <c r="M27" s="1161"/>
      <c r="N27" s="819"/>
      <c r="O27" s="1161"/>
      <c r="P27" s="819"/>
      <c r="Q27" s="1161"/>
      <c r="R27" s="819"/>
      <c r="S27" s="1161"/>
    </row>
    <row r="28" spans="1:19">
      <c r="A28" s="820"/>
      <c r="B28" s="652" t="s">
        <v>2968</v>
      </c>
      <c r="C28" s="807"/>
      <c r="D28" s="1169">
        <v>1</v>
      </c>
      <c r="E28" s="807" t="s">
        <v>2818</v>
      </c>
      <c r="F28" s="1170">
        <v>2000</v>
      </c>
      <c r="G28" s="662">
        <f t="shared" si="0"/>
        <v>2000</v>
      </c>
      <c r="H28" s="819"/>
      <c r="I28" s="1160">
        <f t="shared" si="1"/>
        <v>2000</v>
      </c>
      <c r="J28" s="819"/>
      <c r="K28" s="1161"/>
      <c r="L28" s="819"/>
      <c r="M28" s="1161"/>
      <c r="N28" s="819"/>
      <c r="O28" s="1161"/>
      <c r="P28" s="819"/>
      <c r="Q28" s="1161"/>
      <c r="R28" s="819"/>
      <c r="S28" s="1161"/>
    </row>
    <row r="29" spans="1:19">
      <c r="A29" s="820"/>
      <c r="B29" s="1167"/>
      <c r="C29" s="1168"/>
      <c r="D29" s="1169"/>
      <c r="E29" s="807"/>
      <c r="F29" s="1170"/>
      <c r="G29" s="662">
        <f t="shared" si="0"/>
        <v>0</v>
      </c>
      <c r="H29" s="819"/>
      <c r="I29" s="1160"/>
      <c r="J29" s="819"/>
      <c r="K29" s="1161"/>
      <c r="L29" s="819"/>
      <c r="M29" s="1160"/>
      <c r="N29" s="819"/>
      <c r="O29" s="1160"/>
      <c r="P29" s="819"/>
      <c r="Q29" s="1161"/>
      <c r="R29" s="819"/>
      <c r="S29" s="1161"/>
    </row>
    <row r="30" spans="1:19">
      <c r="A30" s="820"/>
      <c r="B30" s="1171" t="s">
        <v>2969</v>
      </c>
      <c r="C30" s="1168"/>
      <c r="D30" s="1169"/>
      <c r="E30" s="807"/>
      <c r="F30" s="1170"/>
      <c r="G30" s="662">
        <f t="shared" si="0"/>
        <v>0</v>
      </c>
      <c r="H30" s="819"/>
      <c r="I30" s="1166">
        <f>SUBTOTAL(9,I31:I32)</f>
        <v>0</v>
      </c>
      <c r="J30" s="819"/>
      <c r="K30" s="1166">
        <f>SUBTOTAL(9,K31:K32)</f>
        <v>0</v>
      </c>
      <c r="L30" s="819"/>
      <c r="M30" s="1166">
        <f>SUBTOTAL(9,M31:M32)</f>
        <v>0</v>
      </c>
      <c r="N30" s="819"/>
      <c r="O30" s="1166">
        <f>SUBTOTAL(9,O31:O32)</f>
        <v>0</v>
      </c>
      <c r="P30" s="819"/>
      <c r="Q30" s="1166">
        <f>SUBTOTAL(9,Q31:Q32)</f>
        <v>0</v>
      </c>
      <c r="R30" s="819"/>
      <c r="S30" s="1166">
        <f>SUBTOTAL(9,S31:S32)</f>
        <v>0</v>
      </c>
    </row>
    <row r="31" spans="1:19">
      <c r="A31" s="820"/>
      <c r="B31" s="1167" t="s">
        <v>2970</v>
      </c>
      <c r="C31" s="1168"/>
      <c r="D31" s="1169">
        <v>1</v>
      </c>
      <c r="E31" s="807" t="s">
        <v>2818</v>
      </c>
      <c r="F31" s="1170">
        <v>0</v>
      </c>
      <c r="G31" s="662">
        <f t="shared" si="0"/>
        <v>0</v>
      </c>
      <c r="H31" s="819"/>
      <c r="I31" s="1160"/>
      <c r="J31" s="819"/>
      <c r="K31" s="1161"/>
      <c r="L31" s="819"/>
      <c r="M31" s="1161"/>
      <c r="N31" s="819"/>
      <c r="O31" s="1161"/>
      <c r="P31" s="819"/>
      <c r="Q31" s="1161"/>
      <c r="R31" s="819"/>
      <c r="S31" s="1161"/>
    </row>
    <row r="32" spans="1:19">
      <c r="A32" s="820"/>
      <c r="B32" s="1167"/>
      <c r="C32" s="1168"/>
      <c r="D32" s="1169"/>
      <c r="E32" s="807"/>
      <c r="F32" s="1170"/>
      <c r="G32" s="662">
        <f t="shared" si="0"/>
        <v>0</v>
      </c>
      <c r="H32" s="819"/>
      <c r="I32" s="1160"/>
      <c r="J32" s="819"/>
      <c r="K32" s="1161"/>
      <c r="L32" s="819"/>
      <c r="M32" s="1161"/>
      <c r="N32" s="819"/>
      <c r="O32" s="1161"/>
      <c r="P32" s="819"/>
      <c r="Q32" s="1161"/>
      <c r="R32" s="819"/>
      <c r="S32" s="1161"/>
    </row>
    <row r="33" spans="1:19">
      <c r="A33" s="820"/>
      <c r="B33" s="1171" t="s">
        <v>2697</v>
      </c>
      <c r="C33" s="1168"/>
      <c r="D33" s="1169"/>
      <c r="E33" s="807"/>
      <c r="F33" s="1170"/>
      <c r="G33" s="662">
        <f t="shared" si="0"/>
        <v>0</v>
      </c>
      <c r="H33" s="819"/>
      <c r="I33" s="1166">
        <f>SUBTOTAL(9,I34:I41)</f>
        <v>9350</v>
      </c>
      <c r="J33" s="819"/>
      <c r="K33" s="1166">
        <f>SUBTOTAL(9,K35:K41)</f>
        <v>0</v>
      </c>
      <c r="L33" s="819"/>
      <c r="M33" s="1166">
        <f>SUBTOTAL(9,M35:M41)</f>
        <v>0</v>
      </c>
      <c r="N33" s="819"/>
      <c r="O33" s="1166">
        <f>SUBTOTAL(9,O35:O41)</f>
        <v>0</v>
      </c>
      <c r="P33" s="819"/>
      <c r="Q33" s="1166">
        <f>SUBTOTAL(9,Q35:Q41)</f>
        <v>0</v>
      </c>
      <c r="R33" s="819"/>
      <c r="S33" s="1166">
        <f>SUBTOTAL(9,S35:S41)</f>
        <v>0</v>
      </c>
    </row>
    <row r="34" spans="1:19">
      <c r="A34" s="820"/>
      <c r="B34" s="1167" t="s">
        <v>2962</v>
      </c>
      <c r="C34" s="1168"/>
      <c r="D34" s="1169">
        <v>1</v>
      </c>
      <c r="E34" s="807" t="s">
        <v>2818</v>
      </c>
      <c r="F34" s="1170">
        <v>1500</v>
      </c>
      <c r="G34" s="662">
        <f t="shared" si="0"/>
        <v>1500</v>
      </c>
      <c r="H34" s="819"/>
      <c r="I34" s="1160">
        <f t="shared" ref="I34:I40" si="2">G34</f>
        <v>1500</v>
      </c>
      <c r="J34" s="819"/>
      <c r="K34" s="1161"/>
      <c r="L34" s="819"/>
      <c r="M34" s="1161"/>
      <c r="N34" s="819"/>
      <c r="O34" s="1161"/>
      <c r="P34" s="819"/>
      <c r="Q34" s="1161"/>
      <c r="R34" s="819"/>
      <c r="S34" s="1161"/>
    </row>
    <row r="35" spans="1:19">
      <c r="A35" s="820"/>
      <c r="B35" s="1167" t="s">
        <v>2963</v>
      </c>
      <c r="C35" s="1168"/>
      <c r="D35" s="1169">
        <v>1</v>
      </c>
      <c r="E35" s="807" t="s">
        <v>2818</v>
      </c>
      <c r="F35" s="1170">
        <v>1000</v>
      </c>
      <c r="G35" s="662">
        <f t="shared" si="0"/>
        <v>1000</v>
      </c>
      <c r="H35" s="819"/>
      <c r="I35" s="1160">
        <f t="shared" si="2"/>
        <v>1000</v>
      </c>
      <c r="J35" s="819"/>
      <c r="K35" s="1161"/>
      <c r="L35" s="819"/>
      <c r="M35" s="1161"/>
      <c r="N35" s="819"/>
      <c r="O35" s="1161"/>
      <c r="P35" s="819"/>
      <c r="Q35" s="1161"/>
      <c r="R35" s="819"/>
      <c r="S35" s="1161"/>
    </row>
    <row r="36" spans="1:19">
      <c r="A36" s="820"/>
      <c r="B36" s="1167" t="s">
        <v>2964</v>
      </c>
      <c r="C36" s="1168"/>
      <c r="D36" s="1169">
        <v>1</v>
      </c>
      <c r="E36" s="807" t="s">
        <v>2818</v>
      </c>
      <c r="F36" s="1170">
        <v>750</v>
      </c>
      <c r="G36" s="662">
        <f t="shared" si="0"/>
        <v>750</v>
      </c>
      <c r="H36" s="819"/>
      <c r="I36" s="1160">
        <f t="shared" si="2"/>
        <v>750</v>
      </c>
      <c r="J36" s="819"/>
      <c r="K36" s="1161"/>
      <c r="L36" s="819"/>
      <c r="M36" s="1161"/>
      <c r="N36" s="819"/>
      <c r="O36" s="1161"/>
      <c r="P36" s="819"/>
      <c r="Q36" s="1161"/>
      <c r="R36" s="819"/>
      <c r="S36" s="1161"/>
    </row>
    <row r="37" spans="1:19">
      <c r="A37" s="820"/>
      <c r="B37" s="1167" t="s">
        <v>2965</v>
      </c>
      <c r="C37" s="1168"/>
      <c r="D37" s="1169">
        <v>1</v>
      </c>
      <c r="E37" s="807" t="s">
        <v>2818</v>
      </c>
      <c r="F37" s="1170">
        <f>350*6</f>
        <v>2100</v>
      </c>
      <c r="G37" s="662">
        <f t="shared" si="0"/>
        <v>2100</v>
      </c>
      <c r="H37" s="819"/>
      <c r="I37" s="1160">
        <f t="shared" si="2"/>
        <v>2100</v>
      </c>
      <c r="J37" s="819"/>
      <c r="K37" s="1161"/>
      <c r="L37" s="819"/>
      <c r="M37" s="1161"/>
      <c r="N37" s="819"/>
      <c r="O37" s="1161"/>
      <c r="P37" s="819"/>
      <c r="Q37" s="1161"/>
      <c r="R37" s="819"/>
      <c r="S37" s="1161"/>
    </row>
    <row r="38" spans="1:19">
      <c r="A38" s="820"/>
      <c r="B38" s="1167" t="s">
        <v>2966</v>
      </c>
      <c r="C38" s="1168"/>
      <c r="D38" s="1169">
        <v>1</v>
      </c>
      <c r="E38" s="807" t="s">
        <v>2818</v>
      </c>
      <c r="F38" s="1170">
        <v>1500</v>
      </c>
      <c r="G38" s="662">
        <f t="shared" si="0"/>
        <v>1500</v>
      </c>
      <c r="H38" s="819"/>
      <c r="I38" s="1160">
        <f t="shared" si="2"/>
        <v>1500</v>
      </c>
      <c r="J38" s="819"/>
      <c r="K38" s="1161"/>
      <c r="L38" s="819"/>
      <c r="M38" s="1161"/>
      <c r="N38" s="819"/>
      <c r="O38" s="1161"/>
      <c r="P38" s="819"/>
      <c r="Q38" s="1161"/>
      <c r="R38" s="819"/>
      <c r="S38" s="1161"/>
    </row>
    <row r="39" spans="1:19">
      <c r="A39" s="820"/>
      <c r="B39" s="1167" t="s">
        <v>2967</v>
      </c>
      <c r="C39" s="1168"/>
      <c r="D39" s="1169">
        <v>1</v>
      </c>
      <c r="E39" s="807" t="s">
        <v>2818</v>
      </c>
      <c r="F39" s="1170">
        <v>2500</v>
      </c>
      <c r="G39" s="662">
        <f t="shared" si="0"/>
        <v>2500</v>
      </c>
      <c r="H39" s="819"/>
      <c r="I39" s="1160">
        <f t="shared" si="2"/>
        <v>2500</v>
      </c>
      <c r="J39" s="819"/>
      <c r="K39" s="1161"/>
      <c r="L39" s="819"/>
      <c r="M39" s="1161"/>
      <c r="N39" s="819"/>
      <c r="O39" s="1161"/>
      <c r="P39" s="819"/>
      <c r="Q39" s="1161"/>
      <c r="R39" s="819"/>
      <c r="S39" s="1161"/>
    </row>
    <row r="40" spans="1:19">
      <c r="A40" s="820"/>
      <c r="B40" s="652" t="s">
        <v>2968</v>
      </c>
      <c r="C40" s="1168"/>
      <c r="D40" s="1169">
        <v>1</v>
      </c>
      <c r="E40" s="807" t="s">
        <v>2818</v>
      </c>
      <c r="F40" s="1170"/>
      <c r="G40" s="662">
        <f t="shared" si="0"/>
        <v>0</v>
      </c>
      <c r="H40" s="819"/>
      <c r="I40" s="1160">
        <f t="shared" si="2"/>
        <v>0</v>
      </c>
      <c r="J40" s="819"/>
      <c r="K40" s="1161"/>
      <c r="L40" s="819"/>
      <c r="M40" s="1161"/>
      <c r="N40" s="819"/>
      <c r="O40" s="1161"/>
      <c r="P40" s="819"/>
      <c r="Q40" s="1161"/>
      <c r="R40" s="819"/>
      <c r="S40" s="1161"/>
    </row>
    <row r="41" spans="1:19">
      <c r="A41" s="820"/>
      <c r="B41" s="1167"/>
      <c r="C41" s="1168"/>
      <c r="D41" s="1169"/>
      <c r="E41" s="807"/>
      <c r="F41" s="1170"/>
      <c r="G41" s="662">
        <f t="shared" si="0"/>
        <v>0</v>
      </c>
      <c r="H41" s="819"/>
      <c r="I41" s="1160"/>
      <c r="J41" s="819"/>
      <c r="K41" s="1161"/>
      <c r="L41" s="819"/>
      <c r="M41" s="1161"/>
      <c r="N41" s="819"/>
      <c r="O41" s="1161"/>
      <c r="P41" s="819"/>
      <c r="Q41" s="1161"/>
      <c r="R41" s="819"/>
      <c r="S41" s="1161"/>
    </row>
    <row r="42" spans="1:19">
      <c r="A42" s="820"/>
      <c r="B42" s="1172" t="s">
        <v>2971</v>
      </c>
      <c r="C42" s="1168"/>
      <c r="D42" s="1169"/>
      <c r="E42" s="807"/>
      <c r="F42" s="1170"/>
      <c r="G42" s="662">
        <f t="shared" si="0"/>
        <v>0</v>
      </c>
      <c r="H42" s="819"/>
      <c r="I42" s="1166">
        <f>SUBTOTAL(9,I43:I49)</f>
        <v>22000</v>
      </c>
      <c r="J42" s="819"/>
      <c r="K42" s="1166">
        <f>SUBTOTAL(9,K46:K49)</f>
        <v>0</v>
      </c>
      <c r="L42" s="819"/>
      <c r="M42" s="1166">
        <f>SUBTOTAL(9,M46:M49)</f>
        <v>0</v>
      </c>
      <c r="N42" s="819"/>
      <c r="O42" s="1166">
        <f>SUBTOTAL(9,O46:O49)</f>
        <v>0</v>
      </c>
      <c r="P42" s="819"/>
      <c r="Q42" s="1166">
        <f>SUBTOTAL(9,Q46:Q49)</f>
        <v>0</v>
      </c>
      <c r="R42" s="819"/>
      <c r="S42" s="1166">
        <f>SUBTOTAL(9,S46:S49)</f>
        <v>0</v>
      </c>
    </row>
    <row r="43" spans="1:19">
      <c r="A43" s="820"/>
      <c r="B43" s="1167" t="s">
        <v>2962</v>
      </c>
      <c r="C43" s="1168"/>
      <c r="D43" s="1169">
        <v>1</v>
      </c>
      <c r="E43" s="807" t="s">
        <v>2818</v>
      </c>
      <c r="F43" s="1170">
        <v>1500</v>
      </c>
      <c r="G43" s="662">
        <f>ROUND(D43*F43,0)</f>
        <v>1500</v>
      </c>
      <c r="H43" s="819"/>
      <c r="I43" s="1160">
        <f t="shared" ref="I43:I48" si="3">G43</f>
        <v>1500</v>
      </c>
      <c r="J43" s="819"/>
      <c r="K43" s="1161"/>
      <c r="L43" s="819"/>
      <c r="M43" s="1161"/>
      <c r="N43" s="819"/>
      <c r="O43" s="1161"/>
      <c r="P43" s="819"/>
      <c r="Q43" s="1161"/>
      <c r="R43" s="819"/>
      <c r="S43" s="1161"/>
    </row>
    <row r="44" spans="1:19">
      <c r="A44" s="820"/>
      <c r="B44" s="1167" t="s">
        <v>2963</v>
      </c>
      <c r="C44" s="1168"/>
      <c r="D44" s="1169">
        <v>1</v>
      </c>
      <c r="E44" s="807" t="s">
        <v>2818</v>
      </c>
      <c r="F44" s="1170">
        <v>1000</v>
      </c>
      <c r="G44" s="662">
        <f>ROUND(D44*F44,0)</f>
        <v>1000</v>
      </c>
      <c r="H44" s="819"/>
      <c r="I44" s="1160">
        <f t="shared" si="3"/>
        <v>1000</v>
      </c>
      <c r="J44" s="819"/>
      <c r="K44" s="1161"/>
      <c r="L44" s="819"/>
      <c r="M44" s="1161"/>
      <c r="N44" s="819"/>
      <c r="O44" s="1161"/>
      <c r="P44" s="819"/>
      <c r="Q44" s="1161"/>
      <c r="R44" s="819"/>
      <c r="S44" s="1161"/>
    </row>
    <row r="45" spans="1:19">
      <c r="A45" s="820"/>
      <c r="B45" s="1167" t="s">
        <v>2964</v>
      </c>
      <c r="C45" s="1168"/>
      <c r="D45" s="1169">
        <v>1</v>
      </c>
      <c r="E45" s="807" t="s">
        <v>2818</v>
      </c>
      <c r="F45" s="1170">
        <v>2000</v>
      </c>
      <c r="G45" s="662">
        <f>ROUND(D45*F45,0)</f>
        <v>2000</v>
      </c>
      <c r="H45" s="819"/>
      <c r="I45" s="1160">
        <f t="shared" si="3"/>
        <v>2000</v>
      </c>
      <c r="J45" s="819"/>
      <c r="K45" s="1161"/>
      <c r="L45" s="819"/>
      <c r="M45" s="1161"/>
      <c r="N45" s="819"/>
      <c r="O45" s="1161"/>
      <c r="P45" s="819"/>
      <c r="Q45" s="1161"/>
      <c r="R45" s="819"/>
      <c r="S45" s="1161"/>
    </row>
    <row r="46" spans="1:19">
      <c r="A46" s="820"/>
      <c r="B46" s="1167" t="s">
        <v>2972</v>
      </c>
      <c r="C46" s="1168"/>
      <c r="D46" s="1169">
        <v>1</v>
      </c>
      <c r="E46" s="807" t="s">
        <v>2818</v>
      </c>
      <c r="F46" s="1170">
        <v>5000</v>
      </c>
      <c r="G46" s="662">
        <f t="shared" si="0"/>
        <v>5000</v>
      </c>
      <c r="H46" s="819"/>
      <c r="I46" s="1160">
        <f t="shared" si="3"/>
        <v>5000</v>
      </c>
      <c r="J46" s="819"/>
      <c r="K46" s="1160"/>
      <c r="L46" s="819"/>
      <c r="M46" s="1160"/>
      <c r="N46" s="819"/>
      <c r="O46" s="1160"/>
      <c r="P46" s="819"/>
      <c r="Q46" s="1160"/>
      <c r="R46" s="819"/>
      <c r="S46" s="1160"/>
    </row>
    <row r="47" spans="1:19">
      <c r="A47" s="820"/>
      <c r="B47" s="1167" t="s">
        <v>2973</v>
      </c>
      <c r="C47" s="1168"/>
      <c r="D47" s="1169">
        <v>1</v>
      </c>
      <c r="E47" s="807" t="s">
        <v>2818</v>
      </c>
      <c r="F47" s="1170">
        <v>7500</v>
      </c>
      <c r="G47" s="662">
        <f t="shared" si="0"/>
        <v>7500</v>
      </c>
      <c r="H47" s="819"/>
      <c r="I47" s="1160">
        <f t="shared" si="3"/>
        <v>7500</v>
      </c>
      <c r="J47" s="819"/>
      <c r="K47" s="1160"/>
      <c r="L47" s="819"/>
      <c r="M47" s="1160"/>
      <c r="N47" s="819"/>
      <c r="O47" s="1160"/>
      <c r="P47" s="819"/>
      <c r="Q47" s="1160"/>
      <c r="R47" s="819"/>
      <c r="S47" s="1160"/>
    </row>
    <row r="48" spans="1:19">
      <c r="A48" s="820"/>
      <c r="B48" s="1167" t="s">
        <v>2974</v>
      </c>
      <c r="C48" s="1168"/>
      <c r="D48" s="1169">
        <v>1</v>
      </c>
      <c r="E48" s="807" t="s">
        <v>2818</v>
      </c>
      <c r="F48" s="1170">
        <v>5000</v>
      </c>
      <c r="G48" s="662">
        <f t="shared" si="0"/>
        <v>5000</v>
      </c>
      <c r="H48" s="819"/>
      <c r="I48" s="1160">
        <f t="shared" si="3"/>
        <v>5000</v>
      </c>
      <c r="J48" s="819"/>
      <c r="K48" s="1160"/>
      <c r="L48" s="819"/>
      <c r="M48" s="1160"/>
      <c r="N48" s="819"/>
      <c r="O48" s="1160"/>
      <c r="P48" s="819"/>
      <c r="Q48" s="1160"/>
      <c r="R48" s="819"/>
      <c r="S48" s="1160"/>
    </row>
    <row r="49" spans="1:19" ht="15.75" customHeight="1">
      <c r="A49" s="820"/>
      <c r="B49" s="1167"/>
      <c r="C49" s="1168"/>
      <c r="D49" s="1169"/>
      <c r="E49" s="807"/>
      <c r="F49" s="1170"/>
      <c r="G49" s="662">
        <f t="shared" si="0"/>
        <v>0</v>
      </c>
      <c r="H49" s="819"/>
      <c r="I49" s="1160"/>
      <c r="J49" s="819"/>
      <c r="K49" s="1160"/>
      <c r="L49" s="819"/>
      <c r="M49" s="1160"/>
      <c r="N49" s="819"/>
      <c r="O49" s="1160"/>
      <c r="P49" s="819"/>
      <c r="Q49" s="1160"/>
      <c r="R49" s="819"/>
      <c r="S49" s="1160"/>
    </row>
    <row r="50" spans="1:19" ht="15.75" customHeight="1">
      <c r="A50" s="820"/>
      <c r="B50" s="1173" t="s">
        <v>2606</v>
      </c>
      <c r="C50" s="1168"/>
      <c r="D50" s="1169"/>
      <c r="E50" s="807"/>
      <c r="F50" s="1170"/>
      <c r="G50" s="662">
        <f t="shared" si="0"/>
        <v>0</v>
      </c>
      <c r="H50" s="819"/>
      <c r="I50" s="1166">
        <f>SUBTOTAL(9,I51:I55)</f>
        <v>20000</v>
      </c>
      <c r="J50" s="819"/>
      <c r="K50" s="1166">
        <f>SUBTOTAL(9,K51:K55)</f>
        <v>0</v>
      </c>
      <c r="L50" s="819"/>
      <c r="M50" s="1166">
        <f>SUBTOTAL(9,M51:M55)</f>
        <v>0</v>
      </c>
      <c r="N50" s="819"/>
      <c r="O50" s="1166">
        <f>SUBTOTAL(9,O51:O55)</f>
        <v>0</v>
      </c>
      <c r="P50" s="819"/>
      <c r="Q50" s="1166">
        <f>SUBTOTAL(9,Q51:Q55)</f>
        <v>0</v>
      </c>
      <c r="R50" s="819"/>
      <c r="S50" s="1166">
        <f>SUBTOTAL(9,S51:S55)</f>
        <v>0</v>
      </c>
    </row>
    <row r="51" spans="1:19" ht="15.75" customHeight="1">
      <c r="A51" s="820"/>
      <c r="B51" s="1174"/>
      <c r="C51" s="1168"/>
      <c r="D51" s="1169">
        <v>1</v>
      </c>
      <c r="E51" s="807" t="s">
        <v>2818</v>
      </c>
      <c r="F51" s="1170">
        <v>20000</v>
      </c>
      <c r="G51" s="662">
        <f t="shared" ref="G51" si="4">ROUND(D51*F51,0)</f>
        <v>20000</v>
      </c>
      <c r="H51" s="819"/>
      <c r="I51" s="1160">
        <f t="shared" ref="I51" si="5">G51</f>
        <v>20000</v>
      </c>
      <c r="J51" s="819"/>
      <c r="K51" s="1161"/>
      <c r="L51" s="819"/>
      <c r="M51" s="1161"/>
      <c r="N51" s="819"/>
      <c r="O51" s="1161"/>
      <c r="P51" s="819"/>
      <c r="Q51" s="1161"/>
      <c r="R51" s="819"/>
      <c r="S51" s="1161"/>
    </row>
    <row r="52" spans="1:19" ht="15.75" customHeight="1">
      <c r="A52" s="820"/>
      <c r="B52" s="1173"/>
      <c r="C52" s="1168"/>
      <c r="D52" s="1169"/>
      <c r="E52" s="807"/>
      <c r="F52" s="1170"/>
      <c r="G52" s="662">
        <f t="shared" si="0"/>
        <v>0</v>
      </c>
      <c r="H52" s="819"/>
      <c r="I52" s="1160"/>
      <c r="J52" s="819"/>
      <c r="K52" s="1161"/>
      <c r="L52" s="819"/>
      <c r="M52" s="1161"/>
      <c r="N52" s="819"/>
      <c r="O52" s="1161"/>
      <c r="P52" s="819"/>
      <c r="Q52" s="1161"/>
      <c r="R52" s="819"/>
      <c r="S52" s="1161"/>
    </row>
    <row r="53" spans="1:19" ht="15.75" customHeight="1">
      <c r="A53" s="820"/>
      <c r="B53" s="1173"/>
      <c r="C53" s="1168"/>
      <c r="D53" s="1169"/>
      <c r="E53" s="807"/>
      <c r="F53" s="1170"/>
      <c r="G53" s="662">
        <f>ROUND(D53*F53,0)</f>
        <v>0</v>
      </c>
      <c r="H53" s="819"/>
      <c r="I53" s="1160"/>
      <c r="J53" s="819"/>
      <c r="K53" s="1161"/>
      <c r="L53" s="819"/>
      <c r="M53" s="1161"/>
      <c r="N53" s="819"/>
      <c r="O53" s="1161"/>
      <c r="P53" s="819"/>
      <c r="Q53" s="1161"/>
      <c r="R53" s="819"/>
      <c r="S53" s="1161"/>
    </row>
    <row r="54" spans="1:19" ht="15.75" customHeight="1">
      <c r="A54" s="820"/>
      <c r="B54" s="1173"/>
      <c r="C54" s="1168"/>
      <c r="D54" s="1169"/>
      <c r="E54" s="807"/>
      <c r="F54" s="1170"/>
      <c r="G54" s="662">
        <f>ROUND(D54*F54,0)</f>
        <v>0</v>
      </c>
      <c r="H54" s="819"/>
      <c r="I54" s="1160"/>
      <c r="J54" s="819"/>
      <c r="K54" s="1161"/>
      <c r="L54" s="819"/>
      <c r="M54" s="1161"/>
      <c r="N54" s="819"/>
      <c r="O54" s="1161"/>
      <c r="P54" s="819"/>
      <c r="Q54" s="1161"/>
      <c r="R54" s="819"/>
      <c r="S54" s="1161"/>
    </row>
    <row r="55" spans="1:19" ht="15.75" customHeight="1">
      <c r="A55" s="820"/>
      <c r="B55" s="1173"/>
      <c r="C55" s="1168"/>
      <c r="D55" s="1169"/>
      <c r="E55" s="807"/>
      <c r="F55" s="1170"/>
      <c r="G55" s="662">
        <f>ROUND(D55*F55,0)</f>
        <v>0</v>
      </c>
      <c r="H55" s="819"/>
      <c r="I55" s="1160"/>
      <c r="J55" s="819"/>
      <c r="K55" s="1161"/>
      <c r="L55" s="819"/>
      <c r="M55" s="1161"/>
      <c r="N55" s="819"/>
      <c r="O55" s="1161"/>
      <c r="P55" s="819"/>
      <c r="Q55" s="1161"/>
      <c r="R55" s="819"/>
      <c r="S55" s="1161"/>
    </row>
    <row r="56" spans="1:19">
      <c r="A56" s="13"/>
      <c r="B56" s="17" t="s">
        <v>2975</v>
      </c>
      <c r="C56" s="15"/>
      <c r="D56" s="233"/>
      <c r="E56" s="16"/>
      <c r="F56" s="17"/>
      <c r="G56" s="224">
        <f>SUM(G19:G55)</f>
        <v>73350</v>
      </c>
      <c r="H56" s="19"/>
      <c r="I56" s="235">
        <f>SUBTOTAL(9,I20:I55)</f>
        <v>73350</v>
      </c>
      <c r="J56" s="19"/>
      <c r="K56" s="235">
        <f>SUBTOTAL(9,K20:K55)</f>
        <v>0</v>
      </c>
      <c r="L56" s="19"/>
      <c r="M56" s="235">
        <f>SUBTOTAL(9,M20:M55)</f>
        <v>0</v>
      </c>
      <c r="N56" s="19"/>
      <c r="O56" s="235">
        <f>SUBTOTAL(9,O20:O55)</f>
        <v>0</v>
      </c>
      <c r="P56" s="19"/>
      <c r="Q56" s="235">
        <f>SUBTOTAL(9,Q20:Q55)</f>
        <v>0</v>
      </c>
      <c r="R56" s="19"/>
      <c r="S56" s="235">
        <f>SUBTOTAL(9,S20:S55)</f>
        <v>0</v>
      </c>
    </row>
    <row r="57" spans="1:19">
      <c r="A57" s="1175"/>
      <c r="B57" s="1176" t="s">
        <v>2976</v>
      </c>
      <c r="C57" s="1177"/>
      <c r="D57" s="1178"/>
      <c r="E57" s="1179"/>
      <c r="F57" s="1176"/>
      <c r="G57" s="618"/>
      <c r="H57" s="1180">
        <v>0</v>
      </c>
      <c r="I57" s="645"/>
      <c r="J57" s="1180">
        <v>0</v>
      </c>
      <c r="K57" s="645"/>
      <c r="L57" s="1180">
        <v>0</v>
      </c>
      <c r="M57" s="645"/>
      <c r="N57" s="1180">
        <v>0</v>
      </c>
      <c r="O57" s="645"/>
      <c r="P57" s="1180">
        <v>0</v>
      </c>
      <c r="Q57" s="645"/>
      <c r="R57" s="1180">
        <v>0</v>
      </c>
      <c r="S57" s="645"/>
    </row>
    <row r="58" spans="1:19">
      <c r="A58" s="1175"/>
      <c r="B58" s="1176" t="s">
        <v>2977</v>
      </c>
      <c r="C58" s="1177"/>
      <c r="D58" s="1178"/>
      <c r="E58" s="1179"/>
      <c r="F58" s="1176"/>
      <c r="G58" s="1181">
        <f>F57*G56</f>
        <v>0</v>
      </c>
      <c r="H58" s="1182"/>
      <c r="I58" s="1183">
        <f>H57*I56</f>
        <v>0</v>
      </c>
      <c r="J58" s="1182"/>
      <c r="K58" s="1183">
        <f>J57*K56</f>
        <v>0</v>
      </c>
      <c r="L58" s="1182"/>
      <c r="M58" s="1183">
        <f>L57*M56</f>
        <v>0</v>
      </c>
      <c r="N58" s="1182"/>
      <c r="O58" s="1183">
        <f>N57*O56</f>
        <v>0</v>
      </c>
      <c r="P58" s="1182"/>
      <c r="Q58" s="1183">
        <f>P57*Q56</f>
        <v>0</v>
      </c>
      <c r="R58" s="1182"/>
      <c r="S58" s="1183">
        <f>R57*S56</f>
        <v>0</v>
      </c>
    </row>
    <row r="59" spans="1:19">
      <c r="A59" s="1175"/>
      <c r="B59" s="1176"/>
      <c r="C59" s="1177"/>
      <c r="D59" s="1178"/>
      <c r="E59" s="1179"/>
      <c r="F59" s="1176"/>
      <c r="G59" s="1181"/>
      <c r="H59" s="1182"/>
      <c r="I59" s="1183"/>
      <c r="J59" s="1182"/>
      <c r="K59" s="1183"/>
      <c r="L59" s="1182"/>
      <c r="M59" s="1183"/>
      <c r="N59" s="1182"/>
      <c r="O59" s="1183"/>
      <c r="P59" s="1182"/>
      <c r="Q59" s="1183"/>
      <c r="R59" s="1182"/>
      <c r="S59" s="1183"/>
    </row>
    <row r="60" spans="1:19">
      <c r="A60" s="1175"/>
      <c r="B60" s="1176" t="s">
        <v>2978</v>
      </c>
      <c r="C60" s="1177"/>
      <c r="D60" s="1178"/>
      <c r="E60" s="1179"/>
      <c r="F60" s="1176"/>
      <c r="G60" s="1181">
        <f>SUM(G56:G58)</f>
        <v>73350</v>
      </c>
      <c r="H60" s="1184"/>
      <c r="I60" s="1183">
        <f>SUM(I56:I58)</f>
        <v>73350</v>
      </c>
      <c r="J60" s="1184"/>
      <c r="K60" s="1183">
        <f>SUM(K56:K58)</f>
        <v>0</v>
      </c>
      <c r="L60" s="1184"/>
      <c r="M60" s="1183">
        <f>SUM(M56:M58)</f>
        <v>0</v>
      </c>
      <c r="N60" s="1184"/>
      <c r="O60" s="1183">
        <f>SUM(O56:O58)</f>
        <v>0</v>
      </c>
      <c r="P60" s="1184"/>
      <c r="Q60" s="1183">
        <f>SUM(Q56:Q58)</f>
        <v>0</v>
      </c>
      <c r="R60" s="1184"/>
      <c r="S60" s="1183">
        <f>SUM(S56:S58)</f>
        <v>0</v>
      </c>
    </row>
    <row r="61" spans="1:19">
      <c r="A61" s="1175"/>
      <c r="B61" s="1185" t="s">
        <v>2979</v>
      </c>
      <c r="C61" s="1177"/>
      <c r="D61" s="1178"/>
      <c r="E61" s="1179"/>
      <c r="F61" s="1185"/>
      <c r="G61" s="1186">
        <v>0.35521916790490343</v>
      </c>
      <c r="H61" s="1187"/>
      <c r="I61" s="1188">
        <v>0.35521916790490343</v>
      </c>
      <c r="J61" s="1187"/>
      <c r="K61" s="1188">
        <v>0</v>
      </c>
      <c r="L61" s="1187"/>
      <c r="M61" s="1188">
        <v>0</v>
      </c>
      <c r="N61" s="1187"/>
      <c r="O61" s="1188">
        <v>0</v>
      </c>
      <c r="P61" s="1187"/>
      <c r="Q61" s="1188">
        <v>0</v>
      </c>
      <c r="R61" s="1189"/>
      <c r="S61" s="1188">
        <v>0</v>
      </c>
    </row>
    <row r="62" spans="1:19">
      <c r="A62" s="1175"/>
      <c r="B62" s="1190"/>
      <c r="C62" s="1177"/>
      <c r="D62" s="1178"/>
      <c r="E62" s="1179"/>
      <c r="F62" s="1176"/>
      <c r="G62" s="656"/>
      <c r="H62" s="1191"/>
      <c r="I62" s="1192"/>
      <c r="J62" s="1191"/>
      <c r="K62" s="1191"/>
      <c r="L62" s="1191"/>
      <c r="M62" s="1191"/>
      <c r="N62" s="1191"/>
      <c r="O62" s="1191"/>
      <c r="P62" s="1191"/>
      <c r="Q62" s="1191"/>
      <c r="R62" s="1191"/>
      <c r="S62" s="1191"/>
    </row>
    <row r="63" spans="1:19" ht="16.5" hidden="1" thickTop="1" thickBot="1">
      <c r="A63" s="830" t="s">
        <v>2980</v>
      </c>
      <c r="B63" s="831"/>
      <c r="C63" s="12"/>
      <c r="D63" s="234"/>
      <c r="E63" s="12"/>
      <c r="F63" s="12"/>
      <c r="G63" s="228"/>
      <c r="H63" s="20"/>
      <c r="I63" s="20"/>
      <c r="J63" s="20"/>
      <c r="K63" s="20"/>
      <c r="L63" s="20"/>
      <c r="M63" s="20"/>
      <c r="N63" s="20"/>
      <c r="O63" s="20"/>
      <c r="P63" s="20"/>
      <c r="Q63" s="20"/>
      <c r="R63" s="20"/>
      <c r="S63" s="20"/>
    </row>
    <row r="64" spans="1:19" ht="15.75" hidden="1" thickTop="1">
      <c r="A64" s="823"/>
      <c r="B64" s="806"/>
      <c r="C64" s="824"/>
      <c r="D64" s="1193"/>
      <c r="E64" s="824"/>
      <c r="F64" s="824"/>
      <c r="G64" s="1194"/>
      <c r="H64" s="825"/>
      <c r="I64" s="825"/>
      <c r="J64" s="825"/>
      <c r="K64" s="825"/>
      <c r="L64" s="825"/>
      <c r="M64" s="825"/>
      <c r="N64" s="825"/>
      <c r="O64" s="825"/>
      <c r="P64" s="825"/>
      <c r="Q64" s="825"/>
      <c r="R64" s="825"/>
      <c r="S64" s="825"/>
    </row>
    <row r="65" spans="1:34" hidden="1">
      <c r="A65" s="823"/>
      <c r="B65" s="806"/>
      <c r="C65" s="824"/>
      <c r="D65" s="1193"/>
      <c r="E65" s="824"/>
      <c r="F65" s="824"/>
      <c r="G65" s="1194"/>
      <c r="H65" s="825"/>
      <c r="I65" s="825"/>
      <c r="J65" s="825"/>
      <c r="K65" s="825"/>
      <c r="L65" s="825"/>
      <c r="M65" s="825"/>
      <c r="N65" s="825"/>
      <c r="O65" s="825"/>
      <c r="P65" s="825"/>
      <c r="Q65" s="825"/>
      <c r="R65" s="825"/>
      <c r="S65" s="825"/>
    </row>
    <row r="66" spans="1:34" ht="15.75" hidden="1" thickBot="1">
      <c r="A66" s="823"/>
      <c r="B66" s="806"/>
      <c r="C66" s="824"/>
      <c r="D66" s="1193"/>
      <c r="E66" s="824"/>
      <c r="F66" s="824"/>
      <c r="G66" s="1194"/>
      <c r="H66" s="825"/>
      <c r="I66" s="825"/>
      <c r="J66" s="825"/>
      <c r="K66" s="825"/>
      <c r="L66" s="825"/>
      <c r="M66" s="825"/>
      <c r="N66" s="825"/>
      <c r="O66" s="825"/>
      <c r="P66" s="825"/>
      <c r="Q66" s="825"/>
      <c r="R66" s="825"/>
      <c r="S66" s="825"/>
    </row>
    <row r="67" spans="1:34" s="2" customFormat="1" ht="16.5" hidden="1" thickTop="1" thickBot="1">
      <c r="A67" s="830" t="s">
        <v>2981</v>
      </c>
      <c r="B67" s="831"/>
      <c r="C67" s="12"/>
      <c r="D67" s="234"/>
      <c r="E67" s="12"/>
      <c r="F67" s="12"/>
      <c r="G67" s="228"/>
      <c r="H67" s="20"/>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hidden="1" thickTop="1">
      <c r="A68" s="823"/>
      <c r="B68" s="806"/>
      <c r="C68" s="824"/>
      <c r="D68" s="1193"/>
      <c r="E68" s="824"/>
      <c r="F68" s="824"/>
      <c r="G68" s="1194"/>
      <c r="H68" s="825"/>
      <c r="I68" s="825"/>
      <c r="J68" s="825"/>
      <c r="K68" s="825"/>
      <c r="L68" s="825"/>
      <c r="M68" s="825"/>
      <c r="N68" s="825"/>
      <c r="O68" s="825"/>
      <c r="P68" s="825"/>
      <c r="Q68" s="825"/>
      <c r="R68" s="825"/>
      <c r="S68" s="825"/>
      <c r="T68"/>
      <c r="U68"/>
      <c r="V68"/>
      <c r="W68"/>
      <c r="X68"/>
      <c r="Y68"/>
      <c r="Z68"/>
      <c r="AA68"/>
      <c r="AB68"/>
      <c r="AC68"/>
      <c r="AD68"/>
      <c r="AE68"/>
      <c r="AF68"/>
      <c r="AG68"/>
      <c r="AH68"/>
    </row>
    <row r="69" spans="1:34" s="2" customFormat="1" hidden="1">
      <c r="A69" s="823"/>
      <c r="B69" s="806"/>
      <c r="C69" s="824"/>
      <c r="D69" s="1193"/>
      <c r="E69" s="824"/>
      <c r="F69" s="824"/>
      <c r="G69" s="1194"/>
      <c r="H69" s="825"/>
      <c r="I69" s="825"/>
      <c r="J69" s="825"/>
      <c r="K69" s="825"/>
      <c r="L69" s="825"/>
      <c r="M69" s="825"/>
      <c r="N69" s="825"/>
      <c r="O69" s="825"/>
      <c r="P69" s="825"/>
      <c r="Q69" s="825"/>
      <c r="R69" s="825"/>
      <c r="S69" s="825"/>
      <c r="T69"/>
      <c r="U69"/>
      <c r="V69"/>
      <c r="W69"/>
      <c r="X69"/>
      <c r="Y69"/>
      <c r="Z69"/>
      <c r="AA69"/>
      <c r="AB69"/>
      <c r="AC69"/>
      <c r="AD69"/>
      <c r="AE69"/>
      <c r="AF69"/>
      <c r="AG69"/>
      <c r="AH69"/>
    </row>
    <row r="70" spans="1:34" ht="15.75" hidden="1" thickBot="1">
      <c r="A70" s="823"/>
      <c r="B70" s="806"/>
      <c r="C70" s="824"/>
      <c r="D70" s="1193"/>
      <c r="E70" s="824"/>
      <c r="F70" s="824"/>
      <c r="G70" s="1194"/>
      <c r="H70" s="825"/>
      <c r="I70" s="825"/>
      <c r="J70" s="825"/>
      <c r="K70" s="825"/>
      <c r="L70" s="825"/>
      <c r="M70" s="825"/>
      <c r="N70" s="825"/>
      <c r="O70" s="825"/>
      <c r="P70" s="825"/>
      <c r="Q70" s="825"/>
      <c r="R70" s="825"/>
      <c r="S70" s="825"/>
    </row>
    <row r="71" spans="1:34" s="2" customFormat="1" ht="16.5" hidden="1" thickTop="1" thickBot="1">
      <c r="A71" s="830" t="s">
        <v>2982</v>
      </c>
      <c r="B71" s="831"/>
      <c r="C71" s="12"/>
      <c r="D71" s="234"/>
      <c r="E71" s="12"/>
      <c r="F71" s="12"/>
      <c r="G71" s="228"/>
      <c r="H71" s="20"/>
      <c r="I71" s="20"/>
      <c r="J71" s="20"/>
      <c r="K71" s="20"/>
      <c r="L71" s="20"/>
      <c r="M71" s="20"/>
      <c r="N71" s="20"/>
      <c r="O71" s="20"/>
      <c r="P71" s="20"/>
      <c r="Q71" s="20"/>
      <c r="R71" s="20"/>
      <c r="S71" s="20"/>
      <c r="T71"/>
      <c r="U71"/>
      <c r="V71"/>
      <c r="W71"/>
      <c r="X71"/>
      <c r="Y71"/>
      <c r="Z71"/>
      <c r="AA71"/>
      <c r="AB71"/>
      <c r="AC71"/>
      <c r="AD71"/>
      <c r="AE71"/>
      <c r="AF71"/>
      <c r="AG71"/>
      <c r="AH71"/>
    </row>
    <row r="72" spans="1:34" s="2" customFormat="1" ht="15.75" hidden="1" thickTop="1">
      <c r="A72" s="823"/>
      <c r="B72" s="806"/>
      <c r="C72" s="824"/>
      <c r="D72" s="1193"/>
      <c r="E72" s="824"/>
      <c r="F72" s="824"/>
      <c r="G72" s="1194"/>
      <c r="H72" s="825"/>
      <c r="I72" s="825"/>
      <c r="J72" s="825"/>
      <c r="K72" s="825"/>
      <c r="L72" s="825"/>
      <c r="M72" s="825"/>
      <c r="N72" s="825"/>
      <c r="O72" s="825"/>
      <c r="P72" s="825"/>
      <c r="Q72" s="825"/>
      <c r="R72" s="825"/>
      <c r="S72" s="825"/>
      <c r="T72"/>
      <c r="U72"/>
      <c r="V72"/>
      <c r="W72"/>
      <c r="X72"/>
      <c r="Y72"/>
      <c r="Z72"/>
      <c r="AA72"/>
      <c r="AB72"/>
      <c r="AC72"/>
      <c r="AD72"/>
      <c r="AE72"/>
      <c r="AF72"/>
      <c r="AG72"/>
      <c r="AH72"/>
    </row>
    <row r="73" spans="1:34" s="2" customFormat="1" hidden="1">
      <c r="A73" s="1195"/>
      <c r="B73" s="806"/>
      <c r="C73" s="807"/>
      <c r="D73" s="1145"/>
      <c r="E73" s="807"/>
      <c r="F73" s="807"/>
      <c r="G73" s="1196"/>
      <c r="H73" s="1197"/>
      <c r="I73" s="1197"/>
      <c r="J73" s="1197"/>
      <c r="K73" s="1197"/>
      <c r="L73" s="1197"/>
      <c r="M73" s="1197"/>
      <c r="N73" s="1197"/>
      <c r="O73" s="1197"/>
      <c r="P73" s="1197"/>
      <c r="Q73" s="1197"/>
      <c r="R73" s="1197"/>
      <c r="S73" s="1197"/>
      <c r="T73"/>
      <c r="U73"/>
      <c r="V73"/>
      <c r="W73"/>
      <c r="X73"/>
      <c r="Y73"/>
      <c r="Z73"/>
      <c r="AA73"/>
      <c r="AB73"/>
      <c r="AC73"/>
      <c r="AD73"/>
      <c r="AE73"/>
      <c r="AF73"/>
      <c r="AG73"/>
      <c r="AH73"/>
    </row>
    <row r="74" spans="1:34" s="2" customFormat="1" ht="15.75" hidden="1" thickBot="1">
      <c r="A74" s="1198"/>
      <c r="B74" s="1199"/>
      <c r="C74" s="807"/>
      <c r="D74" s="1145"/>
      <c r="E74" s="807"/>
      <c r="F74" s="807"/>
      <c r="G74" s="1196"/>
      <c r="H74" s="1200"/>
      <c r="I74" s="1200"/>
      <c r="J74" s="1200"/>
      <c r="K74" s="1200"/>
      <c r="L74" s="1200"/>
      <c r="M74" s="1200"/>
      <c r="N74" s="1200"/>
      <c r="O74" s="1200"/>
      <c r="P74" s="1200"/>
      <c r="Q74" s="1200"/>
      <c r="R74" s="1200"/>
      <c r="S74" s="1200"/>
    </row>
    <row r="75" spans="1:34" s="2" customFormat="1" ht="16.5" hidden="1" thickTop="1" thickBot="1">
      <c r="A75" s="830" t="s">
        <v>2983</v>
      </c>
      <c r="B75" s="831"/>
      <c r="C75" s="12"/>
      <c r="D75" s="234"/>
      <c r="E75" s="12"/>
      <c r="F75" s="12"/>
      <c r="G75" s="228"/>
      <c r="H75" s="20"/>
      <c r="I75" s="20"/>
      <c r="J75" s="20"/>
      <c r="K75" s="20"/>
      <c r="L75" s="20"/>
      <c r="M75" s="20"/>
      <c r="N75" s="20"/>
      <c r="O75" s="20"/>
      <c r="P75" s="20"/>
      <c r="Q75" s="20"/>
      <c r="R75" s="20"/>
      <c r="S75" s="20"/>
      <c r="T75"/>
      <c r="U75"/>
      <c r="V75"/>
      <c r="W75"/>
      <c r="X75"/>
      <c r="Y75"/>
      <c r="Z75"/>
      <c r="AA75"/>
      <c r="AB75"/>
      <c r="AC75"/>
      <c r="AD75"/>
      <c r="AE75"/>
      <c r="AF75"/>
      <c r="AG75"/>
      <c r="AH75"/>
    </row>
    <row r="76" spans="1:34" ht="15.75" hidden="1" thickTop="1">
      <c r="A76" s="826"/>
      <c r="B76" s="827"/>
      <c r="C76" s="824"/>
      <c r="D76" s="1193"/>
      <c r="E76" s="824"/>
      <c r="F76" s="824"/>
      <c r="G76" s="1194"/>
      <c r="H76" s="825"/>
      <c r="I76" s="825"/>
      <c r="J76" s="825"/>
      <c r="K76" s="825"/>
      <c r="L76" s="825"/>
      <c r="M76" s="825"/>
      <c r="N76" s="825"/>
      <c r="O76" s="825"/>
      <c r="P76" s="825"/>
      <c r="Q76" s="825"/>
      <c r="R76" s="825"/>
      <c r="S76" s="825"/>
      <c r="T76" s="2"/>
      <c r="U76" s="2"/>
      <c r="V76" s="2"/>
      <c r="W76" s="2"/>
      <c r="X76" s="2"/>
      <c r="Y76" s="2"/>
      <c r="Z76" s="2"/>
      <c r="AA76" s="2"/>
      <c r="AB76" s="2"/>
      <c r="AC76" s="2"/>
      <c r="AD76" s="2"/>
      <c r="AE76" s="2"/>
      <c r="AF76" s="2"/>
      <c r="AG76" s="2"/>
      <c r="AH76" s="2"/>
    </row>
    <row r="77" spans="1:34" hidden="1">
      <c r="A77" s="1198"/>
      <c r="B77" s="1199"/>
      <c r="C77" s="807"/>
      <c r="D77" s="1145"/>
      <c r="E77" s="807"/>
      <c r="F77" s="807"/>
      <c r="G77" s="1196"/>
      <c r="H77" s="1201"/>
      <c r="I77" s="1201"/>
      <c r="J77" s="1201"/>
      <c r="K77" s="1201"/>
      <c r="L77" s="1201"/>
      <c r="M77" s="1201"/>
      <c r="N77" s="1201"/>
      <c r="O77" s="1201"/>
      <c r="P77" s="1201"/>
      <c r="Q77" s="1201"/>
      <c r="R77" s="1201"/>
      <c r="S77" s="1201"/>
      <c r="T77" s="2"/>
      <c r="U77" s="2"/>
      <c r="V77" s="2"/>
      <c r="W77" s="2"/>
      <c r="X77" s="2"/>
      <c r="Y77" s="2"/>
      <c r="Z77" s="2"/>
      <c r="AA77" s="2"/>
      <c r="AB77" s="2"/>
      <c r="AC77" s="2"/>
      <c r="AD77" s="2"/>
      <c r="AE77" s="2"/>
      <c r="AF77" s="2"/>
      <c r="AG77" s="2"/>
      <c r="AH77" s="2"/>
    </row>
    <row r="78" spans="1:34" ht="15.75" hidden="1" thickBot="1">
      <c r="A78" s="1198"/>
      <c r="B78" s="1199"/>
      <c r="C78" s="807"/>
      <c r="D78" s="1145"/>
      <c r="E78" s="807"/>
      <c r="F78" s="807"/>
      <c r="G78" s="1196"/>
      <c r="H78" s="1201"/>
      <c r="I78" s="1201"/>
      <c r="J78" s="1201"/>
      <c r="K78" s="1201"/>
      <c r="L78" s="1201"/>
      <c r="M78" s="1201"/>
      <c r="N78" s="1201"/>
      <c r="O78" s="1201"/>
      <c r="P78" s="1201"/>
      <c r="Q78" s="1201"/>
      <c r="R78" s="1201"/>
      <c r="S78" s="1201"/>
      <c r="T78" s="2"/>
      <c r="U78" s="2"/>
      <c r="V78" s="2"/>
      <c r="W78" s="2"/>
      <c r="X78" s="2"/>
      <c r="Y78" s="2"/>
      <c r="Z78" s="2"/>
      <c r="AA78" s="2"/>
      <c r="AB78" s="2"/>
      <c r="AC78" s="2"/>
      <c r="AD78" s="2"/>
      <c r="AE78" s="2"/>
      <c r="AF78" s="2"/>
      <c r="AG78" s="2"/>
      <c r="AH78" s="2"/>
    </row>
    <row r="79" spans="1:34" ht="16.5" hidden="1" thickTop="1" thickBot="1">
      <c r="A79" s="830" t="s">
        <v>2984</v>
      </c>
      <c r="B79" s="831"/>
      <c r="C79" s="12"/>
      <c r="D79" s="234"/>
      <c r="E79" s="12"/>
      <c r="F79" s="12"/>
      <c r="G79" s="228"/>
      <c r="H79" s="20"/>
      <c r="I79" s="20"/>
      <c r="J79" s="20"/>
      <c r="K79" s="20"/>
      <c r="L79" s="20"/>
      <c r="M79" s="20"/>
      <c r="N79" s="20"/>
      <c r="O79" s="20"/>
      <c r="P79" s="20"/>
      <c r="Q79" s="20"/>
      <c r="R79" s="20"/>
      <c r="S79" s="20"/>
    </row>
    <row r="80" spans="1:34" ht="15.75" hidden="1" thickTop="1">
      <c r="A80" s="1195"/>
      <c r="B80" s="806" t="s">
        <v>2985</v>
      </c>
      <c r="C80" s="807"/>
      <c r="D80" s="1145"/>
      <c r="E80" s="807"/>
      <c r="F80" s="807"/>
      <c r="G80" s="1196"/>
      <c r="H80" s="1201"/>
      <c r="I80" s="1201"/>
      <c r="J80" s="1201"/>
      <c r="K80" s="1201"/>
      <c r="L80" s="1201"/>
      <c r="M80" s="1201"/>
      <c r="N80" s="1201"/>
      <c r="O80" s="1201"/>
      <c r="P80" s="1201"/>
      <c r="Q80" s="1201"/>
      <c r="R80" s="1201"/>
      <c r="S80" s="1201"/>
    </row>
    <row r="81" spans="1:19" hidden="1">
      <c r="A81" s="1195"/>
      <c r="B81" s="806" t="s">
        <v>2986</v>
      </c>
      <c r="C81" s="807"/>
      <c r="D81" s="1145"/>
      <c r="E81" s="807"/>
      <c r="F81" s="807"/>
      <c r="G81" s="1196"/>
      <c r="H81" s="1201"/>
      <c r="I81" s="1201"/>
      <c r="J81" s="1201"/>
      <c r="K81" s="1201"/>
      <c r="L81" s="1201"/>
      <c r="M81" s="1201"/>
      <c r="N81" s="1201"/>
      <c r="O81" s="1201"/>
      <c r="P81" s="1201"/>
      <c r="Q81" s="1201"/>
      <c r="R81" s="1201"/>
      <c r="S81" s="1201"/>
    </row>
    <row r="82" spans="1:19" hidden="1">
      <c r="A82" s="1195"/>
      <c r="B82" s="806" t="s">
        <v>2987</v>
      </c>
      <c r="C82" s="807"/>
      <c r="D82" s="1145"/>
      <c r="E82" s="807"/>
      <c r="F82" s="807"/>
      <c r="G82" s="1196"/>
      <c r="H82" s="1201"/>
      <c r="I82" s="1201"/>
      <c r="J82" s="1201"/>
      <c r="K82" s="1201"/>
      <c r="L82" s="1201"/>
      <c r="M82" s="1201"/>
      <c r="N82" s="1201"/>
      <c r="O82" s="1201"/>
      <c r="P82" s="1201"/>
      <c r="Q82" s="1201"/>
      <c r="R82" s="1201"/>
      <c r="S82" s="1201"/>
    </row>
    <row r="83" spans="1:19" hidden="1">
      <c r="A83" s="1195"/>
      <c r="B83" s="806" t="s">
        <v>2988</v>
      </c>
      <c r="C83" s="807"/>
      <c r="D83" s="1145"/>
      <c r="E83" s="807"/>
      <c r="F83" s="807"/>
      <c r="G83" s="1196"/>
      <c r="H83" s="1201"/>
      <c r="I83" s="1201"/>
      <c r="J83" s="1201"/>
      <c r="K83" s="1201"/>
      <c r="L83" s="1201"/>
      <c r="M83" s="1201"/>
      <c r="N83" s="1201"/>
      <c r="O83" s="1201"/>
      <c r="P83" s="1201"/>
      <c r="Q83" s="1201"/>
      <c r="R83" s="1201"/>
      <c r="S83" s="1201"/>
    </row>
    <row r="84" spans="1:19" ht="15.75" hidden="1" thickBot="1">
      <c r="A84" s="646"/>
      <c r="B84" s="619"/>
      <c r="C84" s="616"/>
      <c r="D84" s="617"/>
      <c r="E84" s="616"/>
      <c r="F84" s="616"/>
      <c r="G84" s="620"/>
      <c r="H84" s="647"/>
      <c r="I84" s="647"/>
      <c r="J84" s="647"/>
      <c r="K84" s="647"/>
      <c r="L84" s="647"/>
      <c r="M84" s="647"/>
      <c r="N84" s="647"/>
      <c r="O84" s="647"/>
      <c r="P84" s="647"/>
      <c r="Q84" s="647"/>
      <c r="R84" s="647"/>
      <c r="S84" s="647"/>
    </row>
    <row r="85" spans="1:19" ht="16.5" hidden="1" thickTop="1" thickBot="1">
      <c r="A85" s="7" t="s">
        <v>2989</v>
      </c>
      <c r="B85" s="8"/>
      <c r="C85" s="12"/>
      <c r="D85" s="234"/>
      <c r="E85" s="12"/>
      <c r="F85" s="12"/>
      <c r="G85" s="228"/>
      <c r="H85" s="20"/>
      <c r="I85" s="20"/>
      <c r="J85" s="20"/>
      <c r="K85" s="20"/>
      <c r="L85" s="20"/>
      <c r="M85" s="20"/>
      <c r="N85" s="20"/>
      <c r="O85" s="20"/>
      <c r="P85" s="20"/>
      <c r="Q85" s="20"/>
      <c r="R85" s="20"/>
      <c r="S85" s="20"/>
    </row>
    <row r="86" spans="1:19" ht="15.75" hidden="1" thickTop="1">
      <c r="A86" s="823"/>
      <c r="B86" s="828" t="s">
        <v>2990</v>
      </c>
      <c r="C86" s="824"/>
      <c r="D86" s="1193"/>
      <c r="E86" s="824"/>
      <c r="F86" s="824"/>
      <c r="G86" s="1194"/>
      <c r="H86" s="829"/>
      <c r="I86" s="829"/>
      <c r="J86" s="829"/>
      <c r="K86" s="829"/>
      <c r="L86" s="829"/>
      <c r="M86" s="829"/>
      <c r="N86" s="829"/>
      <c r="O86" s="829"/>
      <c r="P86" s="829"/>
      <c r="Q86" s="829"/>
      <c r="R86" s="829"/>
      <c r="S86" s="829"/>
    </row>
    <row r="87" spans="1:19" hidden="1">
      <c r="A87" s="1195"/>
      <c r="B87" s="806" t="s">
        <v>2991</v>
      </c>
      <c r="C87" s="807"/>
      <c r="D87" s="1145"/>
      <c r="E87" s="807"/>
      <c r="F87" s="807"/>
      <c r="G87" s="1196"/>
      <c r="H87" s="1202"/>
      <c r="I87" s="1202"/>
      <c r="J87" s="1202"/>
      <c r="K87" s="1202"/>
      <c r="L87" s="1202"/>
      <c r="M87" s="1202"/>
      <c r="N87" s="1202"/>
      <c r="O87" s="1202"/>
      <c r="P87" s="1202"/>
      <c r="Q87" s="1202"/>
      <c r="R87" s="1202"/>
      <c r="S87" s="1202"/>
    </row>
    <row r="88" spans="1:19" ht="15.75" hidden="1" thickBot="1">
      <c r="A88" s="800"/>
      <c r="B88" s="812" t="s">
        <v>2992</v>
      </c>
      <c r="C88" s="813"/>
      <c r="D88" s="1203"/>
      <c r="E88" s="813"/>
      <c r="F88" s="813"/>
      <c r="G88" s="802"/>
      <c r="H88" s="803"/>
      <c r="I88" s="803"/>
      <c r="J88" s="803"/>
      <c r="K88" s="803"/>
      <c r="L88" s="803"/>
      <c r="M88" s="803"/>
      <c r="N88" s="803"/>
      <c r="O88" s="803"/>
      <c r="P88" s="803"/>
      <c r="Q88" s="803"/>
      <c r="R88" s="803"/>
      <c r="S88" s="803"/>
    </row>
    <row r="89" spans="1:19" ht="15.75" thickBot="1"/>
    <row r="90" spans="1:19" ht="16.5" thickTop="1" thickBot="1">
      <c r="A90" s="59" t="s">
        <v>2993</v>
      </c>
      <c r="B90" s="61"/>
    </row>
    <row r="91" spans="1:19" ht="15.75" thickTop="1">
      <c r="A91" s="60" t="s">
        <v>2936</v>
      </c>
      <c r="B91" s="1204"/>
    </row>
    <row r="92" spans="1:19">
      <c r="A92" s="1205" t="s">
        <v>2939</v>
      </c>
      <c r="B92" s="1204"/>
    </row>
    <row r="93" spans="1:19">
      <c r="A93" s="1206" t="s">
        <v>2941</v>
      </c>
      <c r="B93" s="1207"/>
    </row>
    <row r="94" spans="1:19">
      <c r="A94" s="1206" t="s">
        <v>2943</v>
      </c>
      <c r="B94" s="1208"/>
    </row>
    <row r="95" spans="1:19" ht="15.75" thickBot="1">
      <c r="A95" s="804" t="s">
        <v>2994</v>
      </c>
      <c r="B95" s="805">
        <f>$I$60</f>
        <v>73350</v>
      </c>
    </row>
    <row r="96" spans="1:19" ht="15.75" thickTop="1"/>
    <row r="97" spans="1:2">
      <c r="A97" s="62"/>
      <c r="B97" s="1" t="s">
        <v>2995</v>
      </c>
    </row>
    <row r="98" spans="1:2">
      <c r="A98" s="63"/>
      <c r="B98" s="1" t="s">
        <v>2996</v>
      </c>
    </row>
  </sheetData>
  <mergeCells count="35">
    <mergeCell ref="R5:S5"/>
    <mergeCell ref="R6:S6"/>
    <mergeCell ref="R7:S7"/>
    <mergeCell ref="R8:S8"/>
    <mergeCell ref="R9:S9"/>
    <mergeCell ref="H5:I5"/>
    <mergeCell ref="H6:I6"/>
    <mergeCell ref="H7:I7"/>
    <mergeCell ref="L5:M5"/>
    <mergeCell ref="L6:M6"/>
    <mergeCell ref="L7:M7"/>
    <mergeCell ref="P5:Q5"/>
    <mergeCell ref="P6:Q6"/>
    <mergeCell ref="P7:Q7"/>
    <mergeCell ref="H8:I8"/>
    <mergeCell ref="H9:I9"/>
    <mergeCell ref="J5:K5"/>
    <mergeCell ref="J6:K6"/>
    <mergeCell ref="J7:K7"/>
    <mergeCell ref="J8:K8"/>
    <mergeCell ref="J9:K9"/>
    <mergeCell ref="P8:Q8"/>
    <mergeCell ref="P9:Q9"/>
    <mergeCell ref="L8:M8"/>
    <mergeCell ref="L9:M9"/>
    <mergeCell ref="N5:O5"/>
    <mergeCell ref="N6:O6"/>
    <mergeCell ref="A71:B71"/>
    <mergeCell ref="A75:B75"/>
    <mergeCell ref="A79:B79"/>
    <mergeCell ref="N7:O7"/>
    <mergeCell ref="N8:O8"/>
    <mergeCell ref="N9:O9"/>
    <mergeCell ref="A63:B63"/>
    <mergeCell ref="A67:B67"/>
  </mergeCells>
  <conditionalFormatting sqref="H11:H18 J11:J18 L11:L18 N11:N18 P11:P18 R11:R18 H20:H55 J20:J55 L20:L55 N20:N55 P20:P55 R20:R55">
    <cfRule type="cellIs" dxfId="305" priority="5" operator="equal">
      <formula>"X"</formula>
    </cfRule>
    <cfRule type="cellIs" dxfId="304" priority="6" operator="equal">
      <formula>"I"</formula>
    </cfRule>
  </conditionalFormatting>
  <hyperlinks>
    <hyperlink ref="B4" location="'Cost Summary'!A1" display="BACK TO SUMMARY SHEET" xr:uid="{DC049964-6877-4B4F-BF56-9A8BD679A4D5}"/>
  </hyperlinks>
  <pageMargins left="0.2" right="0.2" top="0.5" bottom="0.25" header="0.3" footer="0.3"/>
  <pageSetup paperSize="3" scale="77"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rgb="FFFFFF00"/>
    <pageSetUpPr fitToPage="1"/>
  </sheetPr>
  <dimension ref="A1:AI303"/>
  <sheetViews>
    <sheetView zoomScale="90" zoomScaleNormal="90" workbookViewId="0">
      <pane xSplit="3" ySplit="11" topLeftCell="D92" activePane="bottomRight" state="frozen"/>
      <selection pane="bottomRight" activeCell="F142" sqref="F142"/>
      <selection pane="bottomLeft" activeCell="B4" sqref="B4"/>
      <selection pane="topRight"/>
    </sheetView>
  </sheetViews>
  <sheetFormatPr defaultColWidth="8.85546875" defaultRowHeight="15" outlineLevelRow="1"/>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36"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0" max="20" width="7.42578125" style="2" bestFit="1" customWidth="1"/>
    <col min="21" max="21" width="14.85546875" style="2" customWidth="1"/>
    <col min="22" max="22" width="9.140625" bestFit="1" customWidth="1"/>
    <col min="23" max="23" width="67.42578125" style="58" customWidth="1"/>
    <col min="24" max="24" width="19.140625" bestFit="1" customWidth="1"/>
    <col min="25" max="25" width="7" bestFit="1" customWidth="1"/>
    <col min="26" max="26" width="7.85546875" bestFit="1" customWidth="1"/>
    <col min="27" max="27" width="4.42578125" bestFit="1" customWidth="1"/>
    <col min="28" max="28" width="6.85546875" bestFit="1" customWidth="1"/>
    <col min="29" max="29" width="11.42578125" bestFit="1" customWidth="1"/>
    <col min="30" max="30" width="9.140625" style="300"/>
    <col min="31" max="31" width="11.140625" style="300" bestFit="1" customWidth="1"/>
  </cols>
  <sheetData>
    <row r="1" spans="1:31">
      <c r="D1" s="231"/>
      <c r="E1" s="2"/>
      <c r="F1" s="178"/>
      <c r="G1" s="56" t="s">
        <v>2928</v>
      </c>
    </row>
    <row r="2" spans="1:31">
      <c r="D2" s="231"/>
      <c r="E2" s="2"/>
      <c r="F2" s="179" t="s">
        <v>2929</v>
      </c>
      <c r="G2" s="56" t="s">
        <v>2930</v>
      </c>
    </row>
    <row r="3" spans="1:31">
      <c r="D3" s="231"/>
      <c r="E3" s="2"/>
      <c r="F3" s="180" t="s">
        <v>2931</v>
      </c>
      <c r="G3" s="56" t="s">
        <v>2932</v>
      </c>
    </row>
    <row r="4" spans="1:31" ht="15.75" thickBot="1">
      <c r="B4" s="181" t="s">
        <v>2933</v>
      </c>
      <c r="D4" s="231"/>
      <c r="E4" s="2"/>
      <c r="F4" s="170"/>
      <c r="G4" s="2" t="s">
        <v>2934</v>
      </c>
    </row>
    <row r="5" spans="1:31" ht="15.75" thickBot="1">
      <c r="B5" s="181"/>
      <c r="D5" s="924" t="s">
        <v>2997</v>
      </c>
      <c r="E5" s="925"/>
      <c r="F5" s="925"/>
      <c r="G5" s="926"/>
      <c r="H5" s="931" t="s">
        <v>2998</v>
      </c>
      <c r="I5" s="932"/>
      <c r="J5" s="933" t="s">
        <v>2999</v>
      </c>
      <c r="K5" s="934"/>
      <c r="L5" s="935" t="s">
        <v>2999</v>
      </c>
      <c r="M5" s="936"/>
      <c r="N5" s="937" t="s">
        <v>2998</v>
      </c>
      <c r="O5" s="930"/>
      <c r="P5" s="927" t="str">
        <f>L5</f>
        <v>NO</v>
      </c>
      <c r="Q5" s="928"/>
      <c r="R5" s="927" t="str">
        <f>N5</f>
        <v>YES</v>
      </c>
      <c r="S5" s="928"/>
      <c r="T5" s="929" t="s">
        <v>2998</v>
      </c>
      <c r="U5" s="930"/>
    </row>
    <row r="6" spans="1:31" ht="15.75" thickTop="1">
      <c r="A6" s="3" t="s">
        <v>2935</v>
      </c>
      <c r="B6" s="4" t="s">
        <v>84</v>
      </c>
      <c r="C6" s="5"/>
      <c r="D6" s="232"/>
      <c r="E6" s="5"/>
      <c r="F6" s="5"/>
      <c r="G6" s="6" t="s">
        <v>2936</v>
      </c>
      <c r="H6" s="1209" t="s">
        <v>3000</v>
      </c>
      <c r="I6" s="1210"/>
      <c r="J6" s="1209" t="s">
        <v>3001</v>
      </c>
      <c r="K6" s="1210"/>
      <c r="L6" s="1209" t="s">
        <v>3002</v>
      </c>
      <c r="M6" s="1210"/>
      <c r="N6" s="1209" t="s">
        <v>3003</v>
      </c>
      <c r="O6" s="1210"/>
      <c r="P6" s="1209" t="s">
        <v>3004</v>
      </c>
      <c r="Q6" s="1210"/>
      <c r="R6" s="1209" t="s">
        <v>3005</v>
      </c>
      <c r="S6" s="1210"/>
      <c r="T6" s="1209" t="s">
        <v>3006</v>
      </c>
      <c r="U6" s="1210"/>
    </row>
    <row r="7" spans="1:31">
      <c r="A7" s="1211" t="s">
        <v>2938</v>
      </c>
      <c r="B7" s="1212" t="s">
        <v>2552</v>
      </c>
      <c r="C7" s="1213"/>
      <c r="D7" s="1214"/>
      <c r="E7" s="1213"/>
      <c r="F7" s="1213"/>
      <c r="G7" s="657" t="s">
        <v>2939</v>
      </c>
      <c r="H7" s="1215" t="s">
        <v>3007</v>
      </c>
      <c r="I7" s="843"/>
      <c r="J7" s="1215" t="s">
        <v>3008</v>
      </c>
      <c r="K7" s="843"/>
      <c r="L7" s="1215" t="s">
        <v>3009</v>
      </c>
      <c r="M7" s="843"/>
      <c r="N7" s="1215" t="s">
        <v>3010</v>
      </c>
      <c r="O7" s="843"/>
      <c r="P7" s="1215" t="s">
        <v>3011</v>
      </c>
      <c r="Q7" s="843"/>
      <c r="R7" s="1215" t="s">
        <v>3012</v>
      </c>
      <c r="S7" s="843"/>
      <c r="T7" s="1215" t="s">
        <v>3013</v>
      </c>
      <c r="U7" s="843"/>
    </row>
    <row r="8" spans="1:31">
      <c r="A8" s="1211" t="s">
        <v>2940</v>
      </c>
      <c r="B8" s="1216" t="s">
        <v>2617</v>
      </c>
      <c r="C8" s="1213"/>
      <c r="D8" s="1214"/>
      <c r="E8" s="1213"/>
      <c r="F8" s="1213"/>
      <c r="G8" s="1217" t="s">
        <v>2941</v>
      </c>
      <c r="H8" s="1218" t="s">
        <v>3014</v>
      </c>
      <c r="I8" s="844"/>
      <c r="J8" s="1218" t="s">
        <v>3015</v>
      </c>
      <c r="K8" s="844"/>
      <c r="L8" s="1218" t="s">
        <v>3016</v>
      </c>
      <c r="M8" s="844"/>
      <c r="N8" s="1218" t="s">
        <v>3017</v>
      </c>
      <c r="O8" s="844"/>
      <c r="P8" s="1218" t="s">
        <v>3018</v>
      </c>
      <c r="Q8" s="844"/>
      <c r="R8" s="1218" t="s">
        <v>3019</v>
      </c>
      <c r="S8" s="844"/>
      <c r="T8" s="1218" t="s">
        <v>3020</v>
      </c>
      <c r="U8" s="844"/>
    </row>
    <row r="9" spans="1:31">
      <c r="A9" s="1211" t="s">
        <v>2942</v>
      </c>
      <c r="B9" s="1219"/>
      <c r="C9" s="1213"/>
      <c r="D9" s="1214"/>
      <c r="E9" s="1213"/>
      <c r="F9" s="1213"/>
      <c r="G9" s="1217" t="s">
        <v>2943</v>
      </c>
      <c r="H9" s="1220" t="s">
        <v>3021</v>
      </c>
      <c r="I9" s="845"/>
      <c r="J9" s="1220" t="s">
        <v>3022</v>
      </c>
      <c r="K9" s="845"/>
      <c r="L9" s="1220" t="s">
        <v>3023</v>
      </c>
      <c r="M9" s="845"/>
      <c r="N9" s="1220" t="s">
        <v>3024</v>
      </c>
      <c r="O9" s="845"/>
      <c r="P9" s="1220" t="s">
        <v>3025</v>
      </c>
      <c r="Q9" s="845"/>
      <c r="R9" s="1220" t="s">
        <v>3026</v>
      </c>
      <c r="S9" s="845"/>
      <c r="T9" s="1220" t="s">
        <v>3027</v>
      </c>
      <c r="U9" s="845"/>
    </row>
    <row r="10" spans="1:31" ht="15.75" thickBot="1">
      <c r="A10" s="811"/>
      <c r="B10" s="812"/>
      <c r="C10" s="616"/>
      <c r="D10" s="617"/>
      <c r="E10" s="616"/>
      <c r="F10" s="813"/>
      <c r="G10" s="814" t="s">
        <v>2944</v>
      </c>
      <c r="H10" s="995">
        <f>I$265</f>
        <v>7649008</v>
      </c>
      <c r="I10" s="996"/>
      <c r="J10" s="995">
        <f>K$265</f>
        <v>6434574.1200000001</v>
      </c>
      <c r="K10" s="996"/>
      <c r="L10" s="995">
        <f>M$265</f>
        <v>7348275.8399999999</v>
      </c>
      <c r="M10" s="996"/>
      <c r="N10" s="995">
        <f>O$265</f>
        <v>7223508</v>
      </c>
      <c r="O10" s="996"/>
      <c r="P10" s="995">
        <f>Q$265</f>
        <v>7702632</v>
      </c>
      <c r="Q10" s="996"/>
      <c r="R10" s="995">
        <f>S$265</f>
        <v>8088319.5</v>
      </c>
      <c r="S10" s="996"/>
      <c r="T10" s="997">
        <f>U$265</f>
        <v>8046000</v>
      </c>
      <c r="U10" s="997"/>
    </row>
    <row r="11" spans="1:31" s="175" customFormat="1" ht="31.5" thickTop="1" thickBot="1">
      <c r="A11" s="160" t="s">
        <v>2945</v>
      </c>
      <c r="B11" s="172"/>
      <c r="C11" s="173" t="s">
        <v>2946</v>
      </c>
      <c r="D11" s="167" t="s">
        <v>2947</v>
      </c>
      <c r="E11" s="173" t="s">
        <v>2948</v>
      </c>
      <c r="F11" s="173" t="s">
        <v>2949</v>
      </c>
      <c r="G11" s="174" t="s">
        <v>2950</v>
      </c>
      <c r="H11" s="161" t="s">
        <v>2951</v>
      </c>
      <c r="I11" s="161" t="s">
        <v>2952</v>
      </c>
      <c r="J11" s="161" t="s">
        <v>2951</v>
      </c>
      <c r="K11" s="161" t="s">
        <v>2952</v>
      </c>
      <c r="L11" s="161" t="s">
        <v>2951</v>
      </c>
      <c r="M11" s="161" t="s">
        <v>2952</v>
      </c>
      <c r="N11" s="161" t="s">
        <v>2951</v>
      </c>
      <c r="O11" s="161" t="s">
        <v>2952</v>
      </c>
      <c r="P11" s="161" t="s">
        <v>2951</v>
      </c>
      <c r="Q11" s="161" t="s">
        <v>2952</v>
      </c>
      <c r="R11" s="161" t="s">
        <v>2951</v>
      </c>
      <c r="S11" s="161" t="s">
        <v>2952</v>
      </c>
      <c r="T11" s="161" t="s">
        <v>2951</v>
      </c>
      <c r="U11" s="161" t="s">
        <v>2952</v>
      </c>
      <c r="W11" s="560"/>
      <c r="AD11" s="301"/>
      <c r="AE11" s="301"/>
    </row>
    <row r="12" spans="1:31" ht="16.5" thickTop="1" thickBot="1">
      <c r="A12" s="1147"/>
      <c r="B12" s="794" t="s">
        <v>2953</v>
      </c>
      <c r="C12" s="659"/>
      <c r="D12" s="1214"/>
      <c r="E12" s="1213"/>
      <c r="F12" s="1213"/>
      <c r="G12" s="660"/>
      <c r="H12" s="1221"/>
      <c r="I12" s="1222"/>
      <c r="J12" s="1221"/>
      <c r="K12" s="1161"/>
      <c r="L12" s="1221"/>
      <c r="M12" s="182"/>
      <c r="N12" s="1221"/>
      <c r="O12" s="1149"/>
      <c r="P12" s="1221"/>
      <c r="Q12" s="1149"/>
      <c r="R12" s="1221"/>
      <c r="S12" s="1149"/>
      <c r="T12" s="1221"/>
      <c r="U12" s="1148"/>
    </row>
    <row r="13" spans="1:31">
      <c r="A13" s="1150"/>
      <c r="B13" s="1151" t="s">
        <v>2954</v>
      </c>
      <c r="C13" s="1213"/>
      <c r="D13" s="1214"/>
      <c r="E13" s="1213"/>
      <c r="F13" s="1213"/>
      <c r="G13" s="660"/>
      <c r="H13" s="1221" t="s">
        <v>3028</v>
      </c>
      <c r="I13" s="1161"/>
      <c r="J13" s="1221" t="s">
        <v>3028</v>
      </c>
      <c r="K13" s="1161"/>
      <c r="L13" s="1221" t="s">
        <v>3028</v>
      </c>
      <c r="M13" s="1149"/>
      <c r="N13" s="1221" t="s">
        <v>3028</v>
      </c>
      <c r="O13" s="1149"/>
      <c r="P13" s="1221" t="s">
        <v>3028</v>
      </c>
      <c r="Q13" s="1149"/>
      <c r="R13" s="1221" t="s">
        <v>3028</v>
      </c>
      <c r="S13" s="1149"/>
      <c r="T13" s="1221" t="s">
        <v>3028</v>
      </c>
      <c r="U13" s="1148"/>
    </row>
    <row r="14" spans="1:31">
      <c r="A14" s="1223"/>
      <c r="B14" s="1152" t="s">
        <v>2955</v>
      </c>
      <c r="C14" s="1213"/>
      <c r="D14" s="1214"/>
      <c r="E14" s="1213"/>
      <c r="F14" s="1213"/>
      <c r="G14" s="660"/>
      <c r="H14" s="1221" t="s">
        <v>3028</v>
      </c>
      <c r="I14" s="1161"/>
      <c r="J14" s="1221" t="s">
        <v>3028</v>
      </c>
      <c r="K14" s="1161"/>
      <c r="L14" s="1221" t="s">
        <v>3028</v>
      </c>
      <c r="M14" s="1149"/>
      <c r="N14" s="1221" t="s">
        <v>3028</v>
      </c>
      <c r="O14" s="1149"/>
      <c r="P14" s="1221" t="s">
        <v>3028</v>
      </c>
      <c r="Q14" s="1149"/>
      <c r="R14" s="1221" t="s">
        <v>3028</v>
      </c>
      <c r="S14" s="1149"/>
      <c r="T14" s="1221" t="s">
        <v>3028</v>
      </c>
      <c r="U14" s="1148"/>
    </row>
    <row r="15" spans="1:31">
      <c r="A15" s="1223"/>
      <c r="B15" s="1153" t="s">
        <v>2957</v>
      </c>
      <c r="C15" s="1213"/>
      <c r="D15" s="1214"/>
      <c r="E15" s="1213"/>
      <c r="F15" s="1213"/>
      <c r="G15" s="660"/>
      <c r="H15" s="1221" t="s">
        <v>3028</v>
      </c>
      <c r="I15" s="1160"/>
      <c r="J15" s="1221" t="s">
        <v>3028</v>
      </c>
      <c r="K15" s="1160"/>
      <c r="L15" s="1221" t="s">
        <v>3028</v>
      </c>
      <c r="M15" s="1148"/>
      <c r="N15" s="1221" t="s">
        <v>3028</v>
      </c>
      <c r="O15" s="1148"/>
      <c r="P15" s="1221" t="s">
        <v>3028</v>
      </c>
      <c r="Q15" s="1148"/>
      <c r="R15" s="1221" t="s">
        <v>3028</v>
      </c>
      <c r="S15" s="1148"/>
      <c r="T15" s="1221" t="s">
        <v>3028</v>
      </c>
      <c r="U15" s="1148"/>
    </row>
    <row r="16" spans="1:31">
      <c r="A16" s="1223"/>
      <c r="B16" s="1153" t="s">
        <v>2958</v>
      </c>
      <c r="C16" s="1213"/>
      <c r="D16" s="1214"/>
      <c r="E16" s="1213"/>
      <c r="F16" s="1213"/>
      <c r="G16" s="660"/>
      <c r="H16" s="1221" t="s">
        <v>3028</v>
      </c>
      <c r="I16" s="1161"/>
      <c r="J16" s="1221" t="s">
        <v>3028</v>
      </c>
      <c r="K16" s="1161"/>
      <c r="L16" s="1221" t="s">
        <v>3028</v>
      </c>
      <c r="M16" s="1149"/>
      <c r="N16" s="1221" t="s">
        <v>3028</v>
      </c>
      <c r="O16" s="1149"/>
      <c r="P16" s="1221" t="s">
        <v>3028</v>
      </c>
      <c r="Q16" s="1149"/>
      <c r="R16" s="1221" t="s">
        <v>3028</v>
      </c>
      <c r="S16" s="1149"/>
      <c r="T16" s="1221" t="s">
        <v>3028</v>
      </c>
      <c r="U16" s="1148"/>
    </row>
    <row r="17" spans="1:31">
      <c r="A17" s="1223"/>
      <c r="B17" s="1153" t="s">
        <v>2959</v>
      </c>
      <c r="C17" s="1213"/>
      <c r="D17" s="1214"/>
      <c r="E17" s="1213"/>
      <c r="F17" s="1213"/>
      <c r="G17" s="660"/>
      <c r="H17" s="1221" t="s">
        <v>3028</v>
      </c>
      <c r="I17" s="1161"/>
      <c r="J17" s="1221" t="s">
        <v>3028</v>
      </c>
      <c r="K17" s="1161"/>
      <c r="L17" s="1221" t="s">
        <v>3028</v>
      </c>
      <c r="M17" s="1149"/>
      <c r="N17" s="1221" t="s">
        <v>3028</v>
      </c>
      <c r="O17" s="1149"/>
      <c r="P17" s="1221" t="s">
        <v>3028</v>
      </c>
      <c r="Q17" s="1149"/>
      <c r="R17" s="1221" t="s">
        <v>3028</v>
      </c>
      <c r="S17" s="1149"/>
      <c r="T17" s="1221" t="s">
        <v>3028</v>
      </c>
      <c r="U17" s="1148"/>
    </row>
    <row r="18" spans="1:31">
      <c r="A18" s="1223"/>
      <c r="B18" s="1154" t="s">
        <v>2960</v>
      </c>
      <c r="C18" s="1213"/>
      <c r="D18" s="1214"/>
      <c r="E18" s="1213"/>
      <c r="F18" s="1213"/>
      <c r="G18" s="660"/>
      <c r="H18" s="1221"/>
      <c r="I18" s="1149"/>
      <c r="J18" s="1221"/>
      <c r="K18" s="1161"/>
      <c r="L18" s="1221"/>
      <c r="M18" s="1149"/>
      <c r="N18" s="1221"/>
      <c r="O18" s="1149"/>
      <c r="P18" s="1221"/>
      <c r="Q18" s="1149"/>
      <c r="R18" s="1221"/>
      <c r="S18" s="1149"/>
      <c r="T18" s="1221"/>
      <c r="U18" s="1148"/>
    </row>
    <row r="19" spans="1:31">
      <c r="A19" s="1223"/>
      <c r="B19" s="1155" t="s">
        <v>2961</v>
      </c>
      <c r="C19" s="1224"/>
      <c r="D19" s="1225"/>
      <c r="E19" s="1224"/>
      <c r="F19" s="1226"/>
      <c r="G19" s="661"/>
      <c r="H19" s="1227"/>
      <c r="I19" s="1158"/>
      <c r="J19" s="1227"/>
      <c r="K19" s="1158"/>
      <c r="L19" s="1227"/>
      <c r="M19" s="1158"/>
      <c r="N19" s="1227"/>
      <c r="O19" s="1158"/>
      <c r="P19" s="1227"/>
      <c r="Q19" s="1158"/>
      <c r="R19" s="1227"/>
      <c r="S19" s="1158"/>
      <c r="T19" s="1227"/>
      <c r="U19" s="1157"/>
    </row>
    <row r="20" spans="1:31">
      <c r="A20" s="1223"/>
      <c r="B20" s="1159"/>
      <c r="C20" s="1213"/>
      <c r="D20" s="1164"/>
      <c r="E20" s="1165"/>
      <c r="F20" s="1170"/>
      <c r="G20" s="660"/>
      <c r="H20" s="1221"/>
      <c r="I20" s="1161"/>
      <c r="J20" s="1221"/>
      <c r="K20" s="1160"/>
      <c r="L20" s="1221"/>
      <c r="M20" s="1161"/>
      <c r="N20" s="1221"/>
      <c r="O20" s="1161"/>
      <c r="P20" s="1221"/>
      <c r="Q20" s="1161"/>
      <c r="R20" s="1221"/>
      <c r="S20" s="1161"/>
      <c r="T20" s="1221"/>
      <c r="U20" s="1160"/>
    </row>
    <row r="21" spans="1:31">
      <c r="A21" s="1228"/>
      <c r="B21" s="786" t="s">
        <v>2695</v>
      </c>
      <c r="C21" s="1213"/>
      <c r="D21" s="1164"/>
      <c r="E21" s="1165"/>
      <c r="F21" s="1170"/>
      <c r="G21" s="662">
        <f>SUBTOTAL(9,G22:G220)</f>
        <v>8178756</v>
      </c>
      <c r="H21" s="1221"/>
      <c r="I21" s="1166">
        <f>SUBTOTAL(9,I22:I220)</f>
        <v>7239482</v>
      </c>
      <c r="J21" s="1221"/>
      <c r="K21" s="1166">
        <f>SUBTOTAL(9,K22:K220)</f>
        <v>5906473</v>
      </c>
      <c r="L21" s="1221"/>
      <c r="M21" s="1166">
        <f>SUBTOTAL(9,M22:M220)</f>
        <v>6411042</v>
      </c>
      <c r="N21" s="1221"/>
      <c r="O21" s="1166">
        <f>SUBTOTAL(9,O22:O220)</f>
        <v>6808825</v>
      </c>
      <c r="P21" s="1221"/>
      <c r="Q21" s="1166">
        <f>SUBTOTAL(9,Q22:Q220)</f>
        <v>7198900</v>
      </c>
      <c r="R21" s="1221"/>
      <c r="S21" s="1166">
        <f>SUBTOTAL(9,S22:S220)</f>
        <v>7413100</v>
      </c>
      <c r="T21" s="1221"/>
      <c r="U21" s="1166">
        <f>SUBTOTAL(9,U22:U220)</f>
        <v>7646000</v>
      </c>
    </row>
    <row r="22" spans="1:31">
      <c r="A22" s="1223"/>
      <c r="B22" s="1159" t="s">
        <v>2994</v>
      </c>
      <c r="C22" s="1213"/>
      <c r="D22" s="1164"/>
      <c r="E22" s="1165"/>
      <c r="F22" s="1170"/>
      <c r="G22" s="668">
        <f t="shared" ref="G22:G53" si="0">ROUND(D22*F22,0)</f>
        <v>0</v>
      </c>
      <c r="H22" s="1221"/>
      <c r="I22" s="1161">
        <v>7193482</v>
      </c>
      <c r="J22" s="1221"/>
      <c r="K22" s="1160">
        <f>1978164+1035790+2395918+359909</f>
        <v>5769781</v>
      </c>
      <c r="L22" s="1221"/>
      <c r="M22" s="1161">
        <v>6274350</v>
      </c>
      <c r="N22" s="1221"/>
      <c r="O22" s="1161">
        <v>6672133</v>
      </c>
      <c r="P22" s="1221"/>
      <c r="Q22" s="1161">
        <v>7152900</v>
      </c>
      <c r="R22" s="1221"/>
      <c r="S22" s="1161">
        <v>7367100</v>
      </c>
      <c r="T22" s="1221"/>
      <c r="U22" s="1160">
        <v>7600000</v>
      </c>
    </row>
    <row r="23" spans="1:31">
      <c r="A23" s="1223"/>
      <c r="B23" s="1159" t="s">
        <v>3029</v>
      </c>
      <c r="C23" s="1213"/>
      <c r="D23" s="1164"/>
      <c r="E23" s="1165"/>
      <c r="F23" s="1170"/>
      <c r="G23" s="668">
        <f t="shared" si="0"/>
        <v>0</v>
      </c>
      <c r="H23" s="1221"/>
      <c r="I23" s="1161"/>
      <c r="J23" s="1221"/>
      <c r="K23" s="1160"/>
      <c r="L23" s="1221"/>
      <c r="M23" s="1161"/>
      <c r="N23" s="1221"/>
      <c r="O23" s="1161"/>
      <c r="P23" s="1221"/>
      <c r="Q23" s="1161"/>
      <c r="R23" s="1221"/>
      <c r="S23" s="1161"/>
      <c r="T23" s="1221"/>
      <c r="U23" s="1160"/>
    </row>
    <row r="24" spans="1:31">
      <c r="A24" s="1223"/>
      <c r="B24" s="1229" t="s">
        <v>3030</v>
      </c>
      <c r="C24" s="1213"/>
      <c r="D24" s="1164">
        <f>SUM(D25:D27)</f>
        <v>43.82</v>
      </c>
      <c r="E24" s="1230" t="s">
        <v>3031</v>
      </c>
      <c r="F24" s="1170">
        <v>1600</v>
      </c>
      <c r="G24" s="668">
        <f t="shared" si="0"/>
        <v>70112</v>
      </c>
      <c r="H24" s="1221" t="s">
        <v>2931</v>
      </c>
      <c r="I24" s="1161"/>
      <c r="J24" s="1221"/>
      <c r="K24" s="1160"/>
      <c r="L24" s="1221" t="s">
        <v>2931</v>
      </c>
      <c r="M24" s="1161"/>
      <c r="N24" s="1221" t="s">
        <v>2931</v>
      </c>
      <c r="O24" s="1161"/>
      <c r="P24" s="1221" t="s">
        <v>2931</v>
      </c>
      <c r="Q24" s="1161"/>
      <c r="R24" s="1221" t="s">
        <v>2931</v>
      </c>
      <c r="S24" s="1161"/>
      <c r="T24" s="1221" t="s">
        <v>2931</v>
      </c>
      <c r="U24" s="1160"/>
    </row>
    <row r="25" spans="1:31" s="175" customFormat="1" hidden="1" outlineLevel="1">
      <c r="A25" s="1223"/>
      <c r="B25" s="642" t="s">
        <v>3032</v>
      </c>
      <c r="C25" s="1231"/>
      <c r="D25" s="1232">
        <v>12.62</v>
      </c>
      <c r="E25" s="1230" t="s">
        <v>3031</v>
      </c>
      <c r="F25" s="1233"/>
      <c r="G25" s="668">
        <f t="shared" si="0"/>
        <v>0</v>
      </c>
      <c r="H25" s="1234"/>
      <c r="I25" s="1235"/>
      <c r="J25" s="1234"/>
      <c r="K25" s="1236"/>
      <c r="L25" s="1234"/>
      <c r="M25" s="1235"/>
      <c r="N25" s="1234"/>
      <c r="O25" s="1235"/>
      <c r="P25" s="1234"/>
      <c r="Q25" s="1235"/>
      <c r="R25" s="1234"/>
      <c r="S25" s="1235"/>
      <c r="T25" s="1234"/>
      <c r="U25" s="1236"/>
      <c r="W25" s="58"/>
      <c r="X25" s="175" t="s">
        <v>3032</v>
      </c>
      <c r="Y25" s="175" t="s">
        <v>3033</v>
      </c>
      <c r="Z25" s="175">
        <v>128</v>
      </c>
      <c r="AA25" s="175" t="s">
        <v>48</v>
      </c>
      <c r="AB25" s="175">
        <v>12.62</v>
      </c>
      <c r="AC25" s="175" t="s">
        <v>3034</v>
      </c>
      <c r="AD25" s="301"/>
      <c r="AE25" s="301" t="s">
        <v>2795</v>
      </c>
    </row>
    <row r="26" spans="1:31" hidden="1" outlineLevel="1">
      <c r="A26" s="1228"/>
      <c r="B26" s="1237" t="s">
        <v>3035</v>
      </c>
      <c r="C26" s="1168"/>
      <c r="D26" s="1238">
        <v>11.7</v>
      </c>
      <c r="E26" s="1230" t="s">
        <v>3031</v>
      </c>
      <c r="F26" s="1233"/>
      <c r="G26" s="668">
        <f t="shared" si="0"/>
        <v>0</v>
      </c>
      <c r="H26" s="1221"/>
      <c r="I26" s="1161"/>
      <c r="J26" s="1221"/>
      <c r="K26" s="1160"/>
      <c r="L26" s="1221"/>
      <c r="M26" s="1161"/>
      <c r="N26" s="1221"/>
      <c r="O26" s="1161"/>
      <c r="P26" s="1221"/>
      <c r="Q26" s="1161"/>
      <c r="R26" s="1221"/>
      <c r="S26" s="1161"/>
      <c r="T26" s="1221"/>
      <c r="U26" s="1160"/>
      <c r="X26" t="s">
        <v>3035</v>
      </c>
      <c r="Y26" t="s">
        <v>3036</v>
      </c>
      <c r="Z26">
        <v>255</v>
      </c>
      <c r="AA26" t="s">
        <v>48</v>
      </c>
      <c r="AB26">
        <v>11.7</v>
      </c>
      <c r="AC26" t="s">
        <v>3034</v>
      </c>
      <c r="AE26" s="300" t="s">
        <v>2795</v>
      </c>
    </row>
    <row r="27" spans="1:31" hidden="1" outlineLevel="1">
      <c r="A27" s="1228"/>
      <c r="B27" s="1237" t="s">
        <v>3037</v>
      </c>
      <c r="C27" s="1168"/>
      <c r="D27" s="1238">
        <v>19.5</v>
      </c>
      <c r="E27" s="1230" t="s">
        <v>3031</v>
      </c>
      <c r="F27" s="1233"/>
      <c r="G27" s="668">
        <f t="shared" si="0"/>
        <v>0</v>
      </c>
      <c r="H27" s="1221"/>
      <c r="I27" s="1161"/>
      <c r="J27" s="1221"/>
      <c r="K27" s="1160"/>
      <c r="L27" s="1221"/>
      <c r="M27" s="1161"/>
      <c r="N27" s="1221"/>
      <c r="O27" s="1161"/>
      <c r="P27" s="1221"/>
      <c r="Q27" s="1161"/>
      <c r="R27" s="1221"/>
      <c r="S27" s="1161"/>
      <c r="T27" s="1221"/>
      <c r="U27" s="1160"/>
      <c r="X27" s="1239" t="s">
        <v>3037</v>
      </c>
      <c r="Y27" t="s">
        <v>3036</v>
      </c>
      <c r="Z27">
        <v>395</v>
      </c>
      <c r="AA27" t="s">
        <v>48</v>
      </c>
      <c r="AB27">
        <v>19.5</v>
      </c>
      <c r="AC27" t="s">
        <v>3034</v>
      </c>
    </row>
    <row r="28" spans="1:31" s="175" customFormat="1" collapsed="1">
      <c r="A28" s="1223"/>
      <c r="B28" s="643" t="s">
        <v>3038</v>
      </c>
      <c r="C28" s="1231"/>
      <c r="D28" s="1232">
        <f>SUM(D29:D36)</f>
        <v>23.91</v>
      </c>
      <c r="E28" s="1230" t="s">
        <v>3031</v>
      </c>
      <c r="F28" s="1233">
        <v>1800</v>
      </c>
      <c r="G28" s="668">
        <f t="shared" si="0"/>
        <v>43038</v>
      </c>
      <c r="H28" s="1234" t="s">
        <v>2931</v>
      </c>
      <c r="I28" s="1235"/>
      <c r="J28" s="1234"/>
      <c r="K28" s="1236"/>
      <c r="L28" s="1234" t="s">
        <v>2931</v>
      </c>
      <c r="M28" s="1235"/>
      <c r="N28" s="1234" t="s">
        <v>2931</v>
      </c>
      <c r="O28" s="1235"/>
      <c r="P28" s="1234" t="s">
        <v>2931</v>
      </c>
      <c r="Q28" s="1235"/>
      <c r="R28" s="1234" t="s">
        <v>2931</v>
      </c>
      <c r="S28" s="1235"/>
      <c r="T28" s="1234" t="s">
        <v>2931</v>
      </c>
      <c r="U28" s="1236"/>
      <c r="W28" s="58"/>
      <c r="AD28" s="301"/>
      <c r="AE28" s="301"/>
    </row>
    <row r="29" spans="1:31" hidden="1" outlineLevel="1">
      <c r="A29" s="1223"/>
      <c r="B29" s="1237" t="s">
        <v>3039</v>
      </c>
      <c r="C29" s="1213"/>
      <c r="D29" s="1238">
        <v>1.1000000000000001</v>
      </c>
      <c r="E29" s="1230" t="s">
        <v>3031</v>
      </c>
      <c r="F29" s="1170"/>
      <c r="G29" s="668">
        <f t="shared" si="0"/>
        <v>0</v>
      </c>
      <c r="H29" s="1221"/>
      <c r="I29" s="1161"/>
      <c r="J29" s="1221"/>
      <c r="K29" s="1160"/>
      <c r="L29" s="1221"/>
      <c r="M29" s="1161"/>
      <c r="N29" s="1221"/>
      <c r="O29" s="1161"/>
      <c r="P29" s="1221"/>
      <c r="Q29" s="1161"/>
      <c r="R29" s="1221"/>
      <c r="S29" s="1161"/>
      <c r="T29" s="1221"/>
      <c r="U29" s="1160"/>
      <c r="X29" t="s">
        <v>3039</v>
      </c>
      <c r="Y29" t="s">
        <v>3040</v>
      </c>
      <c r="Z29">
        <v>1</v>
      </c>
      <c r="AA29" t="s">
        <v>3041</v>
      </c>
      <c r="AB29">
        <v>1.1000000000000001</v>
      </c>
      <c r="AC29" t="s">
        <v>3034</v>
      </c>
      <c r="AE29" s="300" t="s">
        <v>2795</v>
      </c>
    </row>
    <row r="30" spans="1:31" s="175" customFormat="1" hidden="1" outlineLevel="1">
      <c r="A30" s="1223"/>
      <c r="B30" s="1240" t="s">
        <v>3042</v>
      </c>
      <c r="C30" s="1241"/>
      <c r="D30" s="1242">
        <v>3.15</v>
      </c>
      <c r="E30" s="1230" t="s">
        <v>3031</v>
      </c>
      <c r="F30" s="1170"/>
      <c r="G30" s="668">
        <f t="shared" si="0"/>
        <v>0</v>
      </c>
      <c r="H30" s="1234"/>
      <c r="I30" s="1235"/>
      <c r="J30" s="1234"/>
      <c r="K30" s="1236"/>
      <c r="L30" s="1234"/>
      <c r="M30" s="1235"/>
      <c r="N30" s="1234"/>
      <c r="O30" s="1235"/>
      <c r="P30" s="1234"/>
      <c r="Q30" s="1235"/>
      <c r="R30" s="1234"/>
      <c r="S30" s="1235"/>
      <c r="T30" s="1234"/>
      <c r="U30" s="1236"/>
      <c r="W30" s="58"/>
      <c r="X30" s="175" t="s">
        <v>3042</v>
      </c>
      <c r="Y30" s="175" t="s">
        <v>3043</v>
      </c>
      <c r="Z30" s="175">
        <v>3</v>
      </c>
      <c r="AA30" s="175" t="s">
        <v>3041</v>
      </c>
      <c r="AB30" s="175">
        <v>3.15</v>
      </c>
      <c r="AC30" s="175" t="s">
        <v>3034</v>
      </c>
      <c r="AD30" s="301"/>
      <c r="AE30" s="301" t="s">
        <v>2795</v>
      </c>
    </row>
    <row r="31" spans="1:31" hidden="1" outlineLevel="1">
      <c r="A31" s="1223"/>
      <c r="B31" s="1237" t="s">
        <v>3044</v>
      </c>
      <c r="C31" s="1168"/>
      <c r="D31" s="1238">
        <v>2.52</v>
      </c>
      <c r="E31" s="1230" t="s">
        <v>3031</v>
      </c>
      <c r="F31" s="1170"/>
      <c r="G31" s="668">
        <f t="shared" si="0"/>
        <v>0</v>
      </c>
      <c r="H31" s="1221"/>
      <c r="I31" s="1161"/>
      <c r="J31" s="1221"/>
      <c r="K31" s="1160"/>
      <c r="L31" s="1221"/>
      <c r="M31" s="1161"/>
      <c r="N31" s="1221"/>
      <c r="O31" s="1161"/>
      <c r="P31" s="1221"/>
      <c r="Q31" s="1161"/>
      <c r="R31" s="1221"/>
      <c r="S31" s="1161"/>
      <c r="T31" s="1221"/>
      <c r="U31" s="1160"/>
      <c r="X31" t="s">
        <v>3044</v>
      </c>
      <c r="Y31" t="s">
        <v>3045</v>
      </c>
      <c r="Z31">
        <v>2</v>
      </c>
      <c r="AA31" t="s">
        <v>3041</v>
      </c>
      <c r="AB31">
        <v>2.52</v>
      </c>
      <c r="AC31" t="s">
        <v>3034</v>
      </c>
      <c r="AE31" s="300" t="s">
        <v>2795</v>
      </c>
    </row>
    <row r="32" spans="1:31" s="175" customFormat="1" hidden="1" outlineLevel="1">
      <c r="A32" s="1223"/>
      <c r="B32" s="1240" t="s">
        <v>3046</v>
      </c>
      <c r="C32" s="1241"/>
      <c r="D32" s="1242">
        <v>0.7</v>
      </c>
      <c r="E32" s="1230" t="s">
        <v>3031</v>
      </c>
      <c r="F32" s="1170"/>
      <c r="G32" s="668">
        <f t="shared" si="0"/>
        <v>0</v>
      </c>
      <c r="H32" s="1234"/>
      <c r="I32" s="1235"/>
      <c r="J32" s="1234"/>
      <c r="K32" s="1236"/>
      <c r="L32" s="1234"/>
      <c r="M32" s="1235"/>
      <c r="N32" s="1234"/>
      <c r="O32" s="1235"/>
      <c r="P32" s="1234"/>
      <c r="Q32" s="1235"/>
      <c r="R32" s="1234"/>
      <c r="S32" s="1235"/>
      <c r="T32" s="1234"/>
      <c r="U32" s="1236"/>
      <c r="W32" s="58"/>
      <c r="X32" s="175" t="s">
        <v>3046</v>
      </c>
      <c r="Y32" s="175" t="s">
        <v>3043</v>
      </c>
      <c r="Z32" s="175">
        <v>1</v>
      </c>
      <c r="AA32" s="175" t="s">
        <v>3041</v>
      </c>
      <c r="AB32" s="175">
        <v>0.7</v>
      </c>
      <c r="AC32" s="175" t="s">
        <v>3034</v>
      </c>
      <c r="AD32" s="301"/>
      <c r="AE32" s="301" t="s">
        <v>2795</v>
      </c>
    </row>
    <row r="33" spans="1:31" hidden="1" outlineLevel="1">
      <c r="A33" s="1223"/>
      <c r="B33" s="1237" t="s">
        <v>3047</v>
      </c>
      <c r="C33" s="1168"/>
      <c r="D33" s="1238">
        <v>0.84</v>
      </c>
      <c r="E33" s="1230" t="s">
        <v>3031</v>
      </c>
      <c r="F33" s="1170"/>
      <c r="G33" s="668">
        <f t="shared" si="0"/>
        <v>0</v>
      </c>
      <c r="H33" s="1221"/>
      <c r="I33" s="1161"/>
      <c r="J33" s="1221"/>
      <c r="K33" s="1160"/>
      <c r="L33" s="1221"/>
      <c r="M33" s="1161"/>
      <c r="N33" s="1221"/>
      <c r="O33" s="1161"/>
      <c r="P33" s="1221"/>
      <c r="Q33" s="1161"/>
      <c r="R33" s="1221"/>
      <c r="S33" s="1161"/>
      <c r="T33" s="1221"/>
      <c r="U33" s="1160"/>
      <c r="X33" t="s">
        <v>3047</v>
      </c>
      <c r="Y33" t="s">
        <v>3045</v>
      </c>
      <c r="Z33">
        <v>1</v>
      </c>
      <c r="AA33" t="s">
        <v>3041</v>
      </c>
      <c r="AB33">
        <v>0.84</v>
      </c>
      <c r="AC33" t="s">
        <v>3034</v>
      </c>
      <c r="AE33" s="300" t="s">
        <v>2795</v>
      </c>
    </row>
    <row r="34" spans="1:31" hidden="1" outlineLevel="1">
      <c r="A34" s="1228"/>
      <c r="B34" s="1237" t="s">
        <v>3048</v>
      </c>
      <c r="C34" s="1168"/>
      <c r="D34" s="1238">
        <v>0.94</v>
      </c>
      <c r="E34" s="1230" t="s">
        <v>3031</v>
      </c>
      <c r="F34" s="1170"/>
      <c r="G34" s="668">
        <f t="shared" si="0"/>
        <v>0</v>
      </c>
      <c r="H34" s="1221"/>
      <c r="I34" s="1161"/>
      <c r="J34" s="1221"/>
      <c r="K34" s="1160"/>
      <c r="L34" s="1221"/>
      <c r="M34" s="1161"/>
      <c r="N34" s="1221"/>
      <c r="O34" s="1161"/>
      <c r="P34" s="1221"/>
      <c r="Q34" s="1161"/>
      <c r="R34" s="1221"/>
      <c r="S34" s="1161"/>
      <c r="T34" s="1221"/>
      <c r="U34" s="1160"/>
      <c r="X34" t="s">
        <v>3048</v>
      </c>
      <c r="Y34" t="s">
        <v>3045</v>
      </c>
      <c r="Z34">
        <v>1</v>
      </c>
      <c r="AA34" t="s">
        <v>3041</v>
      </c>
      <c r="AB34">
        <v>0.94</v>
      </c>
      <c r="AC34" t="s">
        <v>3034</v>
      </c>
      <c r="AE34" s="300" t="s">
        <v>2795</v>
      </c>
    </row>
    <row r="35" spans="1:31" hidden="1" outlineLevel="1">
      <c r="A35" s="1228"/>
      <c r="B35" s="1237" t="s">
        <v>3049</v>
      </c>
      <c r="C35" s="1168"/>
      <c r="D35" s="1238">
        <v>3.33</v>
      </c>
      <c r="E35" s="1230" t="s">
        <v>3031</v>
      </c>
      <c r="F35" s="1170"/>
      <c r="G35" s="668">
        <f t="shared" si="0"/>
        <v>0</v>
      </c>
      <c r="H35" s="1221"/>
      <c r="I35" s="1161"/>
      <c r="J35" s="1221"/>
      <c r="K35" s="1160"/>
      <c r="L35" s="1221"/>
      <c r="M35" s="1161"/>
      <c r="N35" s="1221"/>
      <c r="O35" s="1161"/>
      <c r="P35" s="1221"/>
      <c r="Q35" s="1161"/>
      <c r="R35" s="1221"/>
      <c r="S35" s="1161"/>
      <c r="T35" s="1221"/>
      <c r="U35" s="1160"/>
      <c r="X35" t="s">
        <v>3049</v>
      </c>
      <c r="Y35" t="s">
        <v>3036</v>
      </c>
      <c r="Z35">
        <v>5</v>
      </c>
      <c r="AA35" t="s">
        <v>3041</v>
      </c>
      <c r="AB35">
        <v>3.33</v>
      </c>
      <c r="AC35" t="s">
        <v>3034</v>
      </c>
      <c r="AE35" s="300" t="s">
        <v>2795</v>
      </c>
    </row>
    <row r="36" spans="1:31" hidden="1" outlineLevel="1">
      <c r="A36" s="1228"/>
      <c r="B36" s="1237" t="s">
        <v>3050</v>
      </c>
      <c r="C36" s="1168"/>
      <c r="D36" s="1238">
        <v>11.33</v>
      </c>
      <c r="E36" s="1230" t="s">
        <v>3031</v>
      </c>
      <c r="F36" s="1170"/>
      <c r="G36" s="668">
        <f t="shared" si="0"/>
        <v>0</v>
      </c>
      <c r="H36" s="1221"/>
      <c r="I36" s="1161"/>
      <c r="J36" s="1221"/>
      <c r="K36" s="1160"/>
      <c r="L36" s="1221"/>
      <c r="M36" s="1161"/>
      <c r="N36" s="1221"/>
      <c r="O36" s="1161"/>
      <c r="P36" s="1221"/>
      <c r="Q36" s="1161"/>
      <c r="R36" s="1221"/>
      <c r="S36" s="1161"/>
      <c r="T36" s="1221"/>
      <c r="U36" s="1160"/>
      <c r="X36" t="s">
        <v>3050</v>
      </c>
      <c r="Y36" t="s">
        <v>3045</v>
      </c>
      <c r="Z36">
        <v>9</v>
      </c>
      <c r="AA36" t="s">
        <v>3041</v>
      </c>
      <c r="AB36">
        <v>11.33</v>
      </c>
      <c r="AC36" t="s">
        <v>3034</v>
      </c>
      <c r="AE36" s="300" t="s">
        <v>2795</v>
      </c>
    </row>
    <row r="37" spans="1:31" collapsed="1">
      <c r="A37" s="1228"/>
      <c r="B37" s="1167" t="s">
        <v>3051</v>
      </c>
      <c r="C37" s="1168"/>
      <c r="D37" s="1238">
        <f>SUM(D38)</f>
        <v>487.49</v>
      </c>
      <c r="E37" s="1230" t="s">
        <v>3031</v>
      </c>
      <c r="F37" s="1170">
        <v>2000</v>
      </c>
      <c r="G37" s="668">
        <f t="shared" si="0"/>
        <v>974980</v>
      </c>
      <c r="H37" s="1221" t="s">
        <v>2931</v>
      </c>
      <c r="I37" s="1161"/>
      <c r="J37" s="1221"/>
      <c r="K37" s="1160"/>
      <c r="L37" s="1221" t="s">
        <v>2931</v>
      </c>
      <c r="M37" s="1161"/>
      <c r="N37" s="1221" t="s">
        <v>2931</v>
      </c>
      <c r="O37" s="1161"/>
      <c r="P37" s="1221" t="s">
        <v>2931</v>
      </c>
      <c r="Q37" s="1161"/>
      <c r="R37" s="1221" t="s">
        <v>2931</v>
      </c>
      <c r="S37" s="1161"/>
      <c r="T37" s="1221" t="s">
        <v>2931</v>
      </c>
      <c r="U37" s="1160"/>
    </row>
    <row r="38" spans="1:31" hidden="1" outlineLevel="1">
      <c r="A38" s="1228"/>
      <c r="B38" s="1237" t="s">
        <v>3052</v>
      </c>
      <c r="C38" s="1168"/>
      <c r="D38" s="1238">
        <v>487.49</v>
      </c>
      <c r="E38" s="1230" t="s">
        <v>3031</v>
      </c>
      <c r="F38" s="1170"/>
      <c r="G38" s="668">
        <f t="shared" si="0"/>
        <v>0</v>
      </c>
      <c r="H38" s="1221"/>
      <c r="I38" s="1161"/>
      <c r="J38" s="1221"/>
      <c r="K38" s="1160"/>
      <c r="L38" s="1221"/>
      <c r="M38" s="1161"/>
      <c r="N38" s="1221"/>
      <c r="O38" s="1161"/>
      <c r="P38" s="1221"/>
      <c r="Q38" s="1161"/>
      <c r="R38" s="1221"/>
      <c r="S38" s="1161"/>
      <c r="T38" s="1221"/>
      <c r="U38" s="1160"/>
      <c r="X38" t="s">
        <v>3052</v>
      </c>
      <c r="Y38" t="s">
        <v>3045</v>
      </c>
      <c r="Z38">
        <v>581</v>
      </c>
      <c r="AA38" t="s">
        <v>48</v>
      </c>
      <c r="AB38">
        <v>487.49</v>
      </c>
      <c r="AC38" t="s">
        <v>3034</v>
      </c>
      <c r="AE38" s="300" t="s">
        <v>2795</v>
      </c>
    </row>
    <row r="39" spans="1:31" collapsed="1">
      <c r="A39" s="1228"/>
      <c r="B39" s="1167" t="s">
        <v>3053</v>
      </c>
      <c r="C39" s="1168"/>
      <c r="D39" s="1238">
        <f>SUM(D40:D51)</f>
        <v>772.7299999999999</v>
      </c>
      <c r="E39" s="1230" t="s">
        <v>3031</v>
      </c>
      <c r="F39" s="1170">
        <v>650</v>
      </c>
      <c r="G39" s="668">
        <f t="shared" si="0"/>
        <v>502275</v>
      </c>
      <c r="H39" s="1221" t="s">
        <v>2931</v>
      </c>
      <c r="I39" s="1161"/>
      <c r="J39" s="1221"/>
      <c r="K39" s="1160"/>
      <c r="L39" s="1221" t="s">
        <v>2931</v>
      </c>
      <c r="M39" s="1161"/>
      <c r="N39" s="1221" t="s">
        <v>2931</v>
      </c>
      <c r="O39" s="1161"/>
      <c r="P39" s="1221" t="s">
        <v>2931</v>
      </c>
      <c r="Q39" s="1161"/>
      <c r="R39" s="1221" t="s">
        <v>2931</v>
      </c>
      <c r="S39" s="1161"/>
      <c r="T39" s="1221" t="s">
        <v>2931</v>
      </c>
      <c r="U39" s="1160"/>
    </row>
    <row r="40" spans="1:31" hidden="1" outlineLevel="1">
      <c r="A40" s="1228"/>
      <c r="B40" s="1237" t="s">
        <v>3054</v>
      </c>
      <c r="C40" s="1168"/>
      <c r="D40" s="1238">
        <v>493.46</v>
      </c>
      <c r="E40" s="1230" t="s">
        <v>3031</v>
      </c>
      <c r="F40" s="1170"/>
      <c r="G40" s="668">
        <f t="shared" si="0"/>
        <v>0</v>
      </c>
      <c r="H40" s="1221"/>
      <c r="I40" s="1161"/>
      <c r="J40" s="1221"/>
      <c r="K40" s="1160"/>
      <c r="L40" s="1221"/>
      <c r="M40" s="1161"/>
      <c r="N40" s="1221"/>
      <c r="O40" s="1161"/>
      <c r="P40" s="1221"/>
      <c r="Q40" s="1161"/>
      <c r="R40" s="1221"/>
      <c r="S40" s="1161"/>
      <c r="T40" s="1221"/>
      <c r="U40" s="1160"/>
      <c r="X40" t="s">
        <v>3054</v>
      </c>
      <c r="Y40" t="s">
        <v>3036</v>
      </c>
      <c r="Z40">
        <v>476</v>
      </c>
      <c r="AA40" t="s">
        <v>48</v>
      </c>
      <c r="AB40">
        <v>493.46</v>
      </c>
      <c r="AC40" t="s">
        <v>3034</v>
      </c>
      <c r="AD40" s="300">
        <v>2</v>
      </c>
      <c r="AE40" s="300">
        <f t="shared" ref="AE40:AE51" si="1">Z40</f>
        <v>476</v>
      </c>
    </row>
    <row r="41" spans="1:31" hidden="1" outlineLevel="1">
      <c r="A41" s="1228"/>
      <c r="B41" s="1237" t="s">
        <v>3055</v>
      </c>
      <c r="C41" s="1168"/>
      <c r="D41" s="1238">
        <v>30</v>
      </c>
      <c r="E41" s="1230" t="s">
        <v>3031</v>
      </c>
      <c r="F41" s="1170"/>
      <c r="G41" s="668">
        <f t="shared" si="0"/>
        <v>0</v>
      </c>
      <c r="H41" s="1221"/>
      <c r="I41" s="1161"/>
      <c r="J41" s="1221"/>
      <c r="K41" s="1160"/>
      <c r="L41" s="1221"/>
      <c r="M41" s="1161"/>
      <c r="N41" s="1221"/>
      <c r="O41" s="1161"/>
      <c r="P41" s="1221"/>
      <c r="Q41" s="1161"/>
      <c r="R41" s="1221"/>
      <c r="S41" s="1161"/>
      <c r="T41" s="1221"/>
      <c r="U41" s="1160"/>
      <c r="X41" t="s">
        <v>3055</v>
      </c>
      <c r="Y41" t="s">
        <v>3056</v>
      </c>
      <c r="Z41">
        <v>1</v>
      </c>
      <c r="AA41" t="s">
        <v>3041</v>
      </c>
      <c r="AB41">
        <v>30</v>
      </c>
      <c r="AC41" t="s">
        <v>3034</v>
      </c>
      <c r="AD41" s="300">
        <v>3</v>
      </c>
      <c r="AE41" s="300">
        <f t="shared" si="1"/>
        <v>1</v>
      </c>
    </row>
    <row r="42" spans="1:31" hidden="1" outlineLevel="1">
      <c r="A42" s="1228"/>
      <c r="B42" s="1237" t="s">
        <v>3057</v>
      </c>
      <c r="C42" s="1168"/>
      <c r="D42" s="1238">
        <v>100</v>
      </c>
      <c r="E42" s="1230" t="s">
        <v>3031</v>
      </c>
      <c r="F42" s="1170"/>
      <c r="G42" s="668">
        <f t="shared" si="0"/>
        <v>0</v>
      </c>
      <c r="H42" s="1221"/>
      <c r="I42" s="1161"/>
      <c r="J42" s="1221"/>
      <c r="K42" s="1160"/>
      <c r="L42" s="1221"/>
      <c r="M42" s="1161"/>
      <c r="N42" s="1221"/>
      <c r="O42" s="1161"/>
      <c r="P42" s="1221"/>
      <c r="Q42" s="1161"/>
      <c r="R42" s="1221"/>
      <c r="S42" s="1161"/>
      <c r="T42" s="1221"/>
      <c r="U42" s="1160"/>
      <c r="X42" t="s">
        <v>3057</v>
      </c>
      <c r="Y42" t="s">
        <v>3056</v>
      </c>
      <c r="Z42">
        <v>3</v>
      </c>
      <c r="AA42" t="s">
        <v>3041</v>
      </c>
      <c r="AB42">
        <v>100</v>
      </c>
      <c r="AC42" t="s">
        <v>3034</v>
      </c>
      <c r="AD42" s="300">
        <v>3</v>
      </c>
      <c r="AE42" s="300">
        <f t="shared" si="1"/>
        <v>3</v>
      </c>
    </row>
    <row r="43" spans="1:31" hidden="1" outlineLevel="1">
      <c r="A43" s="1228"/>
      <c r="B43" s="1237" t="s">
        <v>3058</v>
      </c>
      <c r="C43" s="1168"/>
      <c r="D43" s="1238">
        <v>17.059999999999999</v>
      </c>
      <c r="E43" s="1230" t="s">
        <v>3031</v>
      </c>
      <c r="F43" s="1170"/>
      <c r="G43" s="668">
        <f t="shared" si="0"/>
        <v>0</v>
      </c>
      <c r="H43" s="1221"/>
      <c r="I43" s="1161"/>
      <c r="J43" s="1221"/>
      <c r="K43" s="1160"/>
      <c r="L43" s="1221"/>
      <c r="M43" s="1161"/>
      <c r="N43" s="1221"/>
      <c r="O43" s="1161"/>
      <c r="P43" s="1221"/>
      <c r="Q43" s="1161"/>
      <c r="R43" s="1221"/>
      <c r="S43" s="1161"/>
      <c r="T43" s="1221"/>
      <c r="U43" s="1160"/>
      <c r="X43" t="s">
        <v>3058</v>
      </c>
      <c r="Y43" t="s">
        <v>3059</v>
      </c>
      <c r="Z43">
        <v>115</v>
      </c>
      <c r="AA43" t="s">
        <v>48</v>
      </c>
      <c r="AB43">
        <v>17.059999999999999</v>
      </c>
      <c r="AC43" t="s">
        <v>3034</v>
      </c>
      <c r="AD43" s="300">
        <v>1</v>
      </c>
      <c r="AE43" s="300">
        <f t="shared" si="1"/>
        <v>115</v>
      </c>
    </row>
    <row r="44" spans="1:31" hidden="1" outlineLevel="1">
      <c r="A44" s="1228"/>
      <c r="B44" s="1237" t="s">
        <v>3060</v>
      </c>
      <c r="C44" s="1168"/>
      <c r="D44" s="1238">
        <v>6</v>
      </c>
      <c r="E44" s="1230" t="s">
        <v>3031</v>
      </c>
      <c r="F44" s="1170"/>
      <c r="G44" s="668">
        <f t="shared" si="0"/>
        <v>0</v>
      </c>
      <c r="H44" s="1221"/>
      <c r="I44" s="1161"/>
      <c r="J44" s="1221"/>
      <c r="K44" s="1160"/>
      <c r="L44" s="1221"/>
      <c r="M44" s="1161"/>
      <c r="N44" s="1221"/>
      <c r="O44" s="1161"/>
      <c r="P44" s="1221"/>
      <c r="Q44" s="1161"/>
      <c r="R44" s="1221"/>
      <c r="S44" s="1161"/>
      <c r="T44" s="1221"/>
      <c r="U44" s="1160"/>
      <c r="X44" t="s">
        <v>3060</v>
      </c>
      <c r="Y44" t="s">
        <v>3061</v>
      </c>
      <c r="Z44">
        <v>6</v>
      </c>
      <c r="AA44" t="s">
        <v>3041</v>
      </c>
      <c r="AB44">
        <v>6</v>
      </c>
      <c r="AC44" t="s">
        <v>3034</v>
      </c>
      <c r="AD44" s="300">
        <v>1.33</v>
      </c>
      <c r="AE44" s="300">
        <f t="shared" si="1"/>
        <v>6</v>
      </c>
    </row>
    <row r="45" spans="1:31" hidden="1" outlineLevel="1">
      <c r="A45" s="1228"/>
      <c r="B45" s="1237" t="s">
        <v>3062</v>
      </c>
      <c r="C45" s="1168"/>
      <c r="D45" s="1238">
        <v>14.04</v>
      </c>
      <c r="E45" s="1230" t="s">
        <v>3031</v>
      </c>
      <c r="F45" s="1170"/>
      <c r="G45" s="668">
        <f t="shared" si="0"/>
        <v>0</v>
      </c>
      <c r="H45" s="1221"/>
      <c r="I45" s="1161"/>
      <c r="J45" s="1221"/>
      <c r="K45" s="1160"/>
      <c r="L45" s="1221"/>
      <c r="M45" s="1161"/>
      <c r="N45" s="1221"/>
      <c r="O45" s="1161"/>
      <c r="P45" s="1221"/>
      <c r="Q45" s="1161"/>
      <c r="R45" s="1221"/>
      <c r="S45" s="1161"/>
      <c r="T45" s="1221"/>
      <c r="U45" s="1160"/>
      <c r="X45" t="s">
        <v>3062</v>
      </c>
      <c r="Y45" t="s">
        <v>3063</v>
      </c>
      <c r="Z45">
        <v>13</v>
      </c>
      <c r="AA45" t="s">
        <v>3041</v>
      </c>
      <c r="AB45">
        <v>14.04</v>
      </c>
      <c r="AC45" t="s">
        <v>3034</v>
      </c>
      <c r="AD45" s="300">
        <v>1.17</v>
      </c>
      <c r="AE45" s="300">
        <f t="shared" si="1"/>
        <v>13</v>
      </c>
    </row>
    <row r="46" spans="1:31" hidden="1" outlineLevel="1">
      <c r="A46" s="1228"/>
      <c r="B46" s="1237" t="s">
        <v>3064</v>
      </c>
      <c r="C46" s="1168"/>
      <c r="D46" s="1238">
        <v>10.67</v>
      </c>
      <c r="E46" s="1230" t="s">
        <v>3031</v>
      </c>
      <c r="F46" s="1170"/>
      <c r="G46" s="668">
        <f t="shared" si="0"/>
        <v>0</v>
      </c>
      <c r="H46" s="1221"/>
      <c r="I46" s="1161"/>
      <c r="J46" s="1221"/>
      <c r="K46" s="1160"/>
      <c r="L46" s="1221"/>
      <c r="M46" s="1161"/>
      <c r="N46" s="1221"/>
      <c r="O46" s="1161"/>
      <c r="P46" s="1221"/>
      <c r="Q46" s="1161"/>
      <c r="R46" s="1221"/>
      <c r="S46" s="1161"/>
      <c r="T46" s="1221"/>
      <c r="U46" s="1160"/>
      <c r="X46" t="s">
        <v>3064</v>
      </c>
      <c r="Y46" t="s">
        <v>3061</v>
      </c>
      <c r="Z46">
        <v>6</v>
      </c>
      <c r="AA46" t="s">
        <v>3041</v>
      </c>
      <c r="AB46">
        <v>10.67</v>
      </c>
      <c r="AC46" t="s">
        <v>3034</v>
      </c>
      <c r="AD46" s="300">
        <v>1.33</v>
      </c>
      <c r="AE46" s="300">
        <f t="shared" si="1"/>
        <v>6</v>
      </c>
    </row>
    <row r="47" spans="1:31" hidden="1" outlineLevel="1">
      <c r="A47" s="1228"/>
      <c r="B47" s="1237" t="s">
        <v>3065</v>
      </c>
      <c r="C47" s="1168"/>
      <c r="D47" s="1238">
        <v>4.17</v>
      </c>
      <c r="E47" s="1230" t="s">
        <v>3031</v>
      </c>
      <c r="F47" s="1170"/>
      <c r="G47" s="668">
        <f t="shared" si="0"/>
        <v>0</v>
      </c>
      <c r="H47" s="1221"/>
      <c r="I47" s="1161"/>
      <c r="J47" s="1221"/>
      <c r="K47" s="1160"/>
      <c r="L47" s="1221"/>
      <c r="M47" s="1161"/>
      <c r="N47" s="1221"/>
      <c r="O47" s="1161"/>
      <c r="P47" s="1221"/>
      <c r="Q47" s="1161"/>
      <c r="R47" s="1221"/>
      <c r="S47" s="1161"/>
      <c r="T47" s="1221"/>
      <c r="U47" s="1160"/>
      <c r="X47" t="s">
        <v>3065</v>
      </c>
      <c r="Y47" t="s">
        <v>3061</v>
      </c>
      <c r="Z47">
        <v>2</v>
      </c>
      <c r="AA47" t="s">
        <v>3041</v>
      </c>
      <c r="AB47">
        <v>4.17</v>
      </c>
      <c r="AC47" t="s">
        <v>3034</v>
      </c>
      <c r="AD47" s="300">
        <v>1.33</v>
      </c>
      <c r="AE47" s="300">
        <f t="shared" si="1"/>
        <v>2</v>
      </c>
    </row>
    <row r="48" spans="1:31" hidden="1" outlineLevel="1">
      <c r="A48" s="1228"/>
      <c r="B48" s="1237" t="s">
        <v>3066</v>
      </c>
      <c r="C48" s="1168"/>
      <c r="D48" s="1238">
        <v>4.84</v>
      </c>
      <c r="E48" s="1230" t="s">
        <v>3031</v>
      </c>
      <c r="F48" s="1170"/>
      <c r="G48" s="668">
        <f t="shared" si="0"/>
        <v>0</v>
      </c>
      <c r="H48" s="1221"/>
      <c r="I48" s="1161"/>
      <c r="J48" s="1221"/>
      <c r="K48" s="1160"/>
      <c r="L48" s="1221"/>
      <c r="M48" s="1161"/>
      <c r="N48" s="1221"/>
      <c r="O48" s="1161"/>
      <c r="P48" s="1221"/>
      <c r="Q48" s="1161"/>
      <c r="R48" s="1221"/>
      <c r="S48" s="1161"/>
      <c r="T48" s="1221"/>
      <c r="U48" s="1160"/>
      <c r="X48" t="s">
        <v>3066</v>
      </c>
      <c r="Y48" t="s">
        <v>3061</v>
      </c>
      <c r="Z48">
        <v>2</v>
      </c>
      <c r="AA48" t="s">
        <v>3041</v>
      </c>
      <c r="AB48">
        <v>4.84</v>
      </c>
      <c r="AC48" t="s">
        <v>3034</v>
      </c>
      <c r="AD48" s="300">
        <v>1.33</v>
      </c>
      <c r="AE48" s="300">
        <f t="shared" si="1"/>
        <v>2</v>
      </c>
    </row>
    <row r="49" spans="1:31" hidden="1" outlineLevel="1">
      <c r="A49" s="1228"/>
      <c r="B49" s="1237" t="s">
        <v>3067</v>
      </c>
      <c r="C49" s="1168"/>
      <c r="D49" s="1238">
        <v>12.04</v>
      </c>
      <c r="E49" s="1230" t="s">
        <v>3031</v>
      </c>
      <c r="F49" s="1170"/>
      <c r="G49" s="668">
        <f t="shared" si="0"/>
        <v>0</v>
      </c>
      <c r="H49" s="1221"/>
      <c r="I49" s="1161"/>
      <c r="J49" s="1221"/>
      <c r="K49" s="1160"/>
      <c r="L49" s="1221"/>
      <c r="M49" s="1161"/>
      <c r="N49" s="1221"/>
      <c r="O49" s="1161"/>
      <c r="P49" s="1221"/>
      <c r="Q49" s="1161"/>
      <c r="R49" s="1221"/>
      <c r="S49" s="1161"/>
      <c r="T49" s="1221"/>
      <c r="U49" s="1160"/>
      <c r="X49" t="s">
        <v>3067</v>
      </c>
      <c r="Y49" t="s">
        <v>3068</v>
      </c>
      <c r="Z49">
        <v>3</v>
      </c>
      <c r="AA49" t="s">
        <v>3041</v>
      </c>
      <c r="AB49">
        <v>12.04</v>
      </c>
      <c r="AC49" t="s">
        <v>3034</v>
      </c>
      <c r="AD49" s="300">
        <v>1.5</v>
      </c>
      <c r="AE49" s="300">
        <f t="shared" si="1"/>
        <v>3</v>
      </c>
    </row>
    <row r="50" spans="1:31" hidden="1" outlineLevel="1">
      <c r="A50" s="1228"/>
      <c r="B50" s="1237" t="s">
        <v>3069</v>
      </c>
      <c r="C50" s="1168"/>
      <c r="D50" s="1238">
        <v>5.57</v>
      </c>
      <c r="E50" s="1230" t="s">
        <v>3031</v>
      </c>
      <c r="F50" s="1170"/>
      <c r="G50" s="668">
        <f t="shared" si="0"/>
        <v>0</v>
      </c>
      <c r="H50" s="1221"/>
      <c r="I50" s="1161"/>
      <c r="J50" s="1221"/>
      <c r="K50" s="1160"/>
      <c r="L50" s="1221"/>
      <c r="M50" s="1161"/>
      <c r="N50" s="1221"/>
      <c r="O50" s="1161"/>
      <c r="P50" s="1221"/>
      <c r="Q50" s="1161"/>
      <c r="R50" s="1221"/>
      <c r="S50" s="1161"/>
      <c r="T50" s="1221"/>
      <c r="U50" s="1160"/>
      <c r="X50" t="s">
        <v>3069</v>
      </c>
      <c r="Y50" t="s">
        <v>3070</v>
      </c>
      <c r="Z50">
        <v>1</v>
      </c>
      <c r="AA50" t="s">
        <v>3041</v>
      </c>
      <c r="AB50">
        <v>5.57</v>
      </c>
      <c r="AC50" t="s">
        <v>3034</v>
      </c>
      <c r="AD50" s="300">
        <v>1.67</v>
      </c>
      <c r="AE50" s="300">
        <f t="shared" si="1"/>
        <v>1</v>
      </c>
    </row>
    <row r="51" spans="1:31" hidden="1" outlineLevel="1">
      <c r="A51" s="1228"/>
      <c r="B51" s="1237" t="s">
        <v>3071</v>
      </c>
      <c r="C51" s="1168"/>
      <c r="D51" s="1238">
        <v>74.88</v>
      </c>
      <c r="E51" s="1230" t="s">
        <v>3031</v>
      </c>
      <c r="F51" s="1170"/>
      <c r="G51" s="668">
        <f t="shared" si="0"/>
        <v>0</v>
      </c>
      <c r="H51" s="1221"/>
      <c r="I51" s="1161"/>
      <c r="J51" s="1221"/>
      <c r="K51" s="1160"/>
      <c r="L51" s="1221"/>
      <c r="M51" s="1161"/>
      <c r="N51" s="1221"/>
      <c r="O51" s="1161"/>
      <c r="P51" s="1221"/>
      <c r="Q51" s="1161"/>
      <c r="R51" s="1221"/>
      <c r="S51" s="1161"/>
      <c r="T51" s="1221"/>
      <c r="U51" s="1160"/>
      <c r="X51" t="s">
        <v>3071</v>
      </c>
      <c r="Y51" t="s">
        <v>3036</v>
      </c>
      <c r="Z51">
        <v>50</v>
      </c>
      <c r="AA51" t="s">
        <v>48</v>
      </c>
      <c r="AB51">
        <v>74.88</v>
      </c>
      <c r="AC51" t="s">
        <v>3034</v>
      </c>
      <c r="AD51" s="300">
        <v>2</v>
      </c>
      <c r="AE51" s="300">
        <f t="shared" si="1"/>
        <v>50</v>
      </c>
    </row>
    <row r="52" spans="1:31" collapsed="1">
      <c r="A52" s="1228"/>
      <c r="B52" s="1167" t="s">
        <v>3072</v>
      </c>
      <c r="C52" s="1168"/>
      <c r="D52" s="1238"/>
      <c r="E52" s="1230"/>
      <c r="F52" s="1170"/>
      <c r="G52" s="668">
        <f t="shared" si="0"/>
        <v>0</v>
      </c>
      <c r="H52" s="1221"/>
      <c r="I52" s="1161"/>
      <c r="J52" s="1221"/>
      <c r="K52" s="1160"/>
      <c r="L52" s="1221"/>
      <c r="M52" s="1161"/>
      <c r="N52" s="1221"/>
      <c r="O52" s="1161"/>
      <c r="P52" s="1221"/>
      <c r="Q52" s="1161"/>
      <c r="R52" s="1221"/>
      <c r="S52" s="1161"/>
      <c r="T52" s="1221"/>
      <c r="U52" s="1160"/>
    </row>
    <row r="53" spans="1:31">
      <c r="A53" s="1228"/>
      <c r="B53" s="1237" t="s">
        <v>3073</v>
      </c>
      <c r="C53" s="1168"/>
      <c r="D53" s="1238">
        <f>SUM(D54:D55)</f>
        <v>2.1696296296296294</v>
      </c>
      <c r="E53" s="1230" t="s">
        <v>3031</v>
      </c>
      <c r="F53" s="1170">
        <v>1600</v>
      </c>
      <c r="G53" s="668">
        <f t="shared" si="0"/>
        <v>3471</v>
      </c>
      <c r="H53" s="1221" t="s">
        <v>2931</v>
      </c>
      <c r="I53" s="1161"/>
      <c r="J53" s="1221"/>
      <c r="K53" s="1243">
        <f>$G53</f>
        <v>3471</v>
      </c>
      <c r="L53" s="1221"/>
      <c r="M53" s="1243">
        <f>$G53</f>
        <v>3471</v>
      </c>
      <c r="N53" s="1221"/>
      <c r="O53" s="1243">
        <f>$G53</f>
        <v>3471</v>
      </c>
      <c r="P53" s="1221" t="s">
        <v>2931</v>
      </c>
      <c r="Q53" s="1161"/>
      <c r="R53" s="1221" t="s">
        <v>2931</v>
      </c>
      <c r="S53" s="1161"/>
      <c r="T53" s="1221" t="s">
        <v>2931</v>
      </c>
      <c r="U53" s="1160"/>
    </row>
    <row r="54" spans="1:31" hidden="1" outlineLevel="1">
      <c r="A54" s="1228">
        <v>0.57999999999999996</v>
      </c>
      <c r="B54" s="1244" t="s">
        <v>3074</v>
      </c>
      <c r="C54" s="1168"/>
      <c r="D54" s="1238">
        <f>49*0.58/27</f>
        <v>1.0525925925925925</v>
      </c>
      <c r="E54" s="1230" t="s">
        <v>3031</v>
      </c>
      <c r="F54" s="1170"/>
      <c r="G54" s="668">
        <f t="shared" ref="G54:G85" si="2">ROUND(D54*F54,0)</f>
        <v>0</v>
      </c>
      <c r="H54" s="1221"/>
      <c r="I54" s="1161"/>
      <c r="J54" s="1221"/>
      <c r="K54" s="1161"/>
      <c r="L54" s="1221"/>
      <c r="M54" s="1161"/>
      <c r="N54" s="1221"/>
      <c r="O54" s="1161"/>
      <c r="P54" s="1221"/>
      <c r="Q54" s="1161"/>
      <c r="R54" s="1221"/>
      <c r="S54" s="1161"/>
      <c r="T54" s="1221"/>
      <c r="U54" s="1160"/>
    </row>
    <row r="55" spans="1:31" hidden="1" outlineLevel="1">
      <c r="A55" s="1228">
        <v>0.57999999999999996</v>
      </c>
      <c r="B55" s="1244" t="s">
        <v>3075</v>
      </c>
      <c r="C55" s="1168"/>
      <c r="D55" s="1238">
        <f>52*0.58/27</f>
        <v>1.1170370370370368</v>
      </c>
      <c r="E55" s="1230" t="s">
        <v>3031</v>
      </c>
      <c r="F55" s="1170"/>
      <c r="G55" s="668">
        <f t="shared" si="2"/>
        <v>0</v>
      </c>
      <c r="H55" s="1221"/>
      <c r="I55" s="1161"/>
      <c r="J55" s="1221"/>
      <c r="K55" s="1161"/>
      <c r="L55" s="1221"/>
      <c r="M55" s="1161"/>
      <c r="N55" s="1221"/>
      <c r="O55" s="1161"/>
      <c r="P55" s="1221"/>
      <c r="Q55" s="1161"/>
      <c r="R55" s="1221"/>
      <c r="S55" s="1161"/>
      <c r="T55" s="1221"/>
      <c r="U55" s="1160"/>
    </row>
    <row r="56" spans="1:31" collapsed="1">
      <c r="A56" s="1228"/>
      <c r="B56" s="1237" t="s">
        <v>3076</v>
      </c>
      <c r="C56" s="1168"/>
      <c r="D56" s="1238">
        <f>SUM(D57:D59)</f>
        <v>36.673185185185183</v>
      </c>
      <c r="E56" s="1230" t="s">
        <v>3031</v>
      </c>
      <c r="F56" s="1170">
        <v>1500</v>
      </c>
      <c r="G56" s="668">
        <f t="shared" si="2"/>
        <v>55010</v>
      </c>
      <c r="H56" s="1221" t="s">
        <v>2931</v>
      </c>
      <c r="I56" s="1161"/>
      <c r="J56" s="1221"/>
      <c r="K56" s="1243">
        <f>$G56</f>
        <v>55010</v>
      </c>
      <c r="L56" s="1221"/>
      <c r="M56" s="1243">
        <f>$G56</f>
        <v>55010</v>
      </c>
      <c r="N56" s="1221"/>
      <c r="O56" s="1243">
        <f>$G56</f>
        <v>55010</v>
      </c>
      <c r="P56" s="1221" t="s">
        <v>2931</v>
      </c>
      <c r="Q56" s="1161"/>
      <c r="R56" s="1221" t="s">
        <v>2931</v>
      </c>
      <c r="S56" s="1161"/>
      <c r="T56" s="1221" t="s">
        <v>2931</v>
      </c>
      <c r="U56" s="1160"/>
    </row>
    <row r="57" spans="1:31" hidden="1" outlineLevel="1">
      <c r="A57" s="1228">
        <v>2.2999999999999998</v>
      </c>
      <c r="B57" s="1244" t="s">
        <v>3077</v>
      </c>
      <c r="C57" s="1168"/>
      <c r="D57" s="1238">
        <f>232.42*2.3/27</f>
        <v>19.798740740740737</v>
      </c>
      <c r="E57" s="1230" t="s">
        <v>3031</v>
      </c>
      <c r="F57" s="1170">
        <f>$F$53</f>
        <v>1600</v>
      </c>
      <c r="G57" s="668">
        <f t="shared" si="2"/>
        <v>31678</v>
      </c>
      <c r="H57" s="1221"/>
      <c r="I57" s="1161"/>
      <c r="J57" s="1221"/>
      <c r="K57" s="1160"/>
      <c r="L57" s="1221"/>
      <c r="M57" s="1161"/>
      <c r="N57" s="1221"/>
      <c r="O57" s="1161"/>
      <c r="P57" s="1221"/>
      <c r="Q57" s="1161"/>
      <c r="R57" s="1221"/>
      <c r="S57" s="1161"/>
      <c r="T57" s="1221"/>
      <c r="U57" s="1160"/>
    </row>
    <row r="58" spans="1:31" hidden="1" outlineLevel="1">
      <c r="A58" s="1228">
        <v>1.56</v>
      </c>
      <c r="B58" s="1244" t="s">
        <v>3078</v>
      </c>
      <c r="C58" s="1168"/>
      <c r="D58" s="1238">
        <f>222.75*1.56/27</f>
        <v>12.870000000000001</v>
      </c>
      <c r="E58" s="1230" t="s">
        <v>3031</v>
      </c>
      <c r="F58" s="1170"/>
      <c r="G58" s="668">
        <f t="shared" si="2"/>
        <v>0</v>
      </c>
      <c r="H58" s="1221"/>
      <c r="I58" s="1161"/>
      <c r="J58" s="1221"/>
      <c r="K58" s="1160"/>
      <c r="L58" s="1221"/>
      <c r="M58" s="1161"/>
      <c r="N58" s="1221"/>
      <c r="O58" s="1161"/>
      <c r="P58" s="1221"/>
      <c r="Q58" s="1161"/>
      <c r="R58" s="1221"/>
      <c r="S58" s="1161"/>
      <c r="T58" s="1221"/>
      <c r="U58" s="1160"/>
    </row>
    <row r="59" spans="1:31" hidden="1" outlineLevel="1">
      <c r="A59" s="1228">
        <f>3.17*0.5</f>
        <v>1.585</v>
      </c>
      <c r="B59" s="1244" t="s">
        <v>3079</v>
      </c>
      <c r="C59" s="1168"/>
      <c r="D59" s="1238">
        <f>68*1.59/27</f>
        <v>4.0044444444444443</v>
      </c>
      <c r="E59" s="1230" t="s">
        <v>3031</v>
      </c>
      <c r="F59" s="1170"/>
      <c r="G59" s="668">
        <f t="shared" si="2"/>
        <v>0</v>
      </c>
      <c r="H59" s="1221"/>
      <c r="I59" s="1161"/>
      <c r="J59" s="1221"/>
      <c r="K59" s="1160"/>
      <c r="L59" s="1221"/>
      <c r="M59" s="1161"/>
      <c r="N59" s="1221"/>
      <c r="O59" s="1161"/>
      <c r="P59" s="1221"/>
      <c r="Q59" s="1161"/>
      <c r="R59" s="1221"/>
      <c r="S59" s="1161"/>
      <c r="T59" s="1221"/>
      <c r="U59" s="1160"/>
    </row>
    <row r="60" spans="1:31" collapsed="1">
      <c r="A60" s="1228"/>
      <c r="B60" s="1245"/>
      <c r="C60" s="1168"/>
      <c r="D60" s="1238"/>
      <c r="E60" s="1230"/>
      <c r="F60" s="1170"/>
      <c r="G60" s="668">
        <f t="shared" si="2"/>
        <v>0</v>
      </c>
      <c r="H60" s="1221"/>
      <c r="I60" s="1161"/>
      <c r="J60" s="1221"/>
      <c r="K60" s="1160"/>
      <c r="L60" s="1221"/>
      <c r="M60" s="1161"/>
      <c r="N60" s="1221"/>
      <c r="O60" s="1161"/>
      <c r="P60" s="1221"/>
      <c r="Q60" s="1161"/>
      <c r="R60" s="1221"/>
      <c r="S60" s="1161"/>
      <c r="T60" s="1221"/>
      <c r="U60" s="1160"/>
    </row>
    <row r="61" spans="1:31">
      <c r="A61" s="1228"/>
      <c r="B61" s="1246" t="s">
        <v>3080</v>
      </c>
      <c r="C61" s="1168"/>
      <c r="D61" s="1238"/>
      <c r="E61" s="1230"/>
      <c r="F61" s="1170"/>
      <c r="G61" s="668">
        <f t="shared" si="2"/>
        <v>0</v>
      </c>
      <c r="H61" s="1221"/>
      <c r="I61" s="1161"/>
      <c r="J61" s="1221"/>
      <c r="K61" s="1160"/>
      <c r="L61" s="1221"/>
      <c r="M61" s="1161"/>
      <c r="N61" s="1221"/>
      <c r="O61" s="1161"/>
      <c r="P61" s="1221"/>
      <c r="Q61" s="1161"/>
      <c r="R61" s="1221"/>
      <c r="S61" s="1161"/>
      <c r="T61" s="1221"/>
      <c r="U61" s="1160"/>
    </row>
    <row r="62" spans="1:31">
      <c r="A62" s="1228"/>
      <c r="B62" s="1247" t="s">
        <v>3030</v>
      </c>
      <c r="C62" s="1168"/>
      <c r="D62" s="1238">
        <f>SUM(D63:D72)</f>
        <v>61.54999999999999</v>
      </c>
      <c r="E62" s="1230" t="s">
        <v>3031</v>
      </c>
      <c r="F62" s="1233">
        <f t="shared" ref="F62" si="3">$F$24</f>
        <v>1600</v>
      </c>
      <c r="G62" s="668">
        <f t="shared" si="2"/>
        <v>98480</v>
      </c>
      <c r="H62" s="1221" t="s">
        <v>2931</v>
      </c>
      <c r="I62" s="1161"/>
      <c r="J62" s="1221"/>
      <c r="K62" s="1160"/>
      <c r="L62" s="1221" t="s">
        <v>2931</v>
      </c>
      <c r="M62" s="1161"/>
      <c r="N62" s="1221" t="s">
        <v>2931</v>
      </c>
      <c r="O62" s="1161"/>
      <c r="P62" s="1221" t="s">
        <v>2931</v>
      </c>
      <c r="Q62" s="1161"/>
      <c r="R62" s="1221" t="s">
        <v>2931</v>
      </c>
      <c r="S62" s="1161"/>
      <c r="T62" s="1221" t="s">
        <v>2931</v>
      </c>
      <c r="U62" s="1160"/>
    </row>
    <row r="63" spans="1:31" hidden="1" outlineLevel="1">
      <c r="A63" s="1228"/>
      <c r="B63" s="1245" t="s">
        <v>3081</v>
      </c>
      <c r="C63" s="1168"/>
      <c r="D63" s="1238">
        <v>7.09</v>
      </c>
      <c r="E63" s="1230" t="s">
        <v>3031</v>
      </c>
      <c r="F63" s="1233"/>
      <c r="G63" s="668">
        <f t="shared" si="2"/>
        <v>0</v>
      </c>
      <c r="H63" s="1221"/>
      <c r="I63" s="1161"/>
      <c r="J63" s="1221"/>
      <c r="K63" s="1160"/>
      <c r="L63" s="1221"/>
      <c r="M63" s="1161"/>
      <c r="N63" s="1221"/>
      <c r="O63" s="1161"/>
      <c r="P63" s="1221"/>
      <c r="Q63" s="1161"/>
      <c r="R63" s="1221"/>
      <c r="S63" s="1161"/>
      <c r="T63" s="1221"/>
      <c r="U63" s="1160"/>
      <c r="X63" t="s">
        <v>3081</v>
      </c>
      <c r="Y63" t="s">
        <v>3036</v>
      </c>
      <c r="Z63">
        <v>96</v>
      </c>
      <c r="AA63" t="s">
        <v>48</v>
      </c>
      <c r="AB63">
        <v>7.09</v>
      </c>
      <c r="AC63" t="s">
        <v>3034</v>
      </c>
      <c r="AE63" s="300" t="s">
        <v>2795</v>
      </c>
    </row>
    <row r="64" spans="1:31" hidden="1" outlineLevel="1">
      <c r="A64" s="1228"/>
      <c r="B64" s="1245" t="s">
        <v>3082</v>
      </c>
      <c r="C64" s="1168"/>
      <c r="D64" s="1238">
        <v>16.84</v>
      </c>
      <c r="E64" s="1230" t="s">
        <v>3031</v>
      </c>
      <c r="F64" s="1233"/>
      <c r="G64" s="668">
        <f t="shared" si="2"/>
        <v>0</v>
      </c>
      <c r="H64" s="1221"/>
      <c r="I64" s="1161"/>
      <c r="J64" s="1221"/>
      <c r="K64" s="1160"/>
      <c r="L64" s="1221"/>
      <c r="M64" s="1161"/>
      <c r="N64" s="1221"/>
      <c r="O64" s="1161"/>
      <c r="P64" s="1221"/>
      <c r="Q64" s="1161"/>
      <c r="R64" s="1221"/>
      <c r="S64" s="1161"/>
      <c r="T64" s="1221"/>
      <c r="U64" s="1160"/>
      <c r="X64" t="s">
        <v>3082</v>
      </c>
      <c r="Y64" t="s">
        <v>3056</v>
      </c>
      <c r="Z64">
        <v>114</v>
      </c>
      <c r="AA64" t="s">
        <v>48</v>
      </c>
      <c r="AB64">
        <v>16.84</v>
      </c>
      <c r="AC64" t="s">
        <v>3034</v>
      </c>
      <c r="AE64" s="300" t="s">
        <v>2795</v>
      </c>
    </row>
    <row r="65" spans="1:31" hidden="1" outlineLevel="1">
      <c r="A65" s="1228"/>
      <c r="B65" s="1245" t="s">
        <v>3083</v>
      </c>
      <c r="C65" s="1168"/>
      <c r="D65" s="1238">
        <v>2.36</v>
      </c>
      <c r="E65" s="1230" t="s">
        <v>3031</v>
      </c>
      <c r="F65" s="1233"/>
      <c r="G65" s="668">
        <f t="shared" si="2"/>
        <v>0</v>
      </c>
      <c r="H65" s="1221"/>
      <c r="I65" s="1161"/>
      <c r="J65" s="1221"/>
      <c r="K65" s="1160"/>
      <c r="L65" s="1221"/>
      <c r="M65" s="1161"/>
      <c r="N65" s="1221"/>
      <c r="O65" s="1161"/>
      <c r="P65" s="1221"/>
      <c r="Q65" s="1161"/>
      <c r="R65" s="1221"/>
      <c r="S65" s="1161"/>
      <c r="T65" s="1221"/>
      <c r="U65" s="1160"/>
      <c r="X65" t="s">
        <v>3083</v>
      </c>
      <c r="Y65" t="s">
        <v>3056</v>
      </c>
      <c r="Z65">
        <v>21</v>
      </c>
      <c r="AA65" t="s">
        <v>48</v>
      </c>
      <c r="AB65">
        <v>2.36</v>
      </c>
      <c r="AC65" t="s">
        <v>3034</v>
      </c>
      <c r="AE65" s="300" t="s">
        <v>2795</v>
      </c>
    </row>
    <row r="66" spans="1:31" hidden="1" outlineLevel="1">
      <c r="A66" s="1228"/>
      <c r="B66" s="1245" t="s">
        <v>3084</v>
      </c>
      <c r="C66" s="1168"/>
      <c r="D66" s="1238">
        <v>3.26</v>
      </c>
      <c r="E66" s="1230" t="s">
        <v>3031</v>
      </c>
      <c r="F66" s="1233"/>
      <c r="G66" s="668">
        <f t="shared" si="2"/>
        <v>0</v>
      </c>
      <c r="H66" s="1221"/>
      <c r="I66" s="1161"/>
      <c r="J66" s="1221"/>
      <c r="K66" s="1160"/>
      <c r="L66" s="1221"/>
      <c r="M66" s="1161"/>
      <c r="N66" s="1221"/>
      <c r="O66" s="1161"/>
      <c r="P66" s="1221"/>
      <c r="Q66" s="1161"/>
      <c r="R66" s="1221"/>
      <c r="S66" s="1161"/>
      <c r="T66" s="1221"/>
      <c r="U66" s="1160"/>
      <c r="X66" t="s">
        <v>3084</v>
      </c>
      <c r="Y66" t="s">
        <v>3085</v>
      </c>
      <c r="Z66">
        <v>32</v>
      </c>
      <c r="AA66" t="s">
        <v>48</v>
      </c>
      <c r="AB66">
        <v>3.26</v>
      </c>
      <c r="AC66" t="s">
        <v>3034</v>
      </c>
      <c r="AE66" s="300" t="s">
        <v>2795</v>
      </c>
    </row>
    <row r="67" spans="1:31" hidden="1" outlineLevel="1">
      <c r="A67" s="1228"/>
      <c r="B67" s="1245" t="s">
        <v>3086</v>
      </c>
      <c r="C67" s="1168"/>
      <c r="D67" s="1238">
        <v>2.36</v>
      </c>
      <c r="E67" s="1230" t="s">
        <v>3031</v>
      </c>
      <c r="F67" s="1233"/>
      <c r="G67" s="668">
        <f t="shared" si="2"/>
        <v>0</v>
      </c>
      <c r="H67" s="1221"/>
      <c r="I67" s="1161"/>
      <c r="J67" s="1221"/>
      <c r="K67" s="1160"/>
      <c r="L67" s="1221"/>
      <c r="M67" s="1161"/>
      <c r="N67" s="1221"/>
      <c r="O67" s="1161"/>
      <c r="P67" s="1221"/>
      <c r="Q67" s="1161"/>
      <c r="R67" s="1221"/>
      <c r="S67" s="1161"/>
      <c r="T67" s="1221"/>
      <c r="U67" s="1160"/>
      <c r="X67" t="s">
        <v>3086</v>
      </c>
      <c r="Y67" t="s">
        <v>3087</v>
      </c>
      <c r="Z67">
        <v>26</v>
      </c>
      <c r="AA67" t="s">
        <v>48</v>
      </c>
      <c r="AB67">
        <v>2.36</v>
      </c>
      <c r="AC67" t="s">
        <v>3034</v>
      </c>
      <c r="AE67" s="300" t="s">
        <v>2795</v>
      </c>
    </row>
    <row r="68" spans="1:31" hidden="1" outlineLevel="1">
      <c r="A68" s="1228"/>
      <c r="B68" s="1245" t="s">
        <v>3088</v>
      </c>
      <c r="C68" s="1168"/>
      <c r="D68" s="1238">
        <v>0.3</v>
      </c>
      <c r="E68" s="1230" t="s">
        <v>3031</v>
      </c>
      <c r="F68" s="1233"/>
      <c r="G68" s="668">
        <f t="shared" si="2"/>
        <v>0</v>
      </c>
      <c r="H68" s="1221"/>
      <c r="I68" s="1161"/>
      <c r="J68" s="1221"/>
      <c r="K68" s="1160"/>
      <c r="L68" s="1221"/>
      <c r="M68" s="1161"/>
      <c r="N68" s="1221"/>
      <c r="O68" s="1161"/>
      <c r="P68" s="1221"/>
      <c r="Q68" s="1161"/>
      <c r="R68" s="1221"/>
      <c r="S68" s="1161"/>
      <c r="T68" s="1221"/>
      <c r="U68" s="1160"/>
      <c r="X68" t="s">
        <v>3088</v>
      </c>
      <c r="Y68" t="s">
        <v>3061</v>
      </c>
      <c r="Z68">
        <v>9</v>
      </c>
      <c r="AA68" t="s">
        <v>48</v>
      </c>
      <c r="AB68">
        <v>0.3</v>
      </c>
      <c r="AC68" t="s">
        <v>3034</v>
      </c>
      <c r="AE68" s="300" t="s">
        <v>2795</v>
      </c>
    </row>
    <row r="69" spans="1:31" hidden="1" outlineLevel="1">
      <c r="A69" s="1228"/>
      <c r="B69" s="1245" t="s">
        <v>3089</v>
      </c>
      <c r="C69" s="1168"/>
      <c r="D69" s="1238">
        <v>3.76</v>
      </c>
      <c r="E69" s="1230" t="s">
        <v>3031</v>
      </c>
      <c r="F69" s="1233"/>
      <c r="G69" s="668">
        <f t="shared" si="2"/>
        <v>0</v>
      </c>
      <c r="H69" s="1221"/>
      <c r="I69" s="1161"/>
      <c r="J69" s="1221"/>
      <c r="K69" s="1160"/>
      <c r="L69" s="1221"/>
      <c r="M69" s="1161"/>
      <c r="N69" s="1221"/>
      <c r="O69" s="1161"/>
      <c r="P69" s="1221"/>
      <c r="Q69" s="1161"/>
      <c r="R69" s="1221"/>
      <c r="S69" s="1161"/>
      <c r="T69" s="1221"/>
      <c r="U69" s="1160"/>
      <c r="X69" t="s">
        <v>3089</v>
      </c>
      <c r="Y69" t="s">
        <v>3061</v>
      </c>
      <c r="Z69">
        <v>114</v>
      </c>
      <c r="AA69" t="s">
        <v>48</v>
      </c>
      <c r="AB69">
        <v>3.76</v>
      </c>
      <c r="AC69" t="s">
        <v>3034</v>
      </c>
      <c r="AE69" s="300" t="s">
        <v>2795</v>
      </c>
    </row>
    <row r="70" spans="1:31" hidden="1" outlineLevel="1">
      <c r="A70" s="1228"/>
      <c r="B70" s="1245" t="s">
        <v>3090</v>
      </c>
      <c r="C70" s="1168"/>
      <c r="D70" s="1238">
        <v>23.75</v>
      </c>
      <c r="E70" s="1230" t="s">
        <v>3031</v>
      </c>
      <c r="F70" s="1233"/>
      <c r="G70" s="668">
        <f t="shared" si="2"/>
        <v>0</v>
      </c>
      <c r="H70" s="1221"/>
      <c r="I70" s="1161"/>
      <c r="J70" s="1221"/>
      <c r="K70" s="1160"/>
      <c r="L70" s="1221"/>
      <c r="M70" s="1161"/>
      <c r="N70" s="1221"/>
      <c r="O70" s="1161"/>
      <c r="P70" s="1221"/>
      <c r="Q70" s="1161"/>
      <c r="R70" s="1221"/>
      <c r="S70" s="1161"/>
      <c r="T70" s="1221"/>
      <c r="U70" s="1160"/>
      <c r="X70" t="s">
        <v>3090</v>
      </c>
      <c r="Y70" t="s">
        <v>3091</v>
      </c>
      <c r="Z70">
        <v>183</v>
      </c>
      <c r="AA70" t="s">
        <v>48</v>
      </c>
      <c r="AB70">
        <v>23.75</v>
      </c>
      <c r="AC70" t="s">
        <v>3034</v>
      </c>
      <c r="AE70" s="300" t="s">
        <v>2795</v>
      </c>
    </row>
    <row r="71" spans="1:31" hidden="1" outlineLevel="1">
      <c r="A71" s="1228"/>
      <c r="B71" s="1245" t="s">
        <v>3092</v>
      </c>
      <c r="C71" s="1168"/>
      <c r="D71" s="1238">
        <v>1.36</v>
      </c>
      <c r="E71" s="1230" t="s">
        <v>3031</v>
      </c>
      <c r="F71" s="1233"/>
      <c r="G71" s="668">
        <f t="shared" si="2"/>
        <v>0</v>
      </c>
      <c r="H71" s="1221"/>
      <c r="I71" s="1161"/>
      <c r="J71" s="1221"/>
      <c r="K71" s="1160"/>
      <c r="L71" s="1221"/>
      <c r="M71" s="1161"/>
      <c r="N71" s="1221"/>
      <c r="O71" s="1161"/>
      <c r="P71" s="1221"/>
      <c r="Q71" s="1161"/>
      <c r="R71" s="1221"/>
      <c r="S71" s="1161"/>
      <c r="T71" s="1221"/>
      <c r="U71" s="1160"/>
      <c r="X71" t="s">
        <v>3092</v>
      </c>
      <c r="Y71" t="s">
        <v>3036</v>
      </c>
      <c r="Z71">
        <v>18</v>
      </c>
      <c r="AA71" t="s">
        <v>48</v>
      </c>
      <c r="AB71">
        <v>1.36</v>
      </c>
      <c r="AC71" t="s">
        <v>3034</v>
      </c>
      <c r="AE71" s="300" t="s">
        <v>2795</v>
      </c>
    </row>
    <row r="72" spans="1:31" hidden="1" outlineLevel="1">
      <c r="A72" s="1228"/>
      <c r="B72" s="1245" t="s">
        <v>3093</v>
      </c>
      <c r="C72" s="1168"/>
      <c r="D72" s="1238">
        <v>0.47</v>
      </c>
      <c r="E72" s="1230" t="s">
        <v>3031</v>
      </c>
      <c r="F72" s="1233"/>
      <c r="G72" s="668">
        <f t="shared" si="2"/>
        <v>0</v>
      </c>
      <c r="H72" s="1221"/>
      <c r="I72" s="1161"/>
      <c r="J72" s="1221"/>
      <c r="K72" s="1160"/>
      <c r="L72" s="1221"/>
      <c r="M72" s="1161"/>
      <c r="N72" s="1221"/>
      <c r="O72" s="1161"/>
      <c r="P72" s="1221"/>
      <c r="Q72" s="1161"/>
      <c r="R72" s="1221"/>
      <c r="S72" s="1161"/>
      <c r="T72" s="1221"/>
      <c r="U72" s="1160"/>
      <c r="X72" t="s">
        <v>3093</v>
      </c>
      <c r="Y72" t="s">
        <v>3036</v>
      </c>
      <c r="Z72">
        <v>10</v>
      </c>
      <c r="AA72" t="s">
        <v>48</v>
      </c>
      <c r="AB72">
        <v>0.47</v>
      </c>
      <c r="AC72" t="s">
        <v>3034</v>
      </c>
      <c r="AE72" s="300" t="s">
        <v>2795</v>
      </c>
    </row>
    <row r="73" spans="1:31" collapsed="1">
      <c r="A73" s="1228"/>
      <c r="B73" s="1247" t="s">
        <v>3038</v>
      </c>
      <c r="C73" s="1168"/>
      <c r="D73" s="1238">
        <f>SUM(D74:D78)</f>
        <v>13.129999999999999</v>
      </c>
      <c r="E73" s="1230" t="s">
        <v>3031</v>
      </c>
      <c r="F73" s="1170">
        <f>$F$28</f>
        <v>1800</v>
      </c>
      <c r="G73" s="668">
        <f t="shared" si="2"/>
        <v>23634</v>
      </c>
      <c r="H73" s="1221" t="s">
        <v>2931</v>
      </c>
      <c r="I73" s="1161"/>
      <c r="J73" s="1221"/>
      <c r="K73" s="1160"/>
      <c r="L73" s="1221" t="s">
        <v>2931</v>
      </c>
      <c r="M73" s="1161"/>
      <c r="N73" s="1221" t="s">
        <v>2931</v>
      </c>
      <c r="O73" s="1161"/>
      <c r="P73" s="1221" t="s">
        <v>2931</v>
      </c>
      <c r="Q73" s="1161"/>
      <c r="R73" s="1221" t="s">
        <v>2931</v>
      </c>
      <c r="S73" s="1161"/>
      <c r="T73" s="1221" t="s">
        <v>2931</v>
      </c>
      <c r="U73" s="1160"/>
    </row>
    <row r="74" spans="1:31" hidden="1" outlineLevel="1">
      <c r="A74" s="1228"/>
      <c r="B74" s="1245" t="s">
        <v>3094</v>
      </c>
      <c r="C74" s="1168"/>
      <c r="D74" s="1238">
        <v>0.61</v>
      </c>
      <c r="E74" s="1230" t="s">
        <v>3031</v>
      </c>
      <c r="F74" s="1170"/>
      <c r="G74" s="668">
        <f t="shared" si="2"/>
        <v>0</v>
      </c>
      <c r="H74" s="1221"/>
      <c r="I74" s="1161"/>
      <c r="J74" s="1221"/>
      <c r="K74" s="1160"/>
      <c r="L74" s="1221"/>
      <c r="M74" s="1161"/>
      <c r="N74" s="1221"/>
      <c r="O74" s="1161"/>
      <c r="P74" s="1221"/>
      <c r="Q74" s="1161"/>
      <c r="R74" s="1221"/>
      <c r="S74" s="1161"/>
      <c r="T74" s="1221"/>
      <c r="U74" s="1160"/>
      <c r="X74" t="s">
        <v>3094</v>
      </c>
      <c r="Y74" t="s">
        <v>3095</v>
      </c>
      <c r="Z74">
        <v>1</v>
      </c>
      <c r="AA74" t="s">
        <v>3041</v>
      </c>
      <c r="AB74">
        <v>0.61</v>
      </c>
      <c r="AC74" t="s">
        <v>3034</v>
      </c>
      <c r="AE74" s="300" t="s">
        <v>2795</v>
      </c>
    </row>
    <row r="75" spans="1:31" hidden="1" outlineLevel="1">
      <c r="A75" s="1228"/>
      <c r="B75" s="1245" t="s">
        <v>3096</v>
      </c>
      <c r="C75" s="1168"/>
      <c r="D75" s="1238">
        <v>2.46</v>
      </c>
      <c r="E75" s="1230" t="s">
        <v>3031</v>
      </c>
      <c r="F75" s="1170"/>
      <c r="G75" s="668">
        <f t="shared" si="2"/>
        <v>0</v>
      </c>
      <c r="H75" s="1221"/>
      <c r="I75" s="1161"/>
      <c r="J75" s="1221"/>
      <c r="K75" s="1160"/>
      <c r="L75" s="1221"/>
      <c r="M75" s="1161"/>
      <c r="N75" s="1221"/>
      <c r="O75" s="1161"/>
      <c r="P75" s="1221"/>
      <c r="Q75" s="1161"/>
      <c r="R75" s="1221"/>
      <c r="S75" s="1161"/>
      <c r="T75" s="1221"/>
      <c r="U75" s="1160"/>
      <c r="X75" t="s">
        <v>3096</v>
      </c>
      <c r="Y75" t="s">
        <v>3095</v>
      </c>
      <c r="Z75">
        <v>3</v>
      </c>
      <c r="AA75" t="s">
        <v>3041</v>
      </c>
      <c r="AB75">
        <v>2.46</v>
      </c>
      <c r="AC75" t="s">
        <v>3034</v>
      </c>
      <c r="AE75" s="300" t="s">
        <v>2795</v>
      </c>
    </row>
    <row r="76" spans="1:31" hidden="1" outlineLevel="1">
      <c r="A76" s="1228"/>
      <c r="B76" s="1245" t="s">
        <v>3097</v>
      </c>
      <c r="C76" s="1168"/>
      <c r="D76" s="1238">
        <v>1.1299999999999999</v>
      </c>
      <c r="E76" s="1230" t="s">
        <v>3031</v>
      </c>
      <c r="F76" s="1170"/>
      <c r="G76" s="668">
        <f t="shared" si="2"/>
        <v>0</v>
      </c>
      <c r="H76" s="1221"/>
      <c r="I76" s="1161"/>
      <c r="J76" s="1221"/>
      <c r="K76" s="1160"/>
      <c r="L76" s="1221"/>
      <c r="M76" s="1161"/>
      <c r="N76" s="1221"/>
      <c r="O76" s="1161"/>
      <c r="P76" s="1221"/>
      <c r="Q76" s="1161"/>
      <c r="R76" s="1221"/>
      <c r="S76" s="1161"/>
      <c r="T76" s="1221"/>
      <c r="U76" s="1160"/>
      <c r="X76" t="s">
        <v>3097</v>
      </c>
      <c r="Y76" t="s">
        <v>3095</v>
      </c>
      <c r="Z76">
        <v>1</v>
      </c>
      <c r="AA76" t="s">
        <v>3041</v>
      </c>
      <c r="AB76">
        <v>1.1299999999999999</v>
      </c>
      <c r="AC76" t="s">
        <v>3034</v>
      </c>
      <c r="AE76" s="300" t="s">
        <v>2795</v>
      </c>
    </row>
    <row r="77" spans="1:31" hidden="1" outlineLevel="1">
      <c r="A77" s="1228"/>
      <c r="B77" s="1245" t="s">
        <v>3098</v>
      </c>
      <c r="C77" s="1168"/>
      <c r="D77" s="1238">
        <v>2.41</v>
      </c>
      <c r="E77" s="1230" t="s">
        <v>3031</v>
      </c>
      <c r="F77" s="1170"/>
      <c r="G77" s="668">
        <f t="shared" si="2"/>
        <v>0</v>
      </c>
      <c r="H77" s="1221"/>
      <c r="I77" s="1161"/>
      <c r="J77" s="1221"/>
      <c r="K77" s="1160"/>
      <c r="L77" s="1221"/>
      <c r="M77" s="1161"/>
      <c r="N77" s="1221"/>
      <c r="O77" s="1161"/>
      <c r="P77" s="1221"/>
      <c r="Q77" s="1161"/>
      <c r="R77" s="1221"/>
      <c r="S77" s="1161"/>
      <c r="T77" s="1221"/>
      <c r="U77" s="1160"/>
      <c r="X77" t="s">
        <v>3098</v>
      </c>
      <c r="Y77" t="s">
        <v>3095</v>
      </c>
      <c r="Z77">
        <v>4</v>
      </c>
      <c r="AA77" t="s">
        <v>48</v>
      </c>
      <c r="AB77">
        <v>2.41</v>
      </c>
      <c r="AC77" t="s">
        <v>3034</v>
      </c>
      <c r="AE77" s="300" t="s">
        <v>2795</v>
      </c>
    </row>
    <row r="78" spans="1:31" hidden="1" outlineLevel="1">
      <c r="A78" s="1228"/>
      <c r="B78" s="1245" t="s">
        <v>3099</v>
      </c>
      <c r="C78" s="1168"/>
      <c r="D78" s="1238">
        <v>6.52</v>
      </c>
      <c r="E78" s="1230" t="s">
        <v>3031</v>
      </c>
      <c r="F78" s="1170"/>
      <c r="G78" s="668">
        <f t="shared" si="2"/>
        <v>0</v>
      </c>
      <c r="H78" s="1221"/>
      <c r="I78" s="1161"/>
      <c r="J78" s="1221"/>
      <c r="K78" s="1160"/>
      <c r="L78" s="1221"/>
      <c r="M78" s="1161"/>
      <c r="N78" s="1221"/>
      <c r="O78" s="1161"/>
      <c r="P78" s="1221"/>
      <c r="Q78" s="1161"/>
      <c r="R78" s="1221"/>
      <c r="S78" s="1161"/>
      <c r="T78" s="1221"/>
      <c r="U78" s="1160"/>
      <c r="X78" t="s">
        <v>3099</v>
      </c>
      <c r="Y78" t="s">
        <v>3036</v>
      </c>
      <c r="Z78">
        <v>9</v>
      </c>
      <c r="AA78" t="s">
        <v>3041</v>
      </c>
      <c r="AB78">
        <v>6.52</v>
      </c>
      <c r="AC78" t="s">
        <v>3034</v>
      </c>
      <c r="AE78" s="300" t="s">
        <v>2795</v>
      </c>
    </row>
    <row r="79" spans="1:31" collapsed="1">
      <c r="A79" s="1228"/>
      <c r="B79" s="1247" t="s">
        <v>3051</v>
      </c>
      <c r="C79" s="1168"/>
      <c r="D79" s="1238">
        <f>SUM(D80:D81)</f>
        <v>517.34</v>
      </c>
      <c r="E79" s="1230" t="s">
        <v>3031</v>
      </c>
      <c r="F79" s="1170">
        <v>2000</v>
      </c>
      <c r="G79" s="668">
        <f t="shared" si="2"/>
        <v>1034680</v>
      </c>
      <c r="H79" s="1221" t="s">
        <v>2931</v>
      </c>
      <c r="I79" s="1161"/>
      <c r="J79" s="1221"/>
      <c r="K79" s="1160"/>
      <c r="L79" s="1221" t="s">
        <v>2931</v>
      </c>
      <c r="M79" s="1161"/>
      <c r="N79" s="1221" t="s">
        <v>2931</v>
      </c>
      <c r="O79" s="1161"/>
      <c r="P79" s="1221" t="s">
        <v>2931</v>
      </c>
      <c r="Q79" s="1161"/>
      <c r="R79" s="1221" t="s">
        <v>2931</v>
      </c>
      <c r="S79" s="1161"/>
      <c r="T79" s="1221" t="s">
        <v>2931</v>
      </c>
      <c r="U79" s="1160"/>
    </row>
    <row r="80" spans="1:31" hidden="1" outlineLevel="1">
      <c r="A80" s="1228"/>
      <c r="B80" s="1245" t="s">
        <v>3100</v>
      </c>
      <c r="C80" s="1168"/>
      <c r="D80" s="1238">
        <v>505.45</v>
      </c>
      <c r="E80" s="1230" t="s">
        <v>3031</v>
      </c>
      <c r="F80" s="1170"/>
      <c r="G80" s="668">
        <f t="shared" si="2"/>
        <v>0</v>
      </c>
      <c r="H80" s="1221"/>
      <c r="I80" s="1161"/>
      <c r="J80" s="1221"/>
      <c r="K80" s="1160"/>
      <c r="L80" s="1221"/>
      <c r="M80" s="1161"/>
      <c r="N80" s="1221"/>
      <c r="O80" s="1161"/>
      <c r="P80" s="1221"/>
      <c r="Q80" s="1161"/>
      <c r="R80" s="1221"/>
      <c r="S80" s="1161"/>
      <c r="T80" s="1221"/>
      <c r="U80" s="1160"/>
      <c r="X80" t="s">
        <v>3100</v>
      </c>
      <c r="Y80" t="s">
        <v>3045</v>
      </c>
      <c r="Z80">
        <v>602</v>
      </c>
      <c r="AA80" t="s">
        <v>48</v>
      </c>
      <c r="AB80">
        <v>505.45</v>
      </c>
      <c r="AC80" t="s">
        <v>3034</v>
      </c>
      <c r="AE80" s="300" t="s">
        <v>2795</v>
      </c>
    </row>
    <row r="81" spans="1:31" hidden="1" outlineLevel="1">
      <c r="A81" s="1228"/>
      <c r="B81" s="1245" t="s">
        <v>3101</v>
      </c>
      <c r="C81" s="1168"/>
      <c r="D81" s="1238">
        <v>11.89</v>
      </c>
      <c r="E81" s="1230" t="s">
        <v>3031</v>
      </c>
      <c r="F81" s="1170"/>
      <c r="G81" s="668">
        <f t="shared" si="2"/>
        <v>0</v>
      </c>
      <c r="H81" s="1221"/>
      <c r="I81" s="1161"/>
      <c r="J81" s="1221"/>
      <c r="K81" s="1160"/>
      <c r="L81" s="1221"/>
      <c r="M81" s="1161"/>
      <c r="N81" s="1221"/>
      <c r="O81" s="1161"/>
      <c r="P81" s="1221"/>
      <c r="Q81" s="1161"/>
      <c r="R81" s="1221"/>
      <c r="S81" s="1161"/>
      <c r="T81" s="1221"/>
      <c r="U81" s="1160"/>
      <c r="X81" t="s">
        <v>3101</v>
      </c>
      <c r="Y81" t="s">
        <v>3045</v>
      </c>
      <c r="Z81">
        <v>28</v>
      </c>
      <c r="AA81" t="s">
        <v>48</v>
      </c>
      <c r="AB81">
        <v>11.89</v>
      </c>
      <c r="AC81" t="s">
        <v>3034</v>
      </c>
      <c r="AE81" s="300" t="s">
        <v>2795</v>
      </c>
    </row>
    <row r="82" spans="1:31" collapsed="1">
      <c r="A82" s="1228"/>
      <c r="B82" s="1247" t="s">
        <v>3053</v>
      </c>
      <c r="C82" s="1168"/>
      <c r="D82" s="1238">
        <f>SUM(D83:D91)</f>
        <v>631.19999999999993</v>
      </c>
      <c r="E82" s="1230" t="s">
        <v>3031</v>
      </c>
      <c r="F82" s="1170">
        <f t="shared" ref="F82" si="4">$F$39</f>
        <v>650</v>
      </c>
      <c r="G82" s="668">
        <f t="shared" si="2"/>
        <v>410280</v>
      </c>
      <c r="H82" s="1221" t="s">
        <v>2931</v>
      </c>
      <c r="I82" s="1161"/>
      <c r="J82" s="1221"/>
      <c r="K82" s="1160"/>
      <c r="L82" s="1221" t="s">
        <v>2931</v>
      </c>
      <c r="M82" s="1161"/>
      <c r="N82" s="1221" t="s">
        <v>2931</v>
      </c>
      <c r="O82" s="1161"/>
      <c r="P82" s="1221" t="s">
        <v>2931</v>
      </c>
      <c r="Q82" s="1161"/>
      <c r="R82" s="1221" t="s">
        <v>2931</v>
      </c>
      <c r="S82" s="1161"/>
      <c r="T82" s="1221" t="s">
        <v>2931</v>
      </c>
      <c r="U82" s="1160"/>
    </row>
    <row r="83" spans="1:31" hidden="1" outlineLevel="1">
      <c r="A83" s="1228"/>
      <c r="B83" s="1245" t="s">
        <v>3102</v>
      </c>
      <c r="C83" s="1168"/>
      <c r="D83" s="1238">
        <v>8.2100000000000009</v>
      </c>
      <c r="E83" s="1230" t="s">
        <v>3031</v>
      </c>
      <c r="F83" s="1170"/>
      <c r="G83" s="668">
        <f t="shared" si="2"/>
        <v>0</v>
      </c>
      <c r="H83" s="1221"/>
      <c r="I83" s="1161"/>
      <c r="J83" s="1221"/>
      <c r="K83" s="1160"/>
      <c r="L83" s="1221"/>
      <c r="M83" s="1161"/>
      <c r="N83" s="1221"/>
      <c r="O83" s="1161"/>
      <c r="P83" s="1221"/>
      <c r="Q83" s="1161"/>
      <c r="R83" s="1221"/>
      <c r="S83" s="1161"/>
      <c r="T83" s="1221"/>
      <c r="U83" s="1160"/>
      <c r="X83" t="s">
        <v>3102</v>
      </c>
      <c r="Y83" t="s">
        <v>3059</v>
      </c>
      <c r="Z83">
        <v>111</v>
      </c>
      <c r="AA83" t="s">
        <v>48</v>
      </c>
      <c r="AB83">
        <v>8.2100000000000009</v>
      </c>
      <c r="AC83" t="s">
        <v>3034</v>
      </c>
      <c r="AD83" s="300">
        <v>1</v>
      </c>
      <c r="AE83" s="300">
        <f t="shared" ref="AE83:AE91" si="5">Z83</f>
        <v>111</v>
      </c>
    </row>
    <row r="84" spans="1:31" hidden="1" outlineLevel="1">
      <c r="A84" s="1228"/>
      <c r="B84" s="1245" t="s">
        <v>3103</v>
      </c>
      <c r="C84" s="1168"/>
      <c r="D84" s="1238">
        <v>4.51</v>
      </c>
      <c r="E84" s="1230" t="s">
        <v>3031</v>
      </c>
      <c r="F84" s="1170"/>
      <c r="G84" s="668">
        <f t="shared" si="2"/>
        <v>0</v>
      </c>
      <c r="H84" s="1221"/>
      <c r="I84" s="1161"/>
      <c r="J84" s="1221"/>
      <c r="K84" s="1160"/>
      <c r="L84" s="1221"/>
      <c r="M84" s="1161"/>
      <c r="N84" s="1221"/>
      <c r="O84" s="1161"/>
      <c r="P84" s="1221"/>
      <c r="Q84" s="1161"/>
      <c r="R84" s="1221"/>
      <c r="S84" s="1161"/>
      <c r="T84" s="1221"/>
      <c r="U84" s="1160"/>
      <c r="X84" t="s">
        <v>3103</v>
      </c>
      <c r="Y84" t="s">
        <v>3059</v>
      </c>
      <c r="Z84">
        <v>49</v>
      </c>
      <c r="AA84" t="s">
        <v>48</v>
      </c>
      <c r="AB84">
        <v>4.51</v>
      </c>
      <c r="AC84" t="s">
        <v>3034</v>
      </c>
      <c r="AD84" s="300">
        <v>1</v>
      </c>
      <c r="AE84" s="300">
        <f t="shared" si="5"/>
        <v>49</v>
      </c>
    </row>
    <row r="85" spans="1:31" hidden="1" outlineLevel="1">
      <c r="A85" s="1228"/>
      <c r="B85" s="1245" t="s">
        <v>3104</v>
      </c>
      <c r="C85" s="1168"/>
      <c r="D85" s="1238">
        <v>4.43</v>
      </c>
      <c r="E85" s="1230" t="s">
        <v>3031</v>
      </c>
      <c r="F85" s="1170"/>
      <c r="G85" s="668">
        <f t="shared" si="2"/>
        <v>0</v>
      </c>
      <c r="H85" s="1221"/>
      <c r="I85" s="1161"/>
      <c r="J85" s="1221"/>
      <c r="K85" s="1160"/>
      <c r="L85" s="1221"/>
      <c r="M85" s="1161"/>
      <c r="N85" s="1221"/>
      <c r="O85" s="1161"/>
      <c r="P85" s="1221"/>
      <c r="Q85" s="1161"/>
      <c r="R85" s="1221"/>
      <c r="S85" s="1161"/>
      <c r="T85" s="1221"/>
      <c r="U85" s="1160"/>
      <c r="X85" t="s">
        <v>3104</v>
      </c>
      <c r="Y85" t="s">
        <v>3059</v>
      </c>
      <c r="Z85">
        <v>40</v>
      </c>
      <c r="AA85" t="s">
        <v>48</v>
      </c>
      <c r="AB85">
        <v>4.43</v>
      </c>
      <c r="AC85" t="s">
        <v>3034</v>
      </c>
      <c r="AD85" s="300">
        <v>1</v>
      </c>
      <c r="AE85" s="300">
        <f t="shared" si="5"/>
        <v>40</v>
      </c>
    </row>
    <row r="86" spans="1:31" hidden="1" outlineLevel="1">
      <c r="A86" s="1228"/>
      <c r="B86" s="1245" t="s">
        <v>3105</v>
      </c>
      <c r="C86" s="1168"/>
      <c r="D86" s="1238">
        <v>34.880000000000003</v>
      </c>
      <c r="E86" s="1230" t="s">
        <v>3031</v>
      </c>
      <c r="F86" s="1170"/>
      <c r="G86" s="668">
        <f t="shared" ref="G86:G117" si="6">ROUND(D86*F86,0)</f>
        <v>0</v>
      </c>
      <c r="H86" s="1221"/>
      <c r="I86" s="1161"/>
      <c r="J86" s="1221"/>
      <c r="K86" s="1160"/>
      <c r="L86" s="1221"/>
      <c r="M86" s="1161"/>
      <c r="N86" s="1221"/>
      <c r="O86" s="1161"/>
      <c r="P86" s="1221"/>
      <c r="Q86" s="1161"/>
      <c r="R86" s="1221"/>
      <c r="S86" s="1161"/>
      <c r="T86" s="1221"/>
      <c r="U86" s="1160"/>
      <c r="X86" t="s">
        <v>3105</v>
      </c>
      <c r="Y86" t="s">
        <v>3068</v>
      </c>
      <c r="Z86">
        <v>31</v>
      </c>
      <c r="AA86" t="s">
        <v>3041</v>
      </c>
      <c r="AB86">
        <v>34.880000000000003</v>
      </c>
      <c r="AC86" t="s">
        <v>3034</v>
      </c>
      <c r="AD86" s="300">
        <v>1.5</v>
      </c>
      <c r="AE86" s="300">
        <f t="shared" si="5"/>
        <v>31</v>
      </c>
    </row>
    <row r="87" spans="1:31" hidden="1" outlineLevel="1">
      <c r="A87" s="1228"/>
      <c r="B87" s="1245" t="s">
        <v>3106</v>
      </c>
      <c r="C87" s="1168"/>
      <c r="D87" s="1238">
        <v>9.7200000000000006</v>
      </c>
      <c r="E87" s="1230" t="s">
        <v>3031</v>
      </c>
      <c r="F87" s="1170"/>
      <c r="G87" s="668">
        <f t="shared" si="6"/>
        <v>0</v>
      </c>
      <c r="H87" s="1221"/>
      <c r="I87" s="1161"/>
      <c r="J87" s="1221"/>
      <c r="K87" s="1160"/>
      <c r="L87" s="1221"/>
      <c r="M87" s="1161"/>
      <c r="N87" s="1221"/>
      <c r="O87" s="1161"/>
      <c r="P87" s="1221"/>
      <c r="Q87" s="1161"/>
      <c r="R87" s="1221"/>
      <c r="S87" s="1161"/>
      <c r="T87" s="1221"/>
      <c r="U87" s="1160"/>
      <c r="X87" t="s">
        <v>3106</v>
      </c>
      <c r="Y87" t="s">
        <v>3068</v>
      </c>
      <c r="Z87">
        <v>7</v>
      </c>
      <c r="AA87" t="s">
        <v>3041</v>
      </c>
      <c r="AB87">
        <v>9.7200000000000006</v>
      </c>
      <c r="AC87" t="s">
        <v>3034</v>
      </c>
      <c r="AD87" s="300">
        <v>1.5</v>
      </c>
      <c r="AE87" s="300">
        <f t="shared" si="5"/>
        <v>7</v>
      </c>
    </row>
    <row r="88" spans="1:31" hidden="1" outlineLevel="1">
      <c r="A88" s="1228"/>
      <c r="B88" s="1245" t="s">
        <v>3107</v>
      </c>
      <c r="C88" s="1168"/>
      <c r="D88" s="1238">
        <v>5.56</v>
      </c>
      <c r="E88" s="1230" t="s">
        <v>3031</v>
      </c>
      <c r="F88" s="1170"/>
      <c r="G88" s="668">
        <f t="shared" si="6"/>
        <v>0</v>
      </c>
      <c r="H88" s="1221"/>
      <c r="I88" s="1161"/>
      <c r="J88" s="1221"/>
      <c r="K88" s="1160"/>
      <c r="L88" s="1221"/>
      <c r="M88" s="1161"/>
      <c r="N88" s="1221"/>
      <c r="O88" s="1161"/>
      <c r="P88" s="1221"/>
      <c r="Q88" s="1161"/>
      <c r="R88" s="1221"/>
      <c r="S88" s="1161"/>
      <c r="T88" s="1221"/>
      <c r="U88" s="1160"/>
      <c r="X88" t="s">
        <v>3107</v>
      </c>
      <c r="Y88" t="s">
        <v>3068</v>
      </c>
      <c r="Z88">
        <v>4</v>
      </c>
      <c r="AA88" t="s">
        <v>3041</v>
      </c>
      <c r="AB88">
        <v>5.56</v>
      </c>
      <c r="AC88" t="s">
        <v>3034</v>
      </c>
      <c r="AD88" s="300">
        <v>1.5</v>
      </c>
      <c r="AE88" s="300">
        <f t="shared" si="5"/>
        <v>4</v>
      </c>
    </row>
    <row r="89" spans="1:31" hidden="1" outlineLevel="1">
      <c r="A89" s="1228"/>
      <c r="B89" s="1245" t="s">
        <v>3108</v>
      </c>
      <c r="C89" s="1168"/>
      <c r="D89" s="1238">
        <v>3.63</v>
      </c>
      <c r="E89" s="1230" t="s">
        <v>3031</v>
      </c>
      <c r="F89" s="1170"/>
      <c r="G89" s="668">
        <f t="shared" si="6"/>
        <v>0</v>
      </c>
      <c r="H89" s="1221"/>
      <c r="I89" s="1161"/>
      <c r="J89" s="1221"/>
      <c r="K89" s="1160"/>
      <c r="L89" s="1221"/>
      <c r="M89" s="1161"/>
      <c r="N89" s="1221"/>
      <c r="O89" s="1161"/>
      <c r="P89" s="1221"/>
      <c r="Q89" s="1161"/>
      <c r="R89" s="1221"/>
      <c r="S89" s="1161"/>
      <c r="T89" s="1221"/>
      <c r="U89" s="1160"/>
      <c r="X89" t="s">
        <v>3108</v>
      </c>
      <c r="Y89" t="s">
        <v>3063</v>
      </c>
      <c r="Z89">
        <v>1</v>
      </c>
      <c r="AA89" t="s">
        <v>3041</v>
      </c>
      <c r="AB89">
        <v>3.63</v>
      </c>
      <c r="AC89" t="s">
        <v>3034</v>
      </c>
      <c r="AD89" s="300">
        <v>1.17</v>
      </c>
      <c r="AE89" s="300">
        <f t="shared" si="5"/>
        <v>1</v>
      </c>
    </row>
    <row r="90" spans="1:31" hidden="1" outlineLevel="1">
      <c r="A90" s="1228"/>
      <c r="B90" s="1245" t="s">
        <v>3109</v>
      </c>
      <c r="C90" s="1168"/>
      <c r="D90" s="1238">
        <v>4.8600000000000003</v>
      </c>
      <c r="E90" s="1230" t="s">
        <v>3031</v>
      </c>
      <c r="F90" s="1170"/>
      <c r="G90" s="668">
        <f t="shared" si="6"/>
        <v>0</v>
      </c>
      <c r="H90" s="1221"/>
      <c r="I90" s="1161"/>
      <c r="J90" s="1221"/>
      <c r="K90" s="1160"/>
      <c r="L90" s="1221"/>
      <c r="M90" s="1161"/>
      <c r="N90" s="1221"/>
      <c r="O90" s="1161"/>
      <c r="P90" s="1221"/>
      <c r="Q90" s="1161"/>
      <c r="R90" s="1221"/>
      <c r="S90" s="1161"/>
      <c r="T90" s="1221"/>
      <c r="U90" s="1160"/>
      <c r="X90" t="s">
        <v>3109</v>
      </c>
      <c r="Y90" t="s">
        <v>3063</v>
      </c>
      <c r="Z90">
        <v>2</v>
      </c>
      <c r="AA90" t="s">
        <v>3041</v>
      </c>
      <c r="AB90">
        <v>4.8600000000000003</v>
      </c>
      <c r="AC90" t="s">
        <v>3034</v>
      </c>
      <c r="AD90" s="300">
        <v>1</v>
      </c>
      <c r="AE90" s="300">
        <f t="shared" si="5"/>
        <v>2</v>
      </c>
    </row>
    <row r="91" spans="1:31" hidden="1" outlineLevel="1">
      <c r="A91" s="1228"/>
      <c r="B91" s="1245" t="s">
        <v>3110</v>
      </c>
      <c r="C91" s="1168"/>
      <c r="D91" s="1238">
        <v>555.4</v>
      </c>
      <c r="E91" s="1230" t="s">
        <v>3031</v>
      </c>
      <c r="F91" s="1170"/>
      <c r="G91" s="668">
        <f t="shared" si="6"/>
        <v>0</v>
      </c>
      <c r="H91" s="1221"/>
      <c r="I91" s="1161"/>
      <c r="J91" s="1221"/>
      <c r="K91" s="1160"/>
      <c r="L91" s="1221"/>
      <c r="M91" s="1161"/>
      <c r="N91" s="1221"/>
      <c r="O91" s="1161"/>
      <c r="P91" s="1221"/>
      <c r="Q91" s="1161"/>
      <c r="R91" s="1221"/>
      <c r="S91" s="1161"/>
      <c r="T91" s="1221"/>
      <c r="U91" s="1160"/>
      <c r="X91" t="s">
        <v>3110</v>
      </c>
      <c r="Y91" t="s">
        <v>3111</v>
      </c>
      <c r="Z91" s="297">
        <v>7498</v>
      </c>
      <c r="AA91" t="s">
        <v>3112</v>
      </c>
      <c r="AB91">
        <v>555.4</v>
      </c>
      <c r="AC91" t="s">
        <v>3034</v>
      </c>
      <c r="AD91" s="300">
        <v>1.7</v>
      </c>
      <c r="AE91" s="300">
        <f t="shared" si="5"/>
        <v>7498</v>
      </c>
    </row>
    <row r="92" spans="1:31" collapsed="1">
      <c r="A92" s="1228"/>
      <c r="B92" s="1167"/>
      <c r="C92" s="1168"/>
      <c r="D92" s="1238"/>
      <c r="E92" s="1230"/>
      <c r="F92" s="1170"/>
      <c r="G92" s="668">
        <f t="shared" si="6"/>
        <v>0</v>
      </c>
      <c r="H92" s="1221"/>
      <c r="I92" s="1161"/>
      <c r="J92" s="1221"/>
      <c r="K92" s="1160"/>
      <c r="L92" s="1221"/>
      <c r="M92" s="1161"/>
      <c r="N92" s="1221"/>
      <c r="O92" s="1161"/>
      <c r="P92" s="1221"/>
      <c r="Q92" s="1161"/>
      <c r="R92" s="1221"/>
      <c r="S92" s="1161"/>
      <c r="T92" s="1221"/>
      <c r="U92" s="1160"/>
    </row>
    <row r="93" spans="1:31">
      <c r="A93" s="1228"/>
      <c r="B93" s="1246" t="s">
        <v>3113</v>
      </c>
      <c r="C93" s="1168"/>
      <c r="D93" s="1238"/>
      <c r="E93" s="1230"/>
      <c r="F93" s="1170"/>
      <c r="G93" s="668">
        <f t="shared" si="6"/>
        <v>0</v>
      </c>
      <c r="H93" s="1221"/>
      <c r="I93" s="1161"/>
      <c r="J93" s="1221"/>
      <c r="K93" s="1160"/>
      <c r="L93" s="1221"/>
      <c r="M93" s="1161"/>
      <c r="N93" s="1221"/>
      <c r="O93" s="1161"/>
      <c r="P93" s="1221"/>
      <c r="Q93" s="1161"/>
      <c r="R93" s="1221"/>
      <c r="S93" s="1161"/>
      <c r="T93" s="1221"/>
      <c r="U93" s="1160"/>
    </row>
    <row r="94" spans="1:31">
      <c r="A94" s="1228"/>
      <c r="B94" s="1247" t="s">
        <v>3030</v>
      </c>
      <c r="C94" s="1168"/>
      <c r="D94" s="1238">
        <f>SUM(D95:D105)</f>
        <v>84.560000000000016</v>
      </c>
      <c r="E94" s="1230" t="s">
        <v>3031</v>
      </c>
      <c r="F94" s="1233">
        <f t="shared" ref="F94" si="7">$F$24</f>
        <v>1600</v>
      </c>
      <c r="G94" s="668">
        <f t="shared" si="6"/>
        <v>135296</v>
      </c>
      <c r="H94" s="1221" t="s">
        <v>2931</v>
      </c>
      <c r="I94" s="1161"/>
      <c r="J94" s="1221"/>
      <c r="K94" s="1160"/>
      <c r="L94" s="1221" t="s">
        <v>2931</v>
      </c>
      <c r="M94" s="1161"/>
      <c r="N94" s="1221" t="s">
        <v>2931</v>
      </c>
      <c r="O94" s="1161"/>
      <c r="P94" s="1221" t="s">
        <v>2931</v>
      </c>
      <c r="Q94" s="1161"/>
      <c r="R94" s="1221" t="s">
        <v>2931</v>
      </c>
      <c r="S94" s="1161"/>
      <c r="T94" s="1221" t="s">
        <v>2931</v>
      </c>
      <c r="U94" s="1160"/>
      <c r="Z94" s="297"/>
    </row>
    <row r="95" spans="1:31" hidden="1" outlineLevel="1">
      <c r="A95" s="1228"/>
      <c r="B95" s="1245" t="s">
        <v>3114</v>
      </c>
      <c r="C95" s="1168"/>
      <c r="D95" s="1238">
        <v>35.24</v>
      </c>
      <c r="E95" s="1230" t="s">
        <v>3031</v>
      </c>
      <c r="F95" s="1233"/>
      <c r="G95" s="668">
        <f t="shared" si="6"/>
        <v>0</v>
      </c>
      <c r="H95" s="1221"/>
      <c r="I95" s="1161"/>
      <c r="J95" s="1221"/>
      <c r="K95" s="1160"/>
      <c r="L95" s="1221"/>
      <c r="M95" s="1161"/>
      <c r="N95" s="1221"/>
      <c r="O95" s="1161"/>
      <c r="P95" s="1221"/>
      <c r="Q95" s="1161"/>
      <c r="R95" s="1221"/>
      <c r="S95" s="1161"/>
      <c r="T95" s="1221"/>
      <c r="U95" s="1160"/>
      <c r="X95" t="s">
        <v>3114</v>
      </c>
      <c r="Y95" t="s">
        <v>3033</v>
      </c>
      <c r="Z95">
        <v>357</v>
      </c>
      <c r="AA95" t="s">
        <v>48</v>
      </c>
      <c r="AB95">
        <v>35.24</v>
      </c>
      <c r="AC95" t="s">
        <v>3034</v>
      </c>
      <c r="AE95" s="300" t="s">
        <v>2795</v>
      </c>
    </row>
    <row r="96" spans="1:31" hidden="1" outlineLevel="1">
      <c r="A96" s="1228"/>
      <c r="B96" s="1245" t="s">
        <v>3115</v>
      </c>
      <c r="C96" s="1168"/>
      <c r="D96" s="1238">
        <v>4.4800000000000004</v>
      </c>
      <c r="E96" s="1230" t="s">
        <v>3031</v>
      </c>
      <c r="F96" s="1233"/>
      <c r="G96" s="668">
        <f t="shared" si="6"/>
        <v>0</v>
      </c>
      <c r="H96" s="1221"/>
      <c r="I96" s="1161"/>
      <c r="J96" s="1221"/>
      <c r="K96" s="1160"/>
      <c r="L96" s="1221"/>
      <c r="M96" s="1161"/>
      <c r="N96" s="1221"/>
      <c r="O96" s="1161"/>
      <c r="P96" s="1221"/>
      <c r="Q96" s="1161"/>
      <c r="R96" s="1221"/>
      <c r="S96" s="1161"/>
      <c r="T96" s="1221"/>
      <c r="U96" s="1160"/>
      <c r="X96" t="s">
        <v>3115</v>
      </c>
      <c r="Y96" t="s">
        <v>3059</v>
      </c>
      <c r="Z96">
        <v>181</v>
      </c>
      <c r="AA96" t="s">
        <v>48</v>
      </c>
      <c r="AB96">
        <v>4.4800000000000004</v>
      </c>
      <c r="AC96" t="s">
        <v>3034</v>
      </c>
      <c r="AE96" s="300" t="s">
        <v>2795</v>
      </c>
    </row>
    <row r="97" spans="1:31" hidden="1" outlineLevel="1">
      <c r="A97" s="1228"/>
      <c r="B97" s="1245" t="s">
        <v>3116</v>
      </c>
      <c r="C97" s="1168"/>
      <c r="D97" s="1238">
        <v>4.5999999999999996</v>
      </c>
      <c r="E97" s="1230" t="s">
        <v>3031</v>
      </c>
      <c r="F97" s="1233"/>
      <c r="G97" s="668">
        <f t="shared" si="6"/>
        <v>0</v>
      </c>
      <c r="H97" s="1221"/>
      <c r="I97" s="1161"/>
      <c r="J97" s="1221"/>
      <c r="K97" s="1160"/>
      <c r="L97" s="1221"/>
      <c r="M97" s="1161"/>
      <c r="N97" s="1221"/>
      <c r="O97" s="1161"/>
      <c r="P97" s="1221"/>
      <c r="Q97" s="1161"/>
      <c r="R97" s="1221"/>
      <c r="S97" s="1161"/>
      <c r="T97" s="1221"/>
      <c r="U97" s="1160"/>
      <c r="X97" t="s">
        <v>3116</v>
      </c>
      <c r="Y97" t="s">
        <v>3061</v>
      </c>
      <c r="Z97">
        <v>93</v>
      </c>
      <c r="AA97" t="s">
        <v>48</v>
      </c>
      <c r="AB97">
        <v>4.5999999999999996</v>
      </c>
      <c r="AC97" t="s">
        <v>3034</v>
      </c>
      <c r="AE97" s="300" t="s">
        <v>2795</v>
      </c>
    </row>
    <row r="98" spans="1:31" hidden="1" outlineLevel="1">
      <c r="A98" s="1228"/>
      <c r="B98" s="1245" t="s">
        <v>3117</v>
      </c>
      <c r="C98" s="1168"/>
      <c r="D98" s="1238">
        <v>1.31</v>
      </c>
      <c r="E98" s="1230" t="s">
        <v>3031</v>
      </c>
      <c r="F98" s="1233"/>
      <c r="G98" s="668">
        <f t="shared" si="6"/>
        <v>0</v>
      </c>
      <c r="H98" s="1221"/>
      <c r="I98" s="1161"/>
      <c r="J98" s="1221"/>
      <c r="K98" s="1160"/>
      <c r="L98" s="1221"/>
      <c r="M98" s="1161"/>
      <c r="N98" s="1221"/>
      <c r="O98" s="1161"/>
      <c r="P98" s="1221"/>
      <c r="Q98" s="1161"/>
      <c r="R98" s="1221"/>
      <c r="S98" s="1161"/>
      <c r="T98" s="1221"/>
      <c r="U98" s="1160"/>
      <c r="X98" t="s">
        <v>3117</v>
      </c>
      <c r="Y98" t="s">
        <v>3056</v>
      </c>
      <c r="Z98">
        <v>18</v>
      </c>
      <c r="AA98" t="s">
        <v>48</v>
      </c>
      <c r="AB98">
        <v>1.31</v>
      </c>
      <c r="AC98" t="s">
        <v>3034</v>
      </c>
      <c r="AE98" s="300" t="s">
        <v>2795</v>
      </c>
    </row>
    <row r="99" spans="1:31" hidden="1" outlineLevel="1">
      <c r="A99" s="1228"/>
      <c r="B99" s="1245" t="s">
        <v>3118</v>
      </c>
      <c r="C99" s="1168"/>
      <c r="D99" s="1238">
        <v>12.07</v>
      </c>
      <c r="E99" s="1230" t="s">
        <v>3031</v>
      </c>
      <c r="F99" s="1233"/>
      <c r="G99" s="668">
        <f t="shared" si="6"/>
        <v>0</v>
      </c>
      <c r="H99" s="1221"/>
      <c r="I99" s="1161"/>
      <c r="J99" s="1221"/>
      <c r="K99" s="1160"/>
      <c r="L99" s="1221"/>
      <c r="M99" s="1161"/>
      <c r="N99" s="1221"/>
      <c r="O99" s="1161"/>
      <c r="P99" s="1221"/>
      <c r="Q99" s="1161"/>
      <c r="R99" s="1221"/>
      <c r="S99" s="1161"/>
      <c r="T99" s="1221"/>
      <c r="U99" s="1160"/>
      <c r="X99" t="s">
        <v>3118</v>
      </c>
      <c r="Y99" t="s">
        <v>3036</v>
      </c>
      <c r="Z99">
        <v>244</v>
      </c>
      <c r="AA99" t="s">
        <v>48</v>
      </c>
      <c r="AB99">
        <v>12.07</v>
      </c>
      <c r="AC99" t="s">
        <v>3034</v>
      </c>
      <c r="AE99" s="300" t="s">
        <v>2795</v>
      </c>
    </row>
    <row r="100" spans="1:31" hidden="1" outlineLevel="1">
      <c r="A100" s="1228"/>
      <c r="B100" s="1245" t="s">
        <v>3119</v>
      </c>
      <c r="C100" s="1168"/>
      <c r="D100" s="1238">
        <v>1.58</v>
      </c>
      <c r="E100" s="1230" t="s">
        <v>3031</v>
      </c>
      <c r="F100" s="1233"/>
      <c r="G100" s="668">
        <f t="shared" si="6"/>
        <v>0</v>
      </c>
      <c r="H100" s="1221"/>
      <c r="I100" s="1161"/>
      <c r="J100" s="1221"/>
      <c r="K100" s="1160"/>
      <c r="L100" s="1221"/>
      <c r="M100" s="1161"/>
      <c r="N100" s="1221"/>
      <c r="O100" s="1161"/>
      <c r="P100" s="1221"/>
      <c r="Q100" s="1161"/>
      <c r="R100" s="1221"/>
      <c r="S100" s="1161"/>
      <c r="T100" s="1221"/>
      <c r="U100" s="1160"/>
      <c r="X100" t="s">
        <v>3119</v>
      </c>
      <c r="Y100" t="s">
        <v>3059</v>
      </c>
      <c r="Z100">
        <v>43</v>
      </c>
      <c r="AA100" t="s">
        <v>48</v>
      </c>
      <c r="AB100">
        <v>1.58</v>
      </c>
      <c r="AC100" t="s">
        <v>3034</v>
      </c>
      <c r="AE100" s="300" t="s">
        <v>2795</v>
      </c>
    </row>
    <row r="101" spans="1:31" hidden="1" outlineLevel="1">
      <c r="A101" s="1228"/>
      <c r="B101" s="1245" t="s">
        <v>3120</v>
      </c>
      <c r="C101" s="1168"/>
      <c r="D101" s="1238">
        <v>11.64</v>
      </c>
      <c r="E101" s="1230" t="s">
        <v>3031</v>
      </c>
      <c r="F101" s="1233"/>
      <c r="G101" s="668">
        <f t="shared" si="6"/>
        <v>0</v>
      </c>
      <c r="H101" s="1221"/>
      <c r="I101" s="1161"/>
      <c r="J101" s="1221"/>
      <c r="K101" s="1160"/>
      <c r="L101" s="1221"/>
      <c r="M101" s="1161"/>
      <c r="N101" s="1221"/>
      <c r="O101" s="1161"/>
      <c r="P101" s="1221"/>
      <c r="Q101" s="1161"/>
      <c r="R101" s="1221"/>
      <c r="S101" s="1161"/>
      <c r="T101" s="1221"/>
      <c r="U101" s="1160"/>
      <c r="X101" t="s">
        <v>3120</v>
      </c>
      <c r="Y101" t="s">
        <v>3121</v>
      </c>
      <c r="Z101">
        <v>98</v>
      </c>
      <c r="AA101" t="s">
        <v>48</v>
      </c>
      <c r="AB101">
        <v>11.64</v>
      </c>
      <c r="AC101" t="s">
        <v>3034</v>
      </c>
      <c r="AE101" s="300" t="s">
        <v>2795</v>
      </c>
    </row>
    <row r="102" spans="1:31" hidden="1" outlineLevel="1">
      <c r="A102" s="1228"/>
      <c r="B102" s="1245" t="s">
        <v>3122</v>
      </c>
      <c r="C102" s="1168"/>
      <c r="D102" s="1238">
        <v>0.62</v>
      </c>
      <c r="E102" s="1230" t="s">
        <v>3031</v>
      </c>
      <c r="F102" s="1233"/>
      <c r="G102" s="668">
        <f t="shared" si="6"/>
        <v>0</v>
      </c>
      <c r="H102" s="1221"/>
      <c r="I102" s="1161"/>
      <c r="J102" s="1221"/>
      <c r="K102" s="1160"/>
      <c r="L102" s="1221"/>
      <c r="M102" s="1161"/>
      <c r="N102" s="1221"/>
      <c r="O102" s="1161"/>
      <c r="P102" s="1221"/>
      <c r="Q102" s="1161"/>
      <c r="R102" s="1221"/>
      <c r="S102" s="1161"/>
      <c r="T102" s="1221"/>
      <c r="U102" s="1160"/>
      <c r="X102" t="s">
        <v>3122</v>
      </c>
      <c r="Y102" t="s">
        <v>3061</v>
      </c>
      <c r="Z102">
        <v>19</v>
      </c>
      <c r="AA102" t="s">
        <v>48</v>
      </c>
      <c r="AB102">
        <v>0.62</v>
      </c>
      <c r="AC102" t="s">
        <v>3034</v>
      </c>
      <c r="AE102" s="300" t="s">
        <v>2795</v>
      </c>
    </row>
    <row r="103" spans="1:31" hidden="1" outlineLevel="1">
      <c r="A103" s="1228"/>
      <c r="B103" s="1245" t="s">
        <v>3123</v>
      </c>
      <c r="C103" s="1168"/>
      <c r="D103" s="1238">
        <v>1.23</v>
      </c>
      <c r="E103" s="1230" t="s">
        <v>3031</v>
      </c>
      <c r="F103" s="1233"/>
      <c r="G103" s="668">
        <f t="shared" si="6"/>
        <v>0</v>
      </c>
      <c r="H103" s="1221"/>
      <c r="I103" s="1161"/>
      <c r="J103" s="1221"/>
      <c r="K103" s="1160"/>
      <c r="L103" s="1221"/>
      <c r="M103" s="1161"/>
      <c r="N103" s="1221"/>
      <c r="O103" s="1161"/>
      <c r="P103" s="1221"/>
      <c r="Q103" s="1161"/>
      <c r="R103" s="1221"/>
      <c r="S103" s="1161"/>
      <c r="T103" s="1221"/>
      <c r="U103" s="1160"/>
      <c r="X103" t="s">
        <v>3123</v>
      </c>
      <c r="Y103" t="s">
        <v>3124</v>
      </c>
      <c r="Z103">
        <v>11</v>
      </c>
      <c r="AA103" t="s">
        <v>48</v>
      </c>
      <c r="AB103">
        <v>1.23</v>
      </c>
      <c r="AC103" t="s">
        <v>3034</v>
      </c>
      <c r="AE103" s="300" t="s">
        <v>2795</v>
      </c>
    </row>
    <row r="104" spans="1:31" hidden="1" outlineLevel="1">
      <c r="A104" s="1228"/>
      <c r="B104" s="1245" t="s">
        <v>3125</v>
      </c>
      <c r="C104" s="1168"/>
      <c r="D104" s="1238">
        <v>9.25</v>
      </c>
      <c r="E104" s="1230" t="s">
        <v>3031</v>
      </c>
      <c r="F104" s="1233"/>
      <c r="G104" s="668">
        <f t="shared" si="6"/>
        <v>0</v>
      </c>
      <c r="H104" s="1221"/>
      <c r="I104" s="1161"/>
      <c r="J104" s="1221"/>
      <c r="K104" s="1160"/>
      <c r="L104" s="1221"/>
      <c r="M104" s="1161"/>
      <c r="N104" s="1221"/>
      <c r="O104" s="1161"/>
      <c r="P104" s="1221"/>
      <c r="Q104" s="1161"/>
      <c r="R104" s="1221"/>
      <c r="S104" s="1161"/>
      <c r="T104" s="1221"/>
      <c r="U104" s="1160"/>
      <c r="X104" t="s">
        <v>3125</v>
      </c>
      <c r="Y104" t="s">
        <v>3121</v>
      </c>
      <c r="Z104">
        <v>52</v>
      </c>
      <c r="AA104" t="s">
        <v>48</v>
      </c>
      <c r="AB104">
        <v>9.25</v>
      </c>
      <c r="AC104" t="s">
        <v>3034</v>
      </c>
      <c r="AE104" s="300" t="s">
        <v>2795</v>
      </c>
    </row>
    <row r="105" spans="1:31" hidden="1" outlineLevel="1">
      <c r="A105" s="1228"/>
      <c r="B105" s="1245" t="s">
        <v>3126</v>
      </c>
      <c r="C105" s="1168"/>
      <c r="D105" s="1238">
        <v>2.54</v>
      </c>
      <c r="E105" s="1230" t="s">
        <v>3031</v>
      </c>
      <c r="F105" s="1233"/>
      <c r="G105" s="668">
        <f t="shared" si="6"/>
        <v>0</v>
      </c>
      <c r="H105" s="1221"/>
      <c r="I105" s="1161"/>
      <c r="J105" s="1221"/>
      <c r="K105" s="1160"/>
      <c r="L105" s="1221"/>
      <c r="M105" s="1161"/>
      <c r="N105" s="1221"/>
      <c r="O105" s="1161"/>
      <c r="P105" s="1221"/>
      <c r="Q105" s="1161"/>
      <c r="R105" s="1221"/>
      <c r="S105" s="1161"/>
      <c r="T105" s="1221"/>
      <c r="U105" s="1160"/>
      <c r="X105" t="s">
        <v>3126</v>
      </c>
      <c r="Y105" t="s">
        <v>3056</v>
      </c>
      <c r="Z105">
        <v>17</v>
      </c>
      <c r="AA105" t="s">
        <v>48</v>
      </c>
      <c r="AB105">
        <v>2.54</v>
      </c>
      <c r="AC105" t="s">
        <v>3034</v>
      </c>
      <c r="AE105" s="300" t="s">
        <v>2795</v>
      </c>
    </row>
    <row r="106" spans="1:31" collapsed="1">
      <c r="A106" s="1228"/>
      <c r="B106" s="1247" t="s">
        <v>3038</v>
      </c>
      <c r="C106" s="1168"/>
      <c r="D106" s="1238">
        <f>SUM(D107:D118)</f>
        <v>52.08</v>
      </c>
      <c r="E106" s="1230" t="s">
        <v>3031</v>
      </c>
      <c r="F106" s="1170">
        <f t="shared" ref="F106" si="8">$F$28</f>
        <v>1800</v>
      </c>
      <c r="G106" s="668">
        <f t="shared" si="6"/>
        <v>93744</v>
      </c>
      <c r="H106" s="1221" t="s">
        <v>2931</v>
      </c>
      <c r="I106" s="1161"/>
      <c r="J106" s="1221"/>
      <c r="K106" s="1160"/>
      <c r="L106" s="1221" t="s">
        <v>2931</v>
      </c>
      <c r="M106" s="1161"/>
      <c r="N106" s="1221" t="s">
        <v>2931</v>
      </c>
      <c r="O106" s="1161"/>
      <c r="P106" s="1221" t="s">
        <v>2931</v>
      </c>
      <c r="Q106" s="1161"/>
      <c r="R106" s="1221" t="s">
        <v>2931</v>
      </c>
      <c r="S106" s="1161"/>
      <c r="T106" s="1221" t="s">
        <v>2931</v>
      </c>
      <c r="U106" s="1160"/>
    </row>
    <row r="107" spans="1:31" hidden="1" outlineLevel="1">
      <c r="A107" s="1228"/>
      <c r="B107" s="1245" t="s">
        <v>3127</v>
      </c>
      <c r="C107" s="1168"/>
      <c r="D107" s="1238">
        <v>5.25</v>
      </c>
      <c r="E107" s="1230" t="s">
        <v>3031</v>
      </c>
      <c r="F107" s="1170"/>
      <c r="G107" s="668">
        <f t="shared" si="6"/>
        <v>0</v>
      </c>
      <c r="H107" s="1221"/>
      <c r="I107" s="1161"/>
      <c r="J107" s="1221"/>
      <c r="K107" s="1160"/>
      <c r="L107" s="1221"/>
      <c r="M107" s="1161"/>
      <c r="N107" s="1221"/>
      <c r="O107" s="1161"/>
      <c r="P107" s="1221"/>
      <c r="Q107" s="1161"/>
      <c r="R107" s="1221"/>
      <c r="S107" s="1161"/>
      <c r="T107" s="1221"/>
      <c r="U107" s="1160"/>
      <c r="X107" t="s">
        <v>3127</v>
      </c>
      <c r="Y107" t="s">
        <v>3045</v>
      </c>
      <c r="Z107">
        <v>3</v>
      </c>
      <c r="AA107" t="s">
        <v>3041</v>
      </c>
      <c r="AB107">
        <v>5.25</v>
      </c>
      <c r="AC107" t="s">
        <v>3034</v>
      </c>
      <c r="AE107" s="300" t="s">
        <v>2795</v>
      </c>
    </row>
    <row r="108" spans="1:31" hidden="1" outlineLevel="1">
      <c r="A108" s="1228"/>
      <c r="B108" s="1245" t="s">
        <v>3128</v>
      </c>
      <c r="C108" s="1168"/>
      <c r="D108" s="1238">
        <v>2.21</v>
      </c>
      <c r="E108" s="1230" t="s">
        <v>3031</v>
      </c>
      <c r="F108" s="1170"/>
      <c r="G108" s="668">
        <f t="shared" si="6"/>
        <v>0</v>
      </c>
      <c r="H108" s="1221"/>
      <c r="I108" s="1161"/>
      <c r="J108" s="1221"/>
      <c r="K108" s="1160"/>
      <c r="L108" s="1221"/>
      <c r="M108" s="1161"/>
      <c r="N108" s="1221"/>
      <c r="O108" s="1161"/>
      <c r="P108" s="1221"/>
      <c r="Q108" s="1161"/>
      <c r="R108" s="1221"/>
      <c r="S108" s="1161"/>
      <c r="T108" s="1221"/>
      <c r="U108" s="1160"/>
      <c r="X108" t="s">
        <v>3128</v>
      </c>
      <c r="Y108" t="s">
        <v>3129</v>
      </c>
      <c r="Z108">
        <v>3</v>
      </c>
      <c r="AA108" t="s">
        <v>3041</v>
      </c>
      <c r="AB108">
        <v>2.21</v>
      </c>
      <c r="AC108" t="s">
        <v>3034</v>
      </c>
      <c r="AE108" s="300" t="s">
        <v>2795</v>
      </c>
    </row>
    <row r="109" spans="1:31" hidden="1" outlineLevel="1">
      <c r="A109" s="1228"/>
      <c r="B109" s="1245" t="s">
        <v>3130</v>
      </c>
      <c r="C109" s="1168"/>
      <c r="D109" s="1238">
        <v>5.83</v>
      </c>
      <c r="E109" s="1230" t="s">
        <v>3031</v>
      </c>
      <c r="F109" s="1170"/>
      <c r="G109" s="668">
        <f t="shared" si="6"/>
        <v>0</v>
      </c>
      <c r="H109" s="1221"/>
      <c r="I109" s="1161"/>
      <c r="J109" s="1221"/>
      <c r="K109" s="1160"/>
      <c r="L109" s="1221"/>
      <c r="M109" s="1161"/>
      <c r="N109" s="1221"/>
      <c r="O109" s="1161"/>
      <c r="P109" s="1221"/>
      <c r="Q109" s="1161"/>
      <c r="R109" s="1221"/>
      <c r="S109" s="1161"/>
      <c r="T109" s="1221"/>
      <c r="U109" s="1160"/>
      <c r="X109" t="s">
        <v>3130</v>
      </c>
      <c r="Y109" t="s">
        <v>3131</v>
      </c>
      <c r="Z109">
        <v>7</v>
      </c>
      <c r="AA109" t="s">
        <v>3041</v>
      </c>
      <c r="AB109">
        <v>5.83</v>
      </c>
      <c r="AC109" t="s">
        <v>3034</v>
      </c>
      <c r="AE109" s="300" t="s">
        <v>2795</v>
      </c>
    </row>
    <row r="110" spans="1:31" hidden="1" outlineLevel="1">
      <c r="A110" s="1228"/>
      <c r="B110" s="1245" t="s">
        <v>3132</v>
      </c>
      <c r="C110" s="1168"/>
      <c r="D110" s="1238">
        <v>5.67</v>
      </c>
      <c r="E110" s="1230" t="s">
        <v>3031</v>
      </c>
      <c r="F110" s="1170"/>
      <c r="G110" s="668">
        <f t="shared" si="6"/>
        <v>0</v>
      </c>
      <c r="H110" s="1221"/>
      <c r="I110" s="1161"/>
      <c r="J110" s="1221"/>
      <c r="K110" s="1160"/>
      <c r="L110" s="1221"/>
      <c r="M110" s="1161"/>
      <c r="N110" s="1221"/>
      <c r="O110" s="1161"/>
      <c r="P110" s="1221"/>
      <c r="Q110" s="1161"/>
      <c r="R110" s="1221"/>
      <c r="S110" s="1161"/>
      <c r="T110" s="1221"/>
      <c r="U110" s="1160"/>
      <c r="X110" t="s">
        <v>3132</v>
      </c>
      <c r="Y110" t="s">
        <v>3045</v>
      </c>
      <c r="Z110">
        <v>6</v>
      </c>
      <c r="AA110" t="s">
        <v>3041</v>
      </c>
      <c r="AB110">
        <v>5.67</v>
      </c>
      <c r="AC110" t="s">
        <v>3034</v>
      </c>
      <c r="AE110" s="300" t="s">
        <v>2795</v>
      </c>
    </row>
    <row r="111" spans="1:31" hidden="1" outlineLevel="1">
      <c r="A111" s="1228"/>
      <c r="B111" s="1245" t="s">
        <v>3133</v>
      </c>
      <c r="C111" s="1168"/>
      <c r="D111" s="1238">
        <v>5.23</v>
      </c>
      <c r="E111" s="1230" t="s">
        <v>3031</v>
      </c>
      <c r="F111" s="1170"/>
      <c r="G111" s="668">
        <f t="shared" si="6"/>
        <v>0</v>
      </c>
      <c r="H111" s="1221"/>
      <c r="I111" s="1161"/>
      <c r="J111" s="1221"/>
      <c r="K111" s="1160"/>
      <c r="L111" s="1221"/>
      <c r="M111" s="1161"/>
      <c r="N111" s="1221"/>
      <c r="O111" s="1161"/>
      <c r="P111" s="1221"/>
      <c r="Q111" s="1161"/>
      <c r="R111" s="1221"/>
      <c r="S111" s="1161"/>
      <c r="T111" s="1221"/>
      <c r="U111" s="1160"/>
      <c r="X111" t="s">
        <v>3133</v>
      </c>
      <c r="Y111" t="s">
        <v>3129</v>
      </c>
      <c r="Z111">
        <v>8</v>
      </c>
      <c r="AA111" t="s">
        <v>3041</v>
      </c>
      <c r="AB111">
        <v>5.23</v>
      </c>
      <c r="AC111" t="s">
        <v>3034</v>
      </c>
      <c r="AE111" s="300" t="s">
        <v>2795</v>
      </c>
    </row>
    <row r="112" spans="1:31" hidden="1" outlineLevel="1">
      <c r="A112" s="1228"/>
      <c r="B112" s="1245" t="s">
        <v>3134</v>
      </c>
      <c r="C112" s="1168"/>
      <c r="D112" s="1238">
        <v>3.7</v>
      </c>
      <c r="E112" s="1230" t="s">
        <v>3031</v>
      </c>
      <c r="F112" s="1170"/>
      <c r="G112" s="668">
        <f t="shared" si="6"/>
        <v>0</v>
      </c>
      <c r="H112" s="1221"/>
      <c r="I112" s="1161"/>
      <c r="J112" s="1221"/>
      <c r="K112" s="1160"/>
      <c r="L112" s="1221"/>
      <c r="M112" s="1161"/>
      <c r="N112" s="1221"/>
      <c r="O112" s="1161"/>
      <c r="P112" s="1221"/>
      <c r="Q112" s="1161"/>
      <c r="R112" s="1221"/>
      <c r="S112" s="1161"/>
      <c r="T112" s="1221"/>
      <c r="U112" s="1160"/>
      <c r="X112" t="s">
        <v>3134</v>
      </c>
      <c r="Y112" t="s">
        <v>3131</v>
      </c>
      <c r="Z112">
        <v>5</v>
      </c>
      <c r="AA112" t="s">
        <v>3041</v>
      </c>
      <c r="AB112">
        <v>3.7</v>
      </c>
      <c r="AC112" t="s">
        <v>3034</v>
      </c>
      <c r="AE112" s="300" t="s">
        <v>2795</v>
      </c>
    </row>
    <row r="113" spans="1:31" hidden="1" outlineLevel="1">
      <c r="A113" s="1228"/>
      <c r="B113" s="1245" t="s">
        <v>3135</v>
      </c>
      <c r="C113" s="1168"/>
      <c r="D113" s="1238">
        <v>0.84</v>
      </c>
      <c r="E113" s="1230" t="s">
        <v>3031</v>
      </c>
      <c r="F113" s="1170"/>
      <c r="G113" s="668">
        <f t="shared" si="6"/>
        <v>0</v>
      </c>
      <c r="H113" s="1221"/>
      <c r="I113" s="1161"/>
      <c r="J113" s="1221"/>
      <c r="K113" s="1160"/>
      <c r="L113" s="1221"/>
      <c r="M113" s="1161"/>
      <c r="N113" s="1221"/>
      <c r="O113" s="1161"/>
      <c r="P113" s="1221"/>
      <c r="Q113" s="1161"/>
      <c r="R113" s="1221"/>
      <c r="S113" s="1161"/>
      <c r="T113" s="1221"/>
      <c r="U113" s="1160"/>
      <c r="X113" t="s">
        <v>3135</v>
      </c>
      <c r="Y113" t="s">
        <v>3045</v>
      </c>
      <c r="Z113">
        <v>1</v>
      </c>
      <c r="AA113" t="s">
        <v>3041</v>
      </c>
      <c r="AB113">
        <v>0.84</v>
      </c>
      <c r="AC113" t="s">
        <v>3034</v>
      </c>
      <c r="AE113" s="300" t="s">
        <v>2795</v>
      </c>
    </row>
    <row r="114" spans="1:31" hidden="1" outlineLevel="1">
      <c r="A114" s="1228"/>
      <c r="B114" s="1245" t="s">
        <v>3136</v>
      </c>
      <c r="C114" s="1168"/>
      <c r="D114" s="1238">
        <v>2.2200000000000002</v>
      </c>
      <c r="E114" s="1230" t="s">
        <v>3031</v>
      </c>
      <c r="F114" s="1170"/>
      <c r="G114" s="668">
        <f t="shared" si="6"/>
        <v>0</v>
      </c>
      <c r="H114" s="1221"/>
      <c r="I114" s="1161"/>
      <c r="J114" s="1221"/>
      <c r="K114" s="1160"/>
      <c r="L114" s="1221"/>
      <c r="M114" s="1161"/>
      <c r="N114" s="1221"/>
      <c r="O114" s="1161"/>
      <c r="P114" s="1221"/>
      <c r="Q114" s="1161"/>
      <c r="R114" s="1221"/>
      <c r="S114" s="1161"/>
      <c r="T114" s="1221"/>
      <c r="U114" s="1160"/>
      <c r="X114" t="s">
        <v>3136</v>
      </c>
      <c r="Y114" t="s">
        <v>3131</v>
      </c>
      <c r="Z114">
        <v>4</v>
      </c>
      <c r="AA114" t="s">
        <v>3041</v>
      </c>
      <c r="AB114">
        <v>2.2200000000000002</v>
      </c>
      <c r="AC114" t="s">
        <v>3034</v>
      </c>
      <c r="AE114" s="300" t="s">
        <v>2795</v>
      </c>
    </row>
    <row r="115" spans="1:31" hidden="1" outlineLevel="1">
      <c r="A115" s="1228"/>
      <c r="B115" s="1245" t="s">
        <v>3137</v>
      </c>
      <c r="C115" s="1168"/>
      <c r="D115" s="1238">
        <v>2.52</v>
      </c>
      <c r="E115" s="1230" t="s">
        <v>3031</v>
      </c>
      <c r="F115" s="1170"/>
      <c r="G115" s="668">
        <f t="shared" si="6"/>
        <v>0</v>
      </c>
      <c r="H115" s="1221"/>
      <c r="I115" s="1161"/>
      <c r="J115" s="1221"/>
      <c r="K115" s="1160"/>
      <c r="L115" s="1221"/>
      <c r="M115" s="1161"/>
      <c r="N115" s="1221"/>
      <c r="O115" s="1161"/>
      <c r="P115" s="1221"/>
      <c r="Q115" s="1161"/>
      <c r="R115" s="1221"/>
      <c r="S115" s="1161"/>
      <c r="T115" s="1221"/>
      <c r="U115" s="1160"/>
      <c r="X115" t="s">
        <v>3137</v>
      </c>
      <c r="Y115" t="s">
        <v>3045</v>
      </c>
      <c r="Z115">
        <v>4</v>
      </c>
      <c r="AA115" t="s">
        <v>3041</v>
      </c>
      <c r="AB115">
        <v>2.52</v>
      </c>
      <c r="AC115" t="s">
        <v>3034</v>
      </c>
      <c r="AE115" s="300" t="s">
        <v>2795</v>
      </c>
    </row>
    <row r="116" spans="1:31" hidden="1" outlineLevel="1">
      <c r="A116" s="1228"/>
      <c r="B116" s="1245" t="s">
        <v>3138</v>
      </c>
      <c r="C116" s="1168"/>
      <c r="D116" s="1238">
        <v>1.26</v>
      </c>
      <c r="E116" s="1230" t="s">
        <v>3031</v>
      </c>
      <c r="F116" s="1170"/>
      <c r="G116" s="668">
        <f t="shared" si="6"/>
        <v>0</v>
      </c>
      <c r="H116" s="1221"/>
      <c r="I116" s="1161"/>
      <c r="J116" s="1221"/>
      <c r="K116" s="1160"/>
      <c r="L116" s="1221"/>
      <c r="M116" s="1161"/>
      <c r="N116" s="1221"/>
      <c r="O116" s="1161"/>
      <c r="P116" s="1221"/>
      <c r="Q116" s="1161"/>
      <c r="R116" s="1221"/>
      <c r="S116" s="1161"/>
      <c r="T116" s="1221"/>
      <c r="U116" s="1160"/>
      <c r="X116" t="s">
        <v>3138</v>
      </c>
      <c r="Y116" t="s">
        <v>3045</v>
      </c>
      <c r="Z116">
        <v>1</v>
      </c>
      <c r="AA116" t="s">
        <v>3041</v>
      </c>
      <c r="AB116">
        <v>1.26</v>
      </c>
      <c r="AC116" t="s">
        <v>3034</v>
      </c>
      <c r="AE116" s="300" t="s">
        <v>2795</v>
      </c>
    </row>
    <row r="117" spans="1:31" hidden="1" outlineLevel="1">
      <c r="A117" s="1228"/>
      <c r="B117" s="1245" t="s">
        <v>3139</v>
      </c>
      <c r="C117" s="1168"/>
      <c r="D117" s="1238">
        <v>0.35</v>
      </c>
      <c r="E117" s="1230" t="s">
        <v>3031</v>
      </c>
      <c r="F117" s="1170"/>
      <c r="G117" s="668">
        <f t="shared" si="6"/>
        <v>0</v>
      </c>
      <c r="H117" s="1221"/>
      <c r="I117" s="1161"/>
      <c r="J117" s="1221"/>
      <c r="K117" s="1160"/>
      <c r="L117" s="1221"/>
      <c r="M117" s="1161"/>
      <c r="N117" s="1221"/>
      <c r="O117" s="1161"/>
      <c r="P117" s="1221"/>
      <c r="Q117" s="1161"/>
      <c r="R117" s="1221"/>
      <c r="S117" s="1161"/>
      <c r="T117" s="1221"/>
      <c r="U117" s="1160"/>
      <c r="X117" t="s">
        <v>3139</v>
      </c>
      <c r="Y117" t="s">
        <v>3045</v>
      </c>
      <c r="Z117">
        <v>1</v>
      </c>
      <c r="AA117" t="s">
        <v>3041</v>
      </c>
      <c r="AB117">
        <v>0.35</v>
      </c>
      <c r="AC117" t="s">
        <v>3034</v>
      </c>
      <c r="AE117" s="300" t="s">
        <v>2795</v>
      </c>
    </row>
    <row r="118" spans="1:31" hidden="1" outlineLevel="1">
      <c r="A118" s="1228"/>
      <c r="B118" s="1245" t="s">
        <v>3140</v>
      </c>
      <c r="C118" s="1168"/>
      <c r="D118" s="1238">
        <v>17</v>
      </c>
      <c r="E118" s="1230" t="s">
        <v>3031</v>
      </c>
      <c r="F118" s="1170"/>
      <c r="G118" s="668">
        <f t="shared" ref="G118:G149" si="9">ROUND(D118*F118,0)</f>
        <v>0</v>
      </c>
      <c r="H118" s="1221"/>
      <c r="I118" s="1161"/>
      <c r="J118" s="1221"/>
      <c r="K118" s="1160"/>
      <c r="L118" s="1221"/>
      <c r="M118" s="1161"/>
      <c r="N118" s="1221"/>
      <c r="O118" s="1161"/>
      <c r="P118" s="1221"/>
      <c r="Q118" s="1161"/>
      <c r="R118" s="1221"/>
      <c r="S118" s="1161"/>
      <c r="T118" s="1221"/>
      <c r="U118" s="1160"/>
      <c r="X118" t="s">
        <v>3140</v>
      </c>
      <c r="Y118" t="s">
        <v>3045</v>
      </c>
      <c r="Z118">
        <v>9</v>
      </c>
      <c r="AA118" t="s">
        <v>3041</v>
      </c>
      <c r="AB118">
        <v>17</v>
      </c>
      <c r="AC118" t="s">
        <v>3034</v>
      </c>
      <c r="AE118" s="300" t="s">
        <v>2795</v>
      </c>
    </row>
    <row r="119" spans="1:31" collapsed="1">
      <c r="A119" s="1228"/>
      <c r="B119" s="1247" t="s">
        <v>3051</v>
      </c>
      <c r="C119" s="1168"/>
      <c r="D119" s="1238">
        <f>SUM(D120:D121)</f>
        <v>804.43</v>
      </c>
      <c r="E119" s="1230" t="s">
        <v>3031</v>
      </c>
      <c r="F119" s="1170">
        <v>2000</v>
      </c>
      <c r="G119" s="668">
        <f t="shared" si="9"/>
        <v>1608860</v>
      </c>
      <c r="H119" s="1221" t="s">
        <v>2931</v>
      </c>
      <c r="I119" s="1161"/>
      <c r="J119" s="1221"/>
      <c r="K119" s="1160"/>
      <c r="L119" s="1221" t="s">
        <v>2931</v>
      </c>
      <c r="M119" s="1161"/>
      <c r="N119" s="1221" t="s">
        <v>2931</v>
      </c>
      <c r="O119" s="1161"/>
      <c r="P119" s="1221" t="s">
        <v>2931</v>
      </c>
      <c r="Q119" s="1161"/>
      <c r="R119" s="1221" t="s">
        <v>2931</v>
      </c>
      <c r="S119" s="1161"/>
      <c r="T119" s="1221" t="s">
        <v>2931</v>
      </c>
      <c r="U119" s="1160"/>
    </row>
    <row r="120" spans="1:31" hidden="1" outlineLevel="1">
      <c r="A120" s="1228"/>
      <c r="B120" s="1245" t="s">
        <v>3141</v>
      </c>
      <c r="C120" s="1168"/>
      <c r="D120" s="1238">
        <v>85.25</v>
      </c>
      <c r="E120" s="1230" t="s">
        <v>3031</v>
      </c>
      <c r="F120" s="1170"/>
      <c r="G120" s="668">
        <f t="shared" si="9"/>
        <v>0</v>
      </c>
      <c r="H120" s="1221"/>
      <c r="I120" s="1161"/>
      <c r="J120" s="1221"/>
      <c r="K120" s="1160"/>
      <c r="L120" s="1221"/>
      <c r="M120" s="1161"/>
      <c r="N120" s="1221"/>
      <c r="O120" s="1161"/>
      <c r="P120" s="1221"/>
      <c r="Q120" s="1161"/>
      <c r="R120" s="1221"/>
      <c r="S120" s="1161"/>
      <c r="T120" s="1221"/>
      <c r="U120" s="1160"/>
      <c r="X120" t="s">
        <v>3141</v>
      </c>
      <c r="Y120" t="s">
        <v>3131</v>
      </c>
      <c r="Z120">
        <v>115</v>
      </c>
      <c r="AA120" t="s">
        <v>48</v>
      </c>
      <c r="AB120">
        <v>85.25</v>
      </c>
      <c r="AC120" t="s">
        <v>3034</v>
      </c>
      <c r="AE120" s="300" t="s">
        <v>2795</v>
      </c>
    </row>
    <row r="121" spans="1:31" hidden="1" outlineLevel="1">
      <c r="A121" s="1228"/>
      <c r="B121" s="1245" t="s">
        <v>3142</v>
      </c>
      <c r="C121" s="1168"/>
      <c r="D121" s="1238">
        <v>719.18</v>
      </c>
      <c r="E121" s="1230" t="s">
        <v>3031</v>
      </c>
      <c r="F121" s="1170"/>
      <c r="G121" s="668">
        <f t="shared" si="9"/>
        <v>0</v>
      </c>
      <c r="H121" s="1221"/>
      <c r="I121" s="1161"/>
      <c r="J121" s="1221"/>
      <c r="K121" s="1160"/>
      <c r="L121" s="1221"/>
      <c r="M121" s="1161"/>
      <c r="N121" s="1221"/>
      <c r="O121" s="1161"/>
      <c r="P121" s="1221"/>
      <c r="Q121" s="1161"/>
      <c r="R121" s="1221"/>
      <c r="S121" s="1161"/>
      <c r="T121" s="1221"/>
      <c r="U121" s="1160"/>
      <c r="X121" t="s">
        <v>3142</v>
      </c>
      <c r="Y121" t="s">
        <v>3045</v>
      </c>
      <c r="Z121">
        <v>857</v>
      </c>
      <c r="AA121" t="s">
        <v>48</v>
      </c>
      <c r="AB121">
        <v>719.18</v>
      </c>
      <c r="AC121" t="s">
        <v>3034</v>
      </c>
      <c r="AE121" s="300" t="s">
        <v>2795</v>
      </c>
    </row>
    <row r="122" spans="1:31" collapsed="1">
      <c r="A122" s="1228"/>
      <c r="B122" s="1247" t="s">
        <v>3053</v>
      </c>
      <c r="C122" s="1168"/>
      <c r="D122" s="1238">
        <f>SUM(D123:D141)</f>
        <v>1253.5</v>
      </c>
      <c r="E122" s="1230" t="s">
        <v>3031</v>
      </c>
      <c r="F122" s="1170">
        <f t="shared" ref="F122" si="10">$F$39</f>
        <v>650</v>
      </c>
      <c r="G122" s="668">
        <f t="shared" si="9"/>
        <v>814775</v>
      </c>
      <c r="H122" s="1221" t="s">
        <v>2931</v>
      </c>
      <c r="I122" s="1161"/>
      <c r="J122" s="1221"/>
      <c r="K122" s="1160"/>
      <c r="L122" s="1221" t="s">
        <v>2931</v>
      </c>
      <c r="M122" s="1161"/>
      <c r="N122" s="1221" t="s">
        <v>2931</v>
      </c>
      <c r="O122" s="1161"/>
      <c r="P122" s="1221" t="s">
        <v>2931</v>
      </c>
      <c r="Q122" s="1161"/>
      <c r="R122" s="1221" t="s">
        <v>2931</v>
      </c>
      <c r="S122" s="1161"/>
      <c r="T122" s="1221" t="s">
        <v>2931</v>
      </c>
      <c r="U122" s="1160"/>
    </row>
    <row r="123" spans="1:31" hidden="1" outlineLevel="1">
      <c r="A123" s="1228"/>
      <c r="B123" s="1245" t="s">
        <v>3143</v>
      </c>
      <c r="C123" s="1168"/>
      <c r="D123" s="1238">
        <v>29.63</v>
      </c>
      <c r="E123" s="1230" t="s">
        <v>3031</v>
      </c>
      <c r="F123" s="1170"/>
      <c r="G123" s="668">
        <f t="shared" si="9"/>
        <v>0</v>
      </c>
      <c r="H123" s="1221"/>
      <c r="I123" s="1161"/>
      <c r="J123" s="1221"/>
      <c r="K123" s="1160"/>
      <c r="L123" s="1221"/>
      <c r="M123" s="1161"/>
      <c r="N123" s="1221"/>
      <c r="O123" s="1161"/>
      <c r="P123" s="1221"/>
      <c r="Q123" s="1161"/>
      <c r="R123" s="1221"/>
      <c r="S123" s="1161"/>
      <c r="T123" s="1221"/>
      <c r="U123" s="1160"/>
      <c r="X123" t="s">
        <v>3143</v>
      </c>
      <c r="Y123" t="s">
        <v>3036</v>
      </c>
      <c r="Z123">
        <v>4</v>
      </c>
      <c r="AA123" t="s">
        <v>3041</v>
      </c>
      <c r="AB123">
        <v>29.63</v>
      </c>
      <c r="AC123" t="s">
        <v>3034</v>
      </c>
      <c r="AD123" s="300">
        <v>2</v>
      </c>
      <c r="AE123" s="300">
        <f t="shared" ref="AE123:AE141" si="11">Z123</f>
        <v>4</v>
      </c>
    </row>
    <row r="124" spans="1:31" hidden="1" outlineLevel="1">
      <c r="A124" s="1228"/>
      <c r="B124" s="1245" t="s">
        <v>3144</v>
      </c>
      <c r="C124" s="1168"/>
      <c r="D124" s="1238">
        <v>49.78</v>
      </c>
      <c r="E124" s="1230" t="s">
        <v>3031</v>
      </c>
      <c r="F124" s="1170"/>
      <c r="G124" s="668">
        <f t="shared" si="9"/>
        <v>0</v>
      </c>
      <c r="H124" s="1221"/>
      <c r="I124" s="1161"/>
      <c r="J124" s="1221"/>
      <c r="K124" s="1160"/>
      <c r="L124" s="1221"/>
      <c r="M124" s="1161"/>
      <c r="N124" s="1221"/>
      <c r="O124" s="1161"/>
      <c r="P124" s="1221"/>
      <c r="Q124" s="1161"/>
      <c r="R124" s="1221"/>
      <c r="S124" s="1161"/>
      <c r="T124" s="1221"/>
      <c r="U124" s="1160"/>
      <c r="X124" t="s">
        <v>3144</v>
      </c>
      <c r="Y124" t="s">
        <v>3145</v>
      </c>
      <c r="Z124">
        <v>4</v>
      </c>
      <c r="AA124" t="s">
        <v>3041</v>
      </c>
      <c r="AB124">
        <v>49.78</v>
      </c>
      <c r="AC124" t="s">
        <v>3034</v>
      </c>
      <c r="AD124" s="300">
        <v>2.33</v>
      </c>
      <c r="AE124" s="300">
        <f t="shared" si="11"/>
        <v>4</v>
      </c>
    </row>
    <row r="125" spans="1:31" hidden="1" outlineLevel="1">
      <c r="A125" s="1228"/>
      <c r="B125" s="1245" t="s">
        <v>3146</v>
      </c>
      <c r="C125" s="1168"/>
      <c r="D125" s="1238">
        <v>73.930000000000007</v>
      </c>
      <c r="E125" s="1230" t="s">
        <v>3031</v>
      </c>
      <c r="F125" s="1170"/>
      <c r="G125" s="668">
        <f t="shared" si="9"/>
        <v>0</v>
      </c>
      <c r="H125" s="1221"/>
      <c r="I125" s="1161"/>
      <c r="J125" s="1221"/>
      <c r="K125" s="1160"/>
      <c r="L125" s="1221"/>
      <c r="M125" s="1161"/>
      <c r="N125" s="1221"/>
      <c r="O125" s="1161"/>
      <c r="P125" s="1221"/>
      <c r="Q125" s="1161"/>
      <c r="R125" s="1221"/>
      <c r="S125" s="1161"/>
      <c r="T125" s="1221"/>
      <c r="U125" s="1160"/>
      <c r="X125" t="s">
        <v>3146</v>
      </c>
      <c r="Y125" t="s">
        <v>3036</v>
      </c>
      <c r="Z125">
        <v>83</v>
      </c>
      <c r="AA125" t="s">
        <v>48</v>
      </c>
      <c r="AB125">
        <v>73.930000000000007</v>
      </c>
      <c r="AC125" t="s">
        <v>3034</v>
      </c>
      <c r="AD125" s="300">
        <v>2</v>
      </c>
      <c r="AE125" s="300">
        <f t="shared" si="11"/>
        <v>83</v>
      </c>
    </row>
    <row r="126" spans="1:31" hidden="1" outlineLevel="1">
      <c r="A126" s="1228"/>
      <c r="B126" s="1245" t="s">
        <v>3147</v>
      </c>
      <c r="C126" s="1168"/>
      <c r="D126" s="1238">
        <v>630.11</v>
      </c>
      <c r="E126" s="1230" t="s">
        <v>3031</v>
      </c>
      <c r="F126" s="1170"/>
      <c r="G126" s="668">
        <f t="shared" si="9"/>
        <v>0</v>
      </c>
      <c r="H126" s="1221"/>
      <c r="I126" s="1161"/>
      <c r="J126" s="1221"/>
      <c r="K126" s="1160"/>
      <c r="L126" s="1221"/>
      <c r="M126" s="1161"/>
      <c r="N126" s="1221"/>
      <c r="O126" s="1161"/>
      <c r="P126" s="1221"/>
      <c r="Q126" s="1161"/>
      <c r="R126" s="1221"/>
      <c r="S126" s="1161"/>
      <c r="T126" s="1221"/>
      <c r="U126" s="1160"/>
      <c r="X126" t="s">
        <v>3147</v>
      </c>
      <c r="Y126" t="s">
        <v>3036</v>
      </c>
      <c r="Z126">
        <v>608</v>
      </c>
      <c r="AA126" t="s">
        <v>48</v>
      </c>
      <c r="AB126">
        <v>630.11</v>
      </c>
      <c r="AC126" t="s">
        <v>3034</v>
      </c>
      <c r="AD126" s="300">
        <v>2</v>
      </c>
      <c r="AE126" s="300">
        <f t="shared" si="11"/>
        <v>608</v>
      </c>
    </row>
    <row r="127" spans="1:31" hidden="1" outlineLevel="1">
      <c r="A127" s="1228"/>
      <c r="B127" s="1245" t="s">
        <v>3148</v>
      </c>
      <c r="C127" s="1168"/>
      <c r="D127" s="1238">
        <v>1.99</v>
      </c>
      <c r="E127" s="1230" t="s">
        <v>3031</v>
      </c>
      <c r="F127" s="1170"/>
      <c r="G127" s="668">
        <f t="shared" si="9"/>
        <v>0</v>
      </c>
      <c r="H127" s="1221"/>
      <c r="I127" s="1161"/>
      <c r="J127" s="1221"/>
      <c r="K127" s="1160"/>
      <c r="L127" s="1221"/>
      <c r="M127" s="1161"/>
      <c r="N127" s="1221"/>
      <c r="O127" s="1161"/>
      <c r="P127" s="1221"/>
      <c r="Q127" s="1161"/>
      <c r="R127" s="1221"/>
      <c r="S127" s="1161"/>
      <c r="T127" s="1221"/>
      <c r="U127" s="1160"/>
      <c r="X127" t="s">
        <v>3148</v>
      </c>
      <c r="Y127" t="s">
        <v>3059</v>
      </c>
      <c r="Z127">
        <v>27</v>
      </c>
      <c r="AA127" t="s">
        <v>48</v>
      </c>
      <c r="AB127">
        <v>1.99</v>
      </c>
      <c r="AC127" t="s">
        <v>3034</v>
      </c>
      <c r="AD127" s="300">
        <v>1</v>
      </c>
      <c r="AE127" s="300">
        <f t="shared" si="11"/>
        <v>27</v>
      </c>
    </row>
    <row r="128" spans="1:31" hidden="1" outlineLevel="1">
      <c r="A128" s="1228"/>
      <c r="B128" s="1245" t="s">
        <v>3149</v>
      </c>
      <c r="C128" s="1168"/>
      <c r="D128" s="1238">
        <v>7.33</v>
      </c>
      <c r="E128" s="1230" t="s">
        <v>3031</v>
      </c>
      <c r="F128" s="1170"/>
      <c r="G128" s="668">
        <f t="shared" si="9"/>
        <v>0</v>
      </c>
      <c r="H128" s="1221"/>
      <c r="I128" s="1161"/>
      <c r="J128" s="1221"/>
      <c r="K128" s="1160"/>
      <c r="L128" s="1221"/>
      <c r="M128" s="1161"/>
      <c r="N128" s="1221"/>
      <c r="O128" s="1161"/>
      <c r="P128" s="1221"/>
      <c r="Q128" s="1161"/>
      <c r="R128" s="1221"/>
      <c r="S128" s="1161"/>
      <c r="T128" s="1221"/>
      <c r="U128" s="1160"/>
      <c r="X128" t="s">
        <v>3149</v>
      </c>
      <c r="Y128" t="s">
        <v>3059</v>
      </c>
      <c r="Z128">
        <v>50</v>
      </c>
      <c r="AA128" t="s">
        <v>48</v>
      </c>
      <c r="AB128">
        <v>7.33</v>
      </c>
      <c r="AC128" t="s">
        <v>3034</v>
      </c>
      <c r="AD128" s="300">
        <v>1</v>
      </c>
      <c r="AE128" s="300">
        <f t="shared" si="11"/>
        <v>50</v>
      </c>
    </row>
    <row r="129" spans="1:31" hidden="1" outlineLevel="1">
      <c r="A129" s="1228"/>
      <c r="B129" s="1245" t="s">
        <v>3150</v>
      </c>
      <c r="C129" s="1168"/>
      <c r="D129" s="1238">
        <v>10.79</v>
      </c>
      <c r="E129" s="1230" t="s">
        <v>3031</v>
      </c>
      <c r="F129" s="1170"/>
      <c r="G129" s="668">
        <f t="shared" si="9"/>
        <v>0</v>
      </c>
      <c r="H129" s="1221"/>
      <c r="I129" s="1161"/>
      <c r="J129" s="1221"/>
      <c r="K129" s="1160"/>
      <c r="L129" s="1221"/>
      <c r="M129" s="1161"/>
      <c r="N129" s="1221"/>
      <c r="O129" s="1161"/>
      <c r="P129" s="1221"/>
      <c r="Q129" s="1161"/>
      <c r="R129" s="1221"/>
      <c r="S129" s="1161"/>
      <c r="T129" s="1221"/>
      <c r="U129" s="1160"/>
      <c r="X129" t="s">
        <v>3150</v>
      </c>
      <c r="Y129" t="s">
        <v>3063</v>
      </c>
      <c r="Z129">
        <v>62</v>
      </c>
      <c r="AA129" t="s">
        <v>48</v>
      </c>
      <c r="AB129">
        <v>10.79</v>
      </c>
      <c r="AC129" t="s">
        <v>3034</v>
      </c>
      <c r="AD129" s="300">
        <v>1.17</v>
      </c>
      <c r="AE129" s="300">
        <f t="shared" si="11"/>
        <v>62</v>
      </c>
    </row>
    <row r="130" spans="1:31" hidden="1" outlineLevel="1">
      <c r="A130" s="1228"/>
      <c r="B130" s="1245" t="s">
        <v>3151</v>
      </c>
      <c r="C130" s="1168"/>
      <c r="D130" s="1238">
        <v>2.42</v>
      </c>
      <c r="E130" s="1230" t="s">
        <v>3031</v>
      </c>
      <c r="F130" s="1170"/>
      <c r="G130" s="668">
        <f t="shared" si="9"/>
        <v>0</v>
      </c>
      <c r="H130" s="1221"/>
      <c r="I130" s="1161"/>
      <c r="J130" s="1221"/>
      <c r="K130" s="1160"/>
      <c r="L130" s="1221"/>
      <c r="M130" s="1161"/>
      <c r="N130" s="1221"/>
      <c r="O130" s="1161"/>
      <c r="P130" s="1221"/>
      <c r="Q130" s="1161"/>
      <c r="R130" s="1221"/>
      <c r="S130" s="1161"/>
      <c r="T130" s="1221"/>
      <c r="U130" s="1160"/>
      <c r="X130" t="s">
        <v>3151</v>
      </c>
      <c r="Y130" t="s">
        <v>3063</v>
      </c>
      <c r="Z130">
        <v>2</v>
      </c>
      <c r="AA130" t="s">
        <v>3041</v>
      </c>
      <c r="AB130">
        <v>2.42</v>
      </c>
      <c r="AC130" t="s">
        <v>3034</v>
      </c>
      <c r="AD130" s="300">
        <v>1.17</v>
      </c>
      <c r="AE130" s="300">
        <f t="shared" si="11"/>
        <v>2</v>
      </c>
    </row>
    <row r="131" spans="1:31" hidden="1" outlineLevel="1">
      <c r="A131" s="1228"/>
      <c r="B131" s="1245" t="s">
        <v>3152</v>
      </c>
      <c r="C131" s="1168"/>
      <c r="D131" s="1238">
        <v>15.75</v>
      </c>
      <c r="E131" s="1230" t="s">
        <v>3031</v>
      </c>
      <c r="F131" s="1170"/>
      <c r="G131" s="668">
        <f t="shared" si="9"/>
        <v>0</v>
      </c>
      <c r="H131" s="1221"/>
      <c r="I131" s="1161"/>
      <c r="J131" s="1221"/>
      <c r="K131" s="1160"/>
      <c r="L131" s="1221"/>
      <c r="M131" s="1161"/>
      <c r="N131" s="1221"/>
      <c r="O131" s="1161"/>
      <c r="P131" s="1221"/>
      <c r="Q131" s="1161"/>
      <c r="R131" s="1221"/>
      <c r="S131" s="1161"/>
      <c r="T131" s="1221"/>
      <c r="U131" s="1160"/>
      <c r="X131" t="s">
        <v>3152</v>
      </c>
      <c r="Y131" t="s">
        <v>3068</v>
      </c>
      <c r="Z131">
        <v>14</v>
      </c>
      <c r="AA131" t="s">
        <v>3041</v>
      </c>
      <c r="AB131">
        <v>15.75</v>
      </c>
      <c r="AC131" t="s">
        <v>3034</v>
      </c>
      <c r="AD131" s="300">
        <v>1.5</v>
      </c>
      <c r="AE131" s="300">
        <f t="shared" si="11"/>
        <v>14</v>
      </c>
    </row>
    <row r="132" spans="1:31" hidden="1" outlineLevel="1">
      <c r="A132" s="1228"/>
      <c r="B132" s="1245" t="s">
        <v>3153</v>
      </c>
      <c r="C132" s="1168"/>
      <c r="D132" s="1238">
        <v>8.64</v>
      </c>
      <c r="E132" s="1230" t="s">
        <v>3031</v>
      </c>
      <c r="F132" s="1170"/>
      <c r="G132" s="668">
        <f t="shared" si="9"/>
        <v>0</v>
      </c>
      <c r="H132" s="1221"/>
      <c r="I132" s="1161"/>
      <c r="J132" s="1221"/>
      <c r="K132" s="1160"/>
      <c r="L132" s="1221"/>
      <c r="M132" s="1161"/>
      <c r="N132" s="1221"/>
      <c r="O132" s="1161"/>
      <c r="P132" s="1221"/>
      <c r="Q132" s="1161"/>
      <c r="R132" s="1221"/>
      <c r="S132" s="1161"/>
      <c r="T132" s="1221"/>
      <c r="U132" s="1160"/>
      <c r="X132" t="s">
        <v>3153</v>
      </c>
      <c r="Y132" t="s">
        <v>3063</v>
      </c>
      <c r="Z132">
        <v>8</v>
      </c>
      <c r="AA132" t="s">
        <v>3041</v>
      </c>
      <c r="AB132">
        <v>8.64</v>
      </c>
      <c r="AC132" t="s">
        <v>3034</v>
      </c>
      <c r="AD132" s="300">
        <v>1.17</v>
      </c>
      <c r="AE132" s="300">
        <f t="shared" si="11"/>
        <v>8</v>
      </c>
    </row>
    <row r="133" spans="1:31" hidden="1" outlineLevel="1">
      <c r="A133" s="1228"/>
      <c r="B133" s="1245" t="s">
        <v>3154</v>
      </c>
      <c r="C133" s="1168"/>
      <c r="D133" s="1238">
        <v>9.02</v>
      </c>
      <c r="E133" s="1230" t="s">
        <v>3031</v>
      </c>
      <c r="F133" s="1170"/>
      <c r="G133" s="668">
        <f t="shared" si="9"/>
        <v>0</v>
      </c>
      <c r="H133" s="1221"/>
      <c r="I133" s="1161"/>
      <c r="J133" s="1221"/>
      <c r="K133" s="1160"/>
      <c r="L133" s="1221"/>
      <c r="M133" s="1161"/>
      <c r="N133" s="1221"/>
      <c r="O133" s="1161"/>
      <c r="P133" s="1221"/>
      <c r="Q133" s="1161"/>
      <c r="R133" s="1221"/>
      <c r="S133" s="1161"/>
      <c r="T133" s="1221"/>
      <c r="U133" s="1160"/>
      <c r="X133" t="s">
        <v>3154</v>
      </c>
      <c r="Y133" t="s">
        <v>3063</v>
      </c>
      <c r="Z133">
        <v>42</v>
      </c>
      <c r="AA133" t="s">
        <v>48</v>
      </c>
      <c r="AB133">
        <v>9.02</v>
      </c>
      <c r="AC133" t="s">
        <v>3034</v>
      </c>
      <c r="AD133" s="300">
        <v>1.17</v>
      </c>
      <c r="AE133" s="300">
        <f t="shared" si="11"/>
        <v>42</v>
      </c>
    </row>
    <row r="134" spans="1:31" hidden="1" outlineLevel="1">
      <c r="A134" s="1228"/>
      <c r="B134" s="1245" t="s">
        <v>3155</v>
      </c>
      <c r="C134" s="1168"/>
      <c r="D134" s="1238">
        <v>13.73</v>
      </c>
      <c r="E134" s="1230" t="s">
        <v>3031</v>
      </c>
      <c r="F134" s="1170"/>
      <c r="G134" s="668">
        <f t="shared" si="9"/>
        <v>0</v>
      </c>
      <c r="H134" s="1221"/>
      <c r="I134" s="1161"/>
      <c r="J134" s="1221"/>
      <c r="K134" s="1160"/>
      <c r="L134" s="1221"/>
      <c r="M134" s="1161"/>
      <c r="N134" s="1221"/>
      <c r="O134" s="1161"/>
      <c r="P134" s="1221"/>
      <c r="Q134" s="1161"/>
      <c r="R134" s="1221"/>
      <c r="S134" s="1161"/>
      <c r="T134" s="1221"/>
      <c r="U134" s="1160"/>
      <c r="X134" t="s">
        <v>3155</v>
      </c>
      <c r="Y134" t="s">
        <v>3068</v>
      </c>
      <c r="Z134">
        <v>49</v>
      </c>
      <c r="AA134" t="s">
        <v>48</v>
      </c>
      <c r="AB134">
        <v>13.73</v>
      </c>
      <c r="AC134" t="s">
        <v>3034</v>
      </c>
      <c r="AD134" s="300">
        <v>1.5</v>
      </c>
      <c r="AE134" s="300">
        <f t="shared" si="11"/>
        <v>49</v>
      </c>
    </row>
    <row r="135" spans="1:31" hidden="1" outlineLevel="1">
      <c r="A135" s="1228"/>
      <c r="B135" s="1245" t="s">
        <v>3156</v>
      </c>
      <c r="C135" s="1168"/>
      <c r="D135" s="1238">
        <v>2.72</v>
      </c>
      <c r="E135" s="1230" t="s">
        <v>3031</v>
      </c>
      <c r="F135" s="1170"/>
      <c r="G135" s="668">
        <f t="shared" si="9"/>
        <v>0</v>
      </c>
      <c r="H135" s="1221"/>
      <c r="I135" s="1161"/>
      <c r="J135" s="1221"/>
      <c r="K135" s="1160"/>
      <c r="L135" s="1221"/>
      <c r="M135" s="1161"/>
      <c r="N135" s="1221"/>
      <c r="O135" s="1161"/>
      <c r="P135" s="1221"/>
      <c r="Q135" s="1161"/>
      <c r="R135" s="1221"/>
      <c r="S135" s="1161"/>
      <c r="T135" s="1221"/>
      <c r="U135" s="1160"/>
      <c r="X135" t="s">
        <v>3156</v>
      </c>
      <c r="Y135" t="s">
        <v>3068</v>
      </c>
      <c r="Z135">
        <v>1</v>
      </c>
      <c r="AA135" t="s">
        <v>3041</v>
      </c>
      <c r="AB135">
        <v>2.72</v>
      </c>
      <c r="AC135" t="s">
        <v>3034</v>
      </c>
      <c r="AD135" s="300">
        <v>1.5</v>
      </c>
      <c r="AE135" s="300">
        <f t="shared" si="11"/>
        <v>1</v>
      </c>
    </row>
    <row r="136" spans="1:31" hidden="1" outlineLevel="1">
      <c r="A136" s="1228"/>
      <c r="B136" s="1245" t="s">
        <v>3157</v>
      </c>
      <c r="C136" s="1168"/>
      <c r="D136" s="1238">
        <v>6.94</v>
      </c>
      <c r="E136" s="1230" t="s">
        <v>3031</v>
      </c>
      <c r="F136" s="1170"/>
      <c r="G136" s="668">
        <f t="shared" si="9"/>
        <v>0</v>
      </c>
      <c r="H136" s="1221"/>
      <c r="I136" s="1161"/>
      <c r="J136" s="1221"/>
      <c r="K136" s="1160"/>
      <c r="L136" s="1221"/>
      <c r="M136" s="1161"/>
      <c r="N136" s="1221"/>
      <c r="O136" s="1161"/>
      <c r="P136" s="1221"/>
      <c r="Q136" s="1161"/>
      <c r="R136" s="1221"/>
      <c r="S136" s="1161"/>
      <c r="T136" s="1221"/>
      <c r="U136" s="1160"/>
      <c r="X136" t="s">
        <v>3157</v>
      </c>
      <c r="Y136" t="s">
        <v>3070</v>
      </c>
      <c r="Z136">
        <v>2</v>
      </c>
      <c r="AA136" t="s">
        <v>3041</v>
      </c>
      <c r="AB136">
        <v>6.94</v>
      </c>
      <c r="AC136" t="s">
        <v>3034</v>
      </c>
      <c r="AD136" s="300">
        <v>1.67</v>
      </c>
      <c r="AE136" s="300">
        <f t="shared" si="11"/>
        <v>2</v>
      </c>
    </row>
    <row r="137" spans="1:31" hidden="1" outlineLevel="1">
      <c r="A137" s="1228"/>
      <c r="B137" s="1245" t="s">
        <v>3158</v>
      </c>
      <c r="C137" s="1168"/>
      <c r="D137" s="1238">
        <v>6</v>
      </c>
      <c r="E137" s="1230" t="s">
        <v>3031</v>
      </c>
      <c r="F137" s="1170"/>
      <c r="G137" s="668">
        <f t="shared" si="9"/>
        <v>0</v>
      </c>
      <c r="H137" s="1221"/>
      <c r="I137" s="1161"/>
      <c r="J137" s="1221"/>
      <c r="K137" s="1160"/>
      <c r="L137" s="1221"/>
      <c r="M137" s="1161"/>
      <c r="N137" s="1221"/>
      <c r="O137" s="1161"/>
      <c r="P137" s="1221"/>
      <c r="Q137" s="1161"/>
      <c r="R137" s="1221"/>
      <c r="S137" s="1161"/>
      <c r="T137" s="1221"/>
      <c r="U137" s="1160"/>
      <c r="X137" t="s">
        <v>3158</v>
      </c>
      <c r="Y137" t="s">
        <v>3036</v>
      </c>
      <c r="Z137">
        <v>1</v>
      </c>
      <c r="AA137" t="s">
        <v>3041</v>
      </c>
      <c r="AB137">
        <v>6</v>
      </c>
      <c r="AC137" t="s">
        <v>3034</v>
      </c>
      <c r="AD137" s="300">
        <v>2</v>
      </c>
      <c r="AE137" s="300">
        <f t="shared" si="11"/>
        <v>1</v>
      </c>
    </row>
    <row r="138" spans="1:31" hidden="1" outlineLevel="1">
      <c r="A138" s="1228"/>
      <c r="B138" s="1245" t="s">
        <v>3159</v>
      </c>
      <c r="C138" s="1168"/>
      <c r="D138" s="1238">
        <v>6.01</v>
      </c>
      <c r="E138" s="1230" t="s">
        <v>3031</v>
      </c>
      <c r="F138" s="1170"/>
      <c r="G138" s="668">
        <f t="shared" si="9"/>
        <v>0</v>
      </c>
      <c r="H138" s="1221"/>
      <c r="I138" s="1161"/>
      <c r="J138" s="1221"/>
      <c r="K138" s="1160"/>
      <c r="L138" s="1221"/>
      <c r="M138" s="1161"/>
      <c r="N138" s="1221"/>
      <c r="O138" s="1161"/>
      <c r="P138" s="1221"/>
      <c r="Q138" s="1161"/>
      <c r="R138" s="1221"/>
      <c r="S138" s="1161"/>
      <c r="T138" s="1221"/>
      <c r="U138" s="1160"/>
      <c r="X138" t="s">
        <v>3159</v>
      </c>
      <c r="Y138" t="s">
        <v>3111</v>
      </c>
      <c r="Z138">
        <v>108</v>
      </c>
      <c r="AA138" t="s">
        <v>3112</v>
      </c>
      <c r="AB138">
        <v>6.01</v>
      </c>
      <c r="AC138" t="s">
        <v>3034</v>
      </c>
      <c r="AE138" s="300">
        <f t="shared" si="11"/>
        <v>108</v>
      </c>
    </row>
    <row r="139" spans="1:31" hidden="1" outlineLevel="1">
      <c r="A139" s="1228"/>
      <c r="B139" s="1245" t="s">
        <v>3160</v>
      </c>
      <c r="C139" s="1168"/>
      <c r="D139" s="1238">
        <v>14.78</v>
      </c>
      <c r="E139" s="1230" t="s">
        <v>3031</v>
      </c>
      <c r="F139" s="1170"/>
      <c r="G139" s="668">
        <f t="shared" si="9"/>
        <v>0</v>
      </c>
      <c r="H139" s="1221"/>
      <c r="I139" s="1161"/>
      <c r="J139" s="1221"/>
      <c r="K139" s="1160"/>
      <c r="L139" s="1221"/>
      <c r="M139" s="1161"/>
      <c r="N139" s="1221"/>
      <c r="O139" s="1161"/>
      <c r="P139" s="1221"/>
      <c r="Q139" s="1161"/>
      <c r="R139" s="1221"/>
      <c r="S139" s="1161"/>
      <c r="T139" s="1221"/>
      <c r="U139" s="1160"/>
      <c r="X139" t="s">
        <v>3160</v>
      </c>
      <c r="Y139" t="s">
        <v>3111</v>
      </c>
      <c r="Z139">
        <v>239</v>
      </c>
      <c r="AA139" t="s">
        <v>3112</v>
      </c>
      <c r="AB139">
        <v>14.78</v>
      </c>
      <c r="AC139" t="s">
        <v>3034</v>
      </c>
      <c r="AE139" s="300">
        <f t="shared" si="11"/>
        <v>239</v>
      </c>
    </row>
    <row r="140" spans="1:31" hidden="1" outlineLevel="1">
      <c r="A140" s="1228"/>
      <c r="B140" s="1245" t="s">
        <v>3161</v>
      </c>
      <c r="C140" s="1168"/>
      <c r="D140" s="1238">
        <v>85.39</v>
      </c>
      <c r="E140" s="1230" t="s">
        <v>3031</v>
      </c>
      <c r="F140" s="1170"/>
      <c r="G140" s="668">
        <f t="shared" si="9"/>
        <v>0</v>
      </c>
      <c r="H140" s="1221"/>
      <c r="I140" s="1161"/>
      <c r="J140" s="1221"/>
      <c r="K140" s="1160"/>
      <c r="L140" s="1221"/>
      <c r="M140" s="1161"/>
      <c r="N140" s="1221"/>
      <c r="O140" s="1161"/>
      <c r="P140" s="1221"/>
      <c r="Q140" s="1161"/>
      <c r="R140" s="1221"/>
      <c r="S140" s="1161"/>
      <c r="T140" s="1221"/>
      <c r="U140" s="1160"/>
      <c r="X140" t="s">
        <v>3161</v>
      </c>
      <c r="Y140" t="s">
        <v>3111</v>
      </c>
      <c r="Z140" s="297">
        <v>1153</v>
      </c>
      <c r="AA140" t="s">
        <v>3112</v>
      </c>
      <c r="AB140">
        <v>85.39</v>
      </c>
      <c r="AC140" t="s">
        <v>3034</v>
      </c>
      <c r="AE140" s="300">
        <f t="shared" si="11"/>
        <v>1153</v>
      </c>
    </row>
    <row r="141" spans="1:31" hidden="1" outlineLevel="1">
      <c r="A141" s="1228"/>
      <c r="B141" s="1245" t="s">
        <v>3162</v>
      </c>
      <c r="C141" s="1168"/>
      <c r="D141" s="1238">
        <v>278.54000000000002</v>
      </c>
      <c r="E141" s="1230" t="s">
        <v>3031</v>
      </c>
      <c r="F141" s="1170"/>
      <c r="G141" s="668">
        <f t="shared" si="9"/>
        <v>0</v>
      </c>
      <c r="H141" s="1221"/>
      <c r="I141" s="1161"/>
      <c r="J141" s="1221"/>
      <c r="K141" s="1160"/>
      <c r="L141" s="1221"/>
      <c r="M141" s="1161"/>
      <c r="N141" s="1221"/>
      <c r="O141" s="1161"/>
      <c r="P141" s="1221"/>
      <c r="Q141" s="1161"/>
      <c r="R141" s="1221"/>
      <c r="S141" s="1161"/>
      <c r="T141" s="1221"/>
      <c r="U141" s="1160"/>
      <c r="X141" t="s">
        <v>3162</v>
      </c>
      <c r="Y141" t="s">
        <v>3111</v>
      </c>
      <c r="Z141" s="297">
        <v>3008</v>
      </c>
      <c r="AA141" t="s">
        <v>3112</v>
      </c>
      <c r="AB141">
        <v>278.54000000000002</v>
      </c>
      <c r="AC141" t="s">
        <v>3034</v>
      </c>
      <c r="AE141" s="1248">
        <f t="shared" si="11"/>
        <v>3008</v>
      </c>
    </row>
    <row r="142" spans="1:31" collapsed="1">
      <c r="A142" s="1228"/>
      <c r="B142" s="1167" t="s">
        <v>3072</v>
      </c>
      <c r="C142" s="1168"/>
      <c r="D142" s="1238"/>
      <c r="E142" s="1230"/>
      <c r="F142" s="1170"/>
      <c r="G142" s="668">
        <f t="shared" si="9"/>
        <v>0</v>
      </c>
      <c r="H142" s="1221"/>
      <c r="I142" s="1161"/>
      <c r="J142" s="1221"/>
      <c r="K142" s="1160"/>
      <c r="L142" s="1221"/>
      <c r="M142" s="1161"/>
      <c r="N142" s="1221"/>
      <c r="O142" s="1161"/>
      <c r="P142" s="1221"/>
      <c r="Q142" s="1161"/>
      <c r="R142" s="1221"/>
      <c r="S142" s="1161"/>
      <c r="T142" s="1221"/>
      <c r="U142" s="1160"/>
      <c r="AE142" s="300">
        <f>SUM(AE40:AE141)</f>
        <v>13886</v>
      </c>
    </row>
    <row r="143" spans="1:31">
      <c r="A143" s="1228"/>
      <c r="B143" s="1245" t="s">
        <v>3163</v>
      </c>
      <c r="C143" s="1168"/>
      <c r="D143" s="1238"/>
      <c r="E143" s="1230"/>
      <c r="F143" s="1170"/>
      <c r="G143" s="668">
        <f t="shared" si="9"/>
        <v>0</v>
      </c>
      <c r="H143" s="1221"/>
      <c r="I143" s="1161"/>
      <c r="J143" s="1221"/>
      <c r="K143" s="1160"/>
      <c r="L143" s="1221"/>
      <c r="M143" s="1161"/>
      <c r="N143" s="1221"/>
      <c r="O143" s="1161"/>
      <c r="P143" s="1221"/>
      <c r="Q143" s="1161"/>
      <c r="R143" s="1221"/>
      <c r="S143" s="1161"/>
      <c r="T143" s="1221"/>
      <c r="U143" s="1160"/>
    </row>
    <row r="144" spans="1:31">
      <c r="A144" s="1228">
        <v>1.1200000000000001</v>
      </c>
      <c r="B144" s="1249" t="s">
        <v>3164</v>
      </c>
      <c r="C144" s="1168"/>
      <c r="D144" s="1238">
        <f>508*1.07/27</f>
        <v>20.131851851851852</v>
      </c>
      <c r="E144" s="1230" t="s">
        <v>3031</v>
      </c>
      <c r="F144" s="1170">
        <f>$F$53</f>
        <v>1600</v>
      </c>
      <c r="G144" s="668">
        <f t="shared" si="9"/>
        <v>32211</v>
      </c>
      <c r="H144" s="1221" t="s">
        <v>2931</v>
      </c>
      <c r="I144" s="1161"/>
      <c r="J144" s="1221"/>
      <c r="K144" s="1243">
        <f>$G144</f>
        <v>32211</v>
      </c>
      <c r="L144" s="1221"/>
      <c r="M144" s="1243">
        <f>$G144</f>
        <v>32211</v>
      </c>
      <c r="N144" s="1221"/>
      <c r="O144" s="1243">
        <f>$G144</f>
        <v>32211</v>
      </c>
      <c r="P144" s="1221" t="s">
        <v>2931</v>
      </c>
      <c r="Q144" s="1161"/>
      <c r="R144" s="1221" t="s">
        <v>2931</v>
      </c>
      <c r="S144" s="1161"/>
      <c r="T144" s="1221" t="s">
        <v>2931</v>
      </c>
      <c r="U144" s="1160"/>
    </row>
    <row r="145" spans="1:31">
      <c r="A145" s="1228"/>
      <c r="B145" s="1244"/>
      <c r="C145" s="1168"/>
      <c r="D145" s="1238"/>
      <c r="E145" s="1230"/>
      <c r="F145" s="1170"/>
      <c r="G145" s="668">
        <f t="shared" si="9"/>
        <v>0</v>
      </c>
      <c r="H145" s="1221"/>
      <c r="I145" s="1161"/>
      <c r="J145" s="1221"/>
      <c r="K145" s="1160"/>
      <c r="L145" s="1221"/>
      <c r="M145" s="1161"/>
      <c r="N145" s="1221"/>
      <c r="O145" s="1161"/>
      <c r="P145" s="1221"/>
      <c r="Q145" s="1161"/>
      <c r="R145" s="1221"/>
      <c r="S145" s="1161"/>
      <c r="T145" s="1221"/>
      <c r="U145" s="1160"/>
      <c r="Z145" s="297"/>
    </row>
    <row r="146" spans="1:31">
      <c r="A146" s="1228"/>
      <c r="B146" s="1250" t="s">
        <v>3165</v>
      </c>
      <c r="C146" s="1168"/>
      <c r="D146" s="1238"/>
      <c r="E146" s="1230"/>
      <c r="F146" s="1170"/>
      <c r="G146" s="668">
        <f t="shared" si="9"/>
        <v>0</v>
      </c>
      <c r="H146" s="1221"/>
      <c r="I146" s="1161"/>
      <c r="J146" s="1221"/>
      <c r="K146" s="1160"/>
      <c r="L146" s="1221"/>
      <c r="M146" s="1161"/>
      <c r="N146" s="1221"/>
      <c r="O146" s="1161"/>
      <c r="P146" s="1221"/>
      <c r="Q146" s="1161"/>
      <c r="R146" s="1221"/>
      <c r="S146" s="1161"/>
      <c r="T146" s="1221"/>
      <c r="U146" s="1160"/>
      <c r="Z146" s="297"/>
    </row>
    <row r="147" spans="1:31">
      <c r="A147" s="1228"/>
      <c r="B147" s="1167" t="s">
        <v>3166</v>
      </c>
      <c r="C147" s="1168"/>
      <c r="D147" s="1238">
        <v>34.36</v>
      </c>
      <c r="E147" s="1230" t="s">
        <v>3031</v>
      </c>
      <c r="F147" s="1170">
        <v>2000</v>
      </c>
      <c r="G147" s="668">
        <f t="shared" si="9"/>
        <v>68720</v>
      </c>
      <c r="H147" s="1221" t="s">
        <v>2931</v>
      </c>
      <c r="I147" s="1161"/>
      <c r="J147" s="1221"/>
      <c r="K147" s="1160"/>
      <c r="L147" s="1221" t="s">
        <v>2931</v>
      </c>
      <c r="M147" s="1161"/>
      <c r="N147" s="1221" t="s">
        <v>2931</v>
      </c>
      <c r="O147" s="1161"/>
      <c r="P147" s="1221" t="s">
        <v>2931</v>
      </c>
      <c r="Q147" s="1161"/>
      <c r="R147" s="1221" t="s">
        <v>2931</v>
      </c>
      <c r="S147" s="1161"/>
      <c r="T147" s="1221" t="s">
        <v>2931</v>
      </c>
      <c r="U147" s="1160"/>
      <c r="X147" t="s">
        <v>3166</v>
      </c>
      <c r="Y147" t="s">
        <v>3111</v>
      </c>
      <c r="Z147">
        <v>795</v>
      </c>
      <c r="AA147" t="s">
        <v>3112</v>
      </c>
      <c r="AB147">
        <v>34.36</v>
      </c>
      <c r="AC147" t="s">
        <v>3034</v>
      </c>
      <c r="AE147" s="300" t="s">
        <v>2795</v>
      </c>
    </row>
    <row r="148" spans="1:31">
      <c r="A148" s="1228"/>
      <c r="B148" s="1167" t="s">
        <v>3167</v>
      </c>
      <c r="C148" s="1168"/>
      <c r="D148" s="1238">
        <v>3.79</v>
      </c>
      <c r="E148" s="1230" t="s">
        <v>3031</v>
      </c>
      <c r="F148" s="1170">
        <v>2000</v>
      </c>
      <c r="G148" s="668">
        <f t="shared" si="9"/>
        <v>7580</v>
      </c>
      <c r="H148" s="1221" t="s">
        <v>2931</v>
      </c>
      <c r="I148" s="1161"/>
      <c r="J148" s="1221"/>
      <c r="K148" s="1160"/>
      <c r="L148" s="1221" t="s">
        <v>2931</v>
      </c>
      <c r="M148" s="1161"/>
      <c r="N148" s="1221" t="s">
        <v>2931</v>
      </c>
      <c r="O148" s="1161"/>
      <c r="P148" s="1221" t="s">
        <v>2931</v>
      </c>
      <c r="Q148" s="1161"/>
      <c r="R148" s="1221" t="s">
        <v>2931</v>
      </c>
      <c r="S148" s="1161"/>
      <c r="T148" s="1221" t="s">
        <v>2931</v>
      </c>
      <c r="U148" s="1160"/>
      <c r="X148" t="s">
        <v>3167</v>
      </c>
      <c r="Y148" t="s">
        <v>3111</v>
      </c>
      <c r="Z148">
        <v>77</v>
      </c>
      <c r="AA148" t="s">
        <v>3112</v>
      </c>
      <c r="AB148">
        <v>3.79</v>
      </c>
      <c r="AC148" t="s">
        <v>3034</v>
      </c>
      <c r="AE148" s="300" t="s">
        <v>2795</v>
      </c>
    </row>
    <row r="149" spans="1:31">
      <c r="A149" s="1228"/>
      <c r="B149" s="1167" t="s">
        <v>3168</v>
      </c>
      <c r="C149" s="1168"/>
      <c r="D149" s="1238">
        <v>85.6</v>
      </c>
      <c r="E149" s="1230" t="s">
        <v>3031</v>
      </c>
      <c r="F149" s="1170">
        <v>2200</v>
      </c>
      <c r="G149" s="668">
        <f t="shared" si="9"/>
        <v>188320</v>
      </c>
      <c r="H149" s="1221" t="s">
        <v>2931</v>
      </c>
      <c r="I149" s="1161"/>
      <c r="J149" s="1221"/>
      <c r="K149" s="1160"/>
      <c r="L149" s="1221" t="s">
        <v>2931</v>
      </c>
      <c r="M149" s="1161"/>
      <c r="N149" s="1221" t="s">
        <v>2931</v>
      </c>
      <c r="O149" s="1161"/>
      <c r="P149" s="1221" t="s">
        <v>2931</v>
      </c>
      <c r="Q149" s="1161"/>
      <c r="R149" s="1221" t="s">
        <v>2931</v>
      </c>
      <c r="S149" s="1161"/>
      <c r="T149" s="1221" t="s">
        <v>2931</v>
      </c>
      <c r="U149" s="1160"/>
      <c r="X149" t="s">
        <v>3168</v>
      </c>
      <c r="Y149" t="s">
        <v>3111</v>
      </c>
      <c r="Z149" s="297">
        <v>1387</v>
      </c>
      <c r="AA149" t="s">
        <v>3112</v>
      </c>
      <c r="AB149">
        <v>85.6</v>
      </c>
      <c r="AC149" t="s">
        <v>3034</v>
      </c>
      <c r="AE149" s="300" t="s">
        <v>2795</v>
      </c>
    </row>
    <row r="150" spans="1:31">
      <c r="A150" s="1228"/>
      <c r="B150" s="1167" t="s">
        <v>3169</v>
      </c>
      <c r="C150" s="1168"/>
      <c r="D150" s="1238">
        <v>4.4400000000000004</v>
      </c>
      <c r="E150" s="1230" t="s">
        <v>3031</v>
      </c>
      <c r="F150" s="1170">
        <v>2500</v>
      </c>
      <c r="G150" s="668">
        <f t="shared" ref="G150:G181" si="12">ROUND(D150*F150,0)</f>
        <v>11100</v>
      </c>
      <c r="H150" s="1221" t="s">
        <v>2931</v>
      </c>
      <c r="I150" s="1161"/>
      <c r="J150" s="1221"/>
      <c r="K150" s="1160"/>
      <c r="L150" s="1221" t="s">
        <v>2931</v>
      </c>
      <c r="M150" s="1161"/>
      <c r="N150" s="1221" t="s">
        <v>2931</v>
      </c>
      <c r="O150" s="1161"/>
      <c r="P150" s="1221" t="s">
        <v>2931</v>
      </c>
      <c r="Q150" s="1161"/>
      <c r="R150" s="1221" t="s">
        <v>2931</v>
      </c>
      <c r="S150" s="1161"/>
      <c r="T150" s="1221" t="s">
        <v>2931</v>
      </c>
      <c r="U150" s="1160"/>
      <c r="X150" t="s">
        <v>3169</v>
      </c>
      <c r="Y150" t="s">
        <v>3087</v>
      </c>
      <c r="Z150">
        <v>3</v>
      </c>
      <c r="AA150" t="s">
        <v>3041</v>
      </c>
      <c r="AB150">
        <v>4.4400000000000004</v>
      </c>
      <c r="AC150" t="s">
        <v>3034</v>
      </c>
      <c r="AE150" s="300" t="s">
        <v>2795</v>
      </c>
    </row>
    <row r="151" spans="1:31">
      <c r="A151" s="1228"/>
      <c r="B151" s="1167" t="s">
        <v>3170</v>
      </c>
      <c r="C151" s="1168"/>
      <c r="D151" s="1238">
        <v>36.659999999999997</v>
      </c>
      <c r="E151" s="1230" t="s">
        <v>3031</v>
      </c>
      <c r="F151" s="1170">
        <v>1800</v>
      </c>
      <c r="G151" s="668">
        <f t="shared" si="12"/>
        <v>65988</v>
      </c>
      <c r="H151" s="1221" t="s">
        <v>2931</v>
      </c>
      <c r="I151" s="1161"/>
      <c r="J151" s="1221"/>
      <c r="K151" s="1160"/>
      <c r="L151" s="1221" t="s">
        <v>2931</v>
      </c>
      <c r="M151" s="1161"/>
      <c r="N151" s="1221" t="s">
        <v>2931</v>
      </c>
      <c r="O151" s="1161"/>
      <c r="P151" s="1221" t="s">
        <v>2931</v>
      </c>
      <c r="Q151" s="1161"/>
      <c r="R151" s="1221" t="s">
        <v>2931</v>
      </c>
      <c r="S151" s="1161"/>
      <c r="T151" s="1221" t="s">
        <v>2931</v>
      </c>
      <c r="U151" s="1160"/>
      <c r="X151" t="s">
        <v>3171</v>
      </c>
      <c r="Y151" t="s">
        <v>3111</v>
      </c>
      <c r="Z151" s="297">
        <v>1485</v>
      </c>
      <c r="AA151" t="s">
        <v>3112</v>
      </c>
      <c r="AB151">
        <v>36.659999999999997</v>
      </c>
      <c r="AC151" t="s">
        <v>3034</v>
      </c>
      <c r="AE151" s="300" t="s">
        <v>2795</v>
      </c>
    </row>
    <row r="152" spans="1:31">
      <c r="A152" s="1228"/>
      <c r="B152" s="1167" t="s">
        <v>3172</v>
      </c>
      <c r="C152" s="1168"/>
      <c r="D152" s="1238">
        <v>16.2</v>
      </c>
      <c r="E152" s="1230" t="s">
        <v>3031</v>
      </c>
      <c r="F152" s="1170">
        <v>1800</v>
      </c>
      <c r="G152" s="668">
        <f t="shared" si="12"/>
        <v>29160</v>
      </c>
      <c r="H152" s="1221" t="s">
        <v>2931</v>
      </c>
      <c r="I152" s="1161"/>
      <c r="J152" s="1221"/>
      <c r="K152" s="1160"/>
      <c r="L152" s="1221" t="s">
        <v>2931</v>
      </c>
      <c r="M152" s="1161"/>
      <c r="N152" s="1221" t="s">
        <v>2931</v>
      </c>
      <c r="O152" s="1161"/>
      <c r="P152" s="1221" t="s">
        <v>2931</v>
      </c>
      <c r="Q152" s="1161"/>
      <c r="R152" s="1221" t="s">
        <v>2931</v>
      </c>
      <c r="S152" s="1161"/>
      <c r="T152" s="1221" t="s">
        <v>2931</v>
      </c>
      <c r="U152" s="1160"/>
      <c r="X152" t="s">
        <v>3173</v>
      </c>
      <c r="Y152" t="s">
        <v>3111</v>
      </c>
      <c r="Z152">
        <v>656</v>
      </c>
      <c r="AA152" t="s">
        <v>3112</v>
      </c>
      <c r="AB152">
        <v>16.2</v>
      </c>
      <c r="AC152" t="s">
        <v>3034</v>
      </c>
      <c r="AE152" s="300" t="s">
        <v>2795</v>
      </c>
    </row>
    <row r="153" spans="1:31">
      <c r="A153" s="1228"/>
      <c r="B153" s="1167"/>
      <c r="C153" s="1168"/>
      <c r="D153" s="1238"/>
      <c r="E153" s="1230"/>
      <c r="F153" s="1170"/>
      <c r="G153" s="668">
        <f t="shared" si="12"/>
        <v>0</v>
      </c>
      <c r="H153" s="1221"/>
      <c r="I153" s="1161"/>
      <c r="J153" s="1221"/>
      <c r="K153" s="1160"/>
      <c r="L153" s="1221"/>
      <c r="M153" s="1161"/>
      <c r="N153" s="1221"/>
      <c r="O153" s="1161"/>
      <c r="P153" s="1221"/>
      <c r="Q153" s="1161"/>
      <c r="R153" s="1221"/>
      <c r="S153" s="1161"/>
      <c r="T153" s="1221"/>
      <c r="U153" s="1160"/>
      <c r="Z153" s="297"/>
    </row>
    <row r="154" spans="1:31">
      <c r="A154" s="1228"/>
      <c r="B154" s="1250" t="s">
        <v>3165</v>
      </c>
      <c r="C154" s="1168"/>
      <c r="D154" s="1238"/>
      <c r="E154" s="1165"/>
      <c r="F154" s="1170"/>
      <c r="G154" s="668">
        <f t="shared" si="12"/>
        <v>0</v>
      </c>
      <c r="H154" s="1221"/>
      <c r="I154" s="1161"/>
      <c r="J154" s="1221"/>
      <c r="K154" s="1160"/>
      <c r="L154" s="1221"/>
      <c r="M154" s="1161"/>
      <c r="N154" s="1221"/>
      <c r="O154" s="1161"/>
      <c r="P154" s="1221"/>
      <c r="Q154" s="1161"/>
      <c r="R154" s="1221"/>
      <c r="S154" s="1161"/>
      <c r="T154" s="1221"/>
      <c r="U154" s="1160"/>
    </row>
    <row r="155" spans="1:31">
      <c r="A155" s="1228"/>
      <c r="B155" s="1167" t="s">
        <v>3174</v>
      </c>
      <c r="C155" s="1168"/>
      <c r="D155" s="1238">
        <v>49302</v>
      </c>
      <c r="E155" s="1230" t="s">
        <v>2845</v>
      </c>
      <c r="F155" s="1170">
        <v>8</v>
      </c>
      <c r="G155" s="668">
        <f t="shared" si="12"/>
        <v>394416</v>
      </c>
      <c r="H155" s="1221" t="s">
        <v>2931</v>
      </c>
      <c r="I155" s="1161"/>
      <c r="J155" s="1221"/>
      <c r="K155" s="1160"/>
      <c r="L155" s="1221" t="s">
        <v>2931</v>
      </c>
      <c r="M155" s="1161"/>
      <c r="N155" s="1221" t="s">
        <v>2931</v>
      </c>
      <c r="O155" s="1161"/>
      <c r="P155" s="1221" t="s">
        <v>2931</v>
      </c>
      <c r="Q155" s="1161"/>
      <c r="R155" s="1221" t="s">
        <v>2931</v>
      </c>
      <c r="S155" s="1161"/>
      <c r="T155" s="1221" t="s">
        <v>2931</v>
      </c>
      <c r="U155" s="1160"/>
      <c r="X155" t="s">
        <v>3175</v>
      </c>
      <c r="Y155" t="s">
        <v>3111</v>
      </c>
      <c r="Z155">
        <v>2</v>
      </c>
      <c r="AA155" t="s">
        <v>3112</v>
      </c>
      <c r="AB155">
        <v>0.04</v>
      </c>
      <c r="AC155" t="s">
        <v>3034</v>
      </c>
      <c r="AE155" s="300" t="s">
        <v>2795</v>
      </c>
    </row>
    <row r="156" spans="1:31">
      <c r="A156" s="1228"/>
      <c r="B156" s="1167" t="s">
        <v>3176</v>
      </c>
      <c r="C156" s="1168"/>
      <c r="D156" s="1238">
        <v>27917</v>
      </c>
      <c r="E156" s="1230" t="s">
        <v>2845</v>
      </c>
      <c r="F156" s="1170">
        <v>10</v>
      </c>
      <c r="G156" s="668">
        <f t="shared" si="12"/>
        <v>279170</v>
      </c>
      <c r="H156" s="1221" t="s">
        <v>2931</v>
      </c>
      <c r="I156" s="1161"/>
      <c r="J156" s="1221"/>
      <c r="K156" s="1160"/>
      <c r="L156" s="1221" t="s">
        <v>2931</v>
      </c>
      <c r="M156" s="1161"/>
      <c r="N156" s="1221" t="s">
        <v>2931</v>
      </c>
      <c r="O156" s="1161"/>
      <c r="P156" s="1221" t="s">
        <v>2931</v>
      </c>
      <c r="Q156" s="1161"/>
      <c r="R156" s="1221" t="s">
        <v>2931</v>
      </c>
      <c r="S156" s="1161"/>
      <c r="T156" s="1221" t="s">
        <v>2931</v>
      </c>
      <c r="U156" s="1160"/>
      <c r="X156" t="s">
        <v>3176</v>
      </c>
      <c r="Y156" t="s">
        <v>3111</v>
      </c>
      <c r="Z156" s="297">
        <v>26281</v>
      </c>
      <c r="AA156" t="s">
        <v>3112</v>
      </c>
      <c r="AB156">
        <v>324.45999999999998</v>
      </c>
      <c r="AC156" t="s">
        <v>3034</v>
      </c>
      <c r="AE156" s="300" t="s">
        <v>2795</v>
      </c>
    </row>
    <row r="157" spans="1:31">
      <c r="A157" s="1228"/>
      <c r="B157" s="1167" t="s">
        <v>3177</v>
      </c>
      <c r="C157" s="1168"/>
      <c r="D157" s="1238">
        <v>15695</v>
      </c>
      <c r="E157" s="1230" t="s">
        <v>2845</v>
      </c>
      <c r="F157" s="1170">
        <v>12</v>
      </c>
      <c r="G157" s="668">
        <f t="shared" si="12"/>
        <v>188340</v>
      </c>
      <c r="H157" s="1221" t="s">
        <v>2931</v>
      </c>
      <c r="I157" s="1161"/>
      <c r="J157" s="1221"/>
      <c r="K157" s="1160"/>
      <c r="L157" s="1221" t="s">
        <v>2931</v>
      </c>
      <c r="M157" s="1161"/>
      <c r="N157" s="1221" t="s">
        <v>2931</v>
      </c>
      <c r="O157" s="1161"/>
      <c r="P157" s="1221" t="s">
        <v>2931</v>
      </c>
      <c r="Q157" s="1161"/>
      <c r="R157" s="1221" t="s">
        <v>2931</v>
      </c>
      <c r="S157" s="1161"/>
      <c r="T157" s="1221" t="s">
        <v>2931</v>
      </c>
      <c r="U157" s="1160"/>
      <c r="X157" t="s">
        <v>3177</v>
      </c>
      <c r="Y157" t="s">
        <v>3111</v>
      </c>
      <c r="Z157" s="297">
        <v>15695</v>
      </c>
      <c r="AA157" t="s">
        <v>3112</v>
      </c>
      <c r="AB157">
        <v>242.2</v>
      </c>
      <c r="AC157" t="s">
        <v>3034</v>
      </c>
      <c r="AE157" s="300" t="s">
        <v>2795</v>
      </c>
    </row>
    <row r="158" spans="1:31">
      <c r="A158" s="1228"/>
      <c r="B158" s="1250"/>
      <c r="C158" s="1168"/>
      <c r="D158" s="1238"/>
      <c r="E158" s="1165"/>
      <c r="F158" s="1170"/>
      <c r="G158" s="668">
        <f t="shared" si="12"/>
        <v>0</v>
      </c>
      <c r="H158" s="1221"/>
      <c r="I158" s="1161"/>
      <c r="J158" s="1221"/>
      <c r="K158" s="1160"/>
      <c r="L158" s="1221"/>
      <c r="M158" s="1161"/>
      <c r="N158" s="1221"/>
      <c r="O158" s="1161"/>
      <c r="P158" s="1221"/>
      <c r="Q158" s="1161"/>
      <c r="R158" s="1221"/>
      <c r="S158" s="1161"/>
      <c r="T158" s="1221"/>
      <c r="U158" s="1160"/>
    </row>
    <row r="159" spans="1:31">
      <c r="A159" s="1228"/>
      <c r="B159" s="1250" t="s">
        <v>3178</v>
      </c>
      <c r="C159" s="1168"/>
      <c r="D159" s="1238"/>
      <c r="E159" s="1165"/>
      <c r="F159" s="1170"/>
      <c r="G159" s="668">
        <f t="shared" si="12"/>
        <v>0</v>
      </c>
      <c r="H159" s="1221" t="s">
        <v>2931</v>
      </c>
      <c r="I159" s="1161"/>
      <c r="J159" s="1221" t="s">
        <v>2931</v>
      </c>
      <c r="K159" s="1160"/>
      <c r="L159" s="1221"/>
      <c r="M159" s="1161"/>
      <c r="N159" s="1221" t="s">
        <v>2931</v>
      </c>
      <c r="O159" s="1161"/>
      <c r="P159" s="1221" t="s">
        <v>2931</v>
      </c>
      <c r="Q159" s="1161"/>
      <c r="R159" s="1221" t="s">
        <v>2931</v>
      </c>
      <c r="S159" s="1161"/>
      <c r="T159" s="1221" t="s">
        <v>2931</v>
      </c>
      <c r="U159" s="1160"/>
    </row>
    <row r="160" spans="1:31">
      <c r="A160" s="1228"/>
      <c r="B160" s="1167" t="s">
        <v>3179</v>
      </c>
      <c r="C160" s="1168"/>
      <c r="D160" s="1238">
        <v>10.039999999999999</v>
      </c>
      <c r="E160" s="1165" t="s">
        <v>3031</v>
      </c>
      <c r="F160" s="1170">
        <v>1500</v>
      </c>
      <c r="G160" s="668">
        <f t="shared" si="12"/>
        <v>15060</v>
      </c>
      <c r="H160" s="1221"/>
      <c r="I160" s="1161"/>
      <c r="J160" s="1221"/>
      <c r="K160" s="1160"/>
      <c r="L160" s="1221"/>
      <c r="M160" s="1251"/>
      <c r="N160" s="1221"/>
      <c r="O160" s="1161"/>
      <c r="P160" s="1221"/>
      <c r="Q160" s="1161"/>
      <c r="R160" s="1221"/>
      <c r="S160" s="1161"/>
      <c r="T160" s="1221"/>
      <c r="U160" s="1160"/>
      <c r="X160" t="s">
        <v>3179</v>
      </c>
      <c r="Y160" t="s">
        <v>3180</v>
      </c>
      <c r="Z160">
        <v>40</v>
      </c>
      <c r="AA160" t="s">
        <v>48</v>
      </c>
      <c r="AB160">
        <v>10.039999999999999</v>
      </c>
      <c r="AC160" t="s">
        <v>3034</v>
      </c>
      <c r="AD160" s="300">
        <v>0</v>
      </c>
      <c r="AE160" s="300" t="s">
        <v>2795</v>
      </c>
    </row>
    <row r="161" spans="1:32">
      <c r="A161" s="1228"/>
      <c r="B161" s="1167" t="s">
        <v>3181</v>
      </c>
      <c r="C161" s="1168"/>
      <c r="D161" s="1238">
        <v>5.0199999999999996</v>
      </c>
      <c r="E161" s="1165" t="s">
        <v>3031</v>
      </c>
      <c r="F161" s="1170">
        <v>1500</v>
      </c>
      <c r="G161" s="668">
        <f t="shared" si="12"/>
        <v>7530</v>
      </c>
      <c r="H161" s="1221"/>
      <c r="I161" s="1161"/>
      <c r="J161" s="1221"/>
      <c r="K161" s="1160"/>
      <c r="L161" s="1221"/>
      <c r="M161" s="1251"/>
      <c r="N161" s="1221"/>
      <c r="O161" s="1161"/>
      <c r="P161" s="1221"/>
      <c r="Q161" s="1161"/>
      <c r="R161" s="1221"/>
      <c r="S161" s="1161"/>
      <c r="T161" s="1221"/>
      <c r="U161" s="1160"/>
      <c r="X161" t="s">
        <v>3181</v>
      </c>
      <c r="Y161" t="s">
        <v>3180</v>
      </c>
      <c r="Z161">
        <v>20</v>
      </c>
      <c r="AA161" t="s">
        <v>48</v>
      </c>
      <c r="AB161">
        <v>5.0199999999999996</v>
      </c>
      <c r="AC161" t="s">
        <v>3034</v>
      </c>
      <c r="AD161" s="300">
        <v>0</v>
      </c>
      <c r="AE161" s="300" t="s">
        <v>2795</v>
      </c>
    </row>
    <row r="162" spans="1:32">
      <c r="A162" s="1228"/>
      <c r="B162" s="1167" t="s">
        <v>3182</v>
      </c>
      <c r="C162" s="1168"/>
      <c r="D162" s="1238">
        <v>3.23</v>
      </c>
      <c r="E162" s="1165" t="s">
        <v>3031</v>
      </c>
      <c r="F162" s="1170">
        <v>1500</v>
      </c>
      <c r="G162" s="668">
        <f t="shared" si="12"/>
        <v>4845</v>
      </c>
      <c r="H162" s="1221"/>
      <c r="I162" s="1161"/>
      <c r="J162" s="1221"/>
      <c r="K162" s="1160"/>
      <c r="L162" s="1221"/>
      <c r="M162" s="1251"/>
      <c r="N162" s="1221"/>
      <c r="O162" s="1161"/>
      <c r="P162" s="1221"/>
      <c r="Q162" s="1161"/>
      <c r="R162" s="1221"/>
      <c r="S162" s="1161"/>
      <c r="T162" s="1221"/>
      <c r="U162" s="1160"/>
      <c r="X162" t="s">
        <v>3182</v>
      </c>
      <c r="Y162" t="s">
        <v>3180</v>
      </c>
      <c r="Z162">
        <v>13</v>
      </c>
      <c r="AA162" t="s">
        <v>48</v>
      </c>
      <c r="AB162">
        <v>3.23</v>
      </c>
      <c r="AC162" t="s">
        <v>3034</v>
      </c>
      <c r="AD162" s="300">
        <v>0</v>
      </c>
      <c r="AE162" s="300" t="s">
        <v>2795</v>
      </c>
    </row>
    <row r="163" spans="1:32">
      <c r="A163" s="1228"/>
      <c r="B163" s="1167" t="s">
        <v>3183</v>
      </c>
      <c r="C163" s="1168"/>
      <c r="D163" s="1238">
        <v>4.5599999999999996</v>
      </c>
      <c r="E163" s="1165" t="s">
        <v>3031</v>
      </c>
      <c r="F163" s="1170">
        <v>1500</v>
      </c>
      <c r="G163" s="668">
        <f t="shared" si="12"/>
        <v>6840</v>
      </c>
      <c r="H163" s="1221"/>
      <c r="I163" s="1161"/>
      <c r="J163" s="1221"/>
      <c r="K163" s="1160"/>
      <c r="L163" s="1221"/>
      <c r="M163" s="1251"/>
      <c r="N163" s="1221"/>
      <c r="O163" s="1161"/>
      <c r="P163" s="1221"/>
      <c r="Q163" s="1161"/>
      <c r="R163" s="1221"/>
      <c r="S163" s="1161"/>
      <c r="T163" s="1221"/>
      <c r="U163" s="1160"/>
      <c r="X163" t="s">
        <v>3183</v>
      </c>
      <c r="Y163" t="s">
        <v>3180</v>
      </c>
      <c r="Z163">
        <v>18</v>
      </c>
      <c r="AA163" t="s">
        <v>48</v>
      </c>
      <c r="AB163">
        <v>4.5599999999999996</v>
      </c>
      <c r="AC163" t="s">
        <v>3034</v>
      </c>
      <c r="AD163" s="300">
        <v>0</v>
      </c>
      <c r="AE163" s="300" t="s">
        <v>2795</v>
      </c>
    </row>
    <row r="164" spans="1:32">
      <c r="A164" s="1228"/>
      <c r="B164" s="1167" t="s">
        <v>3184</v>
      </c>
      <c r="C164" s="1168"/>
      <c r="D164" s="1238">
        <v>223.33</v>
      </c>
      <c r="E164" s="1165" t="s">
        <v>2845</v>
      </c>
      <c r="F164" s="1170">
        <v>35</v>
      </c>
      <c r="G164" s="668">
        <f t="shared" si="12"/>
        <v>7817</v>
      </c>
      <c r="H164" s="1221"/>
      <c r="I164" s="1161"/>
      <c r="J164" s="1221"/>
      <c r="K164" s="1160"/>
      <c r="L164" s="1221"/>
      <c r="M164" s="1251"/>
      <c r="N164" s="1221"/>
      <c r="O164" s="1161"/>
      <c r="P164" s="1221"/>
      <c r="Q164" s="1161"/>
      <c r="R164" s="1221"/>
      <c r="S164" s="1161"/>
      <c r="T164" s="1221"/>
      <c r="U164" s="1160"/>
      <c r="X164" t="s">
        <v>3184</v>
      </c>
      <c r="Y164" t="s">
        <v>3185</v>
      </c>
      <c r="Z164">
        <v>56</v>
      </c>
      <c r="AA164" t="s">
        <v>48</v>
      </c>
      <c r="AB164">
        <v>223.33</v>
      </c>
      <c r="AC164" t="s">
        <v>3112</v>
      </c>
      <c r="AD164" s="300">
        <v>0</v>
      </c>
      <c r="AE164" s="300" t="s">
        <v>2795</v>
      </c>
    </row>
    <row r="165" spans="1:32">
      <c r="A165" s="1228"/>
      <c r="B165" s="1167" t="s">
        <v>3186</v>
      </c>
      <c r="C165" s="1168"/>
      <c r="D165" s="1238">
        <v>223.33</v>
      </c>
      <c r="E165" s="1165" t="s">
        <v>2845</v>
      </c>
      <c r="F165" s="1170">
        <v>35</v>
      </c>
      <c r="G165" s="668">
        <f t="shared" si="12"/>
        <v>7817</v>
      </c>
      <c r="H165" s="1221"/>
      <c r="I165" s="1161"/>
      <c r="J165" s="1221"/>
      <c r="K165" s="1160"/>
      <c r="L165" s="1221"/>
      <c r="M165" s="1251"/>
      <c r="N165" s="1221"/>
      <c r="O165" s="1161"/>
      <c r="P165" s="1221"/>
      <c r="Q165" s="1161"/>
      <c r="R165" s="1221"/>
      <c r="S165" s="1161"/>
      <c r="T165" s="1221"/>
      <c r="U165" s="1160"/>
      <c r="X165" t="s">
        <v>3186</v>
      </c>
      <c r="Y165" t="s">
        <v>3185</v>
      </c>
      <c r="Z165">
        <v>56</v>
      </c>
      <c r="AA165" t="s">
        <v>48</v>
      </c>
      <c r="AB165">
        <v>223.33</v>
      </c>
      <c r="AC165" t="s">
        <v>3112</v>
      </c>
      <c r="AD165" s="300">
        <v>0</v>
      </c>
      <c r="AE165" s="300" t="s">
        <v>2795</v>
      </c>
    </row>
    <row r="166" spans="1:32">
      <c r="A166" s="1228"/>
      <c r="B166" s="1167" t="s">
        <v>3187</v>
      </c>
      <c r="C166" s="1168"/>
      <c r="D166" s="1238">
        <v>122.67</v>
      </c>
      <c r="E166" s="1165" t="s">
        <v>2845</v>
      </c>
      <c r="F166" s="1170">
        <v>35</v>
      </c>
      <c r="G166" s="668">
        <f t="shared" si="12"/>
        <v>4293</v>
      </c>
      <c r="H166" s="1221"/>
      <c r="I166" s="1161"/>
      <c r="J166" s="1221"/>
      <c r="K166" s="1160"/>
      <c r="L166" s="1221"/>
      <c r="M166" s="1251"/>
      <c r="N166" s="1221"/>
      <c r="O166" s="1161"/>
      <c r="P166" s="1221"/>
      <c r="Q166" s="1161"/>
      <c r="R166" s="1221"/>
      <c r="S166" s="1161"/>
      <c r="T166" s="1221"/>
      <c r="U166" s="1160"/>
      <c r="X166" t="s">
        <v>3187</v>
      </c>
      <c r="Y166" t="s">
        <v>3185</v>
      </c>
      <c r="Z166">
        <v>31</v>
      </c>
      <c r="AA166" t="s">
        <v>48</v>
      </c>
      <c r="AB166">
        <v>122.67</v>
      </c>
      <c r="AC166" t="s">
        <v>3112</v>
      </c>
      <c r="AD166" s="300">
        <v>0</v>
      </c>
      <c r="AE166" s="300" t="s">
        <v>2795</v>
      </c>
    </row>
    <row r="167" spans="1:32">
      <c r="A167" s="1228"/>
      <c r="B167" s="1167" t="s">
        <v>3188</v>
      </c>
      <c r="C167" s="1168"/>
      <c r="D167" s="1238">
        <v>216.67</v>
      </c>
      <c r="E167" s="1165" t="s">
        <v>2845</v>
      </c>
      <c r="F167" s="1170">
        <v>35</v>
      </c>
      <c r="G167" s="668">
        <f t="shared" si="12"/>
        <v>7583</v>
      </c>
      <c r="H167" s="1221"/>
      <c r="I167" s="1161"/>
      <c r="J167" s="1221"/>
      <c r="K167" s="1160"/>
      <c r="L167" s="1221"/>
      <c r="M167" s="1251"/>
      <c r="N167" s="1221"/>
      <c r="O167" s="1161"/>
      <c r="P167" s="1221"/>
      <c r="Q167" s="1161"/>
      <c r="R167" s="1221"/>
      <c r="S167" s="1161"/>
      <c r="T167" s="1221"/>
      <c r="U167" s="1160"/>
      <c r="X167" t="s">
        <v>3188</v>
      </c>
      <c r="Y167" t="s">
        <v>3185</v>
      </c>
      <c r="Z167">
        <v>54</v>
      </c>
      <c r="AA167" t="s">
        <v>48</v>
      </c>
      <c r="AB167">
        <v>216.67</v>
      </c>
      <c r="AC167" t="s">
        <v>3112</v>
      </c>
      <c r="AD167" s="300">
        <v>0</v>
      </c>
      <c r="AE167" s="300" t="s">
        <v>2795</v>
      </c>
    </row>
    <row r="168" spans="1:32">
      <c r="A168" s="1228"/>
      <c r="B168" s="1250"/>
      <c r="C168" s="1168"/>
      <c r="D168" s="1238"/>
      <c r="E168" s="1165"/>
      <c r="F168" s="1170"/>
      <c r="G168" s="668">
        <f t="shared" si="12"/>
        <v>0</v>
      </c>
      <c r="H168" s="1221"/>
      <c r="I168" s="1161"/>
      <c r="J168" s="1221"/>
      <c r="K168" s="1160"/>
      <c r="L168" s="1221"/>
      <c r="M168" s="1251"/>
      <c r="N168" s="1221"/>
      <c r="O168" s="1161"/>
      <c r="P168" s="1221"/>
      <c r="Q168" s="1161"/>
      <c r="R168" s="1221"/>
      <c r="S168" s="1161"/>
      <c r="T168" s="1221"/>
      <c r="U168" s="1160"/>
    </row>
    <row r="169" spans="1:32">
      <c r="A169" s="1228"/>
      <c r="B169" s="1250" t="s">
        <v>3189</v>
      </c>
      <c r="C169" s="1168"/>
      <c r="D169" s="1238"/>
      <c r="E169" s="1165"/>
      <c r="F169" s="1170"/>
      <c r="G169" s="668">
        <f t="shared" si="12"/>
        <v>0</v>
      </c>
      <c r="H169" s="1221"/>
      <c r="I169" s="1161"/>
      <c r="J169" s="1221"/>
      <c r="K169" s="1160"/>
      <c r="L169" s="1221"/>
      <c r="M169" s="1251"/>
      <c r="N169" s="1221"/>
      <c r="O169" s="1161"/>
      <c r="P169" s="1221"/>
      <c r="Q169" s="1161"/>
      <c r="R169" s="1221"/>
      <c r="S169" s="1161"/>
      <c r="T169" s="1221"/>
      <c r="U169" s="1160"/>
    </row>
    <row r="170" spans="1:32">
      <c r="A170" s="1228"/>
      <c r="B170" s="1167" t="s">
        <v>3190</v>
      </c>
      <c r="C170" s="1168"/>
      <c r="D170" s="1238">
        <v>247</v>
      </c>
      <c r="E170" s="1165" t="s">
        <v>2864</v>
      </c>
      <c r="F170" s="1170"/>
      <c r="G170" s="668">
        <f t="shared" si="12"/>
        <v>0</v>
      </c>
      <c r="H170" s="1221"/>
      <c r="I170" s="1161"/>
      <c r="J170" s="1221"/>
      <c r="K170" s="1160"/>
      <c r="L170" s="1221"/>
      <c r="M170" s="1251"/>
      <c r="N170" s="1221"/>
      <c r="O170" s="1251"/>
      <c r="P170" s="1221"/>
      <c r="Q170" s="1161"/>
      <c r="R170" s="1221"/>
      <c r="S170" s="1161"/>
      <c r="T170" s="1221"/>
      <c r="U170" s="1160"/>
    </row>
    <row r="171" spans="1:32">
      <c r="A171" s="1228"/>
      <c r="B171" s="1167" t="s">
        <v>3191</v>
      </c>
      <c r="C171" s="1168"/>
      <c r="D171" s="1238">
        <v>76</v>
      </c>
      <c r="E171" s="1165" t="s">
        <v>2864</v>
      </c>
      <c r="F171" s="1170"/>
      <c r="G171" s="668">
        <f t="shared" si="12"/>
        <v>0</v>
      </c>
      <c r="H171" s="1221"/>
      <c r="I171" s="1161"/>
      <c r="J171" s="1221"/>
      <c r="K171" s="1160"/>
      <c r="L171" s="1221"/>
      <c r="M171" s="1251"/>
      <c r="N171" s="1221"/>
      <c r="O171" s="1251"/>
      <c r="P171" s="1221"/>
      <c r="Q171" s="1161"/>
      <c r="R171" s="1221"/>
      <c r="S171" s="1161"/>
      <c r="T171" s="1221"/>
      <c r="U171" s="1160"/>
    </row>
    <row r="172" spans="1:32">
      <c r="A172" s="1228"/>
      <c r="B172" s="1167" t="s">
        <v>3192</v>
      </c>
      <c r="C172" s="1168"/>
      <c r="D172" s="1238">
        <v>161</v>
      </c>
      <c r="E172" s="1165" t="s">
        <v>2864</v>
      </c>
      <c r="F172" s="1170"/>
      <c r="G172" s="668">
        <f t="shared" si="12"/>
        <v>0</v>
      </c>
      <c r="H172" s="1221"/>
      <c r="I172" s="1161"/>
      <c r="J172" s="1221"/>
      <c r="K172" s="1160"/>
      <c r="L172" s="1221"/>
      <c r="M172" s="1251"/>
      <c r="N172" s="1221"/>
      <c r="O172" s="1251"/>
      <c r="P172" s="1221"/>
      <c r="Q172" s="1161"/>
      <c r="R172" s="1221"/>
      <c r="S172" s="1161"/>
      <c r="T172" s="1221"/>
      <c r="U172" s="1160"/>
    </row>
    <row r="173" spans="1:32">
      <c r="A173" s="1228"/>
      <c r="B173" s="1167"/>
      <c r="C173" s="1168"/>
      <c r="D173" s="1238"/>
      <c r="E173" s="1165"/>
      <c r="F173" s="1170"/>
      <c r="G173" s="668">
        <f t="shared" si="12"/>
        <v>0</v>
      </c>
      <c r="H173" s="1221"/>
      <c r="I173" s="1161"/>
      <c r="J173" s="1221"/>
      <c r="K173" s="1160"/>
      <c r="L173" s="1221"/>
      <c r="M173" s="1161"/>
      <c r="N173" s="1221"/>
      <c r="O173" s="1161"/>
      <c r="P173" s="1221"/>
      <c r="Q173" s="1161"/>
      <c r="R173" s="1221"/>
      <c r="S173" s="1161"/>
      <c r="T173" s="1221"/>
      <c r="U173" s="1160"/>
    </row>
    <row r="174" spans="1:32">
      <c r="A174" s="1228"/>
      <c r="B174" s="1239" t="s">
        <v>3193</v>
      </c>
      <c r="C174" s="1168"/>
      <c r="D174" s="1238">
        <f>SUM(D175:D183)</f>
        <v>17276.940000000002</v>
      </c>
      <c r="E174" s="1165" t="s">
        <v>2845</v>
      </c>
      <c r="F174" s="1170">
        <v>20</v>
      </c>
      <c r="G174" s="668">
        <f t="shared" si="12"/>
        <v>345539</v>
      </c>
      <c r="H174" s="1221" t="s">
        <v>2931</v>
      </c>
      <c r="I174" s="1161"/>
      <c r="J174" s="1221" t="s">
        <v>2931</v>
      </c>
      <c r="K174" s="1160"/>
      <c r="L174" s="1221" t="s">
        <v>2931</v>
      </c>
      <c r="M174" s="1161"/>
      <c r="N174" s="1221" t="s">
        <v>2931</v>
      </c>
      <c r="O174" s="1161"/>
      <c r="P174" s="1221" t="s">
        <v>2931</v>
      </c>
      <c r="Q174" s="1161"/>
      <c r="R174" s="1221" t="s">
        <v>2931</v>
      </c>
      <c r="S174" s="1161"/>
      <c r="T174" s="1221" t="s">
        <v>2931</v>
      </c>
      <c r="U174" s="1160"/>
    </row>
    <row r="175" spans="1:32" hidden="1" outlineLevel="1">
      <c r="A175" s="1228"/>
      <c r="B175" s="1239" t="s">
        <v>3194</v>
      </c>
      <c r="C175" s="1168"/>
      <c r="D175" s="1238">
        <v>393</v>
      </c>
      <c r="E175" s="1165" t="s">
        <v>2845</v>
      </c>
      <c r="F175" s="1170"/>
      <c r="G175" s="668">
        <f t="shared" si="12"/>
        <v>0</v>
      </c>
      <c r="H175" s="1221"/>
      <c r="I175" s="1161"/>
      <c r="J175" s="1221"/>
      <c r="K175" s="1160"/>
      <c r="L175" s="1221"/>
      <c r="M175" s="1161"/>
      <c r="N175" s="1221"/>
      <c r="O175" s="1161"/>
      <c r="P175" s="1221"/>
      <c r="Q175" s="1161"/>
      <c r="R175" s="1221"/>
      <c r="S175" s="1161"/>
      <c r="T175" s="1221"/>
      <c r="U175" s="1160"/>
    </row>
    <row r="176" spans="1:32" hidden="1" outlineLevel="1">
      <c r="A176" s="1228"/>
      <c r="B176" s="1239" t="s">
        <v>3195</v>
      </c>
      <c r="C176" s="1168"/>
      <c r="D176" s="1238">
        <v>1973.94</v>
      </c>
      <c r="E176" s="1165" t="s">
        <v>2845</v>
      </c>
      <c r="F176" s="1170"/>
      <c r="G176" s="668">
        <f t="shared" si="12"/>
        <v>0</v>
      </c>
      <c r="H176" s="1221"/>
      <c r="I176" s="1161"/>
      <c r="J176" s="1221"/>
      <c r="K176" s="1160"/>
      <c r="L176" s="1221"/>
      <c r="M176" s="1161"/>
      <c r="N176" s="1221"/>
      <c r="O176" s="1161"/>
      <c r="P176" s="1221"/>
      <c r="Q176" s="1161"/>
      <c r="R176" s="1221"/>
      <c r="S176" s="1161"/>
      <c r="T176" s="1221"/>
      <c r="U176" s="1160"/>
      <c r="X176" t="s">
        <v>3195</v>
      </c>
      <c r="Y176" t="s">
        <v>3129</v>
      </c>
      <c r="Z176" t="s">
        <v>3196</v>
      </c>
      <c r="AA176">
        <v>149</v>
      </c>
      <c r="AB176" t="s">
        <v>48</v>
      </c>
      <c r="AC176" s="378">
        <v>1973.94</v>
      </c>
      <c r="AD176" s="300" t="s">
        <v>3112</v>
      </c>
      <c r="AE176" s="300">
        <v>0</v>
      </c>
      <c r="AF176" t="s">
        <v>2795</v>
      </c>
    </row>
    <row r="177" spans="1:32" hidden="1" outlineLevel="1">
      <c r="A177" s="1228"/>
      <c r="B177" s="1239" t="s">
        <v>3197</v>
      </c>
      <c r="C177" s="1168"/>
      <c r="D177" s="1238">
        <v>2722.66</v>
      </c>
      <c r="E177" s="1165" t="s">
        <v>2845</v>
      </c>
      <c r="F177" s="1170"/>
      <c r="G177" s="668">
        <f t="shared" si="12"/>
        <v>0</v>
      </c>
      <c r="H177" s="1221"/>
      <c r="I177" s="1161"/>
      <c r="J177" s="1221"/>
      <c r="K177" s="1160"/>
      <c r="L177" s="1221"/>
      <c r="M177" s="1161"/>
      <c r="N177" s="1221"/>
      <c r="O177" s="1161"/>
      <c r="P177" s="1221"/>
      <c r="Q177" s="1161"/>
      <c r="R177" s="1221"/>
      <c r="S177" s="1161"/>
      <c r="T177" s="1221"/>
      <c r="U177" s="1160"/>
      <c r="X177" t="s">
        <v>3197</v>
      </c>
      <c r="Y177" t="s">
        <v>3040</v>
      </c>
      <c r="Z177" t="s">
        <v>3196</v>
      </c>
      <c r="AA177">
        <v>183</v>
      </c>
      <c r="AB177" t="s">
        <v>48</v>
      </c>
      <c r="AC177" s="378">
        <v>2722.66</v>
      </c>
      <c r="AD177" s="300" t="s">
        <v>3112</v>
      </c>
      <c r="AE177" s="300">
        <v>0</v>
      </c>
      <c r="AF177" t="s">
        <v>2795</v>
      </c>
    </row>
    <row r="178" spans="1:32" hidden="1" outlineLevel="1">
      <c r="A178" s="1228"/>
      <c r="B178" s="1239" t="s">
        <v>3198</v>
      </c>
      <c r="C178" s="1168"/>
      <c r="D178" s="1238">
        <v>794.51</v>
      </c>
      <c r="E178" s="1165" t="s">
        <v>2845</v>
      </c>
      <c r="F178" s="1170"/>
      <c r="G178" s="668">
        <f t="shared" si="12"/>
        <v>0</v>
      </c>
      <c r="H178" s="1221"/>
      <c r="I178" s="1161"/>
      <c r="J178" s="1221"/>
      <c r="K178" s="1160"/>
      <c r="L178" s="1221"/>
      <c r="M178" s="1161"/>
      <c r="N178" s="1221"/>
      <c r="O178" s="1161"/>
      <c r="P178" s="1221"/>
      <c r="Q178" s="1161"/>
      <c r="R178" s="1221"/>
      <c r="S178" s="1161"/>
      <c r="T178" s="1221"/>
      <c r="U178" s="1160"/>
      <c r="X178" t="s">
        <v>3198</v>
      </c>
      <c r="Y178" t="s">
        <v>3043</v>
      </c>
      <c r="Z178" t="s">
        <v>3196</v>
      </c>
      <c r="AA178">
        <v>56</v>
      </c>
      <c r="AB178" t="s">
        <v>48</v>
      </c>
      <c r="AC178">
        <v>794.51</v>
      </c>
      <c r="AD178" s="300" t="s">
        <v>3112</v>
      </c>
      <c r="AE178" s="300">
        <v>0</v>
      </c>
      <c r="AF178" t="s">
        <v>2795</v>
      </c>
    </row>
    <row r="179" spans="1:32" hidden="1" outlineLevel="1">
      <c r="A179" s="1228"/>
      <c r="B179" s="1239" t="s">
        <v>3199</v>
      </c>
      <c r="C179" s="1168"/>
      <c r="D179" s="1238">
        <v>2558.75</v>
      </c>
      <c r="E179" s="1165" t="s">
        <v>2845</v>
      </c>
      <c r="F179" s="1170"/>
      <c r="G179" s="668">
        <f t="shared" si="12"/>
        <v>0</v>
      </c>
      <c r="H179" s="1221"/>
      <c r="I179" s="1161"/>
      <c r="J179" s="1221"/>
      <c r="K179" s="1160"/>
      <c r="L179" s="1221"/>
      <c r="M179" s="1161"/>
      <c r="N179" s="1221"/>
      <c r="O179" s="1161"/>
      <c r="P179" s="1221"/>
      <c r="Q179" s="1161"/>
      <c r="R179" s="1221"/>
      <c r="S179" s="1161"/>
      <c r="T179" s="1221"/>
      <c r="U179" s="1160"/>
      <c r="X179" t="s">
        <v>3199</v>
      </c>
      <c r="Y179" t="s">
        <v>3131</v>
      </c>
      <c r="Z179" t="s">
        <v>3196</v>
      </c>
      <c r="AA179">
        <v>171</v>
      </c>
      <c r="AB179" t="s">
        <v>48</v>
      </c>
      <c r="AC179" s="378">
        <v>2558.75</v>
      </c>
      <c r="AD179" s="300" t="s">
        <v>3112</v>
      </c>
      <c r="AE179" s="300">
        <v>0</v>
      </c>
      <c r="AF179" t="s">
        <v>2795</v>
      </c>
    </row>
    <row r="180" spans="1:32" hidden="1" outlineLevel="1">
      <c r="A180" s="1228"/>
      <c r="B180" s="1239" t="s">
        <v>3200</v>
      </c>
      <c r="C180" s="1168"/>
      <c r="D180" s="1238">
        <v>2443.2800000000002</v>
      </c>
      <c r="E180" s="1165" t="s">
        <v>2845</v>
      </c>
      <c r="F180" s="1170"/>
      <c r="G180" s="668">
        <f t="shared" si="12"/>
        <v>0</v>
      </c>
      <c r="H180" s="1221"/>
      <c r="I180" s="1161"/>
      <c r="J180" s="1221"/>
      <c r="K180" s="1160"/>
      <c r="L180" s="1221"/>
      <c r="M180" s="1161"/>
      <c r="N180" s="1221"/>
      <c r="O180" s="1161"/>
      <c r="P180" s="1221"/>
      <c r="Q180" s="1161"/>
      <c r="R180" s="1221"/>
      <c r="S180" s="1161"/>
      <c r="T180" s="1221"/>
      <c r="U180" s="1160"/>
      <c r="X180" t="s">
        <v>3200</v>
      </c>
      <c r="Y180" t="s">
        <v>3095</v>
      </c>
      <c r="Z180" t="s">
        <v>3196</v>
      </c>
      <c r="AA180">
        <v>147</v>
      </c>
      <c r="AB180" t="s">
        <v>48</v>
      </c>
      <c r="AC180" s="378">
        <v>2443.2800000000002</v>
      </c>
      <c r="AD180" s="300" t="s">
        <v>3112</v>
      </c>
      <c r="AE180" s="300">
        <v>0</v>
      </c>
      <c r="AF180" t="s">
        <v>2795</v>
      </c>
    </row>
    <row r="181" spans="1:32" hidden="1" outlineLevel="1">
      <c r="A181" s="1228"/>
      <c r="B181" s="1239" t="s">
        <v>3201</v>
      </c>
      <c r="C181" s="1168"/>
      <c r="D181" s="1238">
        <v>3884.5</v>
      </c>
      <c r="E181" s="1165" t="s">
        <v>2845</v>
      </c>
      <c r="F181" s="1170"/>
      <c r="G181" s="668">
        <f t="shared" si="12"/>
        <v>0</v>
      </c>
      <c r="H181" s="1221"/>
      <c r="I181" s="1161"/>
      <c r="J181" s="1221"/>
      <c r="K181" s="1160"/>
      <c r="L181" s="1221"/>
      <c r="M181" s="1161"/>
      <c r="N181" s="1221"/>
      <c r="O181" s="1161"/>
      <c r="P181" s="1221"/>
      <c r="Q181" s="1161"/>
      <c r="R181" s="1221"/>
      <c r="S181" s="1161"/>
      <c r="T181" s="1221"/>
      <c r="U181" s="1160"/>
      <c r="X181" t="s">
        <v>3201</v>
      </c>
      <c r="Y181" t="s">
        <v>3045</v>
      </c>
      <c r="Z181" t="s">
        <v>3196</v>
      </c>
      <c r="AA181">
        <v>228</v>
      </c>
      <c r="AB181" t="s">
        <v>48</v>
      </c>
      <c r="AC181" s="378">
        <v>3884.5</v>
      </c>
      <c r="AD181" s="300" t="s">
        <v>3112</v>
      </c>
      <c r="AE181" s="300">
        <v>0</v>
      </c>
      <c r="AF181" t="s">
        <v>2795</v>
      </c>
    </row>
    <row r="182" spans="1:32" hidden="1" outlineLevel="1">
      <c r="A182" s="1228"/>
      <c r="B182" s="1239" t="s">
        <v>3202</v>
      </c>
      <c r="C182" s="1168"/>
      <c r="D182" s="1238">
        <v>274.75</v>
      </c>
      <c r="E182" s="1165" t="s">
        <v>2845</v>
      </c>
      <c r="F182" s="1170"/>
      <c r="G182" s="668">
        <f t="shared" ref="G182:G209" si="13">ROUND(D182*F182,0)</f>
        <v>0</v>
      </c>
      <c r="H182" s="1221"/>
      <c r="I182" s="1161"/>
      <c r="J182" s="1221"/>
      <c r="K182" s="1160"/>
      <c r="L182" s="1221"/>
      <c r="M182" s="1161"/>
      <c r="N182" s="1221"/>
      <c r="O182" s="1161"/>
      <c r="P182" s="1221"/>
      <c r="Q182" s="1161"/>
      <c r="R182" s="1221"/>
      <c r="S182" s="1161"/>
      <c r="T182" s="1221"/>
      <c r="U182" s="1160"/>
      <c r="X182" t="s">
        <v>3202</v>
      </c>
      <c r="Y182" t="s">
        <v>3203</v>
      </c>
      <c r="Z182" t="s">
        <v>3196</v>
      </c>
      <c r="AA182">
        <v>39</v>
      </c>
      <c r="AB182" t="s">
        <v>48</v>
      </c>
      <c r="AC182">
        <v>274.75</v>
      </c>
      <c r="AD182" s="300" t="s">
        <v>3112</v>
      </c>
      <c r="AE182" s="300">
        <v>0</v>
      </c>
      <c r="AF182" t="s">
        <v>2795</v>
      </c>
    </row>
    <row r="183" spans="1:32" hidden="1" outlineLevel="1">
      <c r="A183" s="1228"/>
      <c r="B183" s="1239" t="s">
        <v>3204</v>
      </c>
      <c r="C183" s="1168"/>
      <c r="D183" s="1238">
        <v>2231.5500000000002</v>
      </c>
      <c r="E183" s="1165" t="s">
        <v>2845</v>
      </c>
      <c r="F183" s="1170"/>
      <c r="G183" s="668">
        <f t="shared" si="13"/>
        <v>0</v>
      </c>
      <c r="H183" s="1221"/>
      <c r="I183" s="1161"/>
      <c r="J183" s="1221"/>
      <c r="K183" s="1160"/>
      <c r="L183" s="1221"/>
      <c r="M183" s="1161"/>
      <c r="N183" s="1221"/>
      <c r="O183" s="1161"/>
      <c r="P183" s="1221"/>
      <c r="Q183" s="1161"/>
      <c r="R183" s="1221"/>
      <c r="S183" s="1161"/>
      <c r="T183" s="1221"/>
      <c r="U183" s="1160"/>
      <c r="X183" t="s">
        <v>3204</v>
      </c>
      <c r="Y183" t="s">
        <v>3205</v>
      </c>
      <c r="Z183" t="s">
        <v>3196</v>
      </c>
      <c r="AA183">
        <v>279</v>
      </c>
      <c r="AB183" t="s">
        <v>48</v>
      </c>
      <c r="AC183" s="378">
        <v>2231.5500000000002</v>
      </c>
      <c r="AD183" s="300" t="s">
        <v>3112</v>
      </c>
      <c r="AE183" s="300">
        <v>0</v>
      </c>
      <c r="AF183" t="s">
        <v>2795</v>
      </c>
    </row>
    <row r="184" spans="1:32" collapsed="1">
      <c r="A184" s="1228"/>
      <c r="B184" s="1239" t="s">
        <v>3206</v>
      </c>
      <c r="C184" s="1168"/>
      <c r="D184" s="1238">
        <f>SUM(D185:D191)</f>
        <v>18670.46</v>
      </c>
      <c r="E184" s="1165" t="s">
        <v>2845</v>
      </c>
      <c r="F184" s="1170">
        <v>30</v>
      </c>
      <c r="G184" s="668">
        <f t="shared" si="13"/>
        <v>560114</v>
      </c>
      <c r="H184" s="1221" t="s">
        <v>2931</v>
      </c>
      <c r="I184" s="1161"/>
      <c r="J184" s="1221" t="s">
        <v>2931</v>
      </c>
      <c r="K184" s="1160"/>
      <c r="L184" s="1221" t="s">
        <v>2931</v>
      </c>
      <c r="M184" s="1161"/>
      <c r="N184" s="1221" t="s">
        <v>2931</v>
      </c>
      <c r="O184" s="1161"/>
      <c r="P184" s="1221" t="s">
        <v>2931</v>
      </c>
      <c r="Q184" s="1161"/>
      <c r="R184" s="1221" t="s">
        <v>2931</v>
      </c>
      <c r="S184" s="1161"/>
      <c r="T184" s="1221" t="s">
        <v>2931</v>
      </c>
      <c r="U184" s="1160"/>
      <c r="AC184" s="378"/>
    </row>
    <row r="185" spans="1:32" hidden="1" outlineLevel="1">
      <c r="A185" s="1228"/>
      <c r="B185" s="1239" t="s">
        <v>3207</v>
      </c>
      <c r="C185" s="1168"/>
      <c r="D185" s="1238">
        <v>5026.17</v>
      </c>
      <c r="E185" s="1165" t="s">
        <v>2845</v>
      </c>
      <c r="F185" s="1170"/>
      <c r="G185" s="668">
        <f t="shared" si="13"/>
        <v>0</v>
      </c>
      <c r="H185" s="1221"/>
      <c r="I185" s="1161"/>
      <c r="J185" s="1221"/>
      <c r="K185" s="1160"/>
      <c r="L185" s="1221"/>
      <c r="M185" s="1161"/>
      <c r="N185" s="1221"/>
      <c r="O185" s="1161"/>
      <c r="P185" s="1221"/>
      <c r="Q185" s="1161"/>
      <c r="R185" s="1221"/>
      <c r="S185" s="1161"/>
      <c r="T185" s="1221"/>
      <c r="U185" s="1160"/>
      <c r="X185" t="s">
        <v>3207</v>
      </c>
      <c r="Y185" t="s">
        <v>3129</v>
      </c>
      <c r="Z185" t="s">
        <v>3196</v>
      </c>
      <c r="AA185">
        <v>379</v>
      </c>
      <c r="AB185" t="s">
        <v>48</v>
      </c>
      <c r="AC185" s="378">
        <v>5026.17</v>
      </c>
      <c r="AD185" s="300" t="s">
        <v>3112</v>
      </c>
      <c r="AE185" s="300">
        <v>0</v>
      </c>
      <c r="AF185" t="s">
        <v>2795</v>
      </c>
    </row>
    <row r="186" spans="1:32" hidden="1" outlineLevel="1">
      <c r="A186" s="1228"/>
      <c r="B186" s="1239" t="s">
        <v>3208</v>
      </c>
      <c r="C186" s="1168"/>
      <c r="D186" s="1238">
        <v>2509.73</v>
      </c>
      <c r="E186" s="1165" t="s">
        <v>2845</v>
      </c>
      <c r="F186" s="1170"/>
      <c r="G186" s="668">
        <f t="shared" si="13"/>
        <v>0</v>
      </c>
      <c r="H186" s="1221"/>
      <c r="I186" s="1161"/>
      <c r="J186" s="1221"/>
      <c r="K186" s="1160"/>
      <c r="L186" s="1221"/>
      <c r="M186" s="1161"/>
      <c r="N186" s="1221"/>
      <c r="O186" s="1161"/>
      <c r="P186" s="1221"/>
      <c r="Q186" s="1161"/>
      <c r="R186" s="1221"/>
      <c r="S186" s="1161"/>
      <c r="T186" s="1221"/>
      <c r="U186" s="1160"/>
      <c r="X186" t="s">
        <v>3208</v>
      </c>
      <c r="Y186" t="s">
        <v>3040</v>
      </c>
      <c r="Z186" t="s">
        <v>3196</v>
      </c>
      <c r="AA186">
        <v>168</v>
      </c>
      <c r="AB186" t="s">
        <v>48</v>
      </c>
      <c r="AC186" s="378">
        <v>2509.73</v>
      </c>
      <c r="AD186" s="300" t="s">
        <v>3112</v>
      </c>
      <c r="AE186" s="300">
        <v>0</v>
      </c>
      <c r="AF186" t="s">
        <v>2795</v>
      </c>
    </row>
    <row r="187" spans="1:32" hidden="1" outlineLevel="1">
      <c r="A187" s="1228"/>
      <c r="B187" s="1239" t="s">
        <v>3209</v>
      </c>
      <c r="C187" s="1168"/>
      <c r="D187" s="1238">
        <v>4260.62</v>
      </c>
      <c r="E187" s="1165" t="s">
        <v>2845</v>
      </c>
      <c r="F187" s="1170"/>
      <c r="G187" s="668">
        <f t="shared" si="13"/>
        <v>0</v>
      </c>
      <c r="H187" s="1221"/>
      <c r="I187" s="1161"/>
      <c r="J187" s="1221"/>
      <c r="K187" s="1160"/>
      <c r="L187" s="1221"/>
      <c r="M187" s="1161"/>
      <c r="N187" s="1221"/>
      <c r="O187" s="1161"/>
      <c r="P187" s="1221"/>
      <c r="Q187" s="1161"/>
      <c r="R187" s="1221"/>
      <c r="S187" s="1161"/>
      <c r="T187" s="1221"/>
      <c r="U187" s="1160"/>
      <c r="X187" t="s">
        <v>3209</v>
      </c>
      <c r="Y187" t="s">
        <v>3043</v>
      </c>
      <c r="Z187" t="s">
        <v>3196</v>
      </c>
      <c r="AA187">
        <v>301</v>
      </c>
      <c r="AB187" t="s">
        <v>48</v>
      </c>
      <c r="AC187" s="378">
        <v>4260.62</v>
      </c>
      <c r="AD187" s="300" t="s">
        <v>3112</v>
      </c>
      <c r="AE187" s="300">
        <v>0</v>
      </c>
      <c r="AF187" t="s">
        <v>2795</v>
      </c>
    </row>
    <row r="188" spans="1:32" hidden="1" outlineLevel="1">
      <c r="A188" s="1228"/>
      <c r="B188" s="1239" t="s">
        <v>3210</v>
      </c>
      <c r="C188" s="1168"/>
      <c r="D188" s="1238">
        <v>1443.75</v>
      </c>
      <c r="E188" s="1165" t="s">
        <v>2845</v>
      </c>
      <c r="F188" s="1170"/>
      <c r="G188" s="668">
        <f t="shared" si="13"/>
        <v>0</v>
      </c>
      <c r="H188" s="1221"/>
      <c r="I188" s="1161"/>
      <c r="J188" s="1221"/>
      <c r="K188" s="1160"/>
      <c r="L188" s="1221"/>
      <c r="M188" s="1161"/>
      <c r="N188" s="1221"/>
      <c r="O188" s="1161"/>
      <c r="P188" s="1221"/>
      <c r="Q188" s="1161"/>
      <c r="R188" s="1221"/>
      <c r="S188" s="1161"/>
      <c r="T188" s="1221"/>
      <c r="U188" s="1160"/>
      <c r="X188" t="s">
        <v>3210</v>
      </c>
      <c r="Y188" t="s">
        <v>3131</v>
      </c>
      <c r="Z188" t="s">
        <v>3196</v>
      </c>
      <c r="AA188">
        <v>96</v>
      </c>
      <c r="AB188" t="s">
        <v>48</v>
      </c>
      <c r="AC188" s="378">
        <v>1443.75</v>
      </c>
      <c r="AD188" s="300" t="s">
        <v>3112</v>
      </c>
      <c r="AE188" s="300">
        <v>0</v>
      </c>
      <c r="AF188" t="s">
        <v>2795</v>
      </c>
    </row>
    <row r="189" spans="1:32" hidden="1" outlineLevel="1">
      <c r="A189" s="1228"/>
      <c r="B189" s="1239" t="s">
        <v>3211</v>
      </c>
      <c r="C189" s="1168"/>
      <c r="D189" s="1238">
        <v>417.28</v>
      </c>
      <c r="E189" s="1165" t="s">
        <v>2845</v>
      </c>
      <c r="F189" s="1170"/>
      <c r="G189" s="668">
        <f t="shared" si="13"/>
        <v>0</v>
      </c>
      <c r="H189" s="1221"/>
      <c r="I189" s="1161"/>
      <c r="J189" s="1221"/>
      <c r="K189" s="1160"/>
      <c r="L189" s="1221"/>
      <c r="M189" s="1161"/>
      <c r="N189" s="1221"/>
      <c r="O189" s="1161"/>
      <c r="P189" s="1221"/>
      <c r="Q189" s="1161"/>
      <c r="R189" s="1221"/>
      <c r="S189" s="1161"/>
      <c r="T189" s="1221"/>
      <c r="U189" s="1160"/>
      <c r="X189" t="s">
        <v>3211</v>
      </c>
      <c r="Y189" t="s">
        <v>3212</v>
      </c>
      <c r="Z189" t="s">
        <v>3196</v>
      </c>
      <c r="AA189">
        <v>25</v>
      </c>
      <c r="AB189" t="s">
        <v>48</v>
      </c>
      <c r="AC189">
        <v>417.28</v>
      </c>
      <c r="AD189" s="300" t="s">
        <v>3112</v>
      </c>
      <c r="AE189" s="300">
        <v>0</v>
      </c>
      <c r="AF189" t="s">
        <v>2795</v>
      </c>
    </row>
    <row r="190" spans="1:32" hidden="1" outlineLevel="1">
      <c r="A190" s="1228"/>
      <c r="B190" s="1239" t="s">
        <v>3213</v>
      </c>
      <c r="C190" s="1168"/>
      <c r="D190" s="1238">
        <v>3077.59</v>
      </c>
      <c r="E190" s="1165" t="s">
        <v>2845</v>
      </c>
      <c r="F190" s="1170"/>
      <c r="G190" s="668">
        <f t="shared" si="13"/>
        <v>0</v>
      </c>
      <c r="H190" s="1221"/>
      <c r="I190" s="1161"/>
      <c r="J190" s="1221"/>
      <c r="K190" s="1160"/>
      <c r="L190" s="1221"/>
      <c r="M190" s="1161"/>
      <c r="N190" s="1221"/>
      <c r="O190" s="1161"/>
      <c r="P190" s="1221"/>
      <c r="Q190" s="1161"/>
      <c r="R190" s="1221"/>
      <c r="S190" s="1161"/>
      <c r="T190" s="1221"/>
      <c r="U190" s="1160"/>
      <c r="X190" t="s">
        <v>3213</v>
      </c>
      <c r="Y190" t="s">
        <v>3095</v>
      </c>
      <c r="Z190" t="s">
        <v>3196</v>
      </c>
      <c r="AA190">
        <v>186</v>
      </c>
      <c r="AB190" t="s">
        <v>48</v>
      </c>
      <c r="AC190" s="378">
        <v>3077.59</v>
      </c>
      <c r="AD190" s="300" t="s">
        <v>3112</v>
      </c>
      <c r="AE190" s="300">
        <v>0</v>
      </c>
      <c r="AF190" t="s">
        <v>2795</v>
      </c>
    </row>
    <row r="191" spans="1:32" hidden="1" outlineLevel="1">
      <c r="A191" s="1228"/>
      <c r="B191" s="1239" t="s">
        <v>3214</v>
      </c>
      <c r="C191" s="1168"/>
      <c r="D191" s="1238">
        <v>1935.32</v>
      </c>
      <c r="E191" s="1165" t="s">
        <v>2845</v>
      </c>
      <c r="F191" s="1170"/>
      <c r="G191" s="668">
        <f t="shared" si="13"/>
        <v>0</v>
      </c>
      <c r="H191" s="1221"/>
      <c r="I191" s="1161"/>
      <c r="J191" s="1221"/>
      <c r="K191" s="1160"/>
      <c r="L191" s="1221"/>
      <c r="M191" s="1161"/>
      <c r="N191" s="1221"/>
      <c r="O191" s="1161"/>
      <c r="P191" s="1221"/>
      <c r="Q191" s="1161"/>
      <c r="R191" s="1221"/>
      <c r="S191" s="1161"/>
      <c r="T191" s="1221"/>
      <c r="U191" s="1160"/>
      <c r="X191" t="s">
        <v>3214</v>
      </c>
      <c r="Y191" t="s">
        <v>3045</v>
      </c>
      <c r="Z191" t="s">
        <v>3196</v>
      </c>
      <c r="AA191">
        <v>114</v>
      </c>
      <c r="AB191" t="s">
        <v>48</v>
      </c>
      <c r="AC191" s="378">
        <v>1935.32</v>
      </c>
      <c r="AD191" s="300" t="s">
        <v>3112</v>
      </c>
      <c r="AE191" s="300">
        <v>0</v>
      </c>
      <c r="AF191" t="s">
        <v>2795</v>
      </c>
    </row>
    <row r="192" spans="1:32" collapsed="1">
      <c r="A192" s="1228"/>
      <c r="B192" s="1239"/>
      <c r="C192" s="1168"/>
      <c r="D192" s="1238"/>
      <c r="E192" s="1165"/>
      <c r="F192" s="1170"/>
      <c r="G192" s="668">
        <f t="shared" si="13"/>
        <v>0</v>
      </c>
      <c r="H192" s="1221"/>
      <c r="I192" s="1161"/>
      <c r="J192" s="1221"/>
      <c r="K192" s="1160"/>
      <c r="L192" s="1221"/>
      <c r="M192" s="1161"/>
      <c r="N192" s="1221"/>
      <c r="O192" s="1161"/>
      <c r="P192" s="1221"/>
      <c r="Q192" s="1161"/>
      <c r="R192" s="1221"/>
      <c r="S192" s="1161"/>
      <c r="T192" s="1221"/>
      <c r="U192" s="1160"/>
    </row>
    <row r="193" spans="1:21">
      <c r="A193" s="1228"/>
      <c r="B193" s="1250" t="s">
        <v>3215</v>
      </c>
      <c r="C193" s="1168"/>
      <c r="D193" s="1238"/>
      <c r="E193" s="1165"/>
      <c r="F193" s="1170"/>
      <c r="G193" s="668">
        <f t="shared" si="13"/>
        <v>0</v>
      </c>
      <c r="H193" s="1221"/>
      <c r="I193" s="1161"/>
      <c r="J193" s="1221"/>
      <c r="K193" s="1252"/>
      <c r="L193" s="1253"/>
      <c r="M193" s="1251"/>
      <c r="N193" s="1253"/>
      <c r="O193" s="1251"/>
      <c r="P193" s="1221"/>
      <c r="Q193" s="1161"/>
      <c r="R193" s="1221"/>
      <c r="S193" s="1161"/>
      <c r="T193" s="1221"/>
      <c r="U193" s="1160"/>
    </row>
    <row r="194" spans="1:21">
      <c r="A194" s="1228"/>
      <c r="B194" s="1254" t="s">
        <v>3216</v>
      </c>
      <c r="C194" s="1168"/>
      <c r="D194" s="1238">
        <v>469</v>
      </c>
      <c r="E194" s="1165" t="s">
        <v>2845</v>
      </c>
      <c r="F194" s="1170"/>
      <c r="G194" s="668">
        <f t="shared" si="13"/>
        <v>0</v>
      </c>
      <c r="H194" s="1221" t="s">
        <v>2931</v>
      </c>
      <c r="I194" s="1161"/>
      <c r="J194" s="1221"/>
      <c r="K194" s="1252"/>
      <c r="L194" s="1221" t="s">
        <v>2931</v>
      </c>
      <c r="M194" s="1251"/>
      <c r="N194" s="1221" t="s">
        <v>2931</v>
      </c>
      <c r="O194" s="1251"/>
      <c r="P194" s="1221" t="s">
        <v>2931</v>
      </c>
      <c r="Q194" s="1161"/>
      <c r="R194" s="1221" t="s">
        <v>2931</v>
      </c>
      <c r="S194" s="1161"/>
      <c r="T194" s="1221" t="s">
        <v>2931</v>
      </c>
      <c r="U194" s="1160"/>
    </row>
    <row r="195" spans="1:21">
      <c r="A195" s="1223"/>
      <c r="B195" s="1167"/>
      <c r="C195" s="1168"/>
      <c r="D195" s="1238"/>
      <c r="E195" s="1165"/>
      <c r="F195" s="1170"/>
      <c r="G195" s="668">
        <f t="shared" si="13"/>
        <v>0</v>
      </c>
      <c r="H195" s="1221"/>
      <c r="I195" s="1161"/>
      <c r="J195" s="1221"/>
      <c r="K195" s="1252"/>
      <c r="L195" s="1221"/>
      <c r="M195" s="1251"/>
      <c r="N195" s="1221"/>
      <c r="O195" s="1251"/>
      <c r="P195" s="1221"/>
      <c r="Q195" s="1161"/>
      <c r="R195" s="1221"/>
      <c r="S195" s="1161"/>
      <c r="T195" s="1221"/>
      <c r="U195" s="1160"/>
    </row>
    <row r="196" spans="1:21">
      <c r="A196" s="1228"/>
      <c r="B196" s="1255" t="s">
        <v>3217</v>
      </c>
      <c r="C196" s="1168"/>
      <c r="D196" s="1238"/>
      <c r="E196" s="1165"/>
      <c r="F196" s="1170"/>
      <c r="G196" s="668">
        <f t="shared" si="13"/>
        <v>0</v>
      </c>
      <c r="H196" s="1221" t="s">
        <v>2931</v>
      </c>
      <c r="I196" s="1161"/>
      <c r="J196" s="1221"/>
      <c r="K196" s="1252"/>
      <c r="L196" s="1221" t="s">
        <v>2931</v>
      </c>
      <c r="M196" s="1251"/>
      <c r="N196" s="1221" t="s">
        <v>2931</v>
      </c>
      <c r="O196" s="1251"/>
      <c r="P196" s="1221" t="s">
        <v>2931</v>
      </c>
      <c r="Q196" s="1161"/>
      <c r="R196" s="1221" t="s">
        <v>2931</v>
      </c>
      <c r="S196" s="1161"/>
      <c r="T196" s="1221" t="s">
        <v>2931</v>
      </c>
      <c r="U196" s="1160"/>
    </row>
    <row r="197" spans="1:21">
      <c r="A197" s="1223"/>
      <c r="B197" s="1255" t="s">
        <v>3218</v>
      </c>
      <c r="C197" s="1168"/>
      <c r="D197" s="1238"/>
      <c r="E197" s="1165"/>
      <c r="F197" s="1170"/>
      <c r="G197" s="668">
        <f t="shared" si="13"/>
        <v>0</v>
      </c>
      <c r="H197" s="1221"/>
      <c r="I197" s="1161"/>
      <c r="J197" s="1221"/>
      <c r="K197" s="1252"/>
      <c r="L197" s="1221"/>
      <c r="M197" s="1251"/>
      <c r="N197" s="1221"/>
      <c r="O197" s="1251"/>
      <c r="P197" s="1221"/>
      <c r="Q197" s="1161"/>
      <c r="R197" s="1221"/>
      <c r="S197" s="1161"/>
      <c r="T197" s="1221"/>
      <c r="U197" s="1160"/>
    </row>
    <row r="198" spans="1:21">
      <c r="A198" s="1223"/>
      <c r="B198" s="1254" t="s">
        <v>3219</v>
      </c>
      <c r="C198" s="1168"/>
      <c r="D198" s="1238"/>
      <c r="E198" s="1165"/>
      <c r="F198" s="1170"/>
      <c r="G198" s="668">
        <f t="shared" si="13"/>
        <v>0</v>
      </c>
      <c r="H198" s="1221" t="s">
        <v>2931</v>
      </c>
      <c r="I198" s="1161"/>
      <c r="J198" s="1221"/>
      <c r="K198" s="1252"/>
      <c r="L198" s="1221" t="s">
        <v>2931</v>
      </c>
      <c r="M198" s="1251"/>
      <c r="N198" s="1221" t="s">
        <v>2931</v>
      </c>
      <c r="O198" s="1251"/>
      <c r="P198" s="1221" t="s">
        <v>2931</v>
      </c>
      <c r="Q198" s="1161"/>
      <c r="R198" s="1221" t="s">
        <v>2931</v>
      </c>
      <c r="S198" s="1161"/>
      <c r="T198" s="1221" t="s">
        <v>2931</v>
      </c>
      <c r="U198" s="1160"/>
    </row>
    <row r="199" spans="1:21">
      <c r="A199" s="1228"/>
      <c r="B199" s="1255" t="s">
        <v>3220</v>
      </c>
      <c r="C199" s="1168"/>
      <c r="D199" s="1238"/>
      <c r="E199" s="1165"/>
      <c r="F199" s="1170"/>
      <c r="G199" s="668">
        <f t="shared" si="13"/>
        <v>0</v>
      </c>
      <c r="H199" s="1221"/>
      <c r="I199" s="1161"/>
      <c r="J199" s="1221"/>
      <c r="K199" s="1252"/>
      <c r="L199" s="1221"/>
      <c r="M199" s="1251"/>
      <c r="N199" s="1221"/>
      <c r="O199" s="1251"/>
      <c r="P199" s="1221"/>
      <c r="Q199" s="1161"/>
      <c r="R199" s="1221"/>
      <c r="S199" s="1161"/>
      <c r="T199" s="1221"/>
      <c r="U199" s="1160"/>
    </row>
    <row r="200" spans="1:21">
      <c r="A200" s="1228"/>
      <c r="B200" s="1254" t="s">
        <v>3221</v>
      </c>
      <c r="C200" s="1168"/>
      <c r="D200" s="1238"/>
      <c r="E200" s="1165"/>
      <c r="F200" s="1170"/>
      <c r="G200" s="668">
        <f t="shared" si="13"/>
        <v>0</v>
      </c>
      <c r="H200" s="1221" t="s">
        <v>2931</v>
      </c>
      <c r="I200" s="1161"/>
      <c r="J200" s="1221"/>
      <c r="K200" s="1252"/>
      <c r="L200" s="1221" t="s">
        <v>2931</v>
      </c>
      <c r="M200" s="1251"/>
      <c r="N200" s="1221" t="s">
        <v>2931</v>
      </c>
      <c r="O200" s="1251"/>
      <c r="P200" s="1221" t="s">
        <v>2931</v>
      </c>
      <c r="Q200" s="1161"/>
      <c r="R200" s="1221" t="s">
        <v>2931</v>
      </c>
      <c r="S200" s="1161"/>
      <c r="T200" s="1221" t="s">
        <v>2931</v>
      </c>
      <c r="U200" s="1160"/>
    </row>
    <row r="201" spans="1:21">
      <c r="A201" s="1228"/>
      <c r="B201" s="1254"/>
      <c r="C201" s="1168"/>
      <c r="D201" s="1238"/>
      <c r="E201" s="1165"/>
      <c r="F201" s="1170"/>
      <c r="G201" s="668">
        <f t="shared" si="13"/>
        <v>0</v>
      </c>
      <c r="H201" s="1221"/>
      <c r="I201" s="1161"/>
      <c r="J201" s="1221"/>
      <c r="K201" s="1252"/>
      <c r="L201" s="1253"/>
      <c r="M201" s="1251"/>
      <c r="N201" s="1253"/>
      <c r="O201" s="1251"/>
      <c r="P201" s="1221"/>
      <c r="Q201" s="1161"/>
      <c r="R201" s="1221"/>
      <c r="S201" s="1161"/>
      <c r="T201" s="1221"/>
      <c r="U201" s="1160"/>
    </row>
    <row r="202" spans="1:21">
      <c r="A202" s="1228"/>
      <c r="B202" s="1255" t="s">
        <v>3222</v>
      </c>
      <c r="C202" s="1168"/>
      <c r="D202" s="1238"/>
      <c r="E202" s="1165"/>
      <c r="F202" s="1170"/>
      <c r="G202" s="668">
        <f t="shared" si="13"/>
        <v>0</v>
      </c>
      <c r="H202" s="1221" t="s">
        <v>2931</v>
      </c>
      <c r="I202" s="1161"/>
      <c r="J202" s="1221" t="s">
        <v>2931</v>
      </c>
      <c r="K202" s="1252"/>
      <c r="L202" s="1221" t="s">
        <v>2931</v>
      </c>
      <c r="M202" s="1251"/>
      <c r="N202" s="1221" t="s">
        <v>2931</v>
      </c>
      <c r="O202" s="1251"/>
      <c r="P202" s="1221" t="s">
        <v>2931</v>
      </c>
      <c r="Q202" s="1161"/>
      <c r="R202" s="1221"/>
      <c r="S202" s="1161"/>
      <c r="T202" s="1221"/>
      <c r="U202" s="1160"/>
    </row>
    <row r="203" spans="1:21">
      <c r="A203" s="1228"/>
      <c r="B203" s="1254"/>
      <c r="C203" s="1168"/>
      <c r="D203" s="1238"/>
      <c r="E203" s="1165"/>
      <c r="F203" s="1170"/>
      <c r="G203" s="668">
        <f t="shared" si="13"/>
        <v>0</v>
      </c>
      <c r="H203" s="1221"/>
      <c r="I203" s="1161"/>
      <c r="J203" s="1221"/>
      <c r="K203" s="1160"/>
      <c r="L203" s="1221"/>
      <c r="M203" s="1161"/>
      <c r="N203" s="1221"/>
      <c r="O203" s="1161"/>
      <c r="P203" s="1221"/>
      <c r="Q203" s="1161"/>
      <c r="R203" s="1221"/>
      <c r="S203" s="1161"/>
      <c r="T203" s="1221"/>
      <c r="U203" s="1160"/>
    </row>
    <row r="204" spans="1:21">
      <c r="A204" s="1228"/>
      <c r="B204" s="1255" t="s">
        <v>3223</v>
      </c>
      <c r="C204" s="1168"/>
      <c r="D204" s="1238"/>
      <c r="E204" s="1165"/>
      <c r="F204" s="1170"/>
      <c r="G204" s="668">
        <f t="shared" si="13"/>
        <v>0</v>
      </c>
      <c r="H204" s="1221" t="s">
        <v>2931</v>
      </c>
      <c r="I204" s="1161"/>
      <c r="J204" s="1221" t="s">
        <v>2931</v>
      </c>
      <c r="K204" s="1243"/>
      <c r="L204" s="1221" t="s">
        <v>2931</v>
      </c>
      <c r="M204" s="1243"/>
      <c r="N204" s="1221" t="s">
        <v>2931</v>
      </c>
      <c r="O204" s="1161"/>
      <c r="P204" s="1221" t="s">
        <v>2931</v>
      </c>
      <c r="Q204" s="1161"/>
      <c r="R204" s="1221" t="s">
        <v>2931</v>
      </c>
      <c r="S204" s="1161"/>
      <c r="T204" s="1221" t="s">
        <v>2931</v>
      </c>
      <c r="U204" s="1160"/>
    </row>
    <row r="205" spans="1:21">
      <c r="A205" s="1228"/>
      <c r="B205" s="1255" t="s">
        <v>3224</v>
      </c>
      <c r="C205" s="1168"/>
      <c r="D205" s="1238"/>
      <c r="E205" s="1165"/>
      <c r="F205" s="1170"/>
      <c r="G205" s="668">
        <f t="shared" si="13"/>
        <v>0</v>
      </c>
      <c r="H205" s="1221" t="s">
        <v>2931</v>
      </c>
      <c r="I205" s="1161"/>
      <c r="J205" s="1221" t="s">
        <v>2931</v>
      </c>
      <c r="K205" s="1243"/>
      <c r="L205" s="1221" t="s">
        <v>2931</v>
      </c>
      <c r="M205" s="1161"/>
      <c r="N205" s="1221" t="s">
        <v>2931</v>
      </c>
      <c r="O205" s="1161"/>
      <c r="P205" s="1221" t="s">
        <v>2931</v>
      </c>
      <c r="Q205" s="1161"/>
      <c r="R205" s="1221" t="s">
        <v>2931</v>
      </c>
      <c r="S205" s="1161"/>
      <c r="T205" s="1221" t="s">
        <v>2931</v>
      </c>
      <c r="U205" s="1160"/>
    </row>
    <row r="206" spans="1:21">
      <c r="A206" s="1228"/>
      <c r="B206" s="1255" t="s">
        <v>3225</v>
      </c>
      <c r="C206" s="1168"/>
      <c r="D206" s="1238"/>
      <c r="E206" s="1165"/>
      <c r="F206" s="1170"/>
      <c r="G206" s="668">
        <f t="shared" si="13"/>
        <v>0</v>
      </c>
      <c r="H206" s="1221"/>
      <c r="I206" s="1243"/>
      <c r="J206" s="1221"/>
      <c r="K206" s="1243"/>
      <c r="L206" s="1221"/>
      <c r="M206" s="1243"/>
      <c r="N206" s="1221"/>
      <c r="O206" s="1161"/>
      <c r="P206" s="1221"/>
      <c r="Q206" s="1161"/>
      <c r="R206" s="1221" t="s">
        <v>2931</v>
      </c>
      <c r="S206" s="1161"/>
      <c r="T206" s="1221" t="s">
        <v>2931</v>
      </c>
      <c r="U206" s="1160"/>
    </row>
    <row r="207" spans="1:21">
      <c r="A207" s="1228"/>
      <c r="B207" s="1255"/>
      <c r="C207" s="1168"/>
      <c r="D207" s="1238"/>
      <c r="E207" s="1165"/>
      <c r="F207" s="1170"/>
      <c r="G207" s="668">
        <f t="shared" si="13"/>
        <v>0</v>
      </c>
      <c r="H207" s="1221"/>
      <c r="I207" s="1161"/>
      <c r="J207" s="1221"/>
      <c r="K207" s="1160"/>
      <c r="L207" s="1221"/>
      <c r="M207" s="1161"/>
      <c r="N207" s="1221"/>
      <c r="O207" s="1161"/>
      <c r="P207" s="1221"/>
      <c r="Q207" s="1161"/>
      <c r="R207" s="1221"/>
      <c r="S207" s="1161"/>
      <c r="T207" s="1221"/>
      <c r="U207" s="1160"/>
    </row>
    <row r="208" spans="1:21">
      <c r="A208" s="1228"/>
      <c r="B208" s="1255" t="s">
        <v>3226</v>
      </c>
      <c r="C208" s="1168"/>
      <c r="D208" s="1238"/>
      <c r="E208" s="1165"/>
      <c r="F208" s="1170"/>
      <c r="G208" s="668">
        <f t="shared" si="13"/>
        <v>0</v>
      </c>
      <c r="H208" s="1221" t="s">
        <v>2931</v>
      </c>
      <c r="I208" s="1161"/>
      <c r="J208" s="1221" t="s">
        <v>2931</v>
      </c>
      <c r="K208" s="1243"/>
      <c r="L208" s="1221" t="s">
        <v>2931</v>
      </c>
      <c r="M208" s="1243"/>
      <c r="N208" s="1221" t="s">
        <v>2931</v>
      </c>
      <c r="O208" s="1161"/>
      <c r="P208" s="1221" t="s">
        <v>2931</v>
      </c>
      <c r="Q208" s="1161"/>
      <c r="R208" s="1221"/>
      <c r="S208" s="1161"/>
      <c r="T208" s="1221"/>
      <c r="U208" s="1160"/>
    </row>
    <row r="209" spans="1:31" s="175" customFormat="1">
      <c r="A209" s="1228"/>
      <c r="B209" s="1239"/>
      <c r="C209" s="1168"/>
      <c r="D209" s="1238"/>
      <c r="E209" s="1165"/>
      <c r="F209" s="1170"/>
      <c r="G209" s="668">
        <f t="shared" si="13"/>
        <v>0</v>
      </c>
      <c r="H209" s="1221"/>
      <c r="I209" s="1161"/>
      <c r="J209" s="1221"/>
      <c r="K209" s="1160"/>
      <c r="L209" s="1221"/>
      <c r="M209" s="1161"/>
      <c r="N209" s="1221"/>
      <c r="O209" s="1161"/>
      <c r="P209" s="1221"/>
      <c r="Q209" s="1161"/>
      <c r="R209" s="1221"/>
      <c r="S209" s="1161"/>
      <c r="T209" s="1221"/>
      <c r="U209" s="1160"/>
      <c r="W209" s="58"/>
      <c r="AD209" s="301"/>
      <c r="AE209" s="301"/>
    </row>
    <row r="210" spans="1:31" s="175" customFormat="1">
      <c r="A210" s="1228"/>
      <c r="B210" s="644" t="s">
        <v>3227</v>
      </c>
      <c r="C210" s="1168"/>
      <c r="D210" s="1238"/>
      <c r="E210" s="1165" t="s">
        <v>3031</v>
      </c>
      <c r="F210" s="1170"/>
      <c r="G210" s="668"/>
      <c r="H210" s="1221"/>
      <c r="I210" s="1161"/>
      <c r="J210" s="1221"/>
      <c r="K210" s="1160"/>
      <c r="L210" s="1221"/>
      <c r="M210" s="1161"/>
      <c r="N210" s="1221"/>
      <c r="O210" s="1161"/>
      <c r="P210" s="1221"/>
      <c r="Q210" s="1161"/>
      <c r="R210" s="1221"/>
      <c r="S210" s="1161"/>
      <c r="T210" s="1221"/>
      <c r="U210" s="1160"/>
      <c r="W210" s="560"/>
      <c r="X210" s="301"/>
      <c r="Z210" s="301"/>
      <c r="AC210" s="301"/>
      <c r="AD210" s="301"/>
      <c r="AE210" s="301"/>
    </row>
    <row r="211" spans="1:31" s="175" customFormat="1">
      <c r="A211" s="1228"/>
      <c r="B211" s="644" t="s">
        <v>3228</v>
      </c>
      <c r="C211" s="1168"/>
      <c r="D211" s="1238"/>
      <c r="E211" s="1165" t="s">
        <v>3031</v>
      </c>
      <c r="F211" s="1170"/>
      <c r="G211" s="668"/>
      <c r="H211" s="1221"/>
      <c r="I211" s="1161"/>
      <c r="J211" s="1221"/>
      <c r="K211" s="1160"/>
      <c r="L211" s="1221"/>
      <c r="M211" s="1161"/>
      <c r="N211" s="1221"/>
      <c r="O211" s="1161"/>
      <c r="P211" s="1221"/>
      <c r="Q211" s="1161"/>
      <c r="R211" s="1221"/>
      <c r="S211" s="1161"/>
      <c r="T211" s="1221"/>
      <c r="U211" s="1160"/>
      <c r="W211" s="560"/>
      <c r="X211" s="301"/>
      <c r="Z211" s="301"/>
      <c r="AC211" s="301"/>
      <c r="AD211" s="301"/>
      <c r="AE211" s="301"/>
    </row>
    <row r="212" spans="1:31" s="175" customFormat="1">
      <c r="A212" s="1228"/>
      <c r="B212" s="644" t="s">
        <v>3229</v>
      </c>
      <c r="C212" s="1168"/>
      <c r="D212" s="1238">
        <v>3000</v>
      </c>
      <c r="E212" s="1165" t="s">
        <v>3031</v>
      </c>
      <c r="F212" s="1170">
        <v>7</v>
      </c>
      <c r="G212" s="668">
        <f>ROUND(D212*F212,0)</f>
        <v>21000</v>
      </c>
      <c r="H212" s="1221"/>
      <c r="I212" s="1256">
        <f>$G212</f>
        <v>21000</v>
      </c>
      <c r="J212" s="1221"/>
      <c r="K212" s="1256">
        <f>$G212</f>
        <v>21000</v>
      </c>
      <c r="L212" s="1221"/>
      <c r="M212" s="1256">
        <f>$G212</f>
        <v>21000</v>
      </c>
      <c r="N212" s="1221"/>
      <c r="O212" s="1256">
        <f>$G212</f>
        <v>21000</v>
      </c>
      <c r="P212" s="1221"/>
      <c r="Q212" s="1256">
        <f>$G212</f>
        <v>21000</v>
      </c>
      <c r="R212" s="1221"/>
      <c r="S212" s="1256">
        <f>$G212</f>
        <v>21000</v>
      </c>
      <c r="T212" s="1221"/>
      <c r="U212" s="1256">
        <f>$G212</f>
        <v>21000</v>
      </c>
      <c r="W212" s="560"/>
      <c r="X212" s="301">
        <v>1580</v>
      </c>
      <c r="Y212" s="175" t="s">
        <v>2864</v>
      </c>
      <c r="Z212" s="301">
        <f>(15.5*15.5)*0.5</f>
        <v>120.125</v>
      </c>
      <c r="AC212" s="301">
        <f>X212*Z212/27</f>
        <v>7029.5370370370374</v>
      </c>
      <c r="AD212" s="301" t="s">
        <v>3230</v>
      </c>
      <c r="AE212" s="301"/>
    </row>
    <row r="213" spans="1:31" s="175" customFormat="1">
      <c r="A213" s="1228"/>
      <c r="B213" s="778"/>
      <c r="C213" s="1168"/>
      <c r="D213" s="1238"/>
      <c r="E213" s="1165"/>
      <c r="F213" s="1170"/>
      <c r="G213" s="668">
        <f>ROUND(D213*F213,0)</f>
        <v>0</v>
      </c>
      <c r="H213" s="1221"/>
      <c r="I213" s="1161"/>
      <c r="J213" s="1221"/>
      <c r="K213" s="1160"/>
      <c r="L213" s="1221"/>
      <c r="M213" s="1161"/>
      <c r="N213" s="1221"/>
      <c r="O213" s="1161"/>
      <c r="P213" s="1221"/>
      <c r="Q213" s="1161"/>
      <c r="R213" s="1221"/>
      <c r="S213" s="1161"/>
      <c r="T213" s="1221"/>
      <c r="U213" s="1160"/>
      <c r="W213" s="560"/>
      <c r="AC213" s="504">
        <f>SUM(AC210:AC212)</f>
        <v>7029.5370370370374</v>
      </c>
      <c r="AD213" s="301"/>
      <c r="AE213" s="301"/>
    </row>
    <row r="214" spans="1:31" s="175" customFormat="1">
      <c r="A214" s="1228"/>
      <c r="B214" s="778"/>
      <c r="C214" s="1168"/>
      <c r="D214" s="1238"/>
      <c r="E214" s="1165"/>
      <c r="F214" s="1170"/>
      <c r="G214" s="668"/>
      <c r="H214" s="1221"/>
      <c r="I214" s="1161"/>
      <c r="J214" s="1221"/>
      <c r="K214" s="1160"/>
      <c r="L214" s="1221"/>
      <c r="M214" s="1161"/>
      <c r="N214" s="1221"/>
      <c r="O214" s="1161"/>
      <c r="P214" s="1221"/>
      <c r="Q214" s="1161"/>
      <c r="R214" s="1221"/>
      <c r="S214" s="1161"/>
      <c r="T214" s="1221"/>
      <c r="U214" s="1160"/>
      <c r="W214" s="560"/>
      <c r="AC214" s="504"/>
      <c r="AD214" s="301"/>
      <c r="AE214" s="301"/>
    </row>
    <row r="215" spans="1:31" s="175" customFormat="1">
      <c r="A215" s="1228"/>
      <c r="B215" s="778"/>
      <c r="C215" s="1168"/>
      <c r="D215" s="1238"/>
      <c r="E215" s="1165"/>
      <c r="F215" s="1170"/>
      <c r="G215" s="668"/>
      <c r="H215" s="1221"/>
      <c r="I215" s="1161"/>
      <c r="J215" s="1221"/>
      <c r="K215" s="1160"/>
      <c r="L215" s="1221"/>
      <c r="M215" s="1161"/>
      <c r="N215" s="1221"/>
      <c r="O215" s="1161"/>
      <c r="P215" s="1221"/>
      <c r="Q215" s="1161"/>
      <c r="R215" s="1221"/>
      <c r="S215" s="1161"/>
      <c r="T215" s="1221"/>
      <c r="U215" s="1160"/>
      <c r="W215" s="560"/>
      <c r="AC215" s="504"/>
      <c r="AD215" s="301"/>
      <c r="AE215" s="301"/>
    </row>
    <row r="216" spans="1:31" s="175" customFormat="1" ht="30">
      <c r="A216" s="1223"/>
      <c r="B216" s="779" t="s">
        <v>3231</v>
      </c>
      <c r="C216" s="1231"/>
      <c r="D216" s="1232"/>
      <c r="E216" s="1230"/>
      <c r="F216" s="1233"/>
      <c r="G216" s="668">
        <f>ROUND(D216*F216,0)</f>
        <v>0</v>
      </c>
      <c r="H216" s="1234" t="s">
        <v>2929</v>
      </c>
      <c r="I216" s="1235"/>
      <c r="J216" s="1234"/>
      <c r="K216" s="1236"/>
      <c r="L216" s="1234"/>
      <c r="M216" s="1235"/>
      <c r="N216" s="1234"/>
      <c r="O216" s="1235"/>
      <c r="P216" s="1234"/>
      <c r="Q216" s="1235"/>
      <c r="R216" s="1234"/>
      <c r="S216" s="1235"/>
      <c r="T216" s="1234"/>
      <c r="U216" s="1236"/>
      <c r="W216" s="560"/>
      <c r="AD216" s="301"/>
      <c r="AE216" s="301"/>
    </row>
    <row r="217" spans="1:31" ht="30">
      <c r="A217" s="1223"/>
      <c r="B217" s="1257" t="s">
        <v>3232</v>
      </c>
      <c r="C217" s="1241"/>
      <c r="D217" s="1242"/>
      <c r="E217" s="1230"/>
      <c r="F217" s="1233"/>
      <c r="G217" s="668">
        <f>ROUND(D217*F217,0)</f>
        <v>0</v>
      </c>
      <c r="H217" s="1234" t="s">
        <v>2929</v>
      </c>
      <c r="I217" s="1235"/>
      <c r="J217" s="1234"/>
      <c r="K217" s="1236"/>
      <c r="L217" s="1234"/>
      <c r="M217" s="1235"/>
      <c r="N217" s="1234"/>
      <c r="O217" s="1235"/>
      <c r="P217" s="1234"/>
      <c r="Q217" s="1235"/>
      <c r="R217" s="1234"/>
      <c r="S217" s="1235"/>
      <c r="T217" s="1234"/>
      <c r="U217" s="1236"/>
    </row>
    <row r="218" spans="1:31" ht="75">
      <c r="A218" s="1223"/>
      <c r="B218" s="1258" t="s">
        <v>3233</v>
      </c>
      <c r="C218" s="1241"/>
      <c r="D218" s="1242"/>
      <c r="E218" s="1230"/>
      <c r="F218" s="1233"/>
      <c r="G218" s="668">
        <f>ROUND(D218*F218,0)</f>
        <v>0</v>
      </c>
      <c r="H218" s="1234" t="s">
        <v>2931</v>
      </c>
      <c r="I218" s="1235"/>
      <c r="J218" s="1234"/>
      <c r="K218" s="1236"/>
      <c r="L218" s="1234"/>
      <c r="M218" s="1235"/>
      <c r="N218" s="1234"/>
      <c r="O218" s="1235"/>
      <c r="P218" s="1234"/>
      <c r="Q218" s="1235"/>
      <c r="R218" s="1234"/>
      <c r="S218" s="1235"/>
      <c r="T218" s="1234"/>
      <c r="U218" s="1236"/>
    </row>
    <row r="219" spans="1:31" s="175" customFormat="1" ht="90">
      <c r="A219" s="1259" t="s">
        <v>2587</v>
      </c>
      <c r="B219" s="1260" t="s">
        <v>2618</v>
      </c>
      <c r="C219" s="1241"/>
      <c r="D219" s="1242">
        <v>5</v>
      </c>
      <c r="E219" s="1230" t="s">
        <v>3234</v>
      </c>
      <c r="F219" s="1261">
        <v>5000</v>
      </c>
      <c r="G219" s="653">
        <f>ROUND(D219*F219,0)</f>
        <v>25000</v>
      </c>
      <c r="H219" s="1234"/>
      <c r="I219" s="1262">
        <f>$G219</f>
        <v>25000</v>
      </c>
      <c r="J219" s="1234"/>
      <c r="K219" s="1262">
        <f>$G219</f>
        <v>25000</v>
      </c>
      <c r="L219" s="1234"/>
      <c r="M219" s="1262">
        <f>$G219</f>
        <v>25000</v>
      </c>
      <c r="N219" s="1234"/>
      <c r="O219" s="1262">
        <f>$G219</f>
        <v>25000</v>
      </c>
      <c r="P219" s="1234"/>
      <c r="Q219" s="1262">
        <f>$G219</f>
        <v>25000</v>
      </c>
      <c r="R219" s="1234"/>
      <c r="S219" s="1262">
        <f>$G219</f>
        <v>25000</v>
      </c>
      <c r="T219" s="1234"/>
      <c r="U219" s="1262">
        <f>$G219</f>
        <v>25000</v>
      </c>
      <c r="W219" s="58"/>
      <c r="AD219" s="301"/>
      <c r="AE219" s="301"/>
    </row>
    <row r="220" spans="1:31">
      <c r="A220" s="1228"/>
      <c r="B220" s="1239"/>
      <c r="C220" s="1168"/>
      <c r="D220" s="1238"/>
      <c r="E220" s="1165"/>
      <c r="F220" s="1170"/>
      <c r="G220" s="668"/>
      <c r="H220" s="1221"/>
      <c r="I220" s="1161"/>
      <c r="J220" s="1221"/>
      <c r="K220" s="1160"/>
      <c r="L220" s="1221"/>
      <c r="M220" s="1161"/>
      <c r="N220" s="1221"/>
      <c r="O220" s="1161"/>
      <c r="P220" s="1221"/>
      <c r="Q220" s="1161"/>
      <c r="R220" s="1221"/>
      <c r="S220" s="1161"/>
      <c r="T220" s="1221"/>
      <c r="U220" s="1160"/>
    </row>
    <row r="221" spans="1:31">
      <c r="A221" s="1228"/>
      <c r="B221" s="786" t="s">
        <v>3235</v>
      </c>
      <c r="C221" s="1213"/>
      <c r="D221" s="1164"/>
      <c r="E221" s="1165"/>
      <c r="F221" s="1170"/>
      <c r="G221" s="662">
        <f>SUBTOTAL(9,G222:G238)</f>
        <v>56780</v>
      </c>
      <c r="H221" s="1221"/>
      <c r="I221" s="1166">
        <f>SUBTOTAL(9,I222:I238)</f>
        <v>108738</v>
      </c>
      <c r="J221" s="1221"/>
      <c r="K221" s="1166">
        <f>SUBTOTAL(9,K222:K238)</f>
        <v>147505</v>
      </c>
      <c r="L221" s="1221"/>
      <c r="M221" s="1166">
        <f>SUBTOTAL(9,M222:M238)</f>
        <v>445650</v>
      </c>
      <c r="N221" s="1221"/>
      <c r="O221" s="1166">
        <f>SUBTOTAL(9,O222:O238)</f>
        <v>138875</v>
      </c>
      <c r="P221" s="1221"/>
      <c r="Q221" s="1166">
        <f>SUBTOTAL(9,Q222:Q238)</f>
        <v>141150</v>
      </c>
      <c r="R221" s="1221"/>
      <c r="S221" s="1166">
        <f>SUBTOTAL(9,S222:S238)</f>
        <v>181500</v>
      </c>
      <c r="T221" s="1221"/>
      <c r="U221" s="1166">
        <f>SUBTOTAL(9,U222:U238)</f>
        <v>200000</v>
      </c>
    </row>
    <row r="222" spans="1:31">
      <c r="A222" s="1223"/>
      <c r="B222" s="1250" t="s">
        <v>2994</v>
      </c>
      <c r="C222" s="1168"/>
      <c r="D222" s="1238"/>
      <c r="E222" s="1165"/>
      <c r="F222" s="1170"/>
      <c r="G222" s="668">
        <f t="shared" ref="G222:G233" si="14">ROUND(D222*F222,0)</f>
        <v>0</v>
      </c>
      <c r="H222" s="1221"/>
      <c r="I222" s="1161">
        <f>111848+21670</f>
        <v>133518</v>
      </c>
      <c r="J222" s="1221"/>
      <c r="K222" s="1160">
        <v>47505</v>
      </c>
      <c r="L222" s="1221"/>
      <c r="M222" s="1161">
        <v>345650</v>
      </c>
      <c r="N222" s="1221"/>
      <c r="O222" s="1263">
        <v>38875</v>
      </c>
      <c r="P222" s="1221"/>
      <c r="Q222" s="1161">
        <v>41150</v>
      </c>
      <c r="R222" s="1221"/>
      <c r="S222" s="1161">
        <v>81500</v>
      </c>
      <c r="T222" s="1221"/>
      <c r="U222" s="1160">
        <v>200000</v>
      </c>
    </row>
    <row r="223" spans="1:31">
      <c r="A223" s="1223"/>
      <c r="B223" s="1250" t="s">
        <v>3236</v>
      </c>
      <c r="C223" s="1168"/>
      <c r="D223" s="1238"/>
      <c r="E223" s="1165"/>
      <c r="F223" s="1170"/>
      <c r="G223" s="668">
        <f t="shared" si="14"/>
        <v>0</v>
      </c>
      <c r="H223" s="1221"/>
      <c r="I223" s="1161"/>
      <c r="J223" s="1221"/>
      <c r="K223" s="1160"/>
      <c r="L223" s="1221"/>
      <c r="M223" s="1161"/>
      <c r="N223" s="1221"/>
      <c r="O223" s="1161"/>
      <c r="P223" s="1221"/>
      <c r="Q223" s="1161"/>
      <c r="R223" s="1221"/>
      <c r="S223" s="1161"/>
      <c r="T223" s="1221"/>
      <c r="U223" s="1160"/>
    </row>
    <row r="224" spans="1:31">
      <c r="A224" s="1223"/>
      <c r="B224" s="1167" t="s">
        <v>3237</v>
      </c>
      <c r="C224" s="1168"/>
      <c r="D224" s="1238">
        <v>1.69</v>
      </c>
      <c r="E224" s="1165" t="s">
        <v>3031</v>
      </c>
      <c r="F224" s="1170">
        <f>F28*2</f>
        <v>3600</v>
      </c>
      <c r="G224" s="668">
        <f t="shared" si="14"/>
        <v>6084</v>
      </c>
      <c r="H224" s="1221"/>
      <c r="I224" s="1161"/>
      <c r="J224" s="1221"/>
      <c r="K224" s="1160"/>
      <c r="L224" s="1221"/>
      <c r="M224" s="1161"/>
      <c r="N224" s="1221"/>
      <c r="O224" s="1161"/>
      <c r="P224" s="1221"/>
      <c r="Q224" s="1161"/>
      <c r="R224" s="1221"/>
      <c r="S224" s="1161"/>
      <c r="T224" s="1221"/>
      <c r="U224" s="1160"/>
    </row>
    <row r="225" spans="1:21">
      <c r="A225" s="1223"/>
      <c r="B225" s="1167" t="s">
        <v>3238</v>
      </c>
      <c r="C225" s="1168"/>
      <c r="D225" s="1238">
        <v>1.48</v>
      </c>
      <c r="E225" s="1165" t="s">
        <v>3031</v>
      </c>
      <c r="F225" s="1170">
        <f>F224</f>
        <v>3600</v>
      </c>
      <c r="G225" s="668">
        <f t="shared" si="14"/>
        <v>5328</v>
      </c>
      <c r="H225" s="1221"/>
      <c r="I225" s="1161"/>
      <c r="J225" s="1221"/>
      <c r="K225" s="1160"/>
      <c r="L225" s="1221"/>
      <c r="M225" s="1161"/>
      <c r="N225" s="1221"/>
      <c r="O225" s="1161"/>
      <c r="P225" s="1221"/>
      <c r="Q225" s="1161"/>
      <c r="R225" s="1221"/>
      <c r="S225" s="1161"/>
      <c r="T225" s="1221"/>
      <c r="U225" s="1160"/>
    </row>
    <row r="226" spans="1:21">
      <c r="A226" s="1223"/>
      <c r="B226" s="1167" t="s">
        <v>3239</v>
      </c>
      <c r="C226" s="1168"/>
      <c r="D226" s="1238">
        <v>0.44</v>
      </c>
      <c r="E226" s="1165" t="s">
        <v>3031</v>
      </c>
      <c r="F226" s="1170">
        <f>F24*2</f>
        <v>3200</v>
      </c>
      <c r="G226" s="668">
        <f t="shared" si="14"/>
        <v>1408</v>
      </c>
      <c r="H226" s="1221"/>
      <c r="I226" s="1161"/>
      <c r="J226" s="1221"/>
      <c r="K226" s="1160"/>
      <c r="L226" s="1221"/>
      <c r="M226" s="1161"/>
      <c r="N226" s="1221"/>
      <c r="O226" s="1161"/>
      <c r="P226" s="1221"/>
      <c r="Q226" s="1161"/>
      <c r="R226" s="1221"/>
      <c r="S226" s="1161"/>
      <c r="T226" s="1221"/>
      <c r="U226" s="1160"/>
    </row>
    <row r="227" spans="1:21">
      <c r="A227" s="1223"/>
      <c r="B227" s="1167" t="s">
        <v>3240</v>
      </c>
      <c r="C227" s="1168"/>
      <c r="D227" s="1238">
        <v>1.77</v>
      </c>
      <c r="E227" s="1165" t="s">
        <v>3031</v>
      </c>
      <c r="F227" s="1170">
        <f>F226</f>
        <v>3200</v>
      </c>
      <c r="G227" s="668">
        <f t="shared" si="14"/>
        <v>5664</v>
      </c>
      <c r="H227" s="1221"/>
      <c r="I227" s="1161"/>
      <c r="J227" s="1221"/>
      <c r="K227" s="1160"/>
      <c r="L227" s="1221"/>
      <c r="M227" s="1161"/>
      <c r="N227" s="1221"/>
      <c r="O227" s="1161"/>
      <c r="P227" s="1221"/>
      <c r="Q227" s="1161"/>
      <c r="R227" s="1221"/>
      <c r="S227" s="1161"/>
      <c r="T227" s="1221"/>
      <c r="U227" s="1160"/>
    </row>
    <row r="228" spans="1:21">
      <c r="A228" s="1223"/>
      <c r="B228" s="1167" t="s">
        <v>3241</v>
      </c>
      <c r="C228" s="1168"/>
      <c r="D228" s="1238">
        <v>2.2799999999999998</v>
      </c>
      <c r="E228" s="1165" t="s">
        <v>3031</v>
      </c>
      <c r="F228" s="1170">
        <f>F226</f>
        <v>3200</v>
      </c>
      <c r="G228" s="668">
        <f t="shared" si="14"/>
        <v>7296</v>
      </c>
      <c r="H228" s="1221"/>
      <c r="I228" s="1161"/>
      <c r="J228" s="1221"/>
      <c r="K228" s="1160"/>
      <c r="L228" s="1221"/>
      <c r="M228" s="1161"/>
      <c r="N228" s="1221"/>
      <c r="O228" s="1161"/>
      <c r="P228" s="1221"/>
      <c r="Q228" s="1161"/>
      <c r="R228" s="1221"/>
      <c r="S228" s="1161"/>
      <c r="T228" s="1221"/>
      <c r="U228" s="1160"/>
    </row>
    <row r="229" spans="1:21">
      <c r="A229" s="1223"/>
      <c r="B229" s="1250" t="s">
        <v>3242</v>
      </c>
      <c r="C229" s="1168"/>
      <c r="D229" s="1238"/>
      <c r="E229" s="1165"/>
      <c r="F229" s="1170"/>
      <c r="G229" s="668">
        <f t="shared" si="14"/>
        <v>0</v>
      </c>
      <c r="H229" s="1221"/>
      <c r="I229" s="1161"/>
      <c r="J229" s="1221"/>
      <c r="K229" s="1160"/>
      <c r="L229" s="1221"/>
      <c r="M229" s="1161"/>
      <c r="N229" s="1221"/>
      <c r="O229" s="1161"/>
      <c r="P229" s="1221"/>
      <c r="Q229" s="1161"/>
      <c r="R229" s="1221"/>
      <c r="S229" s="1161"/>
      <c r="T229" s="1221"/>
      <c r="U229" s="1160"/>
    </row>
    <row r="230" spans="1:21">
      <c r="A230" s="1223"/>
      <c r="B230" s="1167" t="s">
        <v>3243</v>
      </c>
      <c r="C230" s="1168"/>
      <c r="D230" s="1238">
        <v>1505</v>
      </c>
      <c r="E230" s="1165" t="s">
        <v>2845</v>
      </c>
      <c r="F230" s="1170">
        <v>20</v>
      </c>
      <c r="G230" s="668">
        <f t="shared" si="14"/>
        <v>30100</v>
      </c>
      <c r="H230" s="1221"/>
      <c r="I230" s="1161"/>
      <c r="J230" s="1221"/>
      <c r="K230" s="1160"/>
      <c r="L230" s="1221"/>
      <c r="M230" s="1161"/>
      <c r="N230" s="1221"/>
      <c r="O230" s="1161"/>
      <c r="P230" s="1221"/>
      <c r="Q230" s="1161"/>
      <c r="R230" s="1221"/>
      <c r="S230" s="1161"/>
      <c r="T230" s="1221"/>
      <c r="U230" s="1160"/>
    </row>
    <row r="231" spans="1:21">
      <c r="A231" s="1223"/>
      <c r="B231" s="1250" t="s">
        <v>3244</v>
      </c>
      <c r="C231" s="1168"/>
      <c r="D231" s="1238"/>
      <c r="E231" s="1165"/>
      <c r="F231" s="1170"/>
      <c r="G231" s="668">
        <f t="shared" si="14"/>
        <v>0</v>
      </c>
      <c r="H231" s="1221"/>
      <c r="I231" s="1161"/>
      <c r="J231" s="1221"/>
      <c r="K231" s="1160"/>
      <c r="L231" s="1221"/>
      <c r="M231" s="1161"/>
      <c r="N231" s="1221"/>
      <c r="O231" s="1161"/>
      <c r="P231" s="1221"/>
      <c r="Q231" s="1161"/>
      <c r="R231" s="1221"/>
      <c r="S231" s="1161"/>
      <c r="T231" s="1221"/>
      <c r="U231" s="1160"/>
    </row>
    <row r="232" spans="1:21">
      <c r="A232" s="1223"/>
      <c r="B232" s="1167" t="s">
        <v>3245</v>
      </c>
      <c r="C232" s="1168"/>
      <c r="D232" s="1238">
        <v>5</v>
      </c>
      <c r="E232" s="1165" t="s">
        <v>2864</v>
      </c>
      <c r="F232" s="1170">
        <v>60</v>
      </c>
      <c r="G232" s="668">
        <f t="shared" si="14"/>
        <v>300</v>
      </c>
      <c r="H232" s="1221"/>
      <c r="I232" s="1161"/>
      <c r="J232" s="1221"/>
      <c r="K232" s="1160"/>
      <c r="L232" s="1221"/>
      <c r="M232" s="1161"/>
      <c r="N232" s="1221"/>
      <c r="O232" s="1161"/>
      <c r="P232" s="1221"/>
      <c r="Q232" s="1161"/>
      <c r="R232" s="1221"/>
      <c r="S232" s="1161"/>
      <c r="T232" s="1221"/>
      <c r="U232" s="1160"/>
    </row>
    <row r="233" spans="1:21">
      <c r="A233" s="1223"/>
      <c r="B233" s="1167" t="s">
        <v>3246</v>
      </c>
      <c r="C233" s="1168"/>
      <c r="D233" s="1238">
        <v>10</v>
      </c>
      <c r="E233" s="1165" t="s">
        <v>2864</v>
      </c>
      <c r="F233" s="1170">
        <v>60</v>
      </c>
      <c r="G233" s="668">
        <f t="shared" si="14"/>
        <v>600</v>
      </c>
      <c r="H233" s="1221"/>
      <c r="I233" s="1161"/>
      <c r="J233" s="1221"/>
      <c r="K233" s="1160"/>
      <c r="L233" s="1221"/>
      <c r="M233" s="1161"/>
      <c r="N233" s="1221"/>
      <c r="O233" s="1161"/>
      <c r="P233" s="1221"/>
      <c r="Q233" s="1161"/>
      <c r="R233" s="1221"/>
      <c r="S233" s="1161"/>
      <c r="T233" s="1221"/>
      <c r="U233" s="1160"/>
    </row>
    <row r="234" spans="1:21">
      <c r="A234" s="1223"/>
      <c r="B234" s="1167" t="s">
        <v>3247</v>
      </c>
      <c r="C234" s="1168"/>
      <c r="D234" s="1238"/>
      <c r="E234" s="1165"/>
      <c r="F234" s="1170"/>
      <c r="G234" s="668"/>
      <c r="H234" s="1221" t="s">
        <v>2929</v>
      </c>
      <c r="I234" s="1161"/>
      <c r="J234" s="1221"/>
      <c r="K234" s="1160"/>
      <c r="L234" s="1221"/>
      <c r="M234" s="1243"/>
      <c r="N234" s="1221"/>
      <c r="O234" s="1161"/>
      <c r="P234" s="1221"/>
      <c r="Q234" s="1161"/>
      <c r="R234" s="1221"/>
      <c r="S234" s="1161"/>
      <c r="T234" s="1221"/>
      <c r="U234" s="1160"/>
    </row>
    <row r="235" spans="1:21">
      <c r="A235" s="1223"/>
      <c r="B235" s="1239" t="s">
        <v>3248</v>
      </c>
      <c r="C235" s="1168"/>
      <c r="D235" s="1238"/>
      <c r="E235" s="1165"/>
      <c r="F235" s="1170"/>
      <c r="G235" s="668"/>
      <c r="H235" s="1221" t="s">
        <v>2929</v>
      </c>
      <c r="I235" s="1264">
        <v>-24780</v>
      </c>
      <c r="J235" s="1221"/>
      <c r="K235" s="1160"/>
      <c r="L235" s="1221"/>
      <c r="M235" s="1161"/>
      <c r="N235" s="1221"/>
      <c r="O235" s="1161"/>
      <c r="P235" s="1221"/>
      <c r="Q235" s="1161"/>
      <c r="R235" s="1221"/>
      <c r="S235" s="1161"/>
      <c r="T235" s="1221"/>
      <c r="U235" s="1160"/>
    </row>
    <row r="236" spans="1:21">
      <c r="A236" s="1223"/>
      <c r="B236" s="1250" t="s">
        <v>3249</v>
      </c>
      <c r="C236" s="1168"/>
      <c r="D236" s="1238"/>
      <c r="E236" s="1165"/>
      <c r="F236" s="1170"/>
      <c r="G236" s="668"/>
      <c r="H236" s="1221" t="s">
        <v>2931</v>
      </c>
      <c r="I236" s="1161"/>
      <c r="J236" s="1221"/>
      <c r="K236" s="1256">
        <v>100000</v>
      </c>
      <c r="L236" s="1221"/>
      <c r="M236" s="1243">
        <v>100000</v>
      </c>
      <c r="N236" s="1221"/>
      <c r="O236" s="1243">
        <v>100000</v>
      </c>
      <c r="P236" s="1221"/>
      <c r="Q236" s="1256">
        <v>100000</v>
      </c>
      <c r="R236" s="1221"/>
      <c r="S236" s="1256">
        <v>100000</v>
      </c>
      <c r="T236" s="1221"/>
      <c r="U236" s="1160"/>
    </row>
    <row r="237" spans="1:21">
      <c r="A237" s="1223"/>
      <c r="B237" s="1167"/>
      <c r="C237" s="1168"/>
      <c r="D237" s="1238"/>
      <c r="E237" s="1165"/>
      <c r="F237" s="1170"/>
      <c r="G237" s="668"/>
      <c r="H237" s="1221"/>
      <c r="I237" s="1161"/>
      <c r="J237" s="1221"/>
      <c r="K237" s="1160"/>
      <c r="L237" s="1221"/>
      <c r="M237" s="1161"/>
      <c r="N237" s="1221"/>
      <c r="O237" s="1161"/>
      <c r="P237" s="1221"/>
      <c r="Q237" s="1161"/>
      <c r="R237" s="1221"/>
      <c r="S237" s="1161"/>
      <c r="T237" s="1221"/>
      <c r="U237" s="1160"/>
    </row>
    <row r="238" spans="1:21">
      <c r="A238" s="1223"/>
      <c r="B238" s="1167"/>
      <c r="C238" s="1168"/>
      <c r="D238" s="1238"/>
      <c r="E238" s="1165"/>
      <c r="F238" s="1170"/>
      <c r="G238" s="668">
        <f>ROUND(D238*F238,0)</f>
        <v>0</v>
      </c>
      <c r="H238" s="1221"/>
      <c r="I238" s="1161"/>
      <c r="J238" s="1221"/>
      <c r="K238" s="1160"/>
      <c r="L238" s="1221"/>
      <c r="M238" s="1161"/>
      <c r="N238" s="1221"/>
      <c r="O238" s="1161"/>
      <c r="P238" s="1221"/>
      <c r="Q238" s="1161"/>
      <c r="R238" s="1221"/>
      <c r="S238" s="1161"/>
      <c r="T238" s="1221"/>
      <c r="U238" s="1160"/>
    </row>
    <row r="239" spans="1:21">
      <c r="A239" s="1228"/>
      <c r="B239" s="786" t="s">
        <v>2697</v>
      </c>
      <c r="C239" s="1213"/>
      <c r="D239" s="1164"/>
      <c r="E239" s="1165"/>
      <c r="F239" s="1170"/>
      <c r="G239" s="662">
        <f>SUBTOTAL(9,G240:G259)</f>
        <v>136678</v>
      </c>
      <c r="H239" s="1221"/>
      <c r="I239" s="1166">
        <f>SUBTOTAL(9,I240:I259)</f>
        <v>300788</v>
      </c>
      <c r="J239" s="1221"/>
      <c r="K239" s="1166">
        <f>SUBTOTAL(9,K240:K259)</f>
        <v>254428</v>
      </c>
      <c r="L239" s="1221"/>
      <c r="M239" s="1166">
        <f>SUBTOTAL(9,M240:M259)</f>
        <v>347500</v>
      </c>
      <c r="N239" s="1221"/>
      <c r="O239" s="1166">
        <f>SUBTOTAL(9,O240:O259)</f>
        <v>275808</v>
      </c>
      <c r="P239" s="1221"/>
      <c r="Q239" s="1166">
        <f>SUBTOTAL(9,Q240:Q259)</f>
        <v>211550</v>
      </c>
      <c r="R239" s="1221"/>
      <c r="S239" s="1166">
        <f>SUBTOTAL(9,S240:S259)</f>
        <v>335125</v>
      </c>
      <c r="T239" s="1221"/>
      <c r="U239" s="1166">
        <f>SUBTOTAL(9,U240:U259)</f>
        <v>200000</v>
      </c>
    </row>
    <row r="240" spans="1:21">
      <c r="A240" s="1223"/>
      <c r="B240" s="1250" t="s">
        <v>2994</v>
      </c>
      <c r="C240" s="1168"/>
      <c r="D240" s="1238"/>
      <c r="E240" s="1165"/>
      <c r="F240" s="1170"/>
      <c r="G240" s="668">
        <f t="shared" ref="G240:G254" si="15">ROUND(D240*F240,0)</f>
        <v>0</v>
      </c>
      <c r="H240" s="1221"/>
      <c r="I240" s="1161">
        <f>246668+54120</f>
        <v>300788</v>
      </c>
      <c r="J240" s="1221"/>
      <c r="K240" s="1160"/>
      <c r="L240" s="1221"/>
      <c r="M240" s="1161">
        <v>347500</v>
      </c>
      <c r="N240" s="1221"/>
      <c r="O240" s="1161">
        <v>275808</v>
      </c>
      <c r="P240" s="1221"/>
      <c r="Q240" s="1161">
        <v>211550</v>
      </c>
      <c r="R240" s="1221"/>
      <c r="S240" s="1161">
        <v>335125</v>
      </c>
      <c r="T240" s="1221"/>
      <c r="U240" s="1160">
        <v>200000</v>
      </c>
    </row>
    <row r="241" spans="1:21">
      <c r="A241" s="1223"/>
      <c r="B241" s="1250" t="s">
        <v>3250</v>
      </c>
      <c r="C241" s="1168"/>
      <c r="D241" s="1238"/>
      <c r="E241" s="1165"/>
      <c r="F241" s="1170"/>
      <c r="G241" s="668">
        <f t="shared" si="15"/>
        <v>0</v>
      </c>
      <c r="H241" s="1221"/>
      <c r="I241" s="1161"/>
      <c r="J241" s="1221"/>
      <c r="K241" s="1160">
        <v>38512</v>
      </c>
      <c r="L241" s="1221"/>
      <c r="M241" s="1161"/>
      <c r="N241" s="1221"/>
      <c r="O241" s="1161"/>
      <c r="P241" s="1221"/>
      <c r="Q241" s="1161"/>
      <c r="R241" s="1221"/>
      <c r="S241" s="1161"/>
      <c r="T241" s="1221"/>
      <c r="U241" s="1160"/>
    </row>
    <row r="242" spans="1:21">
      <c r="A242" s="1223"/>
      <c r="B242" s="1250" t="s">
        <v>3251</v>
      </c>
      <c r="C242" s="1168"/>
      <c r="D242" s="1238"/>
      <c r="E242" s="1165"/>
      <c r="F242" s="1170"/>
      <c r="G242" s="668">
        <f t="shared" si="15"/>
        <v>0</v>
      </c>
      <c r="H242" s="1221"/>
      <c r="I242" s="1161"/>
      <c r="J242" s="1221"/>
      <c r="K242" s="1160">
        <v>81231</v>
      </c>
      <c r="L242" s="1221"/>
      <c r="M242" s="1161"/>
      <c r="N242" s="1221"/>
      <c r="O242" s="1161"/>
      <c r="P242" s="1221"/>
      <c r="Q242" s="1161"/>
      <c r="R242" s="1221"/>
      <c r="S242" s="1161"/>
      <c r="T242" s="1221"/>
      <c r="U242" s="1160"/>
    </row>
    <row r="243" spans="1:21">
      <c r="A243" s="1223"/>
      <c r="B243" s="1250" t="s">
        <v>3252</v>
      </c>
      <c r="C243" s="1168"/>
      <c r="D243" s="1238"/>
      <c r="E243" s="1165"/>
      <c r="F243" s="1170"/>
      <c r="G243" s="668">
        <f t="shared" si="15"/>
        <v>0</v>
      </c>
      <c r="H243" s="1221"/>
      <c r="I243" s="1161"/>
      <c r="J243" s="1221"/>
      <c r="K243" s="1160">
        <v>22863</v>
      </c>
      <c r="L243" s="1221"/>
      <c r="M243" s="1161"/>
      <c r="N243" s="1221"/>
      <c r="O243" s="1161"/>
      <c r="P243" s="1221"/>
      <c r="Q243" s="1161"/>
      <c r="R243" s="1221"/>
      <c r="S243" s="1161"/>
      <c r="T243" s="1221"/>
      <c r="U243" s="1160"/>
    </row>
    <row r="244" spans="1:21">
      <c r="A244" s="1223"/>
      <c r="B244" s="1250" t="s">
        <v>3253</v>
      </c>
      <c r="C244" s="1168"/>
      <c r="D244" s="1238"/>
      <c r="E244" s="1165"/>
      <c r="F244" s="1170"/>
      <c r="G244" s="668">
        <f t="shared" si="15"/>
        <v>0</v>
      </c>
      <c r="H244" s="1221"/>
      <c r="I244" s="1161"/>
      <c r="J244" s="1221"/>
      <c r="K244" s="1160">
        <v>58411</v>
      </c>
      <c r="L244" s="1221"/>
      <c r="M244" s="1161"/>
      <c r="N244" s="1221"/>
      <c r="O244" s="1161"/>
      <c r="P244" s="1221"/>
      <c r="Q244" s="1161"/>
      <c r="R244" s="1221"/>
      <c r="S244" s="1161"/>
      <c r="T244" s="1221"/>
      <c r="U244" s="1160"/>
    </row>
    <row r="245" spans="1:21">
      <c r="A245" s="1223"/>
      <c r="B245" s="1250" t="s">
        <v>3254</v>
      </c>
      <c r="C245" s="1168"/>
      <c r="D245" s="1238"/>
      <c r="E245" s="1165"/>
      <c r="F245" s="1170"/>
      <c r="G245" s="668">
        <f t="shared" si="15"/>
        <v>0</v>
      </c>
      <c r="H245" s="1221"/>
      <c r="I245" s="1161"/>
      <c r="J245" s="1221"/>
      <c r="K245" s="1160">
        <v>53411</v>
      </c>
      <c r="L245" s="1221"/>
      <c r="M245" s="1161"/>
      <c r="N245" s="1221"/>
      <c r="O245" s="1161"/>
      <c r="P245" s="1221"/>
      <c r="Q245" s="1161"/>
      <c r="R245" s="1221"/>
      <c r="S245" s="1161"/>
      <c r="T245" s="1221"/>
      <c r="U245" s="1160"/>
    </row>
    <row r="246" spans="1:21">
      <c r="A246" s="1223"/>
      <c r="B246" s="1250" t="s">
        <v>3236</v>
      </c>
      <c r="C246" s="1168"/>
      <c r="D246" s="1238"/>
      <c r="E246" s="1165"/>
      <c r="F246" s="1170"/>
      <c r="G246" s="668">
        <f t="shared" si="15"/>
        <v>0</v>
      </c>
      <c r="H246" s="1221"/>
      <c r="I246" s="1161"/>
      <c r="J246" s="1221"/>
      <c r="K246" s="1160"/>
      <c r="L246" s="1221"/>
      <c r="M246" s="1161"/>
      <c r="N246" s="1221"/>
      <c r="O246" s="1161"/>
      <c r="P246" s="1221"/>
      <c r="Q246" s="1161"/>
      <c r="R246" s="1221"/>
      <c r="S246" s="1161"/>
      <c r="T246" s="1221"/>
      <c r="U246" s="1160"/>
    </row>
    <row r="247" spans="1:21">
      <c r="A247" s="1223"/>
      <c r="B247" s="1167" t="s">
        <v>3255</v>
      </c>
      <c r="C247" s="1168"/>
      <c r="D247" s="1238">
        <v>40.35</v>
      </c>
      <c r="E247" s="1165" t="s">
        <v>3031</v>
      </c>
      <c r="F247" s="1170">
        <v>800</v>
      </c>
      <c r="G247" s="668">
        <f t="shared" si="15"/>
        <v>32280</v>
      </c>
      <c r="H247" s="1221"/>
      <c r="I247" s="1161"/>
      <c r="J247" s="1221"/>
      <c r="K247" s="1160"/>
      <c r="L247" s="1221"/>
      <c r="M247" s="1161"/>
      <c r="N247" s="1221"/>
      <c r="O247" s="1161"/>
      <c r="P247" s="1221"/>
      <c r="Q247" s="1161"/>
      <c r="R247" s="1221"/>
      <c r="S247" s="1161"/>
      <c r="T247" s="1221"/>
      <c r="U247" s="1160"/>
    </row>
    <row r="248" spans="1:21">
      <c r="A248" s="1223"/>
      <c r="B248" s="1167" t="s">
        <v>3256</v>
      </c>
      <c r="C248" s="1168"/>
      <c r="D248" s="1238">
        <v>14.22</v>
      </c>
      <c r="E248" s="1165" t="s">
        <v>3031</v>
      </c>
      <c r="F248" s="1170">
        <v>800</v>
      </c>
      <c r="G248" s="668">
        <f t="shared" si="15"/>
        <v>11376</v>
      </c>
      <c r="H248" s="1221"/>
      <c r="I248" s="1161"/>
      <c r="J248" s="1221"/>
      <c r="K248" s="1160"/>
      <c r="L248" s="1221"/>
      <c r="M248" s="1161"/>
      <c r="N248" s="1221"/>
      <c r="O248" s="1161"/>
      <c r="P248" s="1221"/>
      <c r="Q248" s="1161"/>
      <c r="R248" s="1221"/>
      <c r="S248" s="1161"/>
      <c r="T248" s="1221"/>
      <c r="U248" s="1160"/>
    </row>
    <row r="249" spans="1:21">
      <c r="A249" s="1223"/>
      <c r="B249" s="1167" t="s">
        <v>3257</v>
      </c>
      <c r="C249" s="1168"/>
      <c r="D249" s="1238">
        <v>2.9</v>
      </c>
      <c r="E249" s="1165" t="s">
        <v>3031</v>
      </c>
      <c r="F249" s="1170">
        <v>2000</v>
      </c>
      <c r="G249" s="668">
        <f t="shared" si="15"/>
        <v>5800</v>
      </c>
      <c r="H249" s="1221"/>
      <c r="I249" s="1161"/>
      <c r="J249" s="1221"/>
      <c r="K249" s="1160"/>
      <c r="L249" s="1221"/>
      <c r="M249" s="1161"/>
      <c r="N249" s="1221"/>
      <c r="O249" s="1161"/>
      <c r="P249" s="1221"/>
      <c r="Q249" s="1161"/>
      <c r="R249" s="1221"/>
      <c r="S249" s="1161"/>
      <c r="T249" s="1221"/>
      <c r="U249" s="1160"/>
    </row>
    <row r="250" spans="1:21">
      <c r="A250" s="1223"/>
      <c r="B250" s="1167" t="s">
        <v>3258</v>
      </c>
      <c r="C250" s="1168"/>
      <c r="D250" s="1238">
        <v>0.36</v>
      </c>
      <c r="E250" s="1165" t="s">
        <v>3031</v>
      </c>
      <c r="F250" s="1170">
        <v>2000</v>
      </c>
      <c r="G250" s="668">
        <f t="shared" si="15"/>
        <v>720</v>
      </c>
      <c r="H250" s="1221"/>
      <c r="I250" s="1161"/>
      <c r="J250" s="1221"/>
      <c r="K250" s="1160"/>
      <c r="L250" s="1221"/>
      <c r="M250" s="1161"/>
      <c r="N250" s="1221"/>
      <c r="O250" s="1161"/>
      <c r="P250" s="1221"/>
      <c r="Q250" s="1161"/>
      <c r="R250" s="1221"/>
      <c r="S250" s="1161"/>
      <c r="T250" s="1221"/>
      <c r="U250" s="1160"/>
    </row>
    <row r="251" spans="1:21">
      <c r="A251" s="1223"/>
      <c r="B251" s="1167" t="s">
        <v>3259</v>
      </c>
      <c r="C251" s="1168"/>
      <c r="D251" s="1238">
        <v>1.63</v>
      </c>
      <c r="E251" s="1165" t="s">
        <v>3031</v>
      </c>
      <c r="F251" s="1170">
        <v>2000</v>
      </c>
      <c r="G251" s="668">
        <f t="shared" si="15"/>
        <v>3260</v>
      </c>
      <c r="H251" s="1221"/>
      <c r="I251" s="1161"/>
      <c r="J251" s="1221"/>
      <c r="K251" s="1160"/>
      <c r="L251" s="1221"/>
      <c r="M251" s="1161"/>
      <c r="N251" s="1221"/>
      <c r="O251" s="1161"/>
      <c r="P251" s="1221"/>
      <c r="Q251" s="1161"/>
      <c r="R251" s="1221"/>
      <c r="S251" s="1161"/>
      <c r="T251" s="1221"/>
      <c r="U251" s="1160"/>
    </row>
    <row r="252" spans="1:21">
      <c r="A252" s="1223"/>
      <c r="B252" s="1167" t="s">
        <v>3260</v>
      </c>
      <c r="C252" s="1168"/>
      <c r="D252" s="1238">
        <v>1.31</v>
      </c>
      <c r="E252" s="1165" t="s">
        <v>3031</v>
      </c>
      <c r="F252" s="1170">
        <v>1800</v>
      </c>
      <c r="G252" s="668">
        <f t="shared" si="15"/>
        <v>2358</v>
      </c>
      <c r="H252" s="1221"/>
      <c r="I252" s="1161"/>
      <c r="J252" s="1221"/>
      <c r="K252" s="1160"/>
      <c r="L252" s="1221"/>
      <c r="M252" s="1161"/>
      <c r="N252" s="1221"/>
      <c r="O252" s="1161"/>
      <c r="P252" s="1221"/>
      <c r="Q252" s="1161"/>
      <c r="R252" s="1221"/>
      <c r="S252" s="1161"/>
      <c r="T252" s="1221"/>
      <c r="U252" s="1160"/>
    </row>
    <row r="253" spans="1:21">
      <c r="A253" s="1223"/>
      <c r="B253" s="1167" t="s">
        <v>3261</v>
      </c>
      <c r="C253" s="1168"/>
      <c r="D253" s="1238">
        <v>0.33</v>
      </c>
      <c r="E253" s="1165" t="s">
        <v>3031</v>
      </c>
      <c r="F253" s="1170">
        <v>1800</v>
      </c>
      <c r="G253" s="668">
        <f t="shared" si="15"/>
        <v>594</v>
      </c>
      <c r="H253" s="1221"/>
      <c r="I253" s="1161"/>
      <c r="J253" s="1221"/>
      <c r="K253" s="1160"/>
      <c r="L253" s="1221"/>
      <c r="M253" s="1161"/>
      <c r="N253" s="1221"/>
      <c r="O253" s="1161"/>
      <c r="P253" s="1221"/>
      <c r="Q253" s="1161"/>
      <c r="R253" s="1221"/>
      <c r="S253" s="1161"/>
      <c r="T253" s="1221"/>
      <c r="U253" s="1160"/>
    </row>
    <row r="254" spans="1:21">
      <c r="A254" s="1223"/>
      <c r="B254" s="1167" t="s">
        <v>3262</v>
      </c>
      <c r="C254" s="1168"/>
      <c r="D254" s="1238">
        <v>9.25</v>
      </c>
      <c r="E254" s="1165" t="s">
        <v>3031</v>
      </c>
      <c r="F254" s="1170">
        <v>1800</v>
      </c>
      <c r="G254" s="668">
        <f t="shared" si="15"/>
        <v>16650</v>
      </c>
      <c r="H254" s="1221"/>
      <c r="I254" s="1161"/>
      <c r="J254" s="1221"/>
      <c r="K254" s="1160"/>
      <c r="L254" s="1221"/>
      <c r="M254" s="1161"/>
      <c r="N254" s="1221"/>
      <c r="O254" s="1161"/>
      <c r="P254" s="1221"/>
      <c r="Q254" s="1161"/>
      <c r="R254" s="1221"/>
      <c r="S254" s="1161"/>
      <c r="T254" s="1221"/>
      <c r="U254" s="1160"/>
    </row>
    <row r="255" spans="1:21">
      <c r="A255" s="1223"/>
      <c r="B255" s="1167" t="s">
        <v>3263</v>
      </c>
      <c r="C255" s="1168"/>
      <c r="D255" s="1238"/>
      <c r="E255" s="1165"/>
      <c r="F255" s="1170"/>
      <c r="G255" s="668"/>
      <c r="H255" s="1221"/>
      <c r="I255" s="1161"/>
      <c r="J255" s="1221"/>
      <c r="K255" s="1160"/>
      <c r="L255" s="1221"/>
      <c r="M255" s="1161"/>
      <c r="N255" s="1221"/>
      <c r="O255" s="1161"/>
      <c r="P255" s="1221"/>
      <c r="Q255" s="1161"/>
      <c r="R255" s="1221"/>
      <c r="S255" s="1161"/>
      <c r="T255" s="1221"/>
      <c r="U255" s="1160"/>
    </row>
    <row r="256" spans="1:21">
      <c r="A256" s="1223"/>
      <c r="B256" s="1250" t="s">
        <v>3242</v>
      </c>
      <c r="C256" s="1168"/>
      <c r="D256" s="1238"/>
      <c r="E256" s="1165"/>
      <c r="F256" s="1170"/>
      <c r="G256" s="668">
        <f>ROUND(D256*F256,0)</f>
        <v>0</v>
      </c>
      <c r="H256" s="1221"/>
      <c r="I256" s="1161"/>
      <c r="J256" s="1221"/>
      <c r="K256" s="1160"/>
      <c r="L256" s="1221"/>
      <c r="M256" s="1161"/>
      <c r="N256" s="1221"/>
      <c r="O256" s="1161"/>
      <c r="P256" s="1221"/>
      <c r="Q256" s="1161"/>
      <c r="R256" s="1221"/>
      <c r="S256" s="1161"/>
      <c r="T256" s="1221"/>
      <c r="U256" s="1160"/>
    </row>
    <row r="257" spans="1:35">
      <c r="A257" s="1223"/>
      <c r="B257" s="1167" t="s">
        <v>3264</v>
      </c>
      <c r="C257" s="1168"/>
      <c r="D257" s="1238">
        <v>3182</v>
      </c>
      <c r="E257" s="1165" t="s">
        <v>2845</v>
      </c>
      <c r="F257" s="1170">
        <v>20</v>
      </c>
      <c r="G257" s="668">
        <f>ROUND(D257*F257,0)</f>
        <v>63640</v>
      </c>
      <c r="H257" s="1221"/>
      <c r="I257" s="1161"/>
      <c r="J257" s="1221"/>
      <c r="K257" s="1160"/>
      <c r="L257" s="1221"/>
      <c r="M257" s="1161"/>
      <c r="N257" s="1221"/>
      <c r="O257" s="1161"/>
      <c r="P257" s="1221"/>
      <c r="Q257" s="1161"/>
      <c r="R257" s="1221"/>
      <c r="S257" s="1161"/>
      <c r="T257" s="1221"/>
      <c r="U257" s="1160"/>
    </row>
    <row r="258" spans="1:35">
      <c r="A258" s="1223"/>
      <c r="B258" s="1237"/>
      <c r="C258" s="1168"/>
      <c r="D258" s="1238"/>
      <c r="E258" s="1165"/>
      <c r="F258" s="1170"/>
      <c r="G258" s="668">
        <f>ROUND(D258*F258,0)</f>
        <v>0</v>
      </c>
      <c r="H258" s="1221"/>
      <c r="I258" s="1161"/>
      <c r="J258" s="1221"/>
      <c r="K258" s="1160"/>
      <c r="L258" s="1221"/>
      <c r="M258" s="1161"/>
      <c r="N258" s="1221"/>
      <c r="O258" s="1161"/>
      <c r="P258" s="1221"/>
      <c r="Q258" s="1161"/>
      <c r="R258" s="1221"/>
      <c r="S258" s="1161"/>
      <c r="T258" s="1221"/>
      <c r="U258" s="1160"/>
    </row>
    <row r="259" spans="1:35">
      <c r="A259" s="1223"/>
      <c r="B259" s="1237"/>
      <c r="C259" s="1168"/>
      <c r="D259" s="1238"/>
      <c r="E259" s="1165"/>
      <c r="F259" s="1170"/>
      <c r="G259" s="668">
        <f>ROUND(D259*F259,0)</f>
        <v>0</v>
      </c>
      <c r="H259" s="1221"/>
      <c r="I259" s="1161"/>
      <c r="J259" s="1221"/>
      <c r="K259" s="1160"/>
      <c r="L259" s="1221"/>
      <c r="M259" s="1161"/>
      <c r="N259" s="1221"/>
      <c r="O259" s="1161"/>
      <c r="P259" s="1221"/>
      <c r="Q259" s="1161"/>
      <c r="R259" s="1221"/>
      <c r="S259" s="1161"/>
      <c r="T259" s="1221"/>
      <c r="U259" s="1160"/>
    </row>
    <row r="260" spans="1:35" ht="15.75" thickBot="1">
      <c r="A260" s="1223"/>
      <c r="B260" s="1239"/>
      <c r="C260" s="1168"/>
      <c r="D260" s="1238"/>
      <c r="E260" s="1165"/>
      <c r="F260" s="1170"/>
      <c r="G260" s="668"/>
      <c r="H260" s="1221"/>
      <c r="I260" s="1161"/>
      <c r="J260" s="1221"/>
      <c r="K260" s="1160"/>
      <c r="L260" s="1221"/>
      <c r="M260" s="1161"/>
      <c r="N260" s="1221"/>
      <c r="O260" s="1161"/>
      <c r="P260" s="1221"/>
      <c r="Q260" s="1161"/>
      <c r="R260" s="1221"/>
      <c r="S260" s="1161"/>
      <c r="T260" s="1221"/>
      <c r="U260" s="1160"/>
    </row>
    <row r="261" spans="1:35" ht="15.75" thickTop="1">
      <c r="A261" s="13"/>
      <c r="B261" s="226" t="s">
        <v>3265</v>
      </c>
      <c r="C261" s="15"/>
      <c r="D261" s="168"/>
      <c r="E261" s="176"/>
      <c r="F261" s="376"/>
      <c r="G261" s="227">
        <f>SUBTOTAL(9,G25:G260)</f>
        <v>8302102</v>
      </c>
      <c r="H261" s="19"/>
      <c r="I261" s="225">
        <f>SUBTOTAL(9,I21:I260)</f>
        <v>7649008</v>
      </c>
      <c r="J261" s="19"/>
      <c r="K261" s="225">
        <f>SUBTOTAL(9,K20:K260)</f>
        <v>6308406</v>
      </c>
      <c r="L261" s="19"/>
      <c r="M261" s="225">
        <f>SUBTOTAL(9,M20:M260)</f>
        <v>7204192</v>
      </c>
      <c r="N261" s="19"/>
      <c r="O261" s="225">
        <f>SUBTOTAL(9,O20:O260)</f>
        <v>7223508</v>
      </c>
      <c r="P261" s="19"/>
      <c r="Q261" s="225">
        <f>SUBTOTAL(9,Q20:Q260)</f>
        <v>7551600</v>
      </c>
      <c r="R261" s="19"/>
      <c r="S261" s="225">
        <f>SUBTOTAL(9,S20:S260)</f>
        <v>7929725</v>
      </c>
      <c r="T261" s="19"/>
      <c r="U261" s="225">
        <f>SUBTOTAL(9,U20:U260)</f>
        <v>8046000</v>
      </c>
    </row>
    <row r="262" spans="1:35">
      <c r="A262" s="1175"/>
      <c r="B262" s="1265" t="s">
        <v>2976</v>
      </c>
      <c r="C262" s="1177"/>
      <c r="D262" s="1266"/>
      <c r="E262" s="1267"/>
      <c r="F262" s="1268"/>
      <c r="G262" s="654"/>
      <c r="H262" s="1180">
        <v>0</v>
      </c>
      <c r="I262" s="645"/>
      <c r="J262" s="1180">
        <v>0.02</v>
      </c>
      <c r="K262" s="645"/>
      <c r="L262" s="1180">
        <v>0.02</v>
      </c>
      <c r="M262" s="645"/>
      <c r="N262" s="1180">
        <v>0</v>
      </c>
      <c r="O262" s="645"/>
      <c r="P262" s="1180">
        <v>0.02</v>
      </c>
      <c r="Q262" s="645"/>
      <c r="R262" s="1180">
        <v>0.02</v>
      </c>
      <c r="S262" s="645"/>
      <c r="T262" s="1180">
        <v>0</v>
      </c>
      <c r="U262" s="645"/>
    </row>
    <row r="263" spans="1:35">
      <c r="A263" s="1175"/>
      <c r="B263" s="1265" t="s">
        <v>2977</v>
      </c>
      <c r="C263" s="1177"/>
      <c r="D263" s="1266"/>
      <c r="E263" s="1267"/>
      <c r="F263" s="1268"/>
      <c r="G263" s="654">
        <f>F262*G261</f>
        <v>0</v>
      </c>
      <c r="H263" s="1182"/>
      <c r="I263" s="1183">
        <f>H262*I261</f>
        <v>0</v>
      </c>
      <c r="J263" s="1182"/>
      <c r="K263" s="1183">
        <f>J262*K261</f>
        <v>126168.12000000001</v>
      </c>
      <c r="L263" s="1182"/>
      <c r="M263" s="1183">
        <f>L262*M261</f>
        <v>144083.84</v>
      </c>
      <c r="N263" s="1182"/>
      <c r="O263" s="1183">
        <f>N262*O261</f>
        <v>0</v>
      </c>
      <c r="P263" s="1182"/>
      <c r="Q263" s="1183">
        <f>P262*Q261</f>
        <v>151032</v>
      </c>
      <c r="R263" s="1182"/>
      <c r="S263" s="1183">
        <f>R262*S261</f>
        <v>158594.5</v>
      </c>
      <c r="T263" s="1182"/>
      <c r="U263" s="1183">
        <f>T262*U261</f>
        <v>0</v>
      </c>
    </row>
    <row r="264" spans="1:35">
      <c r="A264" s="1175"/>
      <c r="B264" s="1265"/>
      <c r="C264" s="1177"/>
      <c r="D264" s="1266"/>
      <c r="E264" s="1267"/>
      <c r="F264" s="1268"/>
      <c r="G264" s="654"/>
      <c r="H264" s="1182"/>
      <c r="I264" s="1183"/>
      <c r="J264" s="1182"/>
      <c r="K264" s="1183"/>
      <c r="L264" s="1182"/>
      <c r="M264" s="1183"/>
      <c r="N264" s="1182"/>
      <c r="O264" s="1183"/>
      <c r="P264" s="1182"/>
      <c r="Q264" s="1183"/>
      <c r="R264" s="1182"/>
      <c r="S264" s="1183"/>
      <c r="T264" s="1182"/>
      <c r="U264" s="1183"/>
    </row>
    <row r="265" spans="1:35">
      <c r="A265" s="1175"/>
      <c r="B265" s="1265" t="s">
        <v>2978</v>
      </c>
      <c r="C265" s="1177"/>
      <c r="D265" s="1266"/>
      <c r="E265" s="1267"/>
      <c r="F265" s="1268"/>
      <c r="G265" s="654">
        <f>SUM(G261:G263)</f>
        <v>8302102</v>
      </c>
      <c r="H265" s="1184"/>
      <c r="I265" s="1183">
        <f>SUM(I261:I263)</f>
        <v>7649008</v>
      </c>
      <c r="J265" s="1184"/>
      <c r="K265" s="1183">
        <f>SUM(K261:K263)</f>
        <v>6434574.1200000001</v>
      </c>
      <c r="L265" s="1184"/>
      <c r="M265" s="1183">
        <f>SUM(M261:M263)</f>
        <v>7348275.8399999999</v>
      </c>
      <c r="N265" s="1184"/>
      <c r="O265" s="1183">
        <f>SUM(O261:O263)</f>
        <v>7223508</v>
      </c>
      <c r="P265" s="1184"/>
      <c r="Q265" s="1183">
        <f>SUM(Q261:Q263)</f>
        <v>7702632</v>
      </c>
      <c r="R265" s="1184"/>
      <c r="S265" s="1183">
        <f>SUM(S261:S263)</f>
        <v>8088319.5</v>
      </c>
      <c r="T265" s="1184"/>
      <c r="U265" s="1183">
        <f>SUM(U261:U263)</f>
        <v>8046000</v>
      </c>
    </row>
    <row r="266" spans="1:35">
      <c r="A266" s="1175"/>
      <c r="B266" s="1185" t="s">
        <v>2979</v>
      </c>
      <c r="C266" s="1177"/>
      <c r="D266" s="1266"/>
      <c r="E266" s="1267"/>
      <c r="F266" s="1269"/>
      <c r="G266" s="655" t="e">
        <v>#DIV/0!</v>
      </c>
      <c r="H266" s="1187"/>
      <c r="I266" s="1188" t="e">
        <v>#DIV/0!</v>
      </c>
      <c r="J266" s="1187"/>
      <c r="K266" s="1188" t="e">
        <v>#DIV/0!</v>
      </c>
      <c r="L266" s="1187"/>
      <c r="M266" s="1188" t="e">
        <v>#DIV/0!</v>
      </c>
      <c r="N266" s="1187"/>
      <c r="O266" s="1188" t="e">
        <v>#DIV/0!</v>
      </c>
      <c r="P266" s="1189"/>
      <c r="Q266" s="1188" t="e">
        <v>#DIV/0!</v>
      </c>
      <c r="R266" s="1189"/>
      <c r="S266" s="1188" t="e">
        <v>#DIV/0!</v>
      </c>
      <c r="T266" s="1187"/>
      <c r="U266" s="1188" t="e">
        <v>#DIV/0!</v>
      </c>
    </row>
    <row r="267" spans="1:35">
      <c r="A267" s="1175"/>
      <c r="B267" s="1190"/>
      <c r="C267" s="1177"/>
      <c r="D267" s="1266"/>
      <c r="E267" s="1267"/>
      <c r="F267" s="1268"/>
      <c r="G267" s="656"/>
      <c r="H267" s="1191"/>
      <c r="I267" s="1191"/>
      <c r="J267" s="1191"/>
      <c r="K267" s="1192"/>
      <c r="L267" s="1191"/>
      <c r="M267" s="1191"/>
      <c r="N267" s="1191"/>
      <c r="O267" s="1191"/>
      <c r="P267" s="1191"/>
      <c r="Q267" s="1191"/>
      <c r="R267" s="1191"/>
      <c r="S267" s="1191"/>
      <c r="T267" s="1191"/>
      <c r="U267" s="1191"/>
    </row>
    <row r="268" spans="1:35" ht="15" hidden="1" customHeight="1" thickTop="1" thickBot="1">
      <c r="A268" s="830" t="s">
        <v>2980</v>
      </c>
      <c r="B268" s="831"/>
      <c r="C268" s="12"/>
      <c r="D268" s="169"/>
      <c r="E268" s="177"/>
      <c r="F268" s="377"/>
      <c r="G268" s="228"/>
      <c r="H268" s="20"/>
      <c r="I268" s="20"/>
      <c r="J268" s="20"/>
      <c r="K268" s="20"/>
      <c r="L268" s="20"/>
      <c r="M268" s="20"/>
      <c r="N268" s="20"/>
      <c r="O268" s="20"/>
      <c r="P268" s="20"/>
      <c r="Q268" s="20"/>
      <c r="R268" s="20"/>
      <c r="S268" s="20"/>
      <c r="T268" s="20"/>
      <c r="U268" s="20"/>
    </row>
    <row r="269" spans="1:35" hidden="1">
      <c r="A269" s="823"/>
      <c r="B269" s="1212"/>
      <c r="C269" s="824"/>
      <c r="D269" s="1270"/>
      <c r="E269" s="1271"/>
      <c r="F269" s="1272"/>
      <c r="G269" s="1194"/>
      <c r="H269" s="825"/>
      <c r="I269" s="825"/>
      <c r="J269" s="825"/>
      <c r="K269" s="825"/>
      <c r="L269" s="825"/>
      <c r="M269" s="825"/>
      <c r="N269" s="825"/>
      <c r="O269" s="825"/>
      <c r="P269" s="825"/>
      <c r="Q269" s="825"/>
      <c r="R269" s="825"/>
      <c r="S269" s="825"/>
      <c r="T269" s="825"/>
      <c r="U269" s="825"/>
    </row>
    <row r="270" spans="1:35" s="2" customFormat="1" hidden="1">
      <c r="A270" s="823"/>
      <c r="B270" s="1212"/>
      <c r="C270" s="824"/>
      <c r="D270" s="1270"/>
      <c r="E270" s="1271"/>
      <c r="F270" s="1272"/>
      <c r="G270" s="1194"/>
      <c r="H270" s="825"/>
      <c r="I270" s="825"/>
      <c r="J270" s="825"/>
      <c r="K270" s="825"/>
      <c r="L270" s="825"/>
      <c r="M270" s="825"/>
      <c r="N270" s="825"/>
      <c r="O270" s="825"/>
      <c r="P270" s="825"/>
      <c r="Q270" s="825"/>
      <c r="R270" s="825"/>
      <c r="S270" s="825"/>
      <c r="T270" s="825"/>
      <c r="U270" s="825"/>
      <c r="V270"/>
      <c r="W270" s="58"/>
      <c r="X270"/>
      <c r="Y270"/>
      <c r="Z270"/>
      <c r="AA270"/>
      <c r="AB270"/>
      <c r="AC270"/>
      <c r="AD270" s="300"/>
      <c r="AE270" s="300"/>
      <c r="AF270"/>
      <c r="AG270"/>
      <c r="AH270"/>
      <c r="AI270"/>
    </row>
    <row r="271" spans="1:35" s="2" customFormat="1" hidden="1">
      <c r="A271" s="823"/>
      <c r="B271" s="1212"/>
      <c r="C271" s="824"/>
      <c r="D271" s="1270"/>
      <c r="E271" s="1271"/>
      <c r="F271" s="1272"/>
      <c r="G271" s="1194"/>
      <c r="H271" s="825"/>
      <c r="I271" s="825"/>
      <c r="J271" s="825"/>
      <c r="K271" s="825"/>
      <c r="L271" s="825"/>
      <c r="M271" s="825"/>
      <c r="N271" s="825"/>
      <c r="O271" s="825"/>
      <c r="P271" s="825"/>
      <c r="Q271" s="825"/>
      <c r="R271" s="825"/>
      <c r="S271" s="825"/>
      <c r="T271" s="825"/>
      <c r="U271" s="825"/>
      <c r="V271"/>
      <c r="W271" s="58"/>
      <c r="X271"/>
      <c r="Y271"/>
      <c r="Z271"/>
      <c r="AA271"/>
      <c r="AB271"/>
      <c r="AC271"/>
      <c r="AD271" s="300"/>
      <c r="AE271" s="300"/>
      <c r="AF271"/>
      <c r="AG271"/>
      <c r="AH271"/>
      <c r="AI271"/>
    </row>
    <row r="272" spans="1:35" s="2" customFormat="1" ht="15" hidden="1" customHeight="1" thickTop="1" thickBot="1">
      <c r="A272" s="830" t="s">
        <v>2981</v>
      </c>
      <c r="B272" s="831"/>
      <c r="C272" s="12"/>
      <c r="D272" s="169"/>
      <c r="E272" s="177"/>
      <c r="F272" s="377"/>
      <c r="G272" s="228"/>
      <c r="H272" s="20"/>
      <c r="I272" s="20"/>
      <c r="J272" s="20"/>
      <c r="K272" s="20"/>
      <c r="L272" s="20"/>
      <c r="M272" s="20"/>
      <c r="N272" s="20"/>
      <c r="O272" s="20"/>
      <c r="P272" s="20"/>
      <c r="Q272" s="20"/>
      <c r="R272" s="20"/>
      <c r="S272" s="20"/>
      <c r="T272" s="20"/>
      <c r="U272" s="20"/>
      <c r="V272"/>
      <c r="W272" s="58"/>
      <c r="X272"/>
      <c r="Y272"/>
      <c r="Z272"/>
      <c r="AA272"/>
      <c r="AB272"/>
      <c r="AC272"/>
      <c r="AD272" s="300"/>
      <c r="AE272" s="300"/>
      <c r="AF272"/>
      <c r="AG272"/>
      <c r="AH272"/>
      <c r="AI272"/>
    </row>
    <row r="273" spans="1:35" hidden="1">
      <c r="A273" s="823"/>
      <c r="B273" s="1212"/>
      <c r="C273" s="824"/>
      <c r="D273" s="1270"/>
      <c r="E273" s="1271"/>
      <c r="F273" s="1272"/>
      <c r="G273" s="1194"/>
      <c r="H273" s="825"/>
      <c r="I273" s="825"/>
      <c r="J273" s="825"/>
      <c r="K273" s="825"/>
      <c r="L273" s="825"/>
      <c r="M273" s="825"/>
      <c r="N273" s="825"/>
      <c r="O273" s="825"/>
      <c r="P273" s="825"/>
      <c r="Q273" s="825"/>
      <c r="R273" s="825"/>
      <c r="S273" s="825"/>
      <c r="T273" s="825"/>
      <c r="U273" s="825"/>
    </row>
    <row r="274" spans="1:35" s="2" customFormat="1" hidden="1">
      <c r="A274" s="823"/>
      <c r="B274" s="1212"/>
      <c r="C274" s="824"/>
      <c r="D274" s="1270"/>
      <c r="E274" s="1271"/>
      <c r="F274" s="1272"/>
      <c r="G274" s="1194"/>
      <c r="H274" s="825"/>
      <c r="I274" s="825"/>
      <c r="J274" s="825"/>
      <c r="K274" s="825"/>
      <c r="L274" s="825"/>
      <c r="M274" s="825"/>
      <c r="N274" s="825"/>
      <c r="O274" s="825"/>
      <c r="P274" s="825"/>
      <c r="Q274" s="825"/>
      <c r="R274" s="825"/>
      <c r="S274" s="825"/>
      <c r="T274" s="825"/>
      <c r="U274" s="825"/>
      <c r="V274"/>
      <c r="W274" s="58"/>
      <c r="X274"/>
      <c r="Y274"/>
      <c r="Z274"/>
      <c r="AA274"/>
      <c r="AB274"/>
      <c r="AC274"/>
      <c r="AD274" s="300"/>
      <c r="AE274" s="300"/>
      <c r="AF274"/>
      <c r="AG274"/>
      <c r="AH274"/>
      <c r="AI274"/>
    </row>
    <row r="275" spans="1:35" s="2" customFormat="1" hidden="1">
      <c r="A275" s="823"/>
      <c r="B275" s="1212"/>
      <c r="C275" s="824"/>
      <c r="D275" s="1270"/>
      <c r="E275" s="1271"/>
      <c r="F275" s="1272"/>
      <c r="G275" s="1194"/>
      <c r="H275" s="825"/>
      <c r="I275" s="825"/>
      <c r="J275" s="825"/>
      <c r="K275" s="825"/>
      <c r="L275" s="825"/>
      <c r="M275" s="825"/>
      <c r="N275" s="825"/>
      <c r="O275" s="825"/>
      <c r="P275" s="825"/>
      <c r="Q275" s="825"/>
      <c r="R275" s="825"/>
      <c r="S275" s="825"/>
      <c r="T275" s="825"/>
      <c r="U275" s="825"/>
      <c r="V275"/>
      <c r="W275" s="58"/>
      <c r="X275"/>
      <c r="Y275"/>
      <c r="Z275"/>
      <c r="AA275"/>
      <c r="AB275"/>
      <c r="AC275"/>
      <c r="AD275" s="300"/>
      <c r="AE275" s="300"/>
      <c r="AF275"/>
      <c r="AG275"/>
      <c r="AH275"/>
      <c r="AI275"/>
    </row>
    <row r="276" spans="1:35" s="2" customFormat="1" ht="15" hidden="1" customHeight="1" thickTop="1" thickBot="1">
      <c r="A276" s="830" t="s">
        <v>2982</v>
      </c>
      <c r="B276" s="831"/>
      <c r="C276" s="12"/>
      <c r="D276" s="169"/>
      <c r="E276" s="177"/>
      <c r="F276" s="377"/>
      <c r="G276" s="228"/>
      <c r="H276" s="20"/>
      <c r="I276" s="20"/>
      <c r="J276" s="20"/>
      <c r="K276" s="20"/>
      <c r="L276" s="20"/>
      <c r="M276" s="20"/>
      <c r="N276" s="20"/>
      <c r="O276" s="20"/>
      <c r="P276" s="20"/>
      <c r="Q276" s="20"/>
      <c r="R276" s="20"/>
      <c r="S276" s="20"/>
      <c r="T276" s="20"/>
      <c r="U276" s="20"/>
      <c r="V276"/>
      <c r="W276" s="58"/>
      <c r="X276"/>
      <c r="Y276"/>
      <c r="Z276"/>
      <c r="AA276"/>
      <c r="AB276"/>
      <c r="AC276"/>
      <c r="AD276" s="300"/>
      <c r="AE276" s="300"/>
      <c r="AF276"/>
      <c r="AG276"/>
      <c r="AH276"/>
      <c r="AI276"/>
    </row>
    <row r="277" spans="1:35" s="2" customFormat="1" hidden="1">
      <c r="A277" s="823"/>
      <c r="B277" s="1212"/>
      <c r="C277" s="824"/>
      <c r="D277" s="1270"/>
      <c r="E277" s="1271"/>
      <c r="F277" s="1272"/>
      <c r="G277" s="1194"/>
      <c r="H277" s="825"/>
      <c r="I277" s="825"/>
      <c r="J277" s="825"/>
      <c r="K277" s="825"/>
      <c r="L277" s="825"/>
      <c r="M277" s="825"/>
      <c r="N277" s="825"/>
      <c r="O277" s="825"/>
      <c r="P277" s="825"/>
      <c r="Q277" s="825"/>
      <c r="R277" s="825"/>
      <c r="S277" s="825"/>
      <c r="T277" s="825"/>
      <c r="U277" s="825"/>
      <c r="W277" s="236"/>
      <c r="AD277" s="165"/>
      <c r="AE277" s="165"/>
    </row>
    <row r="278" spans="1:35" s="2" customFormat="1" hidden="1">
      <c r="A278" s="1195"/>
      <c r="B278" s="1212"/>
      <c r="C278" s="1213"/>
      <c r="D278" s="1164"/>
      <c r="E278" s="1165"/>
      <c r="F278" s="1170"/>
      <c r="G278" s="1196"/>
      <c r="H278" s="1197"/>
      <c r="I278" s="1197"/>
      <c r="J278" s="1197"/>
      <c r="K278" s="1197"/>
      <c r="L278" s="1197"/>
      <c r="M278" s="1197"/>
      <c r="N278" s="1197"/>
      <c r="O278" s="1197"/>
      <c r="P278" s="1197"/>
      <c r="Q278" s="1197"/>
      <c r="R278" s="1197"/>
      <c r="S278" s="1197"/>
      <c r="T278" s="1197"/>
      <c r="U278" s="1197"/>
      <c r="V278"/>
      <c r="W278" s="58"/>
      <c r="X278"/>
      <c r="Y278"/>
      <c r="Z278"/>
      <c r="AA278"/>
      <c r="AB278"/>
      <c r="AC278"/>
      <c r="AD278" s="300"/>
      <c r="AE278" s="300"/>
      <c r="AF278"/>
      <c r="AG278"/>
      <c r="AH278"/>
      <c r="AI278"/>
    </row>
    <row r="279" spans="1:35" hidden="1">
      <c r="A279" s="1198"/>
      <c r="B279" s="1199"/>
      <c r="C279" s="1213"/>
      <c r="D279" s="1164"/>
      <c r="E279" s="1165"/>
      <c r="F279" s="1170"/>
      <c r="G279" s="1196"/>
      <c r="H279" s="1200"/>
      <c r="I279" s="1200"/>
      <c r="J279" s="1200"/>
      <c r="K279" s="1200"/>
      <c r="L279" s="1200"/>
      <c r="M279" s="1200"/>
      <c r="N279" s="1200"/>
      <c r="O279" s="1200"/>
      <c r="P279" s="1200"/>
      <c r="Q279" s="1200"/>
      <c r="R279" s="1200"/>
      <c r="S279" s="1200"/>
      <c r="T279" s="1200"/>
      <c r="U279" s="1200"/>
      <c r="V279" s="2"/>
      <c r="W279" s="236"/>
      <c r="X279" s="2"/>
      <c r="Y279" s="2"/>
      <c r="Z279" s="2"/>
      <c r="AA279" s="2"/>
      <c r="AB279" s="2"/>
      <c r="AC279" s="2"/>
      <c r="AD279" s="165"/>
      <c r="AE279" s="165"/>
      <c r="AF279" s="2"/>
      <c r="AG279" s="2"/>
      <c r="AH279" s="2"/>
      <c r="AI279" s="2"/>
    </row>
    <row r="280" spans="1:35" ht="15" hidden="1" customHeight="1" thickTop="1" thickBot="1">
      <c r="A280" s="830" t="s">
        <v>2983</v>
      </c>
      <c r="B280" s="831"/>
      <c r="C280" s="12"/>
      <c r="D280" s="169"/>
      <c r="E280" s="177"/>
      <c r="F280" s="377"/>
      <c r="G280" s="228"/>
      <c r="H280" s="20"/>
      <c r="I280" s="20"/>
      <c r="J280" s="20"/>
      <c r="K280" s="20"/>
      <c r="L280" s="20"/>
      <c r="M280" s="20"/>
      <c r="N280" s="20"/>
      <c r="O280" s="20"/>
      <c r="P280" s="20"/>
      <c r="Q280" s="20"/>
      <c r="R280" s="20"/>
      <c r="S280" s="20"/>
      <c r="T280" s="20"/>
      <c r="U280" s="20"/>
      <c r="V280" s="2"/>
      <c r="W280" s="236"/>
      <c r="X280" s="2"/>
      <c r="Y280" s="2"/>
      <c r="Z280" s="2"/>
      <c r="AA280" s="2"/>
      <c r="AB280" s="2"/>
      <c r="AC280" s="2"/>
      <c r="AD280" s="165"/>
      <c r="AE280" s="165"/>
      <c r="AF280" s="2"/>
      <c r="AG280" s="2"/>
      <c r="AH280" s="2"/>
      <c r="AI280" s="2"/>
    </row>
    <row r="281" spans="1:35" hidden="1">
      <c r="A281" s="826"/>
      <c r="B281" s="827"/>
      <c r="C281" s="824"/>
      <c r="D281" s="1270"/>
      <c r="E281" s="1271"/>
      <c r="F281" s="1272"/>
      <c r="G281" s="1194"/>
      <c r="H281" s="825"/>
      <c r="I281" s="825"/>
      <c r="J281" s="825"/>
      <c r="K281" s="825"/>
      <c r="L281" s="825"/>
      <c r="M281" s="825"/>
      <c r="N281" s="825"/>
      <c r="O281" s="825"/>
      <c r="P281" s="825"/>
      <c r="Q281" s="825"/>
      <c r="R281" s="825"/>
      <c r="S281" s="825"/>
      <c r="T281" s="825"/>
      <c r="U281" s="825"/>
      <c r="V281" s="2"/>
      <c r="W281" s="236"/>
      <c r="X281" s="2"/>
      <c r="Y281" s="2"/>
      <c r="Z281" s="2"/>
      <c r="AA281" s="2"/>
      <c r="AB281" s="2"/>
      <c r="AC281" s="2"/>
      <c r="AD281" s="165"/>
      <c r="AE281" s="165"/>
      <c r="AF281" s="2"/>
      <c r="AG281" s="2"/>
      <c r="AH281" s="2"/>
      <c r="AI281" s="2"/>
    </row>
    <row r="282" spans="1:35" hidden="1">
      <c r="A282" s="1198"/>
      <c r="B282" s="1199"/>
      <c r="C282" s="1213"/>
      <c r="D282" s="1164"/>
      <c r="E282" s="1165"/>
      <c r="F282" s="1170"/>
      <c r="G282" s="1196"/>
      <c r="H282" s="1201"/>
      <c r="I282" s="1201"/>
      <c r="J282" s="1201"/>
      <c r="K282" s="1201"/>
      <c r="L282" s="1201"/>
      <c r="M282" s="1201"/>
      <c r="N282" s="1201"/>
      <c r="O282" s="1201"/>
      <c r="P282" s="1201"/>
      <c r="Q282" s="1201"/>
      <c r="R282" s="1201"/>
      <c r="S282" s="1201"/>
      <c r="T282" s="1201"/>
      <c r="U282" s="1201"/>
    </row>
    <row r="283" spans="1:35" hidden="1">
      <c r="A283" s="1198"/>
      <c r="B283" s="1199"/>
      <c r="C283" s="1213"/>
      <c r="D283" s="1164"/>
      <c r="E283" s="1165"/>
      <c r="F283" s="1170"/>
      <c r="G283" s="1196"/>
      <c r="H283" s="1201"/>
      <c r="I283" s="1201"/>
      <c r="J283" s="1201"/>
      <c r="K283" s="1201"/>
      <c r="L283" s="1201"/>
      <c r="M283" s="1201"/>
      <c r="N283" s="1201"/>
      <c r="O283" s="1201"/>
      <c r="P283" s="1201"/>
      <c r="Q283" s="1201"/>
      <c r="R283" s="1201"/>
      <c r="S283" s="1201"/>
      <c r="T283" s="1201"/>
      <c r="U283" s="1201"/>
    </row>
    <row r="284" spans="1:35" ht="15" hidden="1" customHeight="1" thickTop="1" thickBot="1">
      <c r="A284" s="830" t="s">
        <v>2984</v>
      </c>
      <c r="B284" s="831"/>
      <c r="C284" s="12"/>
      <c r="D284" s="169"/>
      <c r="E284" s="177"/>
      <c r="F284" s="377"/>
      <c r="G284" s="228"/>
      <c r="H284" s="20"/>
      <c r="I284" s="20"/>
      <c r="J284" s="20"/>
      <c r="K284" s="20"/>
      <c r="L284" s="20"/>
      <c r="M284" s="20"/>
      <c r="N284" s="20"/>
      <c r="O284" s="20"/>
      <c r="P284" s="20"/>
      <c r="Q284" s="20"/>
      <c r="R284" s="20"/>
      <c r="S284" s="20"/>
      <c r="T284" s="20"/>
      <c r="U284" s="20"/>
    </row>
    <row r="285" spans="1:35" hidden="1">
      <c r="A285" s="1195"/>
      <c r="B285" s="1212" t="s">
        <v>2985</v>
      </c>
      <c r="C285" s="1213"/>
      <c r="D285" s="1164"/>
      <c r="E285" s="1165"/>
      <c r="F285" s="1170"/>
      <c r="G285" s="1196"/>
      <c r="H285" s="1201"/>
      <c r="I285" s="1201"/>
      <c r="J285" s="1201"/>
      <c r="K285" s="1201"/>
      <c r="L285" s="1201"/>
      <c r="M285" s="1201"/>
      <c r="N285" s="1201"/>
      <c r="O285" s="1201"/>
      <c r="P285" s="1201"/>
      <c r="Q285" s="1201"/>
      <c r="R285" s="1201"/>
      <c r="S285" s="1201"/>
      <c r="T285" s="1201"/>
      <c r="U285" s="1201"/>
    </row>
    <row r="286" spans="1:35" hidden="1">
      <c r="A286" s="1195"/>
      <c r="B286" s="1212" t="s">
        <v>2986</v>
      </c>
      <c r="C286" s="1213"/>
      <c r="D286" s="1164"/>
      <c r="E286" s="1165"/>
      <c r="F286" s="1170"/>
      <c r="G286" s="1196"/>
      <c r="H286" s="1201"/>
      <c r="I286" s="1201"/>
      <c r="J286" s="1201"/>
      <c r="K286" s="1201"/>
      <c r="L286" s="1201"/>
      <c r="M286" s="1201"/>
      <c r="N286" s="1201"/>
      <c r="O286" s="1201"/>
      <c r="P286" s="1201"/>
      <c r="Q286" s="1201"/>
      <c r="R286" s="1201"/>
      <c r="S286" s="1201"/>
      <c r="T286" s="1201"/>
      <c r="U286" s="1201"/>
    </row>
    <row r="287" spans="1:35" hidden="1">
      <c r="A287" s="1195"/>
      <c r="B287" s="1212" t="s">
        <v>2987</v>
      </c>
      <c r="C287" s="1213"/>
      <c r="D287" s="1164"/>
      <c r="E287" s="1165"/>
      <c r="F287" s="1170"/>
      <c r="G287" s="1196"/>
      <c r="H287" s="1201"/>
      <c r="I287" s="1201"/>
      <c r="J287" s="1201"/>
      <c r="K287" s="1201"/>
      <c r="L287" s="1201"/>
      <c r="M287" s="1201"/>
      <c r="N287" s="1201"/>
      <c r="O287" s="1201"/>
      <c r="P287" s="1201"/>
      <c r="Q287" s="1201"/>
      <c r="R287" s="1201"/>
      <c r="S287" s="1201"/>
      <c r="T287" s="1201"/>
      <c r="U287" s="1201"/>
    </row>
    <row r="288" spans="1:35" hidden="1">
      <c r="A288" s="1195"/>
      <c r="B288" s="1212" t="s">
        <v>2988</v>
      </c>
      <c r="C288" s="1213"/>
      <c r="D288" s="1164"/>
      <c r="E288" s="1165"/>
      <c r="F288" s="1170"/>
      <c r="G288" s="1196"/>
      <c r="H288" s="1201"/>
      <c r="I288" s="1201"/>
      <c r="J288" s="1201"/>
      <c r="K288" s="1201"/>
      <c r="L288" s="1201"/>
      <c r="M288" s="1201"/>
      <c r="N288" s="1201"/>
      <c r="O288" s="1201"/>
      <c r="P288" s="1201"/>
      <c r="Q288" s="1201"/>
      <c r="R288" s="1201"/>
      <c r="S288" s="1201"/>
      <c r="T288" s="1201"/>
      <c r="U288" s="1201"/>
    </row>
    <row r="289" spans="1:21" hidden="1">
      <c r="A289" s="646"/>
      <c r="B289" s="619"/>
      <c r="C289" s="616"/>
      <c r="D289" s="621"/>
      <c r="E289" s="622"/>
      <c r="F289" s="623"/>
      <c r="G289" s="620"/>
      <c r="H289" s="647"/>
      <c r="I289" s="647"/>
      <c r="J289" s="647"/>
      <c r="K289" s="647"/>
      <c r="L289" s="647"/>
      <c r="M289" s="647"/>
      <c r="N289" s="647"/>
      <c r="O289" s="647"/>
      <c r="P289" s="647"/>
      <c r="Q289" s="647"/>
      <c r="R289" s="647"/>
      <c r="S289" s="647"/>
      <c r="T289" s="647"/>
      <c r="U289" s="647"/>
    </row>
    <row r="290" spans="1:21" ht="16.5" hidden="1" thickTop="1" thickBot="1">
      <c r="A290" s="7" t="s">
        <v>2989</v>
      </c>
      <c r="B290" s="8"/>
      <c r="C290" s="12"/>
      <c r="D290" s="169"/>
      <c r="E290" s="177"/>
      <c r="F290" s="377"/>
      <c r="G290" s="228"/>
      <c r="H290" s="20"/>
      <c r="I290" s="20"/>
      <c r="J290" s="20"/>
      <c r="K290" s="20"/>
      <c r="L290" s="20"/>
      <c r="M290" s="20"/>
      <c r="N290" s="20"/>
      <c r="O290" s="20"/>
      <c r="P290" s="20"/>
      <c r="Q290" s="20"/>
      <c r="R290" s="20"/>
      <c r="S290" s="20"/>
      <c r="T290" s="20"/>
      <c r="U290" s="20"/>
    </row>
    <row r="291" spans="1:21" hidden="1">
      <c r="A291" s="823"/>
      <c r="B291" s="828" t="s">
        <v>2990</v>
      </c>
      <c r="C291" s="824"/>
      <c r="D291" s="1270"/>
      <c r="E291" s="1271"/>
      <c r="F291" s="1272"/>
      <c r="G291" s="1194"/>
      <c r="H291" s="829"/>
      <c r="I291" s="829"/>
      <c r="J291" s="829"/>
      <c r="K291" s="829"/>
      <c r="L291" s="829"/>
      <c r="M291" s="829"/>
      <c r="N291" s="829"/>
      <c r="O291" s="829"/>
      <c r="P291" s="829"/>
      <c r="Q291" s="829"/>
      <c r="R291" s="829"/>
      <c r="S291" s="829"/>
      <c r="T291" s="829"/>
      <c r="U291" s="829"/>
    </row>
    <row r="292" spans="1:21" hidden="1">
      <c r="A292" s="1195"/>
      <c r="B292" s="1212" t="s">
        <v>2991</v>
      </c>
      <c r="C292" s="1213"/>
      <c r="D292" s="1164"/>
      <c r="E292" s="1165"/>
      <c r="F292" s="1170"/>
      <c r="G292" s="1196"/>
      <c r="H292" s="1202"/>
      <c r="I292" s="1202"/>
      <c r="J292" s="1202"/>
      <c r="K292" s="1202"/>
      <c r="L292" s="1202"/>
      <c r="M292" s="1202"/>
      <c r="N292" s="1202"/>
      <c r="O292" s="1202"/>
      <c r="P292" s="1202"/>
      <c r="Q292" s="1202"/>
      <c r="R292" s="1202"/>
      <c r="S292" s="1202"/>
      <c r="T292" s="1202"/>
      <c r="U292" s="1202"/>
    </row>
    <row r="293" spans="1:21" ht="15.75" hidden="1" thickBot="1">
      <c r="A293" s="800"/>
      <c r="B293" s="812" t="s">
        <v>2992</v>
      </c>
      <c r="C293" s="813"/>
      <c r="D293" s="801"/>
      <c r="E293" s="798"/>
      <c r="F293" s="799"/>
      <c r="G293" s="802"/>
      <c r="H293" s="803"/>
      <c r="I293" s="803"/>
      <c r="J293" s="803"/>
      <c r="K293" s="803"/>
      <c r="L293" s="803"/>
      <c r="M293" s="803"/>
      <c r="N293" s="803"/>
      <c r="O293" s="803"/>
      <c r="P293" s="803"/>
      <c r="Q293" s="803"/>
      <c r="R293" s="803"/>
      <c r="S293" s="803"/>
      <c r="T293" s="803"/>
      <c r="U293" s="803"/>
    </row>
    <row r="294" spans="1:21" ht="15.75" thickBot="1"/>
    <row r="295" spans="1:21" ht="16.5" thickTop="1" thickBot="1">
      <c r="A295" s="59" t="s">
        <v>2993</v>
      </c>
      <c r="B295" s="61"/>
    </row>
    <row r="296" spans="1:21" ht="15.75" thickTop="1">
      <c r="A296" s="60" t="s">
        <v>2936</v>
      </c>
      <c r="B296" s="1204" t="str">
        <f>H6</f>
        <v>Victory Concrete</v>
      </c>
    </row>
    <row r="297" spans="1:21">
      <c r="A297" s="1205" t="s">
        <v>2939</v>
      </c>
      <c r="B297" s="1207" t="str">
        <f>H7</f>
        <v>Jeff Grebla</v>
      </c>
    </row>
    <row r="298" spans="1:21">
      <c r="A298" s="1206" t="s">
        <v>2941</v>
      </c>
      <c r="B298" s="1207" t="str">
        <f>H8</f>
        <v>(561) 227-9577</v>
      </c>
    </row>
    <row r="299" spans="1:21">
      <c r="A299" s="1206" t="s">
        <v>2943</v>
      </c>
      <c r="B299" s="1208" t="str">
        <f>H9</f>
        <v>jsgrebla@vconcreteco.com</v>
      </c>
    </row>
    <row r="300" spans="1:21" ht="15.75" thickBot="1">
      <c r="A300" s="804" t="s">
        <v>2994</v>
      </c>
      <c r="B300" s="805">
        <f>I265</f>
        <v>7649008</v>
      </c>
    </row>
    <row r="301" spans="1:21" ht="15.75" thickTop="1"/>
    <row r="302" spans="1:21">
      <c r="A302" s="62"/>
      <c r="B302" s="1" t="s">
        <v>2995</v>
      </c>
    </row>
    <row r="303" spans="1:21">
      <c r="A303" s="63"/>
      <c r="B303" s="1" t="s">
        <v>2996</v>
      </c>
    </row>
  </sheetData>
  <mergeCells count="48">
    <mergeCell ref="D5:G5"/>
    <mergeCell ref="R5:S5"/>
    <mergeCell ref="T5:U5"/>
    <mergeCell ref="H5:I5"/>
    <mergeCell ref="J5:K5"/>
    <mergeCell ref="L5:M5"/>
    <mergeCell ref="N5:O5"/>
    <mergeCell ref="P5:Q5"/>
    <mergeCell ref="A268:B268"/>
    <mergeCell ref="A272:B272"/>
    <mergeCell ref="A276:B276"/>
    <mergeCell ref="A280:B280"/>
    <mergeCell ref="A284:B284"/>
    <mergeCell ref="R8:S8"/>
    <mergeCell ref="R9:S9"/>
    <mergeCell ref="R10:S10"/>
    <mergeCell ref="T10:U10"/>
    <mergeCell ref="H10:I10"/>
    <mergeCell ref="T8:U8"/>
    <mergeCell ref="T9:U9"/>
    <mergeCell ref="H8:I8"/>
    <mergeCell ref="H9:I9"/>
    <mergeCell ref="J8:K8"/>
    <mergeCell ref="J9:K9"/>
    <mergeCell ref="P10:Q10"/>
    <mergeCell ref="J10:K10"/>
    <mergeCell ref="N8:O8"/>
    <mergeCell ref="N9:O9"/>
    <mergeCell ref="L9:M9"/>
    <mergeCell ref="L8:M8"/>
    <mergeCell ref="P8:Q8"/>
    <mergeCell ref="P9:Q9"/>
    <mergeCell ref="N10:O10"/>
    <mergeCell ref="L10:M10"/>
    <mergeCell ref="L6:M6"/>
    <mergeCell ref="L7:M7"/>
    <mergeCell ref="H6:I6"/>
    <mergeCell ref="R6:S6"/>
    <mergeCell ref="R7:S7"/>
    <mergeCell ref="H7:I7"/>
    <mergeCell ref="J6:K6"/>
    <mergeCell ref="J7:K7"/>
    <mergeCell ref="T6:U6"/>
    <mergeCell ref="T7:U7"/>
    <mergeCell ref="N6:O6"/>
    <mergeCell ref="N7:O7"/>
    <mergeCell ref="P6:Q6"/>
    <mergeCell ref="P7:Q7"/>
  </mergeCells>
  <phoneticPr fontId="27" type="noConversion"/>
  <conditionalFormatting sqref="H12:H18 J12:J18 L12:L18 N12:N18 P12:P18 R12:R18 T12:T18 H20:H260 J20:J260 L20:L260 N20:N260 P20:P260 R20:R260 T20:T260">
    <cfRule type="cellIs" dxfId="303" priority="5" operator="equal">
      <formula>"X"</formula>
    </cfRule>
    <cfRule type="cellIs" dxfId="302" priority="6" operator="equal">
      <formula>"I"</formula>
    </cfRule>
  </conditionalFormatting>
  <hyperlinks>
    <hyperlink ref="B4" location="'Cost Summary'!A1" display="BACK TO SUMMARY SHEET" xr:uid="{9EDC97C1-B846-4AC4-8016-1EA60E4744A6}"/>
    <hyperlink ref="T9" r:id="rId1" xr:uid="{8E2B6E77-E0B4-485F-A1DC-914D9A47A3F0}"/>
    <hyperlink ref="L9" r:id="rId2" xr:uid="{F1A3C2DC-D5AF-42A2-895B-0EDDE498D2BD}"/>
    <hyperlink ref="J9" r:id="rId3" xr:uid="{0CA57D0A-D521-46F7-AA53-63904FFF99D0}"/>
    <hyperlink ref="H9" r:id="rId4" xr:uid="{DA9D5536-60DB-409A-AE8F-E79A690322BB}"/>
    <hyperlink ref="P9" r:id="rId5" xr:uid="{06014AFD-F746-41E3-8798-BF2800F39F20}"/>
    <hyperlink ref="R9" r:id="rId6" xr:uid="{2F803EB7-E652-4D03-8B51-B067547A455B}"/>
  </hyperlinks>
  <printOptions horizontalCentered="1"/>
  <pageMargins left="0.2" right="0.2" top="0.5" bottom="0.25" header="0.3" footer="0.3"/>
  <pageSetup scale="99" fitToHeight="0" orientation="portrait" horizontalDpi="1200" verticalDpi="1200" r:id="rId7"/>
  <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2322-D091-472E-BD31-B0BA6EE3656B}">
  <sheetPr>
    <tabColor rgb="FF00B050"/>
    <pageSetUpPr fitToPage="1"/>
  </sheetPr>
  <dimension ref="A1:AH110"/>
  <sheetViews>
    <sheetView zoomScale="90" zoomScaleNormal="90" workbookViewId="0">
      <pane ySplit="10" topLeftCell="A11" activePane="bottomLeft" state="frozen"/>
      <selection pane="bottomLeft" activeCell="B22" sqref="B22"/>
      <selection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8.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3266</v>
      </c>
      <c r="I5" s="838"/>
      <c r="J5" s="837" t="s">
        <v>3267</v>
      </c>
      <c r="K5" s="838"/>
      <c r="L5" s="837" t="s">
        <v>3268</v>
      </c>
      <c r="M5" s="838"/>
      <c r="N5" s="837"/>
      <c r="O5" s="838"/>
      <c r="P5" s="837" t="s">
        <v>3269</v>
      </c>
      <c r="Q5" s="838"/>
      <c r="R5" s="841"/>
      <c r="S5" s="842"/>
    </row>
    <row r="6" spans="1:19">
      <c r="A6" s="1211" t="s">
        <v>2938</v>
      </c>
      <c r="B6" s="1212" t="s">
        <v>2553</v>
      </c>
      <c r="C6" s="1213"/>
      <c r="D6" s="1164"/>
      <c r="E6" s="1165"/>
      <c r="F6" s="1213"/>
      <c r="G6" s="657" t="s">
        <v>2939</v>
      </c>
      <c r="H6" s="1273" t="s">
        <v>3270</v>
      </c>
      <c r="I6" s="839"/>
      <c r="J6" s="1273" t="s">
        <v>3271</v>
      </c>
      <c r="K6" s="839"/>
      <c r="L6" s="1273" t="s">
        <v>3272</v>
      </c>
      <c r="M6" s="839"/>
      <c r="N6" s="1273"/>
      <c r="O6" s="839"/>
      <c r="P6" s="1273" t="s">
        <v>3273</v>
      </c>
      <c r="Q6" s="839"/>
      <c r="R6" s="1215"/>
      <c r="S6" s="843"/>
    </row>
    <row r="7" spans="1:19">
      <c r="A7" s="1211" t="s">
        <v>2940</v>
      </c>
      <c r="B7" s="1216" t="s">
        <v>2702</v>
      </c>
      <c r="C7" s="1213"/>
      <c r="D7" s="1164"/>
      <c r="E7" s="1165"/>
      <c r="F7" s="1213"/>
      <c r="G7" s="1217" t="s">
        <v>2941</v>
      </c>
      <c r="H7" s="1274" t="s">
        <v>3274</v>
      </c>
      <c r="I7" s="840"/>
      <c r="J7" s="1274" t="s">
        <v>3275</v>
      </c>
      <c r="K7" s="840"/>
      <c r="L7" s="1274" t="s">
        <v>3276</v>
      </c>
      <c r="M7" s="840"/>
      <c r="N7" s="1274"/>
      <c r="O7" s="840"/>
      <c r="P7" s="1274" t="s">
        <v>3277</v>
      </c>
      <c r="Q7" s="840"/>
      <c r="R7" s="1218"/>
      <c r="S7" s="844"/>
    </row>
    <row r="8" spans="1:19">
      <c r="A8" s="1211" t="s">
        <v>2942</v>
      </c>
      <c r="B8" s="1219"/>
      <c r="C8" s="1213"/>
      <c r="D8" s="1164"/>
      <c r="E8" s="1165"/>
      <c r="F8" s="1213"/>
      <c r="G8" s="1217" t="s">
        <v>2943</v>
      </c>
      <c r="H8" s="1275" t="s">
        <v>3278</v>
      </c>
      <c r="I8" s="836"/>
      <c r="J8" s="1275" t="s">
        <v>3279</v>
      </c>
      <c r="K8" s="836"/>
      <c r="L8" s="1275" t="s">
        <v>3280</v>
      </c>
      <c r="M8" s="836"/>
      <c r="N8" s="1275"/>
      <c r="O8" s="836"/>
      <c r="P8" s="1275" t="s">
        <v>3281</v>
      </c>
      <c r="Q8" s="836"/>
      <c r="R8" s="1220"/>
      <c r="S8" s="845"/>
    </row>
    <row r="9" spans="1:19" ht="15.75" thickBot="1">
      <c r="A9" s="811"/>
      <c r="B9" s="812"/>
      <c r="C9" s="616"/>
      <c r="D9" s="621"/>
      <c r="E9" s="622"/>
      <c r="F9" s="813"/>
      <c r="G9" s="814" t="s">
        <v>2944</v>
      </c>
      <c r="H9" s="995">
        <f>I$72</f>
        <v>983329</v>
      </c>
      <c r="I9" s="996"/>
      <c r="J9" s="995">
        <f>K$72</f>
        <v>980366.8</v>
      </c>
      <c r="K9" s="996"/>
      <c r="L9" s="995">
        <f>M$72</f>
        <v>0</v>
      </c>
      <c r="M9" s="996"/>
      <c r="N9" s="997">
        <f>O$72</f>
        <v>0</v>
      </c>
      <c r="O9" s="998"/>
      <c r="P9" s="995">
        <f>Q$72</f>
        <v>1592450</v>
      </c>
      <c r="Q9" s="996"/>
      <c r="R9" s="995">
        <f t="shared" ref="R9" si="0">S$72</f>
        <v>0</v>
      </c>
      <c r="S9" s="996"/>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147"/>
      <c r="B11" s="794" t="s">
        <v>2953</v>
      </c>
      <c r="C11" s="659"/>
      <c r="D11" s="1164"/>
      <c r="E11" s="1165"/>
      <c r="F11" s="1213"/>
      <c r="G11" s="660"/>
      <c r="H11" s="1221"/>
      <c r="I11" s="182"/>
      <c r="J11" s="1221"/>
      <c r="K11" s="1149"/>
      <c r="L11" s="1221"/>
      <c r="M11" s="182"/>
      <c r="N11" s="1221"/>
      <c r="O11" s="1148"/>
      <c r="P11" s="1221"/>
      <c r="Q11" s="1149"/>
      <c r="R11" s="1221"/>
      <c r="S11" s="1149"/>
    </row>
    <row r="12" spans="1:19">
      <c r="A12" s="1150"/>
      <c r="B12" s="1151" t="s">
        <v>2954</v>
      </c>
      <c r="C12" s="1213"/>
      <c r="D12" s="1164"/>
      <c r="E12" s="1165"/>
      <c r="F12" s="1213"/>
      <c r="G12" s="660"/>
      <c r="H12" s="1221"/>
      <c r="I12" s="1149"/>
      <c r="J12" s="1221"/>
      <c r="K12" s="1149"/>
      <c r="L12" s="1221"/>
      <c r="M12" s="1149"/>
      <c r="N12" s="1221"/>
      <c r="O12" s="1148"/>
      <c r="P12" s="1221"/>
      <c r="Q12" s="1149"/>
      <c r="R12" s="1221"/>
      <c r="S12" s="1149"/>
    </row>
    <row r="13" spans="1:19">
      <c r="A13" s="1223"/>
      <c r="B13" s="1152" t="s">
        <v>2955</v>
      </c>
      <c r="C13" s="1213"/>
      <c r="D13" s="1164"/>
      <c r="E13" s="1165"/>
      <c r="F13" s="1213"/>
      <c r="G13" s="660"/>
      <c r="H13" s="1221"/>
      <c r="I13" s="1149"/>
      <c r="J13" s="1221"/>
      <c r="K13" s="1149"/>
      <c r="L13" s="1221"/>
      <c r="M13" s="1149"/>
      <c r="N13" s="1221"/>
      <c r="O13" s="1148"/>
      <c r="P13" s="1221"/>
      <c r="Q13" s="1149"/>
      <c r="R13" s="1221"/>
      <c r="S13" s="1149"/>
    </row>
    <row r="14" spans="1:19">
      <c r="A14" s="1223"/>
      <c r="B14" s="1153" t="s">
        <v>2956</v>
      </c>
      <c r="C14" s="1213"/>
      <c r="D14" s="1164"/>
      <c r="E14" s="1165"/>
      <c r="F14" s="1213"/>
      <c r="G14" s="660"/>
      <c r="H14" s="1221"/>
      <c r="I14" s="1149"/>
      <c r="J14" s="1221"/>
      <c r="K14" s="1149"/>
      <c r="L14" s="1221"/>
      <c r="M14" s="1149"/>
      <c r="N14" s="1221"/>
      <c r="O14" s="1148"/>
      <c r="P14" s="1221"/>
      <c r="Q14" s="1149"/>
      <c r="R14" s="1221"/>
      <c r="S14" s="1149"/>
    </row>
    <row r="15" spans="1:19">
      <c r="A15" s="1223"/>
      <c r="B15" s="1153" t="s">
        <v>2957</v>
      </c>
      <c r="C15" s="1213"/>
      <c r="D15" s="1164"/>
      <c r="E15" s="1165"/>
      <c r="F15" s="1213"/>
      <c r="G15" s="660"/>
      <c r="H15" s="1221"/>
      <c r="I15" s="1148"/>
      <c r="J15" s="1221"/>
      <c r="K15" s="1148"/>
      <c r="L15" s="1221"/>
      <c r="M15" s="1148"/>
      <c r="N15" s="1221"/>
      <c r="O15" s="1148"/>
      <c r="P15" s="1221"/>
      <c r="Q15" s="1148"/>
      <c r="R15" s="1221"/>
      <c r="S15" s="1148"/>
    </row>
    <row r="16" spans="1:19">
      <c r="A16" s="1223"/>
      <c r="B16" s="1153" t="s">
        <v>2958</v>
      </c>
      <c r="C16" s="1213"/>
      <c r="D16" s="1164"/>
      <c r="E16" s="1165"/>
      <c r="F16" s="1213"/>
      <c r="G16" s="660"/>
      <c r="H16" s="1221"/>
      <c r="I16" s="1149"/>
      <c r="J16" s="1221"/>
      <c r="K16" s="1149"/>
      <c r="L16" s="1221"/>
      <c r="M16" s="1149"/>
      <c r="N16" s="1221"/>
      <c r="O16" s="1148"/>
      <c r="P16" s="1221"/>
      <c r="Q16" s="1149"/>
      <c r="R16" s="1221"/>
      <c r="S16" s="1149"/>
    </row>
    <row r="17" spans="1:19">
      <c r="A17" s="1223"/>
      <c r="B17" s="1153" t="s">
        <v>2959</v>
      </c>
      <c r="C17" s="1213"/>
      <c r="D17" s="1164"/>
      <c r="E17" s="1165"/>
      <c r="F17" s="1213"/>
      <c r="G17" s="660"/>
      <c r="H17" s="1221"/>
      <c r="I17" s="1149"/>
      <c r="J17" s="1221"/>
      <c r="K17" s="1149"/>
      <c r="L17" s="1221"/>
      <c r="M17" s="1149"/>
      <c r="N17" s="1221"/>
      <c r="O17" s="1148"/>
      <c r="P17" s="1221"/>
      <c r="Q17" s="1149"/>
      <c r="R17" s="1221"/>
      <c r="S17" s="1149"/>
    </row>
    <row r="18" spans="1:19">
      <c r="A18" s="1223"/>
      <c r="B18" s="1154" t="s">
        <v>2960</v>
      </c>
      <c r="C18" s="1213"/>
      <c r="D18" s="1164"/>
      <c r="E18" s="1165"/>
      <c r="F18" s="1213"/>
      <c r="G18" s="660"/>
      <c r="H18" s="1221"/>
      <c r="I18" s="1149"/>
      <c r="J18" s="1221"/>
      <c r="K18" s="1149"/>
      <c r="L18" s="1221"/>
      <c r="M18" s="1149"/>
      <c r="N18" s="1221"/>
      <c r="O18" s="1148"/>
      <c r="P18" s="1221"/>
      <c r="Q18" s="1149"/>
      <c r="R18" s="1221"/>
      <c r="S18" s="1149"/>
    </row>
    <row r="19" spans="1:19">
      <c r="A19" s="1223"/>
      <c r="B19" s="1155" t="s">
        <v>2961</v>
      </c>
      <c r="C19" s="1224"/>
      <c r="D19" s="1276"/>
      <c r="E19" s="1277"/>
      <c r="F19" s="1226"/>
      <c r="G19" s="661"/>
      <c r="H19" s="1227"/>
      <c r="I19" s="1158"/>
      <c r="J19" s="1227"/>
      <c r="K19" s="1158"/>
      <c r="L19" s="1227"/>
      <c r="M19" s="1158"/>
      <c r="N19" s="1227"/>
      <c r="O19" s="1157"/>
      <c r="P19" s="1227"/>
      <c r="Q19" s="1158"/>
      <c r="R19" s="1227"/>
      <c r="S19" s="1158"/>
    </row>
    <row r="20" spans="1:19">
      <c r="A20" s="1223"/>
      <c r="B20" s="1278"/>
      <c r="C20" s="1213"/>
      <c r="D20" s="1279"/>
      <c r="E20" s="1165"/>
      <c r="F20" s="1280"/>
      <c r="G20" s="660"/>
      <c r="H20" s="1202"/>
      <c r="I20" s="1263"/>
      <c r="J20" s="1202"/>
      <c r="K20" s="1263"/>
      <c r="L20" s="1202"/>
      <c r="M20" s="1263"/>
      <c r="N20" s="1202"/>
      <c r="O20" s="1281"/>
      <c r="P20" s="1202"/>
      <c r="Q20" s="1263"/>
      <c r="R20" s="1202"/>
      <c r="S20" s="1263"/>
    </row>
    <row r="21" spans="1:19">
      <c r="A21" s="1223"/>
      <c r="B21" s="1282" t="s">
        <v>2695</v>
      </c>
      <c r="C21" s="1213"/>
      <c r="D21" s="1164"/>
      <c r="E21" s="1165"/>
      <c r="F21" s="1280"/>
      <c r="G21" s="660"/>
      <c r="H21" s="1221"/>
      <c r="I21" s="1166">
        <f>SUBTOTAL(9,I22:I66)</f>
        <v>983329</v>
      </c>
      <c r="J21" s="1221"/>
      <c r="K21" s="1166">
        <f>SUBTOTAL(9,K22:K66)</f>
        <v>980366.8</v>
      </c>
      <c r="L21" s="1221"/>
      <c r="M21" s="1166">
        <f>SUBTOTAL(9,M22:M66)</f>
        <v>0</v>
      </c>
      <c r="N21" s="1221"/>
      <c r="O21" s="1166">
        <f>SUBTOTAL(9,O22:O66)</f>
        <v>0</v>
      </c>
      <c r="P21" s="1221"/>
      <c r="Q21" s="1166">
        <f>SUBTOTAL(9,Q22:Q66)</f>
        <v>1592450</v>
      </c>
      <c r="R21" s="1221"/>
      <c r="S21" s="1166">
        <f>SUBTOTAL(9,S22:S66)</f>
        <v>0</v>
      </c>
    </row>
    <row r="22" spans="1:19">
      <c r="A22" s="1223">
        <f>32*4/2</f>
        <v>64</v>
      </c>
      <c r="B22" s="1283" t="s">
        <v>3282</v>
      </c>
      <c r="C22" s="1213"/>
      <c r="D22" s="1164"/>
      <c r="E22" s="1165"/>
      <c r="F22" s="1284"/>
      <c r="G22" s="662">
        <f>ROUND(D22*F22,0)</f>
        <v>0</v>
      </c>
      <c r="H22" s="1221"/>
      <c r="I22" s="1161"/>
      <c r="J22" s="1221"/>
      <c r="K22" s="1161"/>
      <c r="L22" s="1221"/>
      <c r="M22" s="1161"/>
      <c r="N22" s="1221"/>
      <c r="O22" s="1160"/>
      <c r="P22" s="1221"/>
      <c r="Q22" s="1160"/>
      <c r="R22" s="1221"/>
      <c r="S22" s="1161"/>
    </row>
    <row r="23" spans="1:19">
      <c r="A23" s="1285"/>
      <c r="B23" s="1286" t="s">
        <v>159</v>
      </c>
      <c r="C23" s="659"/>
      <c r="D23" s="1164"/>
      <c r="E23" s="1165"/>
      <c r="F23" s="1280"/>
      <c r="G23" s="660"/>
      <c r="H23" s="1221"/>
      <c r="I23" s="1161"/>
      <c r="J23" s="1221"/>
      <c r="K23" s="1161"/>
      <c r="L23" s="1221"/>
      <c r="M23" s="1161"/>
      <c r="N23" s="1221"/>
      <c r="O23" s="1160"/>
      <c r="P23" s="1221"/>
      <c r="Q23" s="1160"/>
      <c r="R23" s="1221"/>
      <c r="S23" s="1161"/>
    </row>
    <row r="24" spans="1:19">
      <c r="A24" s="1223"/>
      <c r="B24" s="1287" t="s">
        <v>3283</v>
      </c>
      <c r="C24" s="1288"/>
      <c r="D24" s="1289"/>
      <c r="E24" s="1165"/>
      <c r="F24" s="1284">
        <f>SUM(I24:I27)</f>
        <v>839167</v>
      </c>
      <c r="G24" s="662">
        <f t="shared" ref="G24:G27" si="1">ROUND(D24*F24,0)</f>
        <v>0</v>
      </c>
      <c r="H24" s="1221"/>
      <c r="I24" s="1161">
        <f>502609</f>
        <v>502609</v>
      </c>
      <c r="J24" s="1221"/>
      <c r="K24" s="1161">
        <v>681074.8</v>
      </c>
      <c r="L24" s="1221"/>
      <c r="M24" s="1161"/>
      <c r="N24" s="1221"/>
      <c r="O24" s="1160"/>
      <c r="P24" s="1221"/>
      <c r="Q24" s="1160"/>
      <c r="R24" s="1221"/>
      <c r="S24" s="1161"/>
    </row>
    <row r="25" spans="1:19">
      <c r="A25" s="1223"/>
      <c r="B25" s="1287" t="s">
        <v>3284</v>
      </c>
      <c r="C25" s="1288"/>
      <c r="D25" s="1289"/>
      <c r="E25" s="1165"/>
      <c r="F25" s="1284">
        <f>F24/D55</f>
        <v>58.033679114799448</v>
      </c>
      <c r="G25" s="662">
        <f t="shared" si="1"/>
        <v>0</v>
      </c>
      <c r="H25" s="1221"/>
      <c r="I25" s="1161">
        <f>151000</f>
        <v>151000</v>
      </c>
      <c r="J25" s="1221" t="s">
        <v>2931</v>
      </c>
      <c r="K25" s="1161"/>
      <c r="L25" s="1221"/>
      <c r="M25" s="1161"/>
      <c r="N25" s="1221"/>
      <c r="O25" s="1160"/>
      <c r="P25" s="1221"/>
      <c r="Q25" s="1160"/>
      <c r="R25" s="1221"/>
      <c r="S25" s="1161"/>
    </row>
    <row r="26" spans="1:19">
      <c r="A26" s="1223"/>
      <c r="B26" s="1287" t="s">
        <v>3285</v>
      </c>
      <c r="C26" s="1288"/>
      <c r="D26" s="1289"/>
      <c r="E26" s="1165"/>
      <c r="F26" s="1284"/>
      <c r="G26" s="662"/>
      <c r="H26" s="1221" t="s">
        <v>2929</v>
      </c>
      <c r="I26" s="1161"/>
      <c r="J26" s="1221" t="s">
        <v>2929</v>
      </c>
      <c r="K26" s="1161"/>
      <c r="L26" s="1221"/>
      <c r="M26" s="1161"/>
      <c r="N26" s="1221"/>
      <c r="O26" s="1160"/>
      <c r="P26" s="1221"/>
      <c r="Q26" s="1160"/>
      <c r="R26" s="1221"/>
      <c r="S26" s="1161"/>
    </row>
    <row r="27" spans="1:19">
      <c r="A27" s="1223"/>
      <c r="B27" s="1287" t="s">
        <v>3286</v>
      </c>
      <c r="C27" s="1288"/>
      <c r="D27" s="1289"/>
      <c r="E27" s="1165"/>
      <c r="F27" s="1284"/>
      <c r="G27" s="662">
        <f t="shared" si="1"/>
        <v>0</v>
      </c>
      <c r="H27" s="1221"/>
      <c r="I27" s="1161">
        <f>165273+20285</f>
        <v>185558</v>
      </c>
      <c r="J27" s="1221" t="s">
        <v>2931</v>
      </c>
      <c r="K27" s="1161"/>
      <c r="L27" s="1221"/>
      <c r="M27" s="1161"/>
      <c r="N27" s="1221"/>
      <c r="O27" s="1160"/>
      <c r="P27" s="1221"/>
      <c r="Q27" s="1160"/>
      <c r="R27" s="1221"/>
      <c r="S27" s="1161"/>
    </row>
    <row r="28" spans="1:19">
      <c r="A28" s="1223"/>
      <c r="B28" s="1287" t="s">
        <v>3287</v>
      </c>
      <c r="C28" s="1288"/>
      <c r="D28" s="1289"/>
      <c r="E28" s="1165"/>
      <c r="F28" s="1284"/>
      <c r="G28" s="662"/>
      <c r="H28" s="1221" t="s">
        <v>2931</v>
      </c>
      <c r="I28" s="1161"/>
      <c r="J28" s="1221" t="s">
        <v>2929</v>
      </c>
      <c r="K28" s="1161" t="s">
        <v>3288</v>
      </c>
      <c r="L28" s="1221"/>
      <c r="M28" s="1161"/>
      <c r="N28" s="1221"/>
      <c r="O28" s="1160"/>
      <c r="P28" s="1221"/>
      <c r="Q28" s="1160"/>
      <c r="R28" s="1221"/>
      <c r="S28" s="1161"/>
    </row>
    <row r="29" spans="1:19">
      <c r="A29" s="1223"/>
      <c r="B29" s="543"/>
      <c r="C29" s="1288"/>
      <c r="D29" s="1289"/>
      <c r="E29" s="1165"/>
      <c r="F29" s="1284"/>
      <c r="G29" s="662"/>
      <c r="H29" s="1221"/>
      <c r="I29" s="1161"/>
      <c r="J29" s="1221"/>
      <c r="K29" s="1161"/>
      <c r="L29" s="1221"/>
      <c r="M29" s="1161"/>
      <c r="N29" s="1221"/>
      <c r="O29" s="1160"/>
      <c r="P29" s="1221"/>
      <c r="Q29" s="1160"/>
      <c r="R29" s="1221"/>
      <c r="S29" s="1161"/>
    </row>
    <row r="30" spans="1:19">
      <c r="A30" s="1223"/>
      <c r="B30" s="1283" t="s">
        <v>3289</v>
      </c>
      <c r="C30" s="1288"/>
      <c r="D30" s="1289"/>
      <c r="E30" s="1165"/>
      <c r="F30" s="1284"/>
      <c r="G30" s="662"/>
      <c r="H30" s="1221"/>
      <c r="I30" s="1161"/>
      <c r="J30" s="1221"/>
      <c r="K30" s="1161"/>
      <c r="L30" s="1221"/>
      <c r="M30" s="1161"/>
      <c r="N30" s="1221"/>
      <c r="O30" s="1160"/>
      <c r="P30" s="1221"/>
      <c r="Q30" s="1160"/>
      <c r="R30" s="1221"/>
      <c r="S30" s="1161"/>
    </row>
    <row r="31" spans="1:19">
      <c r="A31" s="1223"/>
      <c r="B31" s="1287" t="s">
        <v>3290</v>
      </c>
      <c r="C31" s="1213" t="s">
        <v>3291</v>
      </c>
      <c r="D31" s="1164">
        <f>6+113+114+113+114+893</f>
        <v>1353</v>
      </c>
      <c r="E31" s="1165" t="s">
        <v>2845</v>
      </c>
      <c r="F31" s="1284"/>
      <c r="G31" s="662">
        <f t="shared" ref="G31:G41" si="2">ROUND(D31*F31,0)</f>
        <v>0</v>
      </c>
      <c r="H31" s="1221" t="s">
        <v>2931</v>
      </c>
      <c r="I31" s="1161"/>
      <c r="J31" s="1221" t="s">
        <v>2931</v>
      </c>
      <c r="K31" s="1161"/>
      <c r="L31" s="1221"/>
      <c r="M31" s="1161"/>
      <c r="N31" s="1221"/>
      <c r="O31" s="1160"/>
      <c r="P31" s="1221"/>
      <c r="Q31" s="1160">
        <f>340230+95840</f>
        <v>436070</v>
      </c>
      <c r="R31" s="1221"/>
      <c r="S31" s="1161"/>
    </row>
    <row r="32" spans="1:19">
      <c r="A32" s="1223"/>
      <c r="B32" s="1287" t="s">
        <v>3292</v>
      </c>
      <c r="C32" s="1213" t="s">
        <v>3293</v>
      </c>
      <c r="D32" s="1164">
        <v>0</v>
      </c>
      <c r="E32" s="1165" t="s">
        <v>2845</v>
      </c>
      <c r="F32" s="1284"/>
      <c r="G32" s="662">
        <f t="shared" si="2"/>
        <v>0</v>
      </c>
      <c r="H32" s="1221"/>
      <c r="I32" s="1161"/>
      <c r="J32" s="1221"/>
      <c r="K32" s="1161"/>
      <c r="L32" s="1221"/>
      <c r="M32" s="1161"/>
      <c r="N32" s="1221"/>
      <c r="O32" s="1160"/>
      <c r="P32" s="1221" t="s">
        <v>2931</v>
      </c>
      <c r="Q32" s="1160"/>
      <c r="R32" s="1221"/>
      <c r="S32" s="1161"/>
    </row>
    <row r="33" spans="1:19">
      <c r="A33" s="1223"/>
      <c r="B33" s="1287" t="s">
        <v>3294</v>
      </c>
      <c r="C33" s="1213" t="s">
        <v>3295</v>
      </c>
      <c r="D33" s="1164">
        <f>251+99</f>
        <v>350</v>
      </c>
      <c r="E33" s="1165" t="s">
        <v>2845</v>
      </c>
      <c r="F33" s="1284"/>
      <c r="G33" s="662">
        <f t="shared" si="2"/>
        <v>0</v>
      </c>
      <c r="H33" s="1221" t="s">
        <v>2931</v>
      </c>
      <c r="I33" s="1161"/>
      <c r="J33" s="1221" t="s">
        <v>2931</v>
      </c>
      <c r="K33" s="1161"/>
      <c r="L33" s="1221"/>
      <c r="M33" s="1161"/>
      <c r="N33" s="1221"/>
      <c r="O33" s="1160"/>
      <c r="P33" s="1221" t="s">
        <v>2931</v>
      </c>
      <c r="Q33" s="1160"/>
      <c r="R33" s="1221"/>
      <c r="S33" s="1161"/>
    </row>
    <row r="34" spans="1:19">
      <c r="A34" s="1223"/>
      <c r="B34" s="1287" t="s">
        <v>3296</v>
      </c>
      <c r="C34" s="1213" t="s">
        <v>3297</v>
      </c>
      <c r="D34" s="1289">
        <v>67</v>
      </c>
      <c r="E34" s="1165" t="s">
        <v>2845</v>
      </c>
      <c r="F34" s="1284"/>
      <c r="G34" s="662">
        <f t="shared" si="2"/>
        <v>0</v>
      </c>
      <c r="H34" s="1221" t="s">
        <v>2931</v>
      </c>
      <c r="I34" s="1161"/>
      <c r="J34" s="1221" t="s">
        <v>2931</v>
      </c>
      <c r="K34" s="1161"/>
      <c r="L34" s="1221"/>
      <c r="M34" s="1161"/>
      <c r="N34" s="1221"/>
      <c r="O34" s="1160"/>
      <c r="P34" s="1221" t="s">
        <v>2931</v>
      </c>
      <c r="Q34" s="1160"/>
      <c r="R34" s="1221"/>
      <c r="S34" s="1161"/>
    </row>
    <row r="35" spans="1:19">
      <c r="A35" s="1223"/>
      <c r="B35" s="1287" t="s">
        <v>3298</v>
      </c>
      <c r="C35" s="1288" t="s">
        <v>3299</v>
      </c>
      <c r="D35" s="1289">
        <f>379+25</f>
        <v>404</v>
      </c>
      <c r="E35" s="1165" t="s">
        <v>2845</v>
      </c>
      <c r="F35" s="1284"/>
      <c r="G35" s="662">
        <f t="shared" si="2"/>
        <v>0</v>
      </c>
      <c r="H35" s="1221" t="s">
        <v>2931</v>
      </c>
      <c r="I35" s="1161"/>
      <c r="J35" s="1221" t="s">
        <v>2931</v>
      </c>
      <c r="K35" s="1161"/>
      <c r="L35" s="1221"/>
      <c r="M35" s="1161"/>
      <c r="N35" s="1221"/>
      <c r="O35" s="1160"/>
      <c r="P35" s="1221" t="s">
        <v>2931</v>
      </c>
      <c r="Q35" s="1160"/>
      <c r="R35" s="1221"/>
      <c r="S35" s="1161"/>
    </row>
    <row r="36" spans="1:19">
      <c r="A36" s="1223"/>
      <c r="B36" s="1287" t="s">
        <v>3300</v>
      </c>
      <c r="C36" s="1288" t="s">
        <v>3301</v>
      </c>
      <c r="D36" s="1289">
        <f>143+118+116+103+104+104+105+104+280+283</f>
        <v>1460</v>
      </c>
      <c r="E36" s="1165" t="s">
        <v>2845</v>
      </c>
      <c r="F36" s="1284"/>
      <c r="G36" s="662">
        <f t="shared" si="2"/>
        <v>0</v>
      </c>
      <c r="H36" s="1221" t="s">
        <v>2931</v>
      </c>
      <c r="I36" s="1161"/>
      <c r="J36" s="1221" t="s">
        <v>2931</v>
      </c>
      <c r="K36" s="1161"/>
      <c r="L36" s="1221"/>
      <c r="M36" s="1161"/>
      <c r="N36" s="1221"/>
      <c r="O36" s="1160"/>
      <c r="P36" s="1221"/>
      <c r="Q36" s="1160">
        <f>313310+196330</f>
        <v>509640</v>
      </c>
      <c r="R36" s="1221"/>
      <c r="S36" s="1161"/>
    </row>
    <row r="37" spans="1:19">
      <c r="A37" s="1223"/>
      <c r="B37" s="1287" t="s">
        <v>3302</v>
      </c>
      <c r="C37" s="1288" t="s">
        <v>3303</v>
      </c>
      <c r="D37" s="1289">
        <v>995</v>
      </c>
      <c r="E37" s="1165" t="s">
        <v>2845</v>
      </c>
      <c r="F37" s="1284"/>
      <c r="G37" s="662">
        <f t="shared" si="2"/>
        <v>0</v>
      </c>
      <c r="H37" s="1221" t="s">
        <v>2931</v>
      </c>
      <c r="I37" s="1161"/>
      <c r="J37" s="1221" t="s">
        <v>2931</v>
      </c>
      <c r="K37" s="1161"/>
      <c r="L37" s="1221"/>
      <c r="M37" s="1161"/>
      <c r="N37" s="1221"/>
      <c r="O37" s="1160"/>
      <c r="P37" s="1221" t="s">
        <v>2931</v>
      </c>
      <c r="Q37" s="1160"/>
      <c r="R37" s="1221"/>
      <c r="S37" s="1161"/>
    </row>
    <row r="38" spans="1:19">
      <c r="A38" s="1223"/>
      <c r="B38" s="1287" t="s">
        <v>3304</v>
      </c>
      <c r="C38" s="1288" t="s">
        <v>3305</v>
      </c>
      <c r="D38" s="1289">
        <f>33+115+100+136</f>
        <v>384</v>
      </c>
      <c r="E38" s="1165" t="s">
        <v>2845</v>
      </c>
      <c r="F38" s="1284"/>
      <c r="G38" s="662">
        <f t="shared" si="2"/>
        <v>0</v>
      </c>
      <c r="H38" s="1221" t="s">
        <v>2931</v>
      </c>
      <c r="I38" s="1161"/>
      <c r="J38" s="1221" t="s">
        <v>2931</v>
      </c>
      <c r="K38" s="1161"/>
      <c r="L38" s="1221"/>
      <c r="M38" s="1161"/>
      <c r="N38" s="1221"/>
      <c r="O38" s="1160"/>
      <c r="P38" s="1221" t="s">
        <v>2931</v>
      </c>
      <c r="Q38" s="1160"/>
      <c r="R38" s="1221"/>
      <c r="S38" s="1161"/>
    </row>
    <row r="39" spans="1:19">
      <c r="A39" s="1223"/>
      <c r="B39" s="1287" t="s">
        <v>3306</v>
      </c>
      <c r="C39" s="1288" t="s">
        <v>3307</v>
      </c>
      <c r="D39" s="1289">
        <f>168+364+413+81+81+92</f>
        <v>1199</v>
      </c>
      <c r="E39" s="1165" t="s">
        <v>2845</v>
      </c>
      <c r="F39" s="1284"/>
      <c r="G39" s="662">
        <f t="shared" si="2"/>
        <v>0</v>
      </c>
      <c r="H39" s="1221" t="s">
        <v>2931</v>
      </c>
      <c r="I39" s="1161"/>
      <c r="J39" s="1221" t="s">
        <v>2931</v>
      </c>
      <c r="K39" s="1161"/>
      <c r="L39" s="1221"/>
      <c r="M39" s="1161"/>
      <c r="N39" s="1221"/>
      <c r="O39" s="1160"/>
      <c r="P39" s="1221" t="s">
        <v>2931</v>
      </c>
      <c r="Q39" s="1160"/>
      <c r="R39" s="1221"/>
      <c r="S39" s="1161"/>
    </row>
    <row r="40" spans="1:19">
      <c r="A40" s="1223"/>
      <c r="B40" s="1287" t="s">
        <v>3308</v>
      </c>
      <c r="C40" s="1288" t="s">
        <v>3309</v>
      </c>
      <c r="D40" s="1289">
        <f>99+154+11+11+668+715</f>
        <v>1658</v>
      </c>
      <c r="E40" s="1165" t="s">
        <v>2845</v>
      </c>
      <c r="F40" s="1284"/>
      <c r="G40" s="662">
        <f t="shared" si="2"/>
        <v>0</v>
      </c>
      <c r="H40" s="1221" t="s">
        <v>2931</v>
      </c>
      <c r="I40" s="1161"/>
      <c r="J40" s="1221" t="s">
        <v>2931</v>
      </c>
      <c r="K40" s="1161"/>
      <c r="L40" s="1221"/>
      <c r="M40" s="1161"/>
      <c r="N40" s="1221"/>
      <c r="O40" s="1160"/>
      <c r="P40" s="1221"/>
      <c r="Q40" s="1160">
        <f>362640+284100</f>
        <v>646740</v>
      </c>
      <c r="R40" s="1221"/>
      <c r="S40" s="1161"/>
    </row>
    <row r="41" spans="1:19">
      <c r="A41" s="1223"/>
      <c r="B41" s="1287" t="s">
        <v>3310</v>
      </c>
      <c r="C41" s="1288" t="s">
        <v>3311</v>
      </c>
      <c r="D41" s="1289">
        <f>432+140+203+153+10</f>
        <v>938</v>
      </c>
      <c r="E41" s="1165" t="s">
        <v>2845</v>
      </c>
      <c r="F41" s="1284"/>
      <c r="G41" s="662">
        <f t="shared" si="2"/>
        <v>0</v>
      </c>
      <c r="H41" s="1221" t="s">
        <v>2931</v>
      </c>
      <c r="I41" s="1161"/>
      <c r="J41" s="1221" t="s">
        <v>2931</v>
      </c>
      <c r="K41" s="1161"/>
      <c r="L41" s="1221"/>
      <c r="M41" s="1161"/>
      <c r="N41" s="1221"/>
      <c r="O41" s="1160"/>
      <c r="P41" s="1221" t="s">
        <v>2931</v>
      </c>
      <c r="Q41" s="1160"/>
      <c r="R41" s="1221"/>
      <c r="S41" s="1161"/>
    </row>
    <row r="42" spans="1:19">
      <c r="A42" s="1223"/>
      <c r="B42" s="1287" t="s">
        <v>3312</v>
      </c>
      <c r="C42" s="1288" t="s">
        <v>3313</v>
      </c>
      <c r="D42" s="1289">
        <f>20+144+114+56+138+13+13+8</f>
        <v>506</v>
      </c>
      <c r="E42" s="1165" t="s">
        <v>2845</v>
      </c>
      <c r="F42" s="1284"/>
      <c r="G42" s="662">
        <f t="shared" ref="G42:G67" si="3">ROUND(D42*F42,0)</f>
        <v>0</v>
      </c>
      <c r="H42" s="1221" t="s">
        <v>2931</v>
      </c>
      <c r="I42" s="1161"/>
      <c r="J42" s="1221" t="s">
        <v>2931</v>
      </c>
      <c r="K42" s="1161"/>
      <c r="L42" s="1221"/>
      <c r="M42" s="1161"/>
      <c r="N42" s="1221"/>
      <c r="O42" s="1160"/>
      <c r="P42" s="1221" t="s">
        <v>2931</v>
      </c>
      <c r="Q42" s="1160"/>
      <c r="R42" s="1221"/>
      <c r="S42" s="1161"/>
    </row>
    <row r="43" spans="1:19">
      <c r="A43" s="1223"/>
      <c r="B43" s="1287" t="s">
        <v>3314</v>
      </c>
      <c r="C43" s="1288" t="s">
        <v>3315</v>
      </c>
      <c r="D43" s="1289">
        <f>775+916</f>
        <v>1691</v>
      </c>
      <c r="E43" s="1165" t="s">
        <v>2845</v>
      </c>
      <c r="F43" s="1284"/>
      <c r="G43" s="662">
        <f t="shared" si="3"/>
        <v>0</v>
      </c>
      <c r="H43" s="1221" t="s">
        <v>2931</v>
      </c>
      <c r="I43" s="1161"/>
      <c r="J43" s="1221" t="s">
        <v>2931</v>
      </c>
      <c r="K43" s="1161"/>
      <c r="L43" s="1221"/>
      <c r="M43" s="1161"/>
      <c r="N43" s="1221"/>
      <c r="O43" s="1160"/>
      <c r="P43" s="1221" t="s">
        <v>2931</v>
      </c>
      <c r="Q43" s="1160"/>
      <c r="R43" s="1221"/>
      <c r="S43" s="1161"/>
    </row>
    <row r="44" spans="1:19">
      <c r="A44" s="1223"/>
      <c r="B44" s="1287" t="s">
        <v>3316</v>
      </c>
      <c r="C44" s="1288" t="s">
        <v>740</v>
      </c>
      <c r="D44" s="1289">
        <f>43*3</f>
        <v>129</v>
      </c>
      <c r="E44" s="1165" t="s">
        <v>2845</v>
      </c>
      <c r="F44" s="1284"/>
      <c r="G44" s="662">
        <f t="shared" si="3"/>
        <v>0</v>
      </c>
      <c r="H44" s="1221" t="s">
        <v>2931</v>
      </c>
      <c r="I44" s="1161"/>
      <c r="J44" s="1221"/>
      <c r="K44" s="1256">
        <f>D44*48</f>
        <v>6192</v>
      </c>
      <c r="L44" s="1221"/>
      <c r="M44" s="1161"/>
      <c r="N44" s="1221"/>
      <c r="O44" s="1160"/>
      <c r="P44" s="1221"/>
      <c r="Q44" s="1160"/>
      <c r="R44" s="1221"/>
      <c r="S44" s="1161"/>
    </row>
    <row r="45" spans="1:19">
      <c r="A45" s="1223"/>
      <c r="B45" s="1287" t="s">
        <v>3317</v>
      </c>
      <c r="C45" s="1288" t="s">
        <v>740</v>
      </c>
      <c r="D45" s="1289">
        <v>776</v>
      </c>
      <c r="E45" s="1165" t="s">
        <v>2845</v>
      </c>
      <c r="F45" s="1284"/>
      <c r="G45" s="662">
        <f t="shared" si="3"/>
        <v>0</v>
      </c>
      <c r="H45" s="1221" t="s">
        <v>2931</v>
      </c>
      <c r="I45" s="1161"/>
      <c r="J45" s="1221" t="s">
        <v>2931</v>
      </c>
      <c r="K45" s="1161"/>
      <c r="L45" s="1221"/>
      <c r="M45" s="1161"/>
      <c r="N45" s="1221"/>
      <c r="O45" s="1160"/>
      <c r="P45" s="1221" t="s">
        <v>2931</v>
      </c>
      <c r="Q45" s="1160"/>
      <c r="R45" s="1221"/>
      <c r="S45" s="1161"/>
    </row>
    <row r="46" spans="1:19">
      <c r="A46" s="1223"/>
      <c r="B46" s="1287" t="s">
        <v>3318</v>
      </c>
      <c r="C46" s="1288" t="s">
        <v>746</v>
      </c>
      <c r="D46" s="1289">
        <v>968</v>
      </c>
      <c r="E46" s="1165" t="s">
        <v>2845</v>
      </c>
      <c r="F46" s="1284"/>
      <c r="G46" s="662">
        <f t="shared" si="3"/>
        <v>0</v>
      </c>
      <c r="H46" s="1221" t="s">
        <v>2931</v>
      </c>
      <c r="I46" s="1161"/>
      <c r="J46" s="1221" t="s">
        <v>2931</v>
      </c>
      <c r="K46" s="1161"/>
      <c r="L46" s="1221"/>
      <c r="M46" s="1161"/>
      <c r="N46" s="1221"/>
      <c r="O46" s="1160"/>
      <c r="P46" s="1221" t="s">
        <v>2931</v>
      </c>
      <c r="Q46" s="1160"/>
      <c r="R46" s="1221"/>
      <c r="S46" s="1161"/>
    </row>
    <row r="47" spans="1:19">
      <c r="A47" s="1223"/>
      <c r="B47" s="1287"/>
      <c r="C47" s="1288"/>
      <c r="D47" s="1289"/>
      <c r="E47" s="1165"/>
      <c r="F47" s="1284"/>
      <c r="G47" s="662">
        <f t="shared" si="3"/>
        <v>0</v>
      </c>
      <c r="H47" s="1221"/>
      <c r="I47" s="1161"/>
      <c r="J47" s="1221"/>
      <c r="K47" s="1161"/>
      <c r="L47" s="1221"/>
      <c r="M47" s="1161"/>
      <c r="N47" s="1221"/>
      <c r="O47" s="1160"/>
      <c r="P47" s="1221"/>
      <c r="Q47" s="1160"/>
      <c r="R47" s="1221"/>
      <c r="S47" s="1161"/>
    </row>
    <row r="48" spans="1:19">
      <c r="A48" s="1223"/>
      <c r="B48" s="644" t="s">
        <v>3319</v>
      </c>
      <c r="C48" s="1288" t="s">
        <v>3320</v>
      </c>
      <c r="D48" s="1289">
        <f>164+48</f>
        <v>212</v>
      </c>
      <c r="E48" s="1165" t="s">
        <v>2845</v>
      </c>
      <c r="F48" s="1284"/>
      <c r="G48" s="662">
        <f t="shared" ref="G48:G62" si="4">ROUND(D48*F48,0)</f>
        <v>0</v>
      </c>
      <c r="H48" s="1221" t="s">
        <v>2931</v>
      </c>
      <c r="I48" s="1161"/>
      <c r="J48" s="1221" t="s">
        <v>2931</v>
      </c>
      <c r="K48" s="1161"/>
      <c r="L48" s="1221"/>
      <c r="M48" s="1161"/>
      <c r="N48" s="1221"/>
      <c r="O48" s="1160"/>
      <c r="P48" s="1221"/>
      <c r="Q48" s="1256">
        <f>$G48</f>
        <v>0</v>
      </c>
      <c r="R48" s="1221"/>
      <c r="S48" s="1161"/>
    </row>
    <row r="49" spans="1:19">
      <c r="A49" s="1223"/>
      <c r="B49" s="644"/>
      <c r="C49" s="1288"/>
      <c r="D49" s="1289"/>
      <c r="E49" s="1165"/>
      <c r="F49" s="1284"/>
      <c r="G49" s="662">
        <f t="shared" si="4"/>
        <v>0</v>
      </c>
      <c r="H49" s="1221"/>
      <c r="I49" s="1161"/>
      <c r="J49" s="1221"/>
      <c r="K49" s="1161"/>
      <c r="L49" s="1221"/>
      <c r="M49" s="1161"/>
      <c r="N49" s="1221"/>
      <c r="O49" s="1160"/>
      <c r="P49" s="1221"/>
      <c r="Q49" s="1160"/>
      <c r="R49" s="1221"/>
      <c r="S49" s="1161"/>
    </row>
    <row r="50" spans="1:19">
      <c r="A50" s="1223"/>
      <c r="B50" s="644" t="s">
        <v>3321</v>
      </c>
      <c r="C50" s="1288"/>
      <c r="D50" s="1289"/>
      <c r="E50" s="1165" t="s">
        <v>2845</v>
      </c>
      <c r="F50" s="1284"/>
      <c r="G50" s="662">
        <f t="shared" si="4"/>
        <v>0</v>
      </c>
      <c r="H50" s="1221"/>
      <c r="I50" s="1161"/>
      <c r="J50" s="1221"/>
      <c r="K50" s="1161"/>
      <c r="L50" s="1221"/>
      <c r="M50" s="1161"/>
      <c r="N50" s="1221"/>
      <c r="O50" s="1160"/>
      <c r="P50" s="1221"/>
      <c r="Q50" s="1256"/>
      <c r="R50" s="1221"/>
      <c r="S50" s="1161"/>
    </row>
    <row r="51" spans="1:19">
      <c r="A51" s="1223"/>
      <c r="B51" s="652" t="s">
        <v>3322</v>
      </c>
      <c r="C51" s="1288"/>
      <c r="D51" s="1289">
        <v>60</v>
      </c>
      <c r="E51" s="1165" t="s">
        <v>2845</v>
      </c>
      <c r="F51" s="1284">
        <v>150</v>
      </c>
      <c r="G51" s="662">
        <f t="shared" si="4"/>
        <v>9000</v>
      </c>
      <c r="H51" s="1221"/>
      <c r="I51" s="1243">
        <f>$G51</f>
        <v>9000</v>
      </c>
      <c r="J51" s="1221"/>
      <c r="K51" s="1243">
        <f>$G51</f>
        <v>9000</v>
      </c>
      <c r="L51" s="1221"/>
      <c r="M51" s="1161"/>
      <c r="N51" s="1221"/>
      <c r="O51" s="1160"/>
      <c r="P51" s="1221"/>
      <c r="Q51" s="1256"/>
      <c r="R51" s="1221"/>
      <c r="S51" s="1161"/>
    </row>
    <row r="52" spans="1:19">
      <c r="A52" s="1223"/>
      <c r="B52" s="652" t="s">
        <v>3323</v>
      </c>
      <c r="C52" s="1288"/>
      <c r="D52" s="1289">
        <v>1</v>
      </c>
      <c r="E52" s="1165" t="s">
        <v>2818</v>
      </c>
      <c r="F52" s="1284">
        <v>2500</v>
      </c>
      <c r="G52" s="662">
        <f t="shared" si="4"/>
        <v>2500</v>
      </c>
      <c r="H52" s="1221"/>
      <c r="I52" s="1243">
        <f>$G52</f>
        <v>2500</v>
      </c>
      <c r="J52" s="1221"/>
      <c r="K52" s="1243">
        <f>$G52</f>
        <v>2500</v>
      </c>
      <c r="L52" s="1221"/>
      <c r="M52" s="1161"/>
      <c r="N52" s="1221"/>
      <c r="O52" s="1160"/>
      <c r="P52" s="1221"/>
      <c r="Q52" s="1256"/>
      <c r="R52" s="1221"/>
      <c r="S52" s="1161"/>
    </row>
    <row r="53" spans="1:19">
      <c r="A53" s="1223"/>
      <c r="B53" s="644"/>
      <c r="C53" s="1288"/>
      <c r="D53" s="1289"/>
      <c r="E53" s="1165"/>
      <c r="F53" s="1284"/>
      <c r="G53" s="662">
        <f t="shared" si="4"/>
        <v>0</v>
      </c>
      <c r="H53" s="1221"/>
      <c r="I53" s="1161"/>
      <c r="J53" s="1221"/>
      <c r="K53" s="1161"/>
      <c r="L53" s="1221"/>
      <c r="M53" s="1161"/>
      <c r="N53" s="1221"/>
      <c r="O53" s="1160"/>
      <c r="P53" s="1221"/>
      <c r="Q53" s="1160"/>
      <c r="R53" s="1221"/>
      <c r="S53" s="1161"/>
    </row>
    <row r="54" spans="1:19">
      <c r="A54" s="1223"/>
      <c r="B54" s="1290" t="s">
        <v>3324</v>
      </c>
      <c r="C54" s="1288"/>
      <c r="D54" s="1289">
        <f>SUM(D31:D48)*0.1</f>
        <v>1309</v>
      </c>
      <c r="E54" s="1165" t="s">
        <v>2845</v>
      </c>
      <c r="F54" s="1284"/>
      <c r="G54" s="662">
        <f t="shared" si="4"/>
        <v>0</v>
      </c>
      <c r="H54" s="1221"/>
      <c r="I54" s="1161"/>
      <c r="J54" s="1221"/>
      <c r="K54" s="1161"/>
      <c r="L54" s="1221"/>
      <c r="M54" s="1161"/>
      <c r="N54" s="1221"/>
      <c r="O54" s="1160"/>
      <c r="P54" s="1221"/>
      <c r="Q54" s="1160"/>
      <c r="R54" s="1221"/>
      <c r="S54" s="1161"/>
    </row>
    <row r="55" spans="1:19">
      <c r="A55" s="1223"/>
      <c r="B55" s="1290" t="s">
        <v>2768</v>
      </c>
      <c r="C55" s="1288"/>
      <c r="D55" s="1289">
        <f>SUM(D31:D54)</f>
        <v>14460</v>
      </c>
      <c r="E55" s="1165" t="s">
        <v>2845</v>
      </c>
      <c r="F55" s="1284"/>
      <c r="G55" s="662">
        <f t="shared" si="4"/>
        <v>0</v>
      </c>
      <c r="H55" s="1221"/>
      <c r="I55" s="1161"/>
      <c r="J55" s="1221"/>
      <c r="K55" s="1161"/>
      <c r="L55" s="1221"/>
      <c r="M55" s="1161"/>
      <c r="N55" s="1221"/>
      <c r="O55" s="1160"/>
      <c r="P55" s="1221"/>
      <c r="Q55" s="1160"/>
      <c r="R55" s="1221"/>
      <c r="S55" s="1161"/>
    </row>
    <row r="56" spans="1:19">
      <c r="A56" s="1223"/>
      <c r="B56" s="644"/>
      <c r="C56" s="1288"/>
      <c r="D56" s="1289"/>
      <c r="E56" s="1165"/>
      <c r="F56" s="1284"/>
      <c r="G56" s="662">
        <f t="shared" si="4"/>
        <v>0</v>
      </c>
      <c r="H56" s="1221"/>
      <c r="I56" s="1161"/>
      <c r="J56" s="1221"/>
      <c r="K56" s="1161"/>
      <c r="L56" s="1221"/>
      <c r="M56" s="1161"/>
      <c r="N56" s="1221"/>
      <c r="O56" s="1160"/>
      <c r="P56" s="1221"/>
      <c r="Q56" s="1160"/>
      <c r="R56" s="1221"/>
      <c r="S56" s="1161"/>
    </row>
    <row r="57" spans="1:19">
      <c r="A57" s="1223"/>
      <c r="B57" s="644" t="s">
        <v>3325</v>
      </c>
      <c r="C57" s="1288"/>
      <c r="D57" s="1289"/>
      <c r="E57" s="1165"/>
      <c r="F57" s="1284"/>
      <c r="G57" s="662">
        <f t="shared" si="4"/>
        <v>0</v>
      </c>
      <c r="H57" s="1221"/>
      <c r="I57" s="1161">
        <f>62377+20285</f>
        <v>82662</v>
      </c>
      <c r="J57" s="1221"/>
      <c r="K57" s="1161"/>
      <c r="L57" s="1221"/>
      <c r="M57" s="1161"/>
      <c r="N57" s="1221"/>
      <c r="O57" s="1160"/>
      <c r="P57" s="1221"/>
      <c r="Q57" s="1160"/>
      <c r="R57" s="1221"/>
      <c r="S57" s="1161"/>
    </row>
    <row r="58" spans="1:19">
      <c r="A58" s="1223"/>
      <c r="B58" s="1291" t="s">
        <v>3326</v>
      </c>
      <c r="C58" s="1288" t="s">
        <v>3327</v>
      </c>
      <c r="D58" s="1289">
        <v>975</v>
      </c>
      <c r="E58" s="1165" t="s">
        <v>2845</v>
      </c>
      <c r="F58" s="1284"/>
      <c r="G58" s="662">
        <f t="shared" si="4"/>
        <v>0</v>
      </c>
      <c r="H58" s="1221" t="s">
        <v>2931</v>
      </c>
      <c r="I58" s="1161"/>
      <c r="J58" s="1221"/>
      <c r="K58" s="1256">
        <f>D58*48</f>
        <v>46800</v>
      </c>
      <c r="L58" s="1221"/>
      <c r="M58" s="1161"/>
      <c r="N58" s="1221"/>
      <c r="O58" s="1160"/>
      <c r="P58" s="1221"/>
      <c r="Q58" s="1256">
        <f>$G58</f>
        <v>0</v>
      </c>
      <c r="R58" s="1221"/>
      <c r="S58" s="1161"/>
    </row>
    <row r="59" spans="1:19">
      <c r="A59" s="1223"/>
      <c r="B59" s="652" t="s">
        <v>3328</v>
      </c>
      <c r="C59" s="1288" t="s">
        <v>691</v>
      </c>
      <c r="D59" s="1289">
        <v>472</v>
      </c>
      <c r="E59" s="1165" t="s">
        <v>2845</v>
      </c>
      <c r="F59" s="1284"/>
      <c r="G59" s="662">
        <f t="shared" si="4"/>
        <v>0</v>
      </c>
      <c r="H59" s="1221" t="s">
        <v>2931</v>
      </c>
      <c r="I59" s="1161"/>
      <c r="J59" s="1221"/>
      <c r="K59" s="1256">
        <f>D59*48</f>
        <v>22656</v>
      </c>
      <c r="L59" s="1221"/>
      <c r="M59" s="1161"/>
      <c r="N59" s="1221"/>
      <c r="O59" s="1160"/>
      <c r="P59" s="1221"/>
      <c r="Q59" s="1160"/>
      <c r="R59" s="1221"/>
      <c r="S59" s="1161"/>
    </row>
    <row r="60" spans="1:19">
      <c r="A60" s="1223"/>
      <c r="B60" s="652" t="s">
        <v>3329</v>
      </c>
      <c r="C60" s="1288" t="s">
        <v>282</v>
      </c>
      <c r="D60" s="1289">
        <f>1720+1658</f>
        <v>3378</v>
      </c>
      <c r="E60" s="1165" t="s">
        <v>2845</v>
      </c>
      <c r="F60" s="1284"/>
      <c r="G60" s="662">
        <f t="shared" si="4"/>
        <v>0</v>
      </c>
      <c r="H60" s="1221" t="s">
        <v>2931</v>
      </c>
      <c r="I60" s="1161"/>
      <c r="J60" s="1221"/>
      <c r="K60" s="1256">
        <f>D60*48</f>
        <v>162144</v>
      </c>
      <c r="L60" s="1221"/>
      <c r="M60" s="1161"/>
      <c r="N60" s="1221"/>
      <c r="O60" s="1160"/>
      <c r="P60" s="1221"/>
      <c r="Q60" s="1256">
        <f>$G60</f>
        <v>0</v>
      </c>
      <c r="R60" s="1221"/>
      <c r="S60" s="1161"/>
    </row>
    <row r="61" spans="1:19">
      <c r="A61" s="1223"/>
      <c r="B61" s="652"/>
      <c r="C61" s="1288"/>
      <c r="D61" s="1289"/>
      <c r="E61" s="1165"/>
      <c r="F61" s="1284"/>
      <c r="G61" s="662"/>
      <c r="H61" s="1221"/>
      <c r="I61" s="1161"/>
      <c r="J61" s="1221"/>
      <c r="K61" s="1161"/>
      <c r="L61" s="1221"/>
      <c r="M61" s="1161"/>
      <c r="N61" s="1221"/>
      <c r="O61" s="1160"/>
      <c r="P61" s="1221"/>
      <c r="Q61" s="1256"/>
      <c r="R61" s="1221"/>
      <c r="S61" s="1161"/>
    </row>
    <row r="62" spans="1:19">
      <c r="A62" s="1223"/>
      <c r="B62" s="644"/>
      <c r="C62" s="1288"/>
      <c r="D62" s="1289"/>
      <c r="E62" s="1165"/>
      <c r="F62" s="1284"/>
      <c r="G62" s="662">
        <f t="shared" si="4"/>
        <v>0</v>
      </c>
      <c r="H62" s="1221"/>
      <c r="I62" s="1161"/>
      <c r="J62" s="1221"/>
      <c r="K62" s="1161"/>
      <c r="L62" s="1221"/>
      <c r="M62" s="1161"/>
      <c r="N62" s="1221"/>
      <c r="O62" s="1160"/>
      <c r="P62" s="1221"/>
      <c r="Q62" s="1160"/>
      <c r="R62" s="1221"/>
      <c r="S62" s="1161"/>
    </row>
    <row r="63" spans="1:19">
      <c r="A63" s="1223"/>
      <c r="B63" s="644" t="s">
        <v>3330</v>
      </c>
      <c r="C63" s="1288"/>
      <c r="D63" s="1289">
        <v>20</v>
      </c>
      <c r="E63" s="1165" t="s">
        <v>2803</v>
      </c>
      <c r="F63" s="1284">
        <v>2500</v>
      </c>
      <c r="G63" s="662">
        <f t="shared" si="3"/>
        <v>50000</v>
      </c>
      <c r="H63" s="1221"/>
      <c r="I63" s="1243">
        <f t="shared" ref="I63:K63" si="5">$G63</f>
        <v>50000</v>
      </c>
      <c r="J63" s="1221"/>
      <c r="K63" s="1243">
        <f t="shared" si="5"/>
        <v>50000</v>
      </c>
      <c r="L63" s="1221"/>
      <c r="M63" s="1161"/>
      <c r="N63" s="1221"/>
      <c r="O63" s="1160"/>
      <c r="P63" s="1221"/>
      <c r="Q63" s="1160"/>
      <c r="R63" s="1221"/>
      <c r="S63" s="1161"/>
    </row>
    <row r="64" spans="1:19">
      <c r="A64" s="1223"/>
      <c r="B64" s="1287"/>
      <c r="C64" s="1288"/>
      <c r="D64" s="1289"/>
      <c r="E64" s="1165"/>
      <c r="F64" s="1284"/>
      <c r="G64" s="662">
        <f t="shared" si="3"/>
        <v>0</v>
      </c>
      <c r="H64" s="1221"/>
      <c r="I64" s="1161"/>
      <c r="J64" s="1221"/>
      <c r="K64" s="1161"/>
      <c r="L64" s="1221"/>
      <c r="M64" s="1161"/>
      <c r="N64" s="1221"/>
      <c r="O64" s="1160"/>
      <c r="P64" s="1221"/>
      <c r="Q64" s="1160"/>
      <c r="R64" s="1221"/>
      <c r="S64" s="1161"/>
    </row>
    <row r="65" spans="1:34">
      <c r="A65" s="1223"/>
      <c r="B65" s="1292" t="s">
        <v>2969</v>
      </c>
      <c r="C65" s="1288"/>
      <c r="D65" s="1289"/>
      <c r="E65" s="1165"/>
      <c r="F65" s="1284"/>
      <c r="G65" s="662">
        <f t="shared" si="3"/>
        <v>0</v>
      </c>
      <c r="H65" s="1221"/>
      <c r="I65" s="1161"/>
      <c r="J65" s="1221"/>
      <c r="K65" s="1161"/>
      <c r="L65" s="1221"/>
      <c r="M65" s="1161"/>
      <c r="N65" s="1221"/>
      <c r="O65" s="1160"/>
      <c r="P65" s="1221"/>
      <c r="Q65" s="1160"/>
      <c r="R65" s="1221"/>
      <c r="S65" s="1161"/>
    </row>
    <row r="66" spans="1:34">
      <c r="A66" s="1223"/>
      <c r="B66" s="1292" t="s">
        <v>3331</v>
      </c>
      <c r="C66" s="1288"/>
      <c r="D66" s="1289"/>
      <c r="E66" s="1165"/>
      <c r="F66" s="1284"/>
      <c r="G66" s="662">
        <f t="shared" si="3"/>
        <v>0</v>
      </c>
      <c r="H66" s="1221"/>
      <c r="I66" s="1161"/>
      <c r="J66" s="1221"/>
      <c r="K66" s="1161"/>
      <c r="L66" s="1221"/>
      <c r="M66" s="1161"/>
      <c r="N66" s="1221"/>
      <c r="O66" s="1160"/>
      <c r="P66" s="1221"/>
      <c r="Q66" s="1160"/>
      <c r="R66" s="1221"/>
      <c r="S66" s="1161"/>
    </row>
    <row r="67" spans="1:34" ht="15.75" thickBot="1">
      <c r="A67" s="1223"/>
      <c r="B67" s="1287"/>
      <c r="C67" s="1288"/>
      <c r="D67" s="1289"/>
      <c r="E67" s="1165"/>
      <c r="F67" s="1284"/>
      <c r="G67" s="662">
        <f t="shared" si="3"/>
        <v>0</v>
      </c>
      <c r="H67" s="1221"/>
      <c r="I67" s="1161"/>
      <c r="J67" s="1221"/>
      <c r="K67" s="1161"/>
      <c r="L67" s="1221"/>
      <c r="M67" s="1161"/>
      <c r="N67" s="1221"/>
      <c r="O67" s="1160"/>
      <c r="P67" s="1221"/>
      <c r="Q67" s="1160"/>
      <c r="R67" s="1221"/>
      <c r="S67" s="1161"/>
    </row>
    <row r="68" spans="1:34" ht="15.75" thickTop="1">
      <c r="A68" s="13"/>
      <c r="B68" s="226" t="s">
        <v>3265</v>
      </c>
      <c r="C68" s="15"/>
      <c r="D68" s="168"/>
      <c r="E68" s="176"/>
      <c r="F68" s="17"/>
      <c r="G68" s="227">
        <f>SUBTOTAL(9,G22:G67)</f>
        <v>61500</v>
      </c>
      <c r="H68" s="19"/>
      <c r="I68" s="225">
        <f>SUBTOTAL(9,I21:I67)</f>
        <v>983329</v>
      </c>
      <c r="J68" s="19"/>
      <c r="K68" s="225">
        <f>SUBTOTAL(9,K21:K67)</f>
        <v>980366.8</v>
      </c>
      <c r="L68" s="19"/>
      <c r="M68" s="225">
        <f>SUBTOTAL(9,M21:M67)</f>
        <v>0</v>
      </c>
      <c r="N68" s="19"/>
      <c r="O68" s="225">
        <f>SUBTOTAL(9,O21:O67)</f>
        <v>0</v>
      </c>
      <c r="P68" s="19"/>
      <c r="Q68" s="225">
        <f>SUBTOTAL(9,Q21:Q67)</f>
        <v>1592450</v>
      </c>
      <c r="R68" s="19"/>
      <c r="S68" s="225">
        <f>SUBTOTAL(9,S22:S67)</f>
        <v>0</v>
      </c>
    </row>
    <row r="69" spans="1:34">
      <c r="A69" s="1293"/>
      <c r="B69" s="1294" t="s">
        <v>2976</v>
      </c>
      <c r="C69" s="1295"/>
      <c r="D69" s="1296"/>
      <c r="E69" s="1297"/>
      <c r="F69" s="1298"/>
      <c r="G69" s="654"/>
      <c r="H69" s="1299">
        <v>0</v>
      </c>
      <c r="I69" s="645"/>
      <c r="J69" s="1299">
        <v>0</v>
      </c>
      <c r="K69" s="645"/>
      <c r="L69" s="1299">
        <v>0</v>
      </c>
      <c r="M69" s="645"/>
      <c r="N69" s="1299">
        <v>0</v>
      </c>
      <c r="O69" s="645"/>
      <c r="P69" s="1299">
        <v>0</v>
      </c>
      <c r="Q69" s="645"/>
      <c r="R69" s="1299">
        <v>0</v>
      </c>
      <c r="S69" s="645"/>
    </row>
    <row r="70" spans="1:34">
      <c r="A70" s="1293"/>
      <c r="B70" s="1294" t="s">
        <v>2977</v>
      </c>
      <c r="C70" s="1295"/>
      <c r="D70" s="1296"/>
      <c r="E70" s="1297"/>
      <c r="F70" s="1298"/>
      <c r="G70" s="654">
        <f>F69*G68</f>
        <v>0</v>
      </c>
      <c r="H70" s="1300"/>
      <c r="I70" s="1301">
        <f>H69*I68</f>
        <v>0</v>
      </c>
      <c r="J70" s="1300"/>
      <c r="K70" s="1301">
        <f>J69*K68</f>
        <v>0</v>
      </c>
      <c r="L70" s="1300"/>
      <c r="M70" s="1301">
        <f>L69*M68</f>
        <v>0</v>
      </c>
      <c r="N70" s="1300"/>
      <c r="O70" s="1301">
        <f>N69*O68</f>
        <v>0</v>
      </c>
      <c r="P70" s="1300"/>
      <c r="Q70" s="1301">
        <f>P69*Q68</f>
        <v>0</v>
      </c>
      <c r="R70" s="1300"/>
      <c r="S70" s="1301">
        <f>R69*S68</f>
        <v>0</v>
      </c>
    </row>
    <row r="71" spans="1:34">
      <c r="A71" s="1293"/>
      <c r="B71" s="1294"/>
      <c r="C71" s="1295"/>
      <c r="D71" s="1296"/>
      <c r="E71" s="1297"/>
      <c r="F71" s="1298"/>
      <c r="G71" s="654"/>
      <c r="H71" s="1300"/>
      <c r="I71" s="1301"/>
      <c r="J71" s="1300"/>
      <c r="K71" s="1301"/>
      <c r="L71" s="1300"/>
      <c r="M71" s="1301"/>
      <c r="N71" s="1300"/>
      <c r="O71" s="1301"/>
      <c r="P71" s="1300"/>
      <c r="Q71" s="1301"/>
      <c r="R71" s="1300"/>
      <c r="S71" s="1301"/>
    </row>
    <row r="72" spans="1:34">
      <c r="A72" s="1293"/>
      <c r="B72" s="1294" t="s">
        <v>2978</v>
      </c>
      <c r="C72" s="1295"/>
      <c r="D72" s="1296"/>
      <c r="E72" s="1297"/>
      <c r="F72" s="1298"/>
      <c r="G72" s="654">
        <f>SUM(G68:G70)</f>
        <v>61500</v>
      </c>
      <c r="H72" s="1302"/>
      <c r="I72" s="1301">
        <f>SUM(I68:I70)</f>
        <v>983329</v>
      </c>
      <c r="J72" s="1302"/>
      <c r="K72" s="1301">
        <f>SUM(K68:K70)</f>
        <v>980366.8</v>
      </c>
      <c r="L72" s="1302"/>
      <c r="M72" s="1301">
        <f>SUM(M68:M70)</f>
        <v>0</v>
      </c>
      <c r="N72" s="1302"/>
      <c r="O72" s="1301">
        <f>SUM(O68:O70)</f>
        <v>0</v>
      </c>
      <c r="P72" s="1302"/>
      <c r="Q72" s="1301">
        <f>SUM(Q68:Q70)</f>
        <v>1592450</v>
      </c>
      <c r="R72" s="1302"/>
      <c r="S72" s="1301">
        <f>SUM(S68:S70)</f>
        <v>0</v>
      </c>
    </row>
    <row r="73" spans="1:34">
      <c r="A73" s="1293"/>
      <c r="B73" s="1303" t="s">
        <v>2979</v>
      </c>
      <c r="C73" s="1295"/>
      <c r="D73" s="1296"/>
      <c r="E73" s="1297"/>
      <c r="F73" s="1303"/>
      <c r="G73" s="655">
        <f>G72/'Area Calculations'!$F$5</f>
        <v>0.69356730422230239</v>
      </c>
      <c r="H73" s="1304"/>
      <c r="I73" s="1305">
        <f>I72/'Area Calculations'!$F$5</f>
        <v>11.089509653554673</v>
      </c>
      <c r="J73" s="1304"/>
      <c r="K73" s="1305">
        <f>K72/'Area Calculations'!$F$5</f>
        <v>11.056103392277157</v>
      </c>
      <c r="L73" s="1304"/>
      <c r="M73" s="1305">
        <f>M72/'Area Calculations'!$F$5</f>
        <v>0</v>
      </c>
      <c r="N73" s="1304"/>
      <c r="O73" s="1305">
        <f>O72/'Area Calculations'!$F$5</f>
        <v>0</v>
      </c>
      <c r="P73" s="1304"/>
      <c r="Q73" s="1305">
        <f>Q72/'Area Calculations'!$F$5</f>
        <v>17.958882172500903</v>
      </c>
      <c r="R73" s="1306"/>
      <c r="S73" s="1305">
        <f>S72/'Area Calculations'!$F$5</f>
        <v>0</v>
      </c>
    </row>
    <row r="74" spans="1:34">
      <c r="A74" s="1293"/>
      <c r="B74" s="1307"/>
      <c r="C74" s="1295"/>
      <c r="D74" s="1296"/>
      <c r="E74" s="1297"/>
      <c r="F74" s="1298"/>
      <c r="G74" s="656"/>
      <c r="H74" s="1308"/>
      <c r="I74" s="1308"/>
      <c r="J74" s="1308"/>
      <c r="K74" s="1308"/>
      <c r="L74" s="1308"/>
      <c r="M74" s="1308"/>
      <c r="N74" s="1308"/>
      <c r="O74" s="1309"/>
      <c r="P74" s="1308"/>
      <c r="Q74" s="1308"/>
      <c r="R74" s="1308"/>
      <c r="S74" s="1308"/>
    </row>
    <row r="75" spans="1:34" ht="16.5" hidden="1" thickTop="1" thickBot="1">
      <c r="A75" s="830" t="s">
        <v>2980</v>
      </c>
      <c r="B75" s="831"/>
      <c r="C75" s="12"/>
      <c r="D75" s="169"/>
      <c r="E75" s="177"/>
      <c r="F75" s="12"/>
      <c r="G75" s="228"/>
      <c r="H75" s="20"/>
      <c r="I75" s="20"/>
      <c r="J75" s="20"/>
      <c r="K75" s="20"/>
      <c r="L75" s="20"/>
      <c r="M75" s="20"/>
      <c r="N75" s="20"/>
      <c r="O75" s="20"/>
      <c r="P75" s="20"/>
      <c r="Q75" s="20"/>
      <c r="R75" s="20"/>
      <c r="S75" s="20"/>
    </row>
    <row r="76" spans="1:34" ht="15.75" hidden="1" thickTop="1">
      <c r="A76" s="823"/>
      <c r="B76" s="1212"/>
      <c r="C76" s="824"/>
      <c r="D76" s="1270"/>
      <c r="E76" s="1271"/>
      <c r="F76" s="824"/>
      <c r="G76" s="1194"/>
      <c r="H76" s="825"/>
      <c r="I76" s="825"/>
      <c r="J76" s="825"/>
      <c r="K76" s="825"/>
      <c r="L76" s="825"/>
      <c r="M76" s="825"/>
      <c r="N76" s="825"/>
      <c r="O76" s="825"/>
      <c r="P76" s="825"/>
      <c r="Q76" s="825"/>
      <c r="R76" s="825"/>
      <c r="S76" s="825"/>
    </row>
    <row r="77" spans="1:34" hidden="1">
      <c r="A77" s="823"/>
      <c r="B77" s="1212"/>
      <c r="C77" s="824"/>
      <c r="D77" s="1270"/>
      <c r="E77" s="1271"/>
      <c r="F77" s="824"/>
      <c r="G77" s="1194"/>
      <c r="H77" s="825"/>
      <c r="I77" s="825"/>
      <c r="J77" s="825"/>
      <c r="K77" s="825"/>
      <c r="L77" s="825"/>
      <c r="M77" s="825"/>
      <c r="N77" s="825"/>
      <c r="O77" s="825"/>
      <c r="P77" s="825"/>
      <c r="Q77" s="825"/>
      <c r="R77" s="825"/>
      <c r="S77" s="825"/>
    </row>
    <row r="78" spans="1:34" ht="15.75" hidden="1" thickBot="1">
      <c r="A78" s="823"/>
      <c r="B78" s="1212"/>
      <c r="C78" s="824"/>
      <c r="D78" s="1270"/>
      <c r="E78" s="1271"/>
      <c r="F78" s="824"/>
      <c r="G78" s="1194"/>
      <c r="H78" s="825"/>
      <c r="I78" s="825"/>
      <c r="J78" s="825"/>
      <c r="K78" s="825"/>
      <c r="L78" s="825"/>
      <c r="M78" s="825"/>
      <c r="N78" s="825"/>
      <c r="O78" s="825"/>
      <c r="P78" s="825"/>
      <c r="Q78" s="825"/>
      <c r="R78" s="825"/>
      <c r="S78" s="825"/>
    </row>
    <row r="79" spans="1:34" s="2" customFormat="1" ht="16.5" hidden="1" thickTop="1" thickBot="1">
      <c r="A79" s="830" t="s">
        <v>2981</v>
      </c>
      <c r="B79" s="831"/>
      <c r="C79" s="12"/>
      <c r="D79" s="169"/>
      <c r="E79" s="177"/>
      <c r="F79" s="12"/>
      <c r="G79" s="228"/>
      <c r="H79" s="20"/>
      <c r="I79" s="20"/>
      <c r="J79" s="20"/>
      <c r="K79" s="20"/>
      <c r="L79" s="20"/>
      <c r="M79" s="20"/>
      <c r="N79" s="20"/>
      <c r="O79" s="20"/>
      <c r="P79" s="20"/>
      <c r="Q79" s="20"/>
      <c r="R79" s="20"/>
      <c r="S79" s="20"/>
      <c r="T79"/>
      <c r="U79"/>
      <c r="V79"/>
      <c r="W79"/>
      <c r="X79"/>
      <c r="Y79"/>
      <c r="Z79"/>
      <c r="AA79"/>
      <c r="AB79"/>
      <c r="AC79"/>
      <c r="AD79"/>
      <c r="AE79"/>
      <c r="AF79"/>
      <c r="AG79"/>
      <c r="AH79"/>
    </row>
    <row r="80" spans="1:34" s="2" customFormat="1" ht="15.75" hidden="1" thickTop="1">
      <c r="A80" s="823"/>
      <c r="B80" s="1212"/>
      <c r="C80" s="824"/>
      <c r="D80" s="1270"/>
      <c r="E80" s="1271"/>
      <c r="F80" s="824"/>
      <c r="G80" s="1194"/>
      <c r="H80" s="825"/>
      <c r="I80" s="825"/>
      <c r="J80" s="825"/>
      <c r="K80" s="825"/>
      <c r="L80" s="825"/>
      <c r="M80" s="825"/>
      <c r="N80" s="825"/>
      <c r="O80" s="825"/>
      <c r="P80" s="825"/>
      <c r="Q80" s="825"/>
      <c r="R80" s="825"/>
      <c r="S80" s="825"/>
      <c r="T80"/>
      <c r="U80"/>
      <c r="V80"/>
      <c r="W80"/>
      <c r="X80"/>
      <c r="Y80"/>
      <c r="Z80"/>
      <c r="AA80"/>
      <c r="AB80"/>
      <c r="AC80"/>
      <c r="AD80"/>
      <c r="AE80"/>
      <c r="AF80"/>
      <c r="AG80"/>
      <c r="AH80"/>
    </row>
    <row r="81" spans="1:34" s="2" customFormat="1" hidden="1">
      <c r="A81" s="823"/>
      <c r="B81" s="1212"/>
      <c r="C81" s="824"/>
      <c r="D81" s="1270"/>
      <c r="E81" s="1271"/>
      <c r="F81" s="824"/>
      <c r="G81" s="1194"/>
      <c r="H81" s="825"/>
      <c r="I81" s="825"/>
      <c r="J81" s="825"/>
      <c r="K81" s="825"/>
      <c r="L81" s="825"/>
      <c r="M81" s="825"/>
      <c r="N81" s="825"/>
      <c r="O81" s="825"/>
      <c r="P81" s="825"/>
      <c r="Q81" s="825"/>
      <c r="R81" s="825"/>
      <c r="S81" s="825"/>
      <c r="T81"/>
      <c r="U81"/>
      <c r="V81"/>
      <c r="W81"/>
      <c r="X81"/>
      <c r="Y81"/>
      <c r="Z81"/>
      <c r="AA81"/>
      <c r="AB81"/>
      <c r="AC81"/>
      <c r="AD81"/>
      <c r="AE81"/>
      <c r="AF81"/>
      <c r="AG81"/>
      <c r="AH81"/>
    </row>
    <row r="82" spans="1:34" ht="15.75" hidden="1" thickBot="1">
      <c r="A82" s="823"/>
      <c r="B82" s="1212"/>
      <c r="C82" s="824"/>
      <c r="D82" s="1270"/>
      <c r="E82" s="1271"/>
      <c r="F82" s="824"/>
      <c r="G82" s="1194"/>
      <c r="H82" s="825"/>
      <c r="I82" s="825"/>
      <c r="J82" s="825"/>
      <c r="K82" s="825"/>
      <c r="L82" s="825"/>
      <c r="M82" s="825"/>
      <c r="N82" s="825"/>
      <c r="O82" s="825"/>
      <c r="P82" s="825"/>
      <c r="Q82" s="825"/>
      <c r="R82" s="825"/>
      <c r="S82" s="825"/>
    </row>
    <row r="83" spans="1:34" s="2" customFormat="1" ht="16.5" hidden="1" thickTop="1" thickBot="1">
      <c r="A83" s="830" t="s">
        <v>2982</v>
      </c>
      <c r="B83" s="831"/>
      <c r="C83" s="12"/>
      <c r="D83" s="169"/>
      <c r="E83" s="177"/>
      <c r="F83" s="12"/>
      <c r="G83" s="228"/>
      <c r="H83" s="20"/>
      <c r="I83" s="20"/>
      <c r="J83" s="20"/>
      <c r="K83" s="20"/>
      <c r="L83" s="20"/>
      <c r="M83" s="20"/>
      <c r="N83" s="20"/>
      <c r="O83" s="20"/>
      <c r="P83" s="20"/>
      <c r="Q83" s="20"/>
      <c r="R83" s="20"/>
      <c r="S83" s="20"/>
      <c r="T83"/>
      <c r="U83"/>
      <c r="V83"/>
      <c r="W83"/>
      <c r="X83"/>
      <c r="Y83"/>
      <c r="Z83"/>
      <c r="AA83"/>
      <c r="AB83"/>
      <c r="AC83"/>
      <c r="AD83"/>
      <c r="AE83"/>
      <c r="AF83"/>
      <c r="AG83"/>
      <c r="AH83"/>
    </row>
    <row r="84" spans="1:34" s="2" customFormat="1" ht="15.75" hidden="1" thickTop="1">
      <c r="A84" s="823"/>
      <c r="B84" s="1212"/>
      <c r="C84" s="824"/>
      <c r="D84" s="1270"/>
      <c r="E84" s="1271"/>
      <c r="F84" s="824"/>
      <c r="G84" s="1194"/>
      <c r="H84" s="825"/>
      <c r="I84" s="825"/>
      <c r="J84" s="825"/>
      <c r="K84" s="825"/>
      <c r="L84" s="825"/>
      <c r="M84" s="825"/>
      <c r="N84" s="825"/>
      <c r="O84" s="825"/>
      <c r="P84" s="825"/>
      <c r="Q84" s="825"/>
      <c r="R84" s="825"/>
      <c r="S84" s="825"/>
      <c r="T84"/>
      <c r="U84"/>
      <c r="V84"/>
      <c r="W84"/>
      <c r="X84"/>
      <c r="Y84"/>
      <c r="Z84"/>
      <c r="AA84"/>
      <c r="AB84"/>
      <c r="AC84"/>
      <c r="AD84"/>
      <c r="AE84"/>
      <c r="AF84"/>
      <c r="AG84"/>
      <c r="AH84"/>
    </row>
    <row r="85" spans="1:34" s="2" customFormat="1" hidden="1">
      <c r="A85" s="1310"/>
      <c r="B85" s="1212"/>
      <c r="C85" s="1213"/>
      <c r="D85" s="1164"/>
      <c r="E85" s="1165"/>
      <c r="F85" s="1213"/>
      <c r="G85" s="1311"/>
      <c r="H85" s="1312"/>
      <c r="I85" s="1312"/>
      <c r="J85" s="1312"/>
      <c r="K85" s="1312"/>
      <c r="L85" s="1312"/>
      <c r="M85" s="1312"/>
      <c r="N85" s="1312"/>
      <c r="O85" s="1312"/>
      <c r="P85" s="1312"/>
      <c r="Q85" s="1312"/>
      <c r="R85" s="1312"/>
      <c r="S85" s="1312"/>
      <c r="T85"/>
      <c r="U85"/>
      <c r="V85"/>
      <c r="W85"/>
      <c r="X85"/>
      <c r="Y85"/>
      <c r="Z85"/>
      <c r="AA85"/>
      <c r="AB85"/>
      <c r="AC85"/>
      <c r="AD85"/>
      <c r="AE85"/>
      <c r="AF85"/>
      <c r="AG85"/>
      <c r="AH85"/>
    </row>
    <row r="86" spans="1:34" s="2" customFormat="1" ht="15.75" hidden="1" thickBot="1">
      <c r="A86" s="1313"/>
      <c r="B86" s="1314"/>
      <c r="C86" s="1213"/>
      <c r="D86" s="1164"/>
      <c r="E86" s="1165"/>
      <c r="F86" s="1213"/>
      <c r="G86" s="1311"/>
      <c r="H86" s="1315"/>
      <c r="I86" s="1315"/>
      <c r="J86" s="1315"/>
      <c r="K86" s="1315"/>
      <c r="L86" s="1315"/>
      <c r="M86" s="1315"/>
      <c r="N86" s="1315"/>
      <c r="O86" s="1315"/>
      <c r="P86" s="1315"/>
      <c r="Q86" s="1315"/>
      <c r="R86" s="1315"/>
      <c r="S86" s="1315"/>
    </row>
    <row r="87" spans="1:34" s="2" customFormat="1" ht="16.5" hidden="1" thickTop="1" thickBot="1">
      <c r="A87" s="830" t="s">
        <v>2983</v>
      </c>
      <c r="B87" s="831"/>
      <c r="C87" s="12"/>
      <c r="D87" s="169"/>
      <c r="E87" s="177"/>
      <c r="F87" s="12"/>
      <c r="G87" s="228"/>
      <c r="H87" s="20"/>
      <c r="I87" s="20"/>
      <c r="J87" s="20"/>
      <c r="K87" s="20"/>
      <c r="L87" s="20"/>
      <c r="M87" s="20"/>
      <c r="N87" s="20"/>
      <c r="O87" s="20"/>
      <c r="P87" s="20"/>
      <c r="Q87" s="20"/>
      <c r="R87" s="20"/>
      <c r="S87" s="20"/>
      <c r="T87"/>
      <c r="U87"/>
      <c r="V87"/>
      <c r="W87"/>
      <c r="X87"/>
      <c r="Y87"/>
      <c r="Z87"/>
      <c r="AA87"/>
      <c r="AB87"/>
      <c r="AC87"/>
      <c r="AD87"/>
      <c r="AE87"/>
      <c r="AF87"/>
      <c r="AG87"/>
      <c r="AH87"/>
    </row>
    <row r="88" spans="1:34" ht="15.75" hidden="1" thickTop="1">
      <c r="A88" s="826"/>
      <c r="B88" s="827"/>
      <c r="C88" s="824"/>
      <c r="D88" s="1270"/>
      <c r="E88" s="1271"/>
      <c r="F88" s="824"/>
      <c r="G88" s="1194"/>
      <c r="H88" s="825"/>
      <c r="I88" s="825"/>
      <c r="J88" s="825"/>
      <c r="K88" s="825"/>
      <c r="L88" s="825"/>
      <c r="M88" s="825"/>
      <c r="N88" s="825"/>
      <c r="O88" s="825"/>
      <c r="P88" s="825"/>
      <c r="Q88" s="825"/>
      <c r="R88" s="825"/>
      <c r="S88" s="825"/>
      <c r="T88" s="2"/>
      <c r="U88" s="2"/>
      <c r="V88" s="2"/>
      <c r="W88" s="2"/>
      <c r="X88" s="2"/>
      <c r="Y88" s="2"/>
      <c r="Z88" s="2"/>
      <c r="AA88" s="2"/>
      <c r="AB88" s="2"/>
      <c r="AC88" s="2"/>
      <c r="AD88" s="2"/>
      <c r="AE88" s="2"/>
      <c r="AF88" s="2"/>
      <c r="AG88" s="2"/>
      <c r="AH88" s="2"/>
    </row>
    <row r="89" spans="1:34" hidden="1">
      <c r="A89" s="1313"/>
      <c r="B89" s="1314"/>
      <c r="C89" s="1213"/>
      <c r="D89" s="1164"/>
      <c r="E89" s="1165"/>
      <c r="F89" s="1213"/>
      <c r="G89" s="1311"/>
      <c r="H89" s="1316"/>
      <c r="I89" s="1316"/>
      <c r="J89" s="1316"/>
      <c r="K89" s="1316"/>
      <c r="L89" s="1316"/>
      <c r="M89" s="1316"/>
      <c r="N89" s="1316"/>
      <c r="O89" s="1316"/>
      <c r="P89" s="1316"/>
      <c r="Q89" s="1316"/>
      <c r="R89" s="1316"/>
      <c r="S89" s="1316"/>
      <c r="T89" s="2"/>
      <c r="U89" s="2"/>
      <c r="V89" s="2"/>
      <c r="W89" s="2"/>
      <c r="X89" s="2"/>
      <c r="Y89" s="2"/>
      <c r="Z89" s="2"/>
      <c r="AA89" s="2"/>
      <c r="AB89" s="2"/>
      <c r="AC89" s="2"/>
      <c r="AD89" s="2"/>
      <c r="AE89" s="2"/>
      <c r="AF89" s="2"/>
      <c r="AG89" s="2"/>
      <c r="AH89" s="2"/>
    </row>
    <row r="90" spans="1:34" ht="15.75" hidden="1" thickBot="1">
      <c r="A90" s="1313"/>
      <c r="B90" s="1314"/>
      <c r="C90" s="1213"/>
      <c r="D90" s="1164"/>
      <c r="E90" s="1165"/>
      <c r="F90" s="1213"/>
      <c r="G90" s="1311"/>
      <c r="H90" s="1316"/>
      <c r="I90" s="1316"/>
      <c r="J90" s="1316"/>
      <c r="K90" s="1316"/>
      <c r="L90" s="1316"/>
      <c r="M90" s="1316"/>
      <c r="N90" s="1316"/>
      <c r="O90" s="1316"/>
      <c r="P90" s="1316"/>
      <c r="Q90" s="1316"/>
      <c r="R90" s="1316"/>
      <c r="S90" s="1316"/>
      <c r="T90" s="2"/>
      <c r="U90" s="2"/>
      <c r="V90" s="2"/>
      <c r="W90" s="2"/>
      <c r="X90" s="2"/>
      <c r="Y90" s="2"/>
      <c r="Z90" s="2"/>
      <c r="AA90" s="2"/>
      <c r="AB90" s="2"/>
      <c r="AC90" s="2"/>
      <c r="AD90" s="2"/>
      <c r="AE90" s="2"/>
      <c r="AF90" s="2"/>
      <c r="AG90" s="2"/>
      <c r="AH90" s="2"/>
    </row>
    <row r="91" spans="1:34" ht="16.5" hidden="1" thickTop="1" thickBot="1">
      <c r="A91" s="830" t="s">
        <v>2984</v>
      </c>
      <c r="B91" s="831"/>
      <c r="C91" s="12"/>
      <c r="D91" s="169"/>
      <c r="E91" s="177"/>
      <c r="F91" s="12"/>
      <c r="G91" s="228"/>
      <c r="H91" s="20"/>
      <c r="I91" s="20"/>
      <c r="J91" s="20"/>
      <c r="K91" s="20"/>
      <c r="L91" s="20"/>
      <c r="M91" s="20"/>
      <c r="N91" s="20"/>
      <c r="O91" s="20"/>
      <c r="P91" s="20"/>
      <c r="Q91" s="20"/>
      <c r="R91" s="20"/>
      <c r="S91" s="20"/>
    </row>
    <row r="92" spans="1:34" ht="15.75" hidden="1" thickTop="1">
      <c r="A92" s="1310"/>
      <c r="B92" s="1212" t="s">
        <v>2985</v>
      </c>
      <c r="C92" s="1213"/>
      <c r="D92" s="1164"/>
      <c r="E92" s="1165"/>
      <c r="F92" s="1213"/>
      <c r="G92" s="1311"/>
      <c r="H92" s="1316"/>
      <c r="I92" s="1316"/>
      <c r="J92" s="1316"/>
      <c r="K92" s="1316"/>
      <c r="L92" s="1316"/>
      <c r="M92" s="1316"/>
      <c r="N92" s="1316"/>
      <c r="O92" s="1316"/>
      <c r="P92" s="1316"/>
      <c r="Q92" s="1316"/>
      <c r="R92" s="1316"/>
      <c r="S92" s="1316"/>
    </row>
    <row r="93" spans="1:34" hidden="1">
      <c r="A93" s="1310"/>
      <c r="B93" s="1212" t="s">
        <v>2986</v>
      </c>
      <c r="C93" s="1213"/>
      <c r="D93" s="1164"/>
      <c r="E93" s="1165"/>
      <c r="F93" s="1213"/>
      <c r="G93" s="1311"/>
      <c r="H93" s="1316"/>
      <c r="I93" s="1316"/>
      <c r="J93" s="1316"/>
      <c r="K93" s="1316"/>
      <c r="L93" s="1316"/>
      <c r="M93" s="1316"/>
      <c r="N93" s="1316"/>
      <c r="O93" s="1316"/>
      <c r="P93" s="1316"/>
      <c r="Q93" s="1316"/>
      <c r="R93" s="1316"/>
      <c r="S93" s="1316"/>
    </row>
    <row r="94" spans="1:34" hidden="1">
      <c r="A94" s="1310"/>
      <c r="B94" s="1212" t="s">
        <v>2987</v>
      </c>
      <c r="C94" s="1213"/>
      <c r="D94" s="1164"/>
      <c r="E94" s="1165"/>
      <c r="F94" s="1213"/>
      <c r="G94" s="1311"/>
      <c r="H94" s="1316"/>
      <c r="I94" s="1316"/>
      <c r="J94" s="1316"/>
      <c r="K94" s="1316"/>
      <c r="L94" s="1316"/>
      <c r="M94" s="1316"/>
      <c r="N94" s="1316"/>
      <c r="O94" s="1316"/>
      <c r="P94" s="1316"/>
      <c r="Q94" s="1316"/>
      <c r="R94" s="1316"/>
      <c r="S94" s="1316"/>
    </row>
    <row r="95" spans="1:34" hidden="1">
      <c r="A95" s="1310"/>
      <c r="B95" s="1212" t="s">
        <v>2988</v>
      </c>
      <c r="C95" s="1213"/>
      <c r="D95" s="1164"/>
      <c r="E95" s="1165"/>
      <c r="F95" s="1213"/>
      <c r="G95" s="1311"/>
      <c r="H95" s="1316"/>
      <c r="I95" s="1316"/>
      <c r="J95" s="1316"/>
      <c r="K95" s="1316"/>
      <c r="L95" s="1316"/>
      <c r="M95" s="1316"/>
      <c r="N95" s="1316"/>
      <c r="O95" s="1316"/>
      <c r="P95" s="1316"/>
      <c r="Q95" s="1316"/>
      <c r="R95" s="1316"/>
      <c r="S95" s="1316"/>
    </row>
    <row r="96" spans="1:34" ht="15.75" hidden="1" thickBot="1">
      <c r="A96" s="646"/>
      <c r="B96" s="619"/>
      <c r="C96" s="616"/>
      <c r="D96" s="621"/>
      <c r="E96" s="622"/>
      <c r="F96" s="616"/>
      <c r="G96" s="620"/>
      <c r="H96" s="647"/>
      <c r="I96" s="647"/>
      <c r="J96" s="647"/>
      <c r="K96" s="647"/>
      <c r="L96" s="647"/>
      <c r="M96" s="647"/>
      <c r="N96" s="647"/>
      <c r="O96" s="647"/>
      <c r="P96" s="647"/>
      <c r="Q96" s="647"/>
      <c r="R96" s="647"/>
      <c r="S96" s="647"/>
    </row>
    <row r="97" spans="1:19" ht="16.5" hidden="1" thickTop="1" thickBot="1">
      <c r="A97" s="7" t="s">
        <v>2989</v>
      </c>
      <c r="B97" s="8"/>
      <c r="C97" s="12"/>
      <c r="D97" s="169"/>
      <c r="E97" s="177"/>
      <c r="F97" s="12"/>
      <c r="G97" s="228"/>
      <c r="H97" s="20"/>
      <c r="I97" s="20"/>
      <c r="J97" s="20"/>
      <c r="K97" s="20"/>
      <c r="L97" s="20"/>
      <c r="M97" s="20"/>
      <c r="N97" s="20"/>
      <c r="O97" s="20"/>
      <c r="P97" s="20"/>
      <c r="Q97" s="20"/>
      <c r="R97" s="20"/>
      <c r="S97" s="20"/>
    </row>
    <row r="98" spans="1:19" ht="15.75" hidden="1" thickTop="1">
      <c r="A98" s="823"/>
      <c r="B98" s="828" t="s">
        <v>2990</v>
      </c>
      <c r="C98" s="824"/>
      <c r="D98" s="1270"/>
      <c r="E98" s="1271"/>
      <c r="F98" s="824"/>
      <c r="G98" s="1194"/>
      <c r="H98" s="829"/>
      <c r="I98" s="829"/>
      <c r="J98" s="829"/>
      <c r="K98" s="829"/>
      <c r="L98" s="829"/>
      <c r="M98" s="829"/>
      <c r="N98" s="829"/>
      <c r="O98" s="829"/>
      <c r="P98" s="829"/>
      <c r="Q98" s="829"/>
      <c r="R98" s="829"/>
      <c r="S98" s="829"/>
    </row>
    <row r="99" spans="1:19" hidden="1">
      <c r="A99" s="1310"/>
      <c r="B99" s="1212" t="s">
        <v>2991</v>
      </c>
      <c r="C99" s="1213"/>
      <c r="D99" s="1164"/>
      <c r="E99" s="1165"/>
      <c r="F99" s="1213"/>
      <c r="G99" s="1311"/>
      <c r="H99" s="1202"/>
      <c r="I99" s="1202"/>
      <c r="J99" s="1202"/>
      <c r="K99" s="1202"/>
      <c r="L99" s="1202"/>
      <c r="M99" s="1202"/>
      <c r="N99" s="1202"/>
      <c r="O99" s="1202"/>
      <c r="P99" s="1202"/>
      <c r="Q99" s="1202"/>
      <c r="R99" s="1202"/>
      <c r="S99" s="1202"/>
    </row>
    <row r="100" spans="1:19" ht="15.75" hidden="1" thickBot="1">
      <c r="A100" s="1317"/>
      <c r="B100" s="812" t="s">
        <v>2992</v>
      </c>
      <c r="C100" s="813"/>
      <c r="D100" s="1318"/>
      <c r="E100" s="1319"/>
      <c r="F100" s="813"/>
      <c r="G100" s="1320"/>
      <c r="H100" s="1321"/>
      <c r="I100" s="1321"/>
      <c r="J100" s="1321"/>
      <c r="K100" s="1321"/>
      <c r="L100" s="1321"/>
      <c r="M100" s="1321"/>
      <c r="N100" s="1321"/>
      <c r="O100" s="1321"/>
      <c r="P100" s="1321"/>
      <c r="Q100" s="1321"/>
      <c r="R100" s="1321"/>
      <c r="S100" s="1321"/>
    </row>
    <row r="101" spans="1:19" ht="15.75" thickBot="1"/>
    <row r="102" spans="1:19" ht="16.5" thickTop="1" thickBot="1">
      <c r="A102" s="59" t="s">
        <v>2993</v>
      </c>
      <c r="B102" s="61"/>
    </row>
    <row r="103" spans="1:19" ht="15.75" thickTop="1">
      <c r="A103" s="60" t="s">
        <v>2936</v>
      </c>
      <c r="B103" s="1322"/>
    </row>
    <row r="104" spans="1:19">
      <c r="A104" s="1323" t="s">
        <v>2939</v>
      </c>
      <c r="B104" s="1322"/>
    </row>
    <row r="105" spans="1:19">
      <c r="A105" s="1324" t="s">
        <v>2941</v>
      </c>
      <c r="B105" s="1325"/>
    </row>
    <row r="106" spans="1:19">
      <c r="A106" s="1324" t="s">
        <v>2943</v>
      </c>
      <c r="B106" s="1326"/>
    </row>
    <row r="107" spans="1:19" ht="15.75" thickBot="1">
      <c r="A107" s="1327" t="s">
        <v>2994</v>
      </c>
      <c r="B107" s="1328">
        <f>I$72</f>
        <v>983329</v>
      </c>
    </row>
    <row r="108" spans="1:19" ht="15.75" thickTop="1"/>
    <row r="109" spans="1:19">
      <c r="A109" s="62"/>
      <c r="B109" s="1" t="s">
        <v>2995</v>
      </c>
    </row>
    <row r="110" spans="1:19">
      <c r="A110" s="63"/>
      <c r="B110" s="1" t="s">
        <v>2996</v>
      </c>
    </row>
  </sheetData>
  <mergeCells count="35">
    <mergeCell ref="A75:B75"/>
    <mergeCell ref="A79:B79"/>
    <mergeCell ref="A83:B83"/>
    <mergeCell ref="A87:B87"/>
    <mergeCell ref="A91:B91"/>
    <mergeCell ref="R9:S9"/>
    <mergeCell ref="J8:K8"/>
    <mergeCell ref="H8:I8"/>
    <mergeCell ref="L8:M8"/>
    <mergeCell ref="N8:O8"/>
    <mergeCell ref="R8:S8"/>
    <mergeCell ref="J9:K9"/>
    <mergeCell ref="H9:I9"/>
    <mergeCell ref="L9:M9"/>
    <mergeCell ref="N9:O9"/>
    <mergeCell ref="P8:Q8"/>
    <mergeCell ref="P9:Q9"/>
    <mergeCell ref="R7:S7"/>
    <mergeCell ref="J6:K6"/>
    <mergeCell ref="H6:I6"/>
    <mergeCell ref="L6:M6"/>
    <mergeCell ref="N6:O6"/>
    <mergeCell ref="R6:S6"/>
    <mergeCell ref="J7:K7"/>
    <mergeCell ref="H7:I7"/>
    <mergeCell ref="L7:M7"/>
    <mergeCell ref="N7:O7"/>
    <mergeCell ref="P6:Q6"/>
    <mergeCell ref="P7:Q7"/>
    <mergeCell ref="R5:S5"/>
    <mergeCell ref="J5:K5"/>
    <mergeCell ref="H5:I5"/>
    <mergeCell ref="L5:M5"/>
    <mergeCell ref="N5:O5"/>
    <mergeCell ref="P5:Q5"/>
  </mergeCells>
  <conditionalFormatting sqref="H11:H18 J11:J18 L11:L18 N11:N18 R11:R18 H21:H67 J21:J67 L21:L67 N21:N67 P21:P67 R21:R67">
    <cfRule type="cellIs" dxfId="301" priority="3" operator="equal">
      <formula>"X"</formula>
    </cfRule>
    <cfRule type="cellIs" dxfId="300" priority="4" operator="equal">
      <formula>"I"</formula>
    </cfRule>
  </conditionalFormatting>
  <conditionalFormatting sqref="P11:P18">
    <cfRule type="cellIs" dxfId="299" priority="1" operator="equal">
      <formula>"X"</formula>
    </cfRule>
    <cfRule type="cellIs" dxfId="298" priority="2" operator="equal">
      <formula>"I"</formula>
    </cfRule>
  </conditionalFormatting>
  <hyperlinks>
    <hyperlink ref="B4" location="'Cost Summary'!A1" display="BACK TO SUMMARY SHEET" xr:uid="{148EB9D2-3219-444A-8D7E-D9AE1688BB9D}"/>
    <hyperlink ref="P8" r:id="rId1" xr:uid="{D1291175-55C7-4491-8CBC-3630CF89DD20}"/>
    <hyperlink ref="J8" r:id="rId2" xr:uid="{2FF6580D-4855-4451-A238-3B5A26ECAA7F}"/>
    <hyperlink ref="H8" r:id="rId3" xr:uid="{DB11782E-3AAB-43BB-B495-59979B08820F}"/>
    <hyperlink ref="L8" r:id="rId4" xr:uid="{FF840B47-2B58-43CC-9245-C4CA230C234F}"/>
  </hyperlinks>
  <printOptions horizontalCentered="1"/>
  <pageMargins left="0.2" right="0.2" top="0.5" bottom="0.25" header="0.3" footer="0.3"/>
  <pageSetup paperSize="3" scale="79" fitToHeight="0" orientation="landscape" horizontalDpi="1200" verticalDpi="1200"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A33A-E275-4D51-91B9-5D38325DC4E8}">
  <sheetPr>
    <tabColor rgb="FFFFFF00"/>
    <pageSetUpPr fitToPage="1"/>
  </sheetPr>
  <dimension ref="A1:AF344"/>
  <sheetViews>
    <sheetView zoomScale="90" zoomScaleNormal="90" workbookViewId="0">
      <pane xSplit="8" ySplit="10" topLeftCell="I214" activePane="bottomRight" state="frozen"/>
      <selection pane="bottomRight" activeCell="F230" sqref="F230"/>
      <selection pane="bottomLeft" activeCell="A11" sqref="A11"/>
      <selection pane="topRight" activeCell="I1" sqref="I1"/>
    </sheetView>
  </sheetViews>
  <sheetFormatPr defaultColWidth="8.85546875" defaultRowHeight="15" outlineLevelRow="1"/>
  <cols>
    <col min="1" max="1" width="10.7109375" customWidth="1"/>
    <col min="2" max="2" width="70.7109375" style="1" customWidth="1"/>
    <col min="3" max="3" width="15.7109375" style="496" customWidth="1"/>
    <col min="4" max="4" width="7.42578125" style="499" customWidth="1"/>
    <col min="5" max="5" width="10.85546875" style="306" customWidth="1"/>
    <col min="6" max="6" width="15.7109375" style="231" customWidth="1"/>
    <col min="7" max="7" width="7.42578125" style="79" customWidth="1"/>
    <col min="8" max="8" width="16.42578125" style="2" bestFit="1" customWidth="1"/>
    <col min="9" max="9" width="15.28515625" style="236" bestFit="1" customWidth="1"/>
    <col min="10" max="10" width="7.42578125" style="2" customWidth="1"/>
    <col min="11" max="11" width="14.85546875" style="2" customWidth="1"/>
    <col min="12" max="12" width="7.42578125" style="2" customWidth="1"/>
    <col min="13" max="13" width="14.85546875" style="2" customWidth="1"/>
    <col min="14" max="14" width="7.42578125" style="2" customWidth="1"/>
    <col min="15" max="15" width="14.85546875" style="2" customWidth="1"/>
    <col min="16" max="16" width="7.42578125" style="2" customWidth="1"/>
    <col min="17" max="17" width="14.85546875" style="2" customWidth="1"/>
    <col min="18" max="18" width="7.42578125" style="2" customWidth="1"/>
    <col min="19" max="19" width="14.85546875" style="2" customWidth="1"/>
    <col min="20" max="20" width="7.42578125" style="2" customWidth="1"/>
    <col min="21" max="21" width="14.85546875" style="2" customWidth="1"/>
    <col min="24" max="24" width="31.7109375" customWidth="1"/>
    <col min="26" max="26" width="11.140625" style="300" bestFit="1" customWidth="1"/>
    <col min="27" max="27" width="7.28515625" style="300" bestFit="1" customWidth="1"/>
    <col min="30" max="30" width="18.42578125" customWidth="1"/>
  </cols>
  <sheetData>
    <row r="1" spans="1:27">
      <c r="H1" s="178"/>
      <c r="I1" s="302" t="s">
        <v>2928</v>
      </c>
    </row>
    <row r="2" spans="1:27">
      <c r="H2" s="179" t="s">
        <v>2929</v>
      </c>
      <c r="I2" s="302" t="s">
        <v>2930</v>
      </c>
    </row>
    <row r="3" spans="1:27">
      <c r="H3" s="180" t="s">
        <v>2931</v>
      </c>
      <c r="I3" s="302" t="s">
        <v>2932</v>
      </c>
    </row>
    <row r="4" spans="1:27" ht="15.75" thickBot="1">
      <c r="B4" s="181" t="s">
        <v>2933</v>
      </c>
      <c r="H4" s="170"/>
      <c r="I4" s="236" t="s">
        <v>2934</v>
      </c>
    </row>
    <row r="5" spans="1:27" ht="15.75" thickTop="1">
      <c r="A5" s="3" t="s">
        <v>2935</v>
      </c>
      <c r="B5" s="4" t="s">
        <v>84</v>
      </c>
      <c r="C5" s="497"/>
      <c r="D5" s="500"/>
      <c r="E5" s="307"/>
      <c r="F5" s="232"/>
      <c r="G5" s="171"/>
      <c r="H5" s="5"/>
      <c r="I5" s="303" t="s">
        <v>2936</v>
      </c>
      <c r="J5" s="837" t="s">
        <v>3332</v>
      </c>
      <c r="K5" s="838"/>
      <c r="L5" s="837" t="s">
        <v>3333</v>
      </c>
      <c r="M5" s="838"/>
      <c r="N5" s="837" t="s">
        <v>3334</v>
      </c>
      <c r="O5" s="838"/>
      <c r="P5" s="841"/>
      <c r="Q5" s="842"/>
      <c r="R5" s="841"/>
      <c r="S5" s="842"/>
      <c r="T5" s="841"/>
      <c r="U5" s="842"/>
    </row>
    <row r="6" spans="1:27">
      <c r="A6" s="1329" t="s">
        <v>2938</v>
      </c>
      <c r="B6" s="1330" t="s">
        <v>2554</v>
      </c>
      <c r="C6" s="1331"/>
      <c r="D6" s="1332"/>
      <c r="E6" s="1333"/>
      <c r="F6" s="1334"/>
      <c r="G6" s="1335"/>
      <c r="H6" s="1336"/>
      <c r="I6" s="663" t="s">
        <v>2939</v>
      </c>
      <c r="J6" s="1337" t="s">
        <v>3335</v>
      </c>
      <c r="K6" s="839"/>
      <c r="L6" s="1337" t="s">
        <v>3336</v>
      </c>
      <c r="M6" s="839"/>
      <c r="N6" s="1337" t="s">
        <v>3337</v>
      </c>
      <c r="O6" s="839"/>
      <c r="P6" s="1338"/>
      <c r="Q6" s="843"/>
      <c r="R6" s="1338"/>
      <c r="S6" s="843"/>
      <c r="T6" s="1338"/>
      <c r="U6" s="843"/>
    </row>
    <row r="7" spans="1:27">
      <c r="A7" s="1329" t="s">
        <v>2940</v>
      </c>
      <c r="B7" s="1339" t="s">
        <v>2620</v>
      </c>
      <c r="C7" s="1331"/>
      <c r="D7" s="1332"/>
      <c r="E7" s="1333"/>
      <c r="F7" s="1334"/>
      <c r="G7" s="1335"/>
      <c r="H7" s="1336"/>
      <c r="I7" s="1340" t="s">
        <v>2941</v>
      </c>
      <c r="J7" s="1341" t="s">
        <v>3338</v>
      </c>
      <c r="K7" s="840"/>
      <c r="L7" s="1341" t="s">
        <v>3339</v>
      </c>
      <c r="M7" s="840"/>
      <c r="N7" s="1341" t="s">
        <v>3340</v>
      </c>
      <c r="O7" s="840"/>
      <c r="P7" s="1342"/>
      <c r="Q7" s="844"/>
      <c r="R7" s="1342"/>
      <c r="S7" s="844"/>
      <c r="T7" s="1342"/>
      <c r="U7" s="844"/>
    </row>
    <row r="8" spans="1:27">
      <c r="A8" s="1329" t="s">
        <v>2942</v>
      </c>
      <c r="B8" s="1343"/>
      <c r="C8" s="1331"/>
      <c r="D8" s="1332"/>
      <c r="E8" s="1333"/>
      <c r="F8" s="1334"/>
      <c r="G8" s="1335"/>
      <c r="H8" s="1336"/>
      <c r="I8" s="1340" t="s">
        <v>2943</v>
      </c>
      <c r="J8" s="1344" t="s">
        <v>3341</v>
      </c>
      <c r="K8" s="836"/>
      <c r="L8" s="1344" t="s">
        <v>3342</v>
      </c>
      <c r="M8" s="836"/>
      <c r="N8" s="1344" t="s">
        <v>3343</v>
      </c>
      <c r="O8" s="836"/>
      <c r="P8" s="1345"/>
      <c r="Q8" s="845"/>
      <c r="R8" s="1345"/>
      <c r="S8" s="845"/>
      <c r="T8" s="1345"/>
      <c r="U8" s="845"/>
    </row>
    <row r="9" spans="1:27" ht="15.75" thickBot="1">
      <c r="A9" s="1346"/>
      <c r="B9" s="1347"/>
      <c r="C9" s="624"/>
      <c r="D9" s="625"/>
      <c r="E9" s="626"/>
      <c r="F9" s="617"/>
      <c r="G9" s="622"/>
      <c r="H9" s="1348"/>
      <c r="I9" s="1349" t="s">
        <v>2944</v>
      </c>
      <c r="J9" s="1350">
        <f>K$296</f>
        <v>5339241</v>
      </c>
      <c r="K9" s="1351"/>
      <c r="L9" s="1352">
        <f>M$296</f>
        <v>5634370</v>
      </c>
      <c r="M9" s="1353"/>
      <c r="N9" s="1350">
        <f>O$296</f>
        <v>6246031</v>
      </c>
      <c r="O9" s="1351"/>
      <c r="P9" s="1350">
        <f>Q$296</f>
        <v>0</v>
      </c>
      <c r="Q9" s="1351"/>
      <c r="R9" s="1350">
        <f>S$296</f>
        <v>0</v>
      </c>
      <c r="S9" s="1351"/>
      <c r="T9" s="1350">
        <f>U$296</f>
        <v>0</v>
      </c>
      <c r="U9" s="1351"/>
    </row>
    <row r="10" spans="1:27" s="175" customFormat="1" ht="16.5" thickTop="1" thickBot="1">
      <c r="A10" s="160" t="s">
        <v>2945</v>
      </c>
      <c r="B10" s="172"/>
      <c r="C10" s="494" t="s">
        <v>2947</v>
      </c>
      <c r="D10" s="495" t="s">
        <v>2948</v>
      </c>
      <c r="E10" s="308" t="s">
        <v>3344</v>
      </c>
      <c r="F10" s="167" t="s">
        <v>2947</v>
      </c>
      <c r="G10" s="173" t="s">
        <v>2948</v>
      </c>
      <c r="H10" s="173" t="s">
        <v>2949</v>
      </c>
      <c r="I10" s="304" t="s">
        <v>2950</v>
      </c>
      <c r="J10" s="161" t="s">
        <v>2951</v>
      </c>
      <c r="K10" s="161" t="s">
        <v>2952</v>
      </c>
      <c r="L10" s="161" t="s">
        <v>2951</v>
      </c>
      <c r="M10" s="161" t="s">
        <v>2952</v>
      </c>
      <c r="N10" s="161" t="s">
        <v>2951</v>
      </c>
      <c r="O10" s="161" t="s">
        <v>2952</v>
      </c>
      <c r="P10" s="161" t="s">
        <v>2951</v>
      </c>
      <c r="Q10" s="161" t="s">
        <v>2952</v>
      </c>
      <c r="R10" s="161" t="s">
        <v>2951</v>
      </c>
      <c r="S10" s="161" t="s">
        <v>2952</v>
      </c>
      <c r="T10" s="161" t="s">
        <v>2951</v>
      </c>
      <c r="U10" s="161" t="s">
        <v>2952</v>
      </c>
      <c r="Z10" s="301"/>
      <c r="AA10" s="301"/>
    </row>
    <row r="11" spans="1:27" ht="16.5" thickTop="1" thickBot="1">
      <c r="A11" s="1147"/>
      <c r="B11" s="794" t="s">
        <v>2953</v>
      </c>
      <c r="C11" s="1331"/>
      <c r="D11" s="1332"/>
      <c r="E11" s="664"/>
      <c r="F11" s="1334"/>
      <c r="G11" s="1335"/>
      <c r="H11" s="1336"/>
      <c r="I11" s="662"/>
      <c r="J11" s="1354"/>
      <c r="K11" s="1149"/>
      <c r="L11" s="1354"/>
      <c r="M11" s="1148"/>
      <c r="N11" s="1354"/>
      <c r="O11" s="182"/>
      <c r="P11" s="1354"/>
      <c r="Q11" s="1149"/>
      <c r="R11" s="1354"/>
      <c r="S11" s="1149"/>
      <c r="T11" s="1354"/>
      <c r="U11" s="1149"/>
    </row>
    <row r="12" spans="1:27">
      <c r="A12" s="1150"/>
      <c r="B12" s="1151" t="s">
        <v>2954</v>
      </c>
      <c r="C12" s="1331"/>
      <c r="D12" s="1332"/>
      <c r="E12" s="1333"/>
      <c r="F12" s="1334"/>
      <c r="G12" s="1335"/>
      <c r="H12" s="1336"/>
      <c r="I12" s="662"/>
      <c r="J12" s="1354"/>
      <c r="K12" s="1149"/>
      <c r="L12" s="1354"/>
      <c r="M12" s="1148"/>
      <c r="N12" s="1354"/>
      <c r="O12" s="1149"/>
      <c r="P12" s="1354"/>
      <c r="Q12" s="1149"/>
      <c r="R12" s="1354"/>
      <c r="S12" s="1149"/>
      <c r="T12" s="1354"/>
      <c r="U12" s="1149"/>
    </row>
    <row r="13" spans="1:27">
      <c r="A13" s="1355"/>
      <c r="B13" s="1152" t="s">
        <v>2955</v>
      </c>
      <c r="C13" s="1331"/>
      <c r="D13" s="1332"/>
      <c r="E13" s="1333"/>
      <c r="F13" s="1334"/>
      <c r="G13" s="1335"/>
      <c r="H13" s="1336"/>
      <c r="I13" s="662"/>
      <c r="J13" s="1354"/>
      <c r="K13" s="1149"/>
      <c r="L13" s="1354"/>
      <c r="M13" s="1148"/>
      <c r="N13" s="1354"/>
      <c r="O13" s="1149"/>
      <c r="P13" s="1354"/>
      <c r="Q13" s="1149"/>
      <c r="R13" s="1354"/>
      <c r="S13" s="1149"/>
      <c r="T13" s="1354"/>
      <c r="U13" s="1149"/>
    </row>
    <row r="14" spans="1:27">
      <c r="A14" s="1355"/>
      <c r="B14" s="1153" t="s">
        <v>2956</v>
      </c>
      <c r="C14" s="1331"/>
      <c r="D14" s="1332"/>
      <c r="E14" s="1333"/>
      <c r="F14" s="1334"/>
      <c r="G14" s="1335"/>
      <c r="H14" s="1336"/>
      <c r="I14" s="662"/>
      <c r="J14" s="1354"/>
      <c r="K14" s="1149"/>
      <c r="L14" s="1354"/>
      <c r="M14" s="1148"/>
      <c r="N14" s="1354"/>
      <c r="O14" s="1149"/>
      <c r="P14" s="1354"/>
      <c r="Q14" s="1149"/>
      <c r="R14" s="1354"/>
      <c r="S14" s="1149"/>
      <c r="T14" s="1354"/>
      <c r="U14" s="1149"/>
    </row>
    <row r="15" spans="1:27">
      <c r="A15" s="1355"/>
      <c r="B15" s="1153" t="s">
        <v>2957</v>
      </c>
      <c r="C15" s="1331"/>
      <c r="D15" s="1332"/>
      <c r="E15" s="1333"/>
      <c r="F15" s="1334"/>
      <c r="G15" s="1335"/>
      <c r="H15" s="1336"/>
      <c r="I15" s="662"/>
      <c r="J15" s="1354"/>
      <c r="K15" s="1148"/>
      <c r="L15" s="1354"/>
      <c r="M15" s="1148"/>
      <c r="N15" s="1354"/>
      <c r="O15" s="1148"/>
      <c r="P15" s="1354"/>
      <c r="Q15" s="1148"/>
      <c r="R15" s="1354"/>
      <c r="S15" s="1148"/>
      <c r="T15" s="1354"/>
      <c r="U15" s="1148"/>
    </row>
    <row r="16" spans="1:27">
      <c r="A16" s="1355"/>
      <c r="B16" s="1153" t="s">
        <v>2958</v>
      </c>
      <c r="C16" s="1331"/>
      <c r="D16" s="1332"/>
      <c r="E16" s="1333"/>
      <c r="F16" s="1334"/>
      <c r="G16" s="1335"/>
      <c r="H16" s="1336"/>
      <c r="I16" s="662"/>
      <c r="J16" s="1354"/>
      <c r="K16" s="1149"/>
      <c r="L16" s="1354"/>
      <c r="M16" s="1148"/>
      <c r="N16" s="1354"/>
      <c r="O16" s="1149"/>
      <c r="P16" s="1354"/>
      <c r="Q16" s="1149"/>
      <c r="R16" s="1354"/>
      <c r="S16" s="1149"/>
      <c r="T16" s="1354"/>
      <c r="U16" s="1149"/>
    </row>
    <row r="17" spans="1:29">
      <c r="A17" s="1355"/>
      <c r="B17" s="1153" t="s">
        <v>2959</v>
      </c>
      <c r="C17" s="1331"/>
      <c r="D17" s="1332"/>
      <c r="E17" s="1333"/>
      <c r="F17" s="1334"/>
      <c r="G17" s="1335"/>
      <c r="H17" s="1336"/>
      <c r="I17" s="662"/>
      <c r="J17" s="1354"/>
      <c r="K17" s="1149"/>
      <c r="L17" s="1354"/>
      <c r="M17" s="1148"/>
      <c r="N17" s="1354"/>
      <c r="O17" s="1149"/>
      <c r="P17" s="1354"/>
      <c r="Q17" s="1149"/>
      <c r="R17" s="1354"/>
      <c r="S17" s="1149"/>
      <c r="T17" s="1354"/>
      <c r="U17" s="1149"/>
    </row>
    <row r="18" spans="1:29">
      <c r="A18" s="1355"/>
      <c r="B18" s="1154" t="s">
        <v>2960</v>
      </c>
      <c r="C18" s="1331"/>
      <c r="D18" s="1332"/>
      <c r="E18" s="1333"/>
      <c r="F18" s="1334"/>
      <c r="G18" s="1335"/>
      <c r="H18" s="1336"/>
      <c r="I18" s="662"/>
      <c r="J18" s="1354"/>
      <c r="K18" s="1149"/>
      <c r="L18" s="1354"/>
      <c r="M18" s="1148"/>
      <c r="N18" s="1354"/>
      <c r="O18" s="1149"/>
      <c r="P18" s="1354"/>
      <c r="Q18" s="1149"/>
      <c r="R18" s="1354"/>
      <c r="S18" s="1149"/>
      <c r="T18" s="1354"/>
      <c r="U18" s="1149"/>
    </row>
    <row r="19" spans="1:29">
      <c r="A19" s="1355"/>
      <c r="B19" s="1155" t="s">
        <v>2961</v>
      </c>
      <c r="C19" s="1356"/>
      <c r="D19" s="1357"/>
      <c r="E19" s="1358"/>
      <c r="F19" s="1359"/>
      <c r="G19" s="1360"/>
      <c r="H19" s="1361"/>
      <c r="I19" s="665"/>
      <c r="J19" s="1362"/>
      <c r="K19" s="1158"/>
      <c r="L19" s="1362"/>
      <c r="M19" s="1157"/>
      <c r="N19" s="1362"/>
      <c r="O19" s="1158"/>
      <c r="P19" s="1362"/>
      <c r="Q19" s="1158"/>
      <c r="R19" s="1362"/>
      <c r="S19" s="1158"/>
      <c r="T19" s="1362"/>
      <c r="U19" s="1158"/>
    </row>
    <row r="20" spans="1:29">
      <c r="A20" s="1355"/>
      <c r="B20" s="1159"/>
      <c r="C20" s="1331"/>
      <c r="D20" s="1332"/>
      <c r="E20" s="1333"/>
      <c r="F20" s="1334"/>
      <c r="G20" s="1335"/>
      <c r="H20" s="1363"/>
      <c r="I20" s="662">
        <f>ROUND(F20*H20,0)</f>
        <v>0</v>
      </c>
      <c r="J20" s="1354"/>
      <c r="K20" s="1161"/>
      <c r="L20" s="1354"/>
      <c r="M20" s="1160"/>
      <c r="N20" s="1354"/>
      <c r="O20" s="1161"/>
      <c r="P20" s="1354"/>
      <c r="Q20" s="1161"/>
      <c r="R20" s="1354"/>
      <c r="S20" s="1161"/>
      <c r="T20" s="1354"/>
      <c r="U20" s="1161"/>
    </row>
    <row r="21" spans="1:29">
      <c r="A21" s="1355"/>
      <c r="B21" s="666" t="s">
        <v>2695</v>
      </c>
      <c r="C21" s="1331"/>
      <c r="D21" s="1332"/>
      <c r="E21" s="1333"/>
      <c r="F21" s="1334"/>
      <c r="G21" s="1335"/>
      <c r="H21" s="1363"/>
      <c r="I21" s="662">
        <f>ROUND(F21*H21,0)</f>
        <v>0</v>
      </c>
      <c r="J21" s="1354"/>
      <c r="K21" s="1166">
        <f>SUBTOTAL(9,K22:K243)</f>
        <v>4903059</v>
      </c>
      <c r="L21" s="1354"/>
      <c r="M21" s="1166">
        <f>SUBTOTAL(9,M22:M243)</f>
        <v>5114816</v>
      </c>
      <c r="N21" s="1354"/>
      <c r="O21" s="1166">
        <f>SUBTOTAL(9,O22:O243)</f>
        <v>5622745</v>
      </c>
      <c r="P21" s="1354"/>
      <c r="Q21" s="1166">
        <f>SUBTOTAL(9,Q22:Q243)</f>
        <v>0</v>
      </c>
      <c r="R21" s="1354"/>
      <c r="S21" s="1166">
        <f>SUBTOTAL(9,S22:S243)</f>
        <v>0</v>
      </c>
      <c r="T21"/>
      <c r="U21" s="1166">
        <f>SUBTOTAL(9,U22:U243)</f>
        <v>0</v>
      </c>
      <c r="Z21"/>
      <c r="AA21"/>
    </row>
    <row r="22" spans="1:29">
      <c r="A22" s="1355"/>
      <c r="B22" s="644" t="s">
        <v>3345</v>
      </c>
      <c r="C22" s="1331"/>
      <c r="D22" s="1332"/>
      <c r="E22" s="1333"/>
      <c r="F22" s="1334"/>
      <c r="G22" s="1335"/>
      <c r="H22" s="1363"/>
      <c r="I22" s="662">
        <f t="shared" ref="I22:I26" si="0">ROUND(F22*H22,0)</f>
        <v>0</v>
      </c>
      <c r="J22" s="1354"/>
      <c r="K22" s="1160"/>
      <c r="L22" s="1354"/>
      <c r="M22" s="1160"/>
      <c r="N22" s="1354"/>
      <c r="O22" s="1160">
        <v>4833380</v>
      </c>
      <c r="P22" s="1354"/>
      <c r="Q22" s="1160"/>
      <c r="R22" s="1354"/>
      <c r="S22" s="1160"/>
      <c r="T22" s="1354"/>
      <c r="U22" s="1160"/>
      <c r="Z22"/>
      <c r="AA22"/>
    </row>
    <row r="23" spans="1:29">
      <c r="A23" s="1355"/>
      <c r="B23" s="644" t="s">
        <v>3029</v>
      </c>
      <c r="C23" s="1331"/>
      <c r="D23" s="1332"/>
      <c r="E23" s="1333"/>
      <c r="F23" s="1334"/>
      <c r="G23" s="1335"/>
      <c r="H23" s="1363"/>
      <c r="I23" s="662">
        <f t="shared" si="0"/>
        <v>0</v>
      </c>
      <c r="J23" s="1354"/>
      <c r="K23" s="1160">
        <v>1574745</v>
      </c>
      <c r="L23" s="1354"/>
      <c r="M23" s="1160">
        <f>1637843+5000</f>
        <v>1642843</v>
      </c>
      <c r="N23" s="1354"/>
      <c r="O23" s="1160"/>
      <c r="P23" s="1354"/>
      <c r="Q23" s="1160"/>
      <c r="R23" s="1354"/>
      <c r="S23" s="1160"/>
      <c r="T23" s="1354"/>
      <c r="U23" s="1160"/>
      <c r="Z23"/>
      <c r="AA23"/>
    </row>
    <row r="24" spans="1:29">
      <c r="A24" s="1355"/>
      <c r="B24" s="644" t="s">
        <v>3080</v>
      </c>
      <c r="C24" s="1331"/>
      <c r="D24" s="1332"/>
      <c r="E24" s="1333"/>
      <c r="F24" s="1334"/>
      <c r="G24" s="1335"/>
      <c r="H24" s="1363"/>
      <c r="I24" s="662">
        <f t="shared" si="0"/>
        <v>0</v>
      </c>
      <c r="J24" s="1354"/>
      <c r="K24" s="1160">
        <v>716675</v>
      </c>
      <c r="L24" s="1354"/>
      <c r="M24" s="1160">
        <v>735225</v>
      </c>
      <c r="N24" s="1354"/>
      <c r="O24" s="1160"/>
      <c r="P24" s="1354"/>
      <c r="Q24" s="1160"/>
      <c r="R24" s="1354"/>
      <c r="S24" s="1160"/>
      <c r="T24" s="1354"/>
      <c r="U24" s="1160"/>
      <c r="Z24"/>
      <c r="AA24"/>
    </row>
    <row r="25" spans="1:29">
      <c r="A25" s="1355"/>
      <c r="B25" s="644" t="s">
        <v>3113</v>
      </c>
      <c r="C25" s="1331"/>
      <c r="D25" s="1332"/>
      <c r="E25" s="1333"/>
      <c r="F25" s="1334"/>
      <c r="G25" s="1335"/>
      <c r="H25" s="1363"/>
      <c r="I25" s="662">
        <f t="shared" si="0"/>
        <v>0</v>
      </c>
      <c r="J25" s="1354"/>
      <c r="K25" s="1160">
        <v>1427960</v>
      </c>
      <c r="L25" s="1354"/>
      <c r="M25" s="1160">
        <f>1566001+138600</f>
        <v>1704601</v>
      </c>
      <c r="N25" s="1354"/>
      <c r="O25" s="1160"/>
      <c r="P25" s="1354"/>
      <c r="Q25" s="1160"/>
      <c r="R25" s="1354"/>
      <c r="S25" s="1160"/>
      <c r="T25" s="1354"/>
      <c r="U25" s="1160"/>
      <c r="Z25"/>
      <c r="AA25"/>
    </row>
    <row r="26" spans="1:29">
      <c r="A26" s="1355"/>
      <c r="B26" s="644"/>
      <c r="C26" s="1331"/>
      <c r="D26" s="1332"/>
      <c r="E26" s="1333"/>
      <c r="F26" s="1334"/>
      <c r="G26" s="1335"/>
      <c r="H26" s="1363"/>
      <c r="I26" s="662">
        <f t="shared" si="0"/>
        <v>0</v>
      </c>
      <c r="J26" s="1354"/>
      <c r="K26" s="1160"/>
      <c r="L26" s="1354"/>
      <c r="M26" s="1160"/>
      <c r="N26" s="1354"/>
      <c r="O26" s="1160"/>
      <c r="P26" s="1354"/>
      <c r="Q26" s="1160"/>
      <c r="R26" s="1354"/>
      <c r="S26" s="1160"/>
      <c r="T26" s="1354"/>
      <c r="U26" s="1160"/>
      <c r="Z26"/>
      <c r="AA26"/>
    </row>
    <row r="27" spans="1:29">
      <c r="A27" s="1355"/>
      <c r="B27" s="652" t="s">
        <v>3346</v>
      </c>
      <c r="C27" s="1331"/>
      <c r="D27" s="1332"/>
      <c r="E27" s="1333"/>
      <c r="F27" s="1334"/>
      <c r="G27" s="1335"/>
      <c r="H27" s="1363"/>
      <c r="I27" s="662">
        <f t="shared" ref="I27:I93" si="1">ROUND(F27*H27,0)</f>
        <v>0</v>
      </c>
      <c r="J27" s="1354" t="s">
        <v>2931</v>
      </c>
      <c r="K27" s="1160"/>
      <c r="L27" s="1354" t="s">
        <v>2931</v>
      </c>
      <c r="M27" s="1160"/>
      <c r="N27" s="1354" t="s">
        <v>2931</v>
      </c>
      <c r="O27" s="1160"/>
      <c r="P27" s="1354"/>
      <c r="Q27" s="1160"/>
      <c r="R27" s="1354"/>
      <c r="S27" s="1160"/>
      <c r="T27" s="1354"/>
      <c r="U27" s="1160"/>
      <c r="AB27" t="s">
        <v>2795</v>
      </c>
    </row>
    <row r="28" spans="1:29" hidden="1" outlineLevel="1">
      <c r="A28" s="1355"/>
      <c r="B28" s="667" t="str">
        <f>X28</f>
        <v>10K1</v>
      </c>
      <c r="C28" s="1331">
        <f>Z28</f>
        <v>133</v>
      </c>
      <c r="D28" s="1332" t="s">
        <v>2864</v>
      </c>
      <c r="E28" s="1333">
        <v>5</v>
      </c>
      <c r="F28" s="1334">
        <f t="shared" ref="F28:F39" si="2">C28*E28/2000</f>
        <v>0.33250000000000002</v>
      </c>
      <c r="G28" s="1335" t="s">
        <v>3234</v>
      </c>
      <c r="H28" s="1363"/>
      <c r="I28" s="662">
        <f t="shared" si="1"/>
        <v>0</v>
      </c>
      <c r="J28" s="1354"/>
      <c r="K28" s="1160"/>
      <c r="L28" s="1354"/>
      <c r="M28" s="1160"/>
      <c r="N28" s="1354"/>
      <c r="O28" s="1160"/>
      <c r="P28" s="1354"/>
      <c r="Q28" s="1160"/>
      <c r="R28" s="1354"/>
      <c r="S28" s="1160"/>
      <c r="T28" s="1354"/>
      <c r="U28" s="1160"/>
      <c r="W28">
        <v>157</v>
      </c>
      <c r="X28" t="s">
        <v>3347</v>
      </c>
      <c r="Y28" t="s">
        <v>3111</v>
      </c>
      <c r="Z28" s="300">
        <v>133</v>
      </c>
      <c r="AA28" s="300" t="s">
        <v>48</v>
      </c>
      <c r="AB28" t="s">
        <v>2795</v>
      </c>
    </row>
    <row r="29" spans="1:29" hidden="1" outlineLevel="1">
      <c r="A29" s="1355"/>
      <c r="B29" s="667" t="str">
        <f t="shared" ref="B29:B38" si="3">X29</f>
        <v>12K1</v>
      </c>
      <c r="C29" s="1331">
        <f t="shared" ref="C29:C39" si="4">Z29</f>
        <v>91</v>
      </c>
      <c r="D29" s="1332" t="s">
        <v>2864</v>
      </c>
      <c r="E29" s="1333">
        <v>5</v>
      </c>
      <c r="F29" s="1334">
        <f t="shared" si="2"/>
        <v>0.22750000000000001</v>
      </c>
      <c r="G29" s="1335" t="s">
        <v>3234</v>
      </c>
      <c r="H29" s="1363"/>
      <c r="I29" s="662">
        <f t="shared" si="1"/>
        <v>0</v>
      </c>
      <c r="J29" s="1354"/>
      <c r="K29" s="1160"/>
      <c r="L29" s="1354"/>
      <c r="M29" s="1160"/>
      <c r="N29" s="1354"/>
      <c r="O29" s="1160"/>
      <c r="P29" s="1354"/>
      <c r="Q29" s="1160"/>
      <c r="R29" s="1354"/>
      <c r="S29" s="1160"/>
      <c r="T29" s="1354"/>
      <c r="U29" s="1160"/>
      <c r="W29">
        <v>221</v>
      </c>
      <c r="X29" t="s">
        <v>3348</v>
      </c>
      <c r="Y29" t="s">
        <v>3111</v>
      </c>
      <c r="Z29" s="300">
        <v>91</v>
      </c>
      <c r="AA29" s="300" t="s">
        <v>48</v>
      </c>
      <c r="AB29" t="s">
        <v>2795</v>
      </c>
    </row>
    <row r="30" spans="1:29" hidden="1" outlineLevel="1">
      <c r="A30" s="1355"/>
      <c r="B30" s="667" t="str">
        <f t="shared" si="3"/>
        <v>12K3</v>
      </c>
      <c r="C30" s="1331">
        <f t="shared" si="4"/>
        <v>73</v>
      </c>
      <c r="D30" s="1332" t="s">
        <v>2864</v>
      </c>
      <c r="E30" s="1333">
        <v>5.7</v>
      </c>
      <c r="F30" s="1334">
        <f t="shared" si="2"/>
        <v>0.20805000000000001</v>
      </c>
      <c r="G30" s="1335" t="s">
        <v>3234</v>
      </c>
      <c r="H30" s="1363"/>
      <c r="I30" s="662">
        <f t="shared" si="1"/>
        <v>0</v>
      </c>
      <c r="J30" s="1354"/>
      <c r="K30" s="1160"/>
      <c r="L30" s="1354"/>
      <c r="M30" s="1160"/>
      <c r="N30" s="1354"/>
      <c r="O30" s="1160"/>
      <c r="P30" s="1354"/>
      <c r="Q30" s="1160"/>
      <c r="R30" s="1354"/>
      <c r="S30" s="1160"/>
      <c r="T30" s="1354"/>
      <c r="U30" s="1160"/>
      <c r="W30">
        <v>263</v>
      </c>
      <c r="X30" t="s">
        <v>3349</v>
      </c>
      <c r="Y30" t="s">
        <v>3350</v>
      </c>
      <c r="Z30" s="300">
        <v>73</v>
      </c>
      <c r="AA30" s="300" t="s">
        <v>48</v>
      </c>
      <c r="AB30" t="s">
        <v>2795</v>
      </c>
    </row>
    <row r="31" spans="1:29" hidden="1" outlineLevel="1">
      <c r="A31" s="1355"/>
      <c r="B31" s="667" t="str">
        <f t="shared" si="3"/>
        <v>16K3 - 13'-4"</v>
      </c>
      <c r="C31" s="1331">
        <f t="shared" si="4"/>
        <v>213.33</v>
      </c>
      <c r="D31" s="1332" t="s">
        <v>2864</v>
      </c>
      <c r="E31" s="1333">
        <v>6.3</v>
      </c>
      <c r="F31" s="1334">
        <f t="shared" si="2"/>
        <v>0.67198950000000002</v>
      </c>
      <c r="G31" s="1335" t="s">
        <v>3234</v>
      </c>
      <c r="H31" s="1363"/>
      <c r="I31" s="662">
        <f t="shared" si="1"/>
        <v>0</v>
      </c>
      <c r="J31" s="1354"/>
      <c r="K31" s="1160"/>
      <c r="L31" s="1354"/>
      <c r="M31" s="1160"/>
      <c r="N31" s="1354"/>
      <c r="O31" s="1160"/>
      <c r="P31" s="1354"/>
      <c r="Q31" s="1160"/>
      <c r="R31" s="1354"/>
      <c r="S31" s="1160"/>
      <c r="T31" s="1354"/>
      <c r="U31" s="1160"/>
      <c r="W31">
        <v>207</v>
      </c>
      <c r="X31" t="s">
        <v>3351</v>
      </c>
      <c r="Y31" t="s">
        <v>3350</v>
      </c>
      <c r="Z31" s="300">
        <v>213.33</v>
      </c>
      <c r="AA31" s="300" t="s">
        <v>48</v>
      </c>
      <c r="AB31" s="300">
        <v>16</v>
      </c>
      <c r="AC31" s="300" t="s">
        <v>3041</v>
      </c>
    </row>
    <row r="32" spans="1:29" hidden="1" outlineLevel="1">
      <c r="A32" s="1355"/>
      <c r="B32" s="667" t="str">
        <f t="shared" si="3"/>
        <v>16K4</v>
      </c>
      <c r="C32" s="1331">
        <f t="shared" si="4"/>
        <v>81</v>
      </c>
      <c r="D32" s="1332" t="s">
        <v>2864</v>
      </c>
      <c r="E32" s="1333">
        <v>7</v>
      </c>
      <c r="F32" s="1334">
        <f t="shared" si="2"/>
        <v>0.28349999999999997</v>
      </c>
      <c r="G32" s="1335" t="s">
        <v>3234</v>
      </c>
      <c r="H32" s="1363"/>
      <c r="I32" s="662">
        <f t="shared" si="1"/>
        <v>0</v>
      </c>
      <c r="J32" s="1354"/>
      <c r="K32" s="1160"/>
      <c r="L32" s="1354"/>
      <c r="M32" s="1160"/>
      <c r="N32" s="1354"/>
      <c r="O32" s="1160"/>
      <c r="P32" s="1354"/>
      <c r="Q32" s="1160"/>
      <c r="R32" s="1354"/>
      <c r="S32" s="1160"/>
      <c r="T32" s="1354"/>
      <c r="U32" s="1160"/>
      <c r="W32">
        <v>158</v>
      </c>
      <c r="X32" t="s">
        <v>3352</v>
      </c>
      <c r="Y32" t="s">
        <v>3111</v>
      </c>
      <c r="Z32" s="300">
        <v>81</v>
      </c>
      <c r="AA32" s="300" t="s">
        <v>48</v>
      </c>
      <c r="AB32" t="s">
        <v>2795</v>
      </c>
    </row>
    <row r="33" spans="1:29" hidden="1" outlineLevel="1">
      <c r="A33" s="1355"/>
      <c r="B33" s="667" t="str">
        <f t="shared" si="3"/>
        <v>18K4</v>
      </c>
      <c r="C33" s="1331">
        <f t="shared" si="4"/>
        <v>312</v>
      </c>
      <c r="D33" s="1332" t="s">
        <v>2864</v>
      </c>
      <c r="E33" s="1333">
        <v>7.2</v>
      </c>
      <c r="F33" s="1334">
        <f t="shared" si="2"/>
        <v>1.1232</v>
      </c>
      <c r="G33" s="1335" t="s">
        <v>3234</v>
      </c>
      <c r="H33" s="1363"/>
      <c r="I33" s="662">
        <f t="shared" si="1"/>
        <v>0</v>
      </c>
      <c r="J33" s="1354"/>
      <c r="K33" s="1160"/>
      <c r="L33" s="1354"/>
      <c r="M33" s="1160"/>
      <c r="N33" s="1354"/>
      <c r="O33" s="1160"/>
      <c r="P33" s="1354"/>
      <c r="Q33" s="1160"/>
      <c r="R33" s="1354"/>
      <c r="S33" s="1160"/>
      <c r="T33" s="1354"/>
      <c r="U33" s="1160"/>
      <c r="W33">
        <v>223</v>
      </c>
      <c r="X33" t="s">
        <v>3353</v>
      </c>
      <c r="Y33" t="s">
        <v>3111</v>
      </c>
      <c r="Z33" s="300">
        <v>312</v>
      </c>
      <c r="AA33" s="300" t="s">
        <v>48</v>
      </c>
      <c r="AB33" t="s">
        <v>2795</v>
      </c>
    </row>
    <row r="34" spans="1:29" hidden="1" outlineLevel="1">
      <c r="A34" s="1355"/>
      <c r="B34" s="667" t="str">
        <f t="shared" si="3"/>
        <v>20K06</v>
      </c>
      <c r="C34" s="1331">
        <f t="shared" si="4"/>
        <v>376</v>
      </c>
      <c r="D34" s="1332" t="s">
        <v>2864</v>
      </c>
      <c r="E34" s="1333">
        <v>8.9</v>
      </c>
      <c r="F34" s="1334">
        <f t="shared" si="2"/>
        <v>1.6732</v>
      </c>
      <c r="G34" s="1335" t="s">
        <v>3234</v>
      </c>
      <c r="H34" s="1363"/>
      <c r="I34" s="662">
        <f t="shared" si="1"/>
        <v>0</v>
      </c>
      <c r="J34" s="1354"/>
      <c r="K34" s="1160"/>
      <c r="L34" s="1354"/>
      <c r="M34" s="1160"/>
      <c r="N34" s="1354"/>
      <c r="O34" s="1160"/>
      <c r="P34" s="1354"/>
      <c r="Q34" s="1160"/>
      <c r="R34" s="1354"/>
      <c r="S34" s="1160"/>
      <c r="T34" s="1354"/>
      <c r="U34" s="1160"/>
      <c r="W34">
        <v>265</v>
      </c>
      <c r="X34" t="s">
        <v>3354</v>
      </c>
      <c r="Y34" t="s">
        <v>3111</v>
      </c>
      <c r="Z34" s="300">
        <v>376</v>
      </c>
      <c r="AA34" s="300" t="s">
        <v>48</v>
      </c>
      <c r="AB34" t="s">
        <v>2795</v>
      </c>
    </row>
    <row r="35" spans="1:29" hidden="1" outlineLevel="1">
      <c r="A35" s="1355"/>
      <c r="B35" s="667" t="str">
        <f t="shared" si="3"/>
        <v>22K10</v>
      </c>
      <c r="C35" s="1331">
        <f t="shared" si="4"/>
        <v>379</v>
      </c>
      <c r="D35" s="1332" t="s">
        <v>2864</v>
      </c>
      <c r="E35" s="1333">
        <v>12.6</v>
      </c>
      <c r="F35" s="1334">
        <f t="shared" si="2"/>
        <v>2.3876999999999997</v>
      </c>
      <c r="G35" s="1335" t="s">
        <v>3234</v>
      </c>
      <c r="H35" s="1363"/>
      <c r="I35" s="662">
        <f t="shared" si="1"/>
        <v>0</v>
      </c>
      <c r="J35" s="1354"/>
      <c r="K35" s="1160"/>
      <c r="L35" s="1354"/>
      <c r="M35" s="1160"/>
      <c r="N35" s="1354"/>
      <c r="O35" s="1160"/>
      <c r="P35" s="1354"/>
      <c r="Q35" s="1160"/>
      <c r="R35" s="1354"/>
      <c r="S35" s="1160"/>
      <c r="T35" s="1354"/>
      <c r="U35" s="1160"/>
      <c r="W35">
        <v>163</v>
      </c>
      <c r="X35" t="s">
        <v>3355</v>
      </c>
      <c r="Y35" t="s">
        <v>3111</v>
      </c>
      <c r="Z35" s="300">
        <v>379</v>
      </c>
      <c r="AA35" s="300" t="s">
        <v>48</v>
      </c>
      <c r="AB35" t="s">
        <v>2795</v>
      </c>
    </row>
    <row r="36" spans="1:29" hidden="1" outlineLevel="1">
      <c r="A36" s="1355"/>
      <c r="B36" s="667" t="str">
        <f t="shared" si="3"/>
        <v>24K09</v>
      </c>
      <c r="C36" s="1331">
        <f t="shared" si="4"/>
        <v>109</v>
      </c>
      <c r="D36" s="1332" t="s">
        <v>2864</v>
      </c>
      <c r="E36" s="1333">
        <v>12</v>
      </c>
      <c r="F36" s="1334">
        <f t="shared" si="2"/>
        <v>0.65400000000000003</v>
      </c>
      <c r="G36" s="1335" t="s">
        <v>3234</v>
      </c>
      <c r="H36" s="1363"/>
      <c r="I36" s="662">
        <f t="shared" si="1"/>
        <v>0</v>
      </c>
      <c r="J36" s="1354"/>
      <c r="K36" s="1160"/>
      <c r="L36" s="1354"/>
      <c r="M36" s="1160"/>
      <c r="N36" s="1354"/>
      <c r="O36" s="1160"/>
      <c r="P36" s="1354"/>
      <c r="Q36" s="1160"/>
      <c r="R36" s="1354"/>
      <c r="S36" s="1160"/>
      <c r="T36" s="1354"/>
      <c r="U36" s="1160"/>
      <c r="W36">
        <v>264</v>
      </c>
      <c r="X36" t="s">
        <v>3356</v>
      </c>
      <c r="Y36" t="s">
        <v>3111</v>
      </c>
      <c r="Z36" s="300">
        <v>109</v>
      </c>
      <c r="AA36" s="300" t="s">
        <v>48</v>
      </c>
      <c r="AB36" t="s">
        <v>2795</v>
      </c>
    </row>
    <row r="37" spans="1:29" hidden="1" outlineLevel="1">
      <c r="A37" s="1355"/>
      <c r="B37" s="667" t="str">
        <f t="shared" si="3"/>
        <v>30K07</v>
      </c>
      <c r="C37" s="1331">
        <f t="shared" si="4"/>
        <v>504</v>
      </c>
      <c r="D37" s="1332" t="s">
        <v>2864</v>
      </c>
      <c r="E37" s="1333">
        <v>12.3</v>
      </c>
      <c r="F37" s="1334">
        <f t="shared" si="2"/>
        <v>3.0996000000000006</v>
      </c>
      <c r="G37" s="1335" t="s">
        <v>3234</v>
      </c>
      <c r="H37" s="1363"/>
      <c r="I37" s="662">
        <f t="shared" si="1"/>
        <v>0</v>
      </c>
      <c r="J37" s="1354"/>
      <c r="K37" s="1160"/>
      <c r="L37" s="1354"/>
      <c r="M37" s="1160"/>
      <c r="N37" s="1354"/>
      <c r="O37" s="1160"/>
      <c r="P37" s="1354"/>
      <c r="Q37" s="1160"/>
      <c r="R37" s="1354"/>
      <c r="S37" s="1160"/>
      <c r="T37" s="1354"/>
      <c r="U37" s="1160"/>
      <c r="W37">
        <v>261</v>
      </c>
      <c r="X37" t="s">
        <v>3357</v>
      </c>
      <c r="Y37" t="s">
        <v>3358</v>
      </c>
      <c r="Z37" s="300">
        <v>504</v>
      </c>
      <c r="AA37" s="300" t="s">
        <v>48</v>
      </c>
      <c r="AB37" t="s">
        <v>2795</v>
      </c>
    </row>
    <row r="38" spans="1:29" hidden="1" outlineLevel="1">
      <c r="A38" s="1355"/>
      <c r="B38" s="667" t="str">
        <f t="shared" si="3"/>
        <v>30K11</v>
      </c>
      <c r="C38" s="1331">
        <f t="shared" si="4"/>
        <v>705</v>
      </c>
      <c r="D38" s="1332" t="s">
        <v>2864</v>
      </c>
      <c r="E38" s="1333">
        <v>16.399999999999999</v>
      </c>
      <c r="F38" s="1334">
        <f t="shared" si="2"/>
        <v>5.7809999999999988</v>
      </c>
      <c r="G38" s="1335" t="s">
        <v>3234</v>
      </c>
      <c r="H38" s="1363"/>
      <c r="I38" s="662">
        <f t="shared" si="1"/>
        <v>0</v>
      </c>
      <c r="J38" s="1354"/>
      <c r="K38" s="1160"/>
      <c r="L38" s="1354"/>
      <c r="M38" s="1160"/>
      <c r="N38" s="1354"/>
      <c r="O38" s="1160"/>
      <c r="P38" s="1354"/>
      <c r="Q38" s="1160"/>
      <c r="R38" s="1354"/>
      <c r="S38" s="1160"/>
      <c r="T38" s="1354"/>
      <c r="U38" s="1160"/>
      <c r="W38">
        <v>209</v>
      </c>
      <c r="X38" t="s">
        <v>3359</v>
      </c>
      <c r="Y38" t="s">
        <v>3358</v>
      </c>
      <c r="Z38" s="300">
        <v>705</v>
      </c>
      <c r="AA38" s="300" t="s">
        <v>48</v>
      </c>
      <c r="AB38" t="s">
        <v>2795</v>
      </c>
    </row>
    <row r="39" spans="1:29" hidden="1" outlineLevel="1">
      <c r="A39" s="1355"/>
      <c r="B39" s="667" t="str">
        <f>X39</f>
        <v>30K11 - 49'-9"</v>
      </c>
      <c r="C39" s="1331">
        <f t="shared" si="4"/>
        <v>1144.25</v>
      </c>
      <c r="D39" s="1332" t="s">
        <v>2864</v>
      </c>
      <c r="E39" s="1333">
        <v>16.399999999999999</v>
      </c>
      <c r="F39" s="1334">
        <f t="shared" si="2"/>
        <v>9.3828499999999977</v>
      </c>
      <c r="G39" s="1335" t="s">
        <v>3234</v>
      </c>
      <c r="H39" s="1363"/>
      <c r="I39" s="662">
        <f t="shared" si="1"/>
        <v>0</v>
      </c>
      <c r="J39" s="1354"/>
      <c r="K39" s="1160"/>
      <c r="L39" s="1354"/>
      <c r="M39" s="1160"/>
      <c r="N39" s="1354"/>
      <c r="O39" s="1160"/>
      <c r="P39" s="1354"/>
      <c r="Q39" s="1160"/>
      <c r="R39" s="1354"/>
      <c r="S39" s="1160"/>
      <c r="T39" s="1354"/>
      <c r="U39" s="1160"/>
      <c r="W39">
        <v>208</v>
      </c>
      <c r="X39" t="s">
        <v>3360</v>
      </c>
      <c r="Y39" t="s">
        <v>3358</v>
      </c>
      <c r="Z39" s="300">
        <v>1144.25</v>
      </c>
      <c r="AA39" s="300" t="s">
        <v>48</v>
      </c>
      <c r="AB39" s="300">
        <v>23</v>
      </c>
      <c r="AC39" s="300" t="s">
        <v>3041</v>
      </c>
    </row>
    <row r="40" spans="1:29" collapsed="1">
      <c r="A40" s="1355"/>
      <c r="B40" s="667" t="s">
        <v>3361</v>
      </c>
      <c r="C40" s="1331"/>
      <c r="D40" s="1332"/>
      <c r="E40" s="1364"/>
      <c r="F40" s="1334">
        <f>SUM(F28:F39)</f>
        <v>25.825089499999997</v>
      </c>
      <c r="G40" s="1335" t="s">
        <v>3234</v>
      </c>
      <c r="H40" s="1363">
        <v>2000</v>
      </c>
      <c r="I40" s="662">
        <f t="shared" si="1"/>
        <v>51650</v>
      </c>
      <c r="J40" s="1354"/>
      <c r="K40" s="1160"/>
      <c r="L40" s="1354"/>
      <c r="M40" s="1160"/>
      <c r="N40" s="1354"/>
      <c r="O40" s="1160"/>
      <c r="P40" s="1354"/>
      <c r="Q40" s="1160"/>
      <c r="R40" s="1354"/>
      <c r="S40" s="1160"/>
      <c r="T40" s="1354"/>
      <c r="U40" s="1160"/>
      <c r="AB40" s="300"/>
      <c r="AC40" s="300"/>
    </row>
    <row r="41" spans="1:29">
      <c r="A41" s="1355"/>
      <c r="B41" s="667" t="s">
        <v>3362</v>
      </c>
      <c r="C41" s="1331"/>
      <c r="D41" s="1332"/>
      <c r="E41" s="1364"/>
      <c r="F41" s="1334">
        <f>F40*0.15</f>
        <v>3.8737634249999995</v>
      </c>
      <c r="G41" s="1335" t="s">
        <v>3234</v>
      </c>
      <c r="H41" s="1363">
        <f>H40</f>
        <v>2000</v>
      </c>
      <c r="I41" s="662">
        <f t="shared" ref="I41" si="5">ROUND(F41*H41,0)</f>
        <v>7748</v>
      </c>
      <c r="J41" s="1354"/>
      <c r="K41" s="1160"/>
      <c r="L41" s="1354"/>
      <c r="M41" s="1160"/>
      <c r="N41" s="1354"/>
      <c r="O41" s="1160"/>
      <c r="P41" s="1354"/>
      <c r="Q41" s="1160"/>
      <c r="R41" s="1354"/>
      <c r="S41" s="1160"/>
      <c r="T41" s="1354"/>
      <c r="U41" s="1160"/>
      <c r="AB41" s="300"/>
      <c r="AC41" s="300"/>
    </row>
    <row r="42" spans="1:29">
      <c r="A42" s="1355"/>
      <c r="B42" s="667"/>
      <c r="C42" s="1331"/>
      <c r="D42" s="1332"/>
      <c r="E42" s="1364"/>
      <c r="F42" s="1334"/>
      <c r="G42" s="1335"/>
      <c r="H42" s="1363"/>
      <c r="I42" s="662">
        <f t="shared" si="1"/>
        <v>0</v>
      </c>
      <c r="J42" s="1354"/>
      <c r="K42" s="1160"/>
      <c r="L42" s="1354"/>
      <c r="M42" s="1160"/>
      <c r="N42" s="1354"/>
      <c r="O42" s="1160"/>
      <c r="P42" s="1354"/>
      <c r="Q42" s="1160"/>
      <c r="R42" s="1354"/>
      <c r="S42" s="1160"/>
      <c r="T42" s="1354"/>
      <c r="U42" s="1160"/>
      <c r="AB42" s="300"/>
      <c r="AC42" s="300"/>
    </row>
    <row r="43" spans="1:29">
      <c r="A43" s="1355"/>
      <c r="B43" s="652" t="s">
        <v>3363</v>
      </c>
      <c r="C43" s="1331"/>
      <c r="D43" s="1332"/>
      <c r="E43" s="1364"/>
      <c r="F43" s="1334"/>
      <c r="G43" s="1335"/>
      <c r="H43" s="1363"/>
      <c r="I43" s="662">
        <f t="shared" si="1"/>
        <v>0</v>
      </c>
      <c r="J43" s="1354" t="s">
        <v>2931</v>
      </c>
      <c r="K43" s="1160"/>
      <c r="L43" s="1354" t="s">
        <v>2931</v>
      </c>
      <c r="M43" s="1160"/>
      <c r="N43" s="1354" t="s">
        <v>2931</v>
      </c>
      <c r="O43" s="1160"/>
      <c r="P43" s="1354"/>
      <c r="Q43" s="1160"/>
      <c r="R43" s="1354"/>
      <c r="S43" s="1160"/>
      <c r="T43" s="1354"/>
      <c r="U43" s="1160"/>
      <c r="AB43" t="s">
        <v>2795</v>
      </c>
    </row>
    <row r="44" spans="1:29" hidden="1" outlineLevel="1">
      <c r="A44" s="1355"/>
      <c r="B44" s="667" t="str">
        <f>X44</f>
        <v>C08X13.7</v>
      </c>
      <c r="C44" s="1331">
        <f>Z44</f>
        <v>450</v>
      </c>
      <c r="D44" s="1332" t="s">
        <v>2864</v>
      </c>
      <c r="E44" s="1333">
        <v>13.7</v>
      </c>
      <c r="F44" s="1334">
        <f>C44*E44/2000</f>
        <v>3.0825</v>
      </c>
      <c r="G44" s="1335" t="s">
        <v>3234</v>
      </c>
      <c r="H44" s="1363"/>
      <c r="I44" s="662">
        <f t="shared" si="1"/>
        <v>0</v>
      </c>
      <c r="J44" s="1354"/>
      <c r="K44" s="1160"/>
      <c r="L44" s="1354"/>
      <c r="M44" s="1160"/>
      <c r="N44" s="1354"/>
      <c r="O44" s="1160"/>
      <c r="P44" s="1354"/>
      <c r="Q44" s="1160"/>
      <c r="R44" s="1354"/>
      <c r="S44" s="1160"/>
      <c r="T44" s="1354"/>
      <c r="U44" s="1160"/>
      <c r="W44">
        <v>212</v>
      </c>
      <c r="X44" t="s">
        <v>3364</v>
      </c>
      <c r="Y44" t="s">
        <v>3111</v>
      </c>
      <c r="Z44" s="300">
        <v>450</v>
      </c>
      <c r="AA44" s="300" t="s">
        <v>48</v>
      </c>
      <c r="AB44" t="s">
        <v>2795</v>
      </c>
    </row>
    <row r="45" spans="1:29" hidden="1" outlineLevel="1">
      <c r="A45" s="1355"/>
      <c r="B45" s="667" t="str">
        <f t="shared" ref="B45:B110" si="6">X45</f>
        <v>C09X13.4</v>
      </c>
      <c r="C45" s="1331">
        <f t="shared" ref="C45:C110" si="7">Z45</f>
        <v>1193</v>
      </c>
      <c r="D45" s="1332" t="s">
        <v>2864</v>
      </c>
      <c r="E45" s="1333">
        <v>13.4</v>
      </c>
      <c r="F45" s="1334">
        <f t="shared" ref="F45:F111" si="8">C45*E45/2000</f>
        <v>7.9931000000000001</v>
      </c>
      <c r="G45" s="1335" t="s">
        <v>3234</v>
      </c>
      <c r="H45" s="1363"/>
      <c r="I45" s="662">
        <f t="shared" si="1"/>
        <v>0</v>
      </c>
      <c r="J45" s="1354"/>
      <c r="K45" s="1160"/>
      <c r="L45" s="1354"/>
      <c r="M45" s="1160"/>
      <c r="N45" s="1354"/>
      <c r="O45" s="1160"/>
      <c r="P45" s="1354"/>
      <c r="Q45" s="1160"/>
      <c r="R45" s="1354"/>
      <c r="S45" s="1160"/>
      <c r="T45" s="1354"/>
      <c r="U45" s="1160"/>
      <c r="W45">
        <v>194</v>
      </c>
      <c r="X45" t="s">
        <v>3365</v>
      </c>
      <c r="Y45" t="s">
        <v>3111</v>
      </c>
      <c r="Z45" s="300">
        <v>1193</v>
      </c>
      <c r="AA45" s="300" t="s">
        <v>48</v>
      </c>
      <c r="AB45" t="s">
        <v>2795</v>
      </c>
    </row>
    <row r="46" spans="1:29" hidden="1" outlineLevel="1">
      <c r="A46" s="1355"/>
      <c r="B46" s="667" t="str">
        <f t="shared" si="6"/>
        <v>C09X15</v>
      </c>
      <c r="C46" s="1331">
        <f t="shared" si="7"/>
        <v>165</v>
      </c>
      <c r="D46" s="1332" t="s">
        <v>2864</v>
      </c>
      <c r="E46" s="1333">
        <v>15</v>
      </c>
      <c r="F46" s="1334">
        <f t="shared" si="8"/>
        <v>1.2375</v>
      </c>
      <c r="G46" s="1335" t="s">
        <v>3234</v>
      </c>
      <c r="H46" s="1363"/>
      <c r="I46" s="662">
        <f t="shared" si="1"/>
        <v>0</v>
      </c>
      <c r="J46" s="1354"/>
      <c r="K46" s="1160"/>
      <c r="L46" s="1354"/>
      <c r="M46" s="1160"/>
      <c r="N46" s="1354"/>
      <c r="O46" s="1160"/>
      <c r="P46" s="1354"/>
      <c r="Q46" s="1160"/>
      <c r="R46" s="1354"/>
      <c r="S46" s="1160"/>
      <c r="T46" s="1354"/>
      <c r="U46" s="1160"/>
      <c r="W46">
        <v>218</v>
      </c>
      <c r="X46" t="s">
        <v>3366</v>
      </c>
      <c r="Y46" t="s">
        <v>3111</v>
      </c>
      <c r="Z46" s="300">
        <v>165</v>
      </c>
      <c r="AA46" s="300" t="s">
        <v>48</v>
      </c>
      <c r="AB46" t="s">
        <v>2795</v>
      </c>
    </row>
    <row r="47" spans="1:29" hidden="1" outlineLevel="1">
      <c r="A47" s="1355"/>
      <c r="B47" s="667" t="str">
        <f>X47</f>
        <v>DSC-1 - 15.67 HSS6x6x5/16</v>
      </c>
      <c r="C47" s="1331">
        <f t="shared" si="7"/>
        <v>47</v>
      </c>
      <c r="D47" s="1332" t="s">
        <v>2864</v>
      </c>
      <c r="E47" s="1333">
        <v>23.34</v>
      </c>
      <c r="F47" s="1334">
        <f t="shared" si="8"/>
        <v>0.54849000000000003</v>
      </c>
      <c r="G47" s="1335" t="s">
        <v>3234</v>
      </c>
      <c r="H47" s="1363"/>
      <c r="I47" s="662">
        <f t="shared" si="1"/>
        <v>0</v>
      </c>
      <c r="J47" s="1354"/>
      <c r="K47" s="1160"/>
      <c r="L47" s="1354"/>
      <c r="M47" s="1160"/>
      <c r="N47" s="1354"/>
      <c r="O47" s="1160"/>
      <c r="P47" s="1354"/>
      <c r="Q47" s="1160"/>
      <c r="R47" s="1354"/>
      <c r="S47" s="1160"/>
      <c r="T47" s="1354"/>
      <c r="U47" s="1160"/>
      <c r="W47">
        <v>15</v>
      </c>
      <c r="X47" t="s">
        <v>3367</v>
      </c>
      <c r="Y47" t="s">
        <v>3368</v>
      </c>
      <c r="Z47" s="300">
        <v>47</v>
      </c>
      <c r="AA47" t="s">
        <v>48</v>
      </c>
      <c r="AB47" s="300">
        <v>3</v>
      </c>
      <c r="AC47" s="300" t="s">
        <v>3041</v>
      </c>
    </row>
    <row r="48" spans="1:29" hidden="1" outlineLevel="1">
      <c r="A48" s="1355"/>
      <c r="B48" s="667" t="str">
        <f t="shared" si="6"/>
        <v>DSC-2 - 14.17 W8X58</v>
      </c>
      <c r="C48" s="1331">
        <f t="shared" si="7"/>
        <v>85</v>
      </c>
      <c r="D48" s="1332" t="s">
        <v>2864</v>
      </c>
      <c r="E48" s="1333">
        <v>58</v>
      </c>
      <c r="F48" s="1334">
        <f t="shared" si="8"/>
        <v>2.4649999999999999</v>
      </c>
      <c r="G48" s="1335" t="s">
        <v>3234</v>
      </c>
      <c r="H48" s="1363"/>
      <c r="I48" s="662">
        <f t="shared" si="1"/>
        <v>0</v>
      </c>
      <c r="J48" s="1354"/>
      <c r="K48" s="1160"/>
      <c r="L48" s="1354"/>
      <c r="M48" s="1160"/>
      <c r="N48" s="1354"/>
      <c r="O48" s="1160"/>
      <c r="P48" s="1354"/>
      <c r="Q48" s="1160"/>
      <c r="R48" s="1354"/>
      <c r="S48" s="1160"/>
      <c r="T48" s="1354"/>
      <c r="U48" s="1160"/>
      <c r="W48">
        <v>32</v>
      </c>
      <c r="X48" t="s">
        <v>3369</v>
      </c>
      <c r="Y48" t="s">
        <v>3043</v>
      </c>
      <c r="Z48" s="300">
        <v>85</v>
      </c>
      <c r="AA48" t="s">
        <v>48</v>
      </c>
      <c r="AB48" s="300">
        <v>6</v>
      </c>
      <c r="AC48" s="300" t="s">
        <v>3041</v>
      </c>
    </row>
    <row r="49" spans="1:29" hidden="1" outlineLevel="1">
      <c r="A49" s="1355"/>
      <c r="B49" s="667" t="str">
        <f t="shared" si="6"/>
        <v>DSC-2 - 15.67 W8X58</v>
      </c>
      <c r="C49" s="1331">
        <f t="shared" si="7"/>
        <v>47</v>
      </c>
      <c r="D49" s="1332" t="s">
        <v>2864</v>
      </c>
      <c r="E49" s="1333">
        <v>58</v>
      </c>
      <c r="F49" s="1334">
        <f t="shared" si="8"/>
        <v>1.363</v>
      </c>
      <c r="G49" s="1335" t="s">
        <v>3234</v>
      </c>
      <c r="H49" s="1363"/>
      <c r="I49" s="662">
        <f t="shared" si="1"/>
        <v>0</v>
      </c>
      <c r="J49" s="1354"/>
      <c r="K49" s="1160"/>
      <c r="L49" s="1354"/>
      <c r="M49" s="1160"/>
      <c r="N49" s="1354"/>
      <c r="O49" s="1160"/>
      <c r="P49" s="1354"/>
      <c r="Q49" s="1160"/>
      <c r="R49" s="1354"/>
      <c r="S49" s="1160"/>
      <c r="T49" s="1354"/>
      <c r="U49" s="1160"/>
      <c r="W49">
        <v>16</v>
      </c>
      <c r="X49" t="s">
        <v>3370</v>
      </c>
      <c r="Y49" t="s">
        <v>3368</v>
      </c>
      <c r="Z49" s="300">
        <v>47</v>
      </c>
      <c r="AA49" t="s">
        <v>48</v>
      </c>
      <c r="AB49" s="300">
        <v>3</v>
      </c>
      <c r="AC49" s="300" t="s">
        <v>3041</v>
      </c>
    </row>
    <row r="50" spans="1:29" hidden="1" outlineLevel="1">
      <c r="A50" s="1355"/>
      <c r="B50" s="667" t="str">
        <f t="shared" si="6"/>
        <v>DSC-3 - 14.17 W8X67</v>
      </c>
      <c r="C50" s="1331">
        <f t="shared" si="7"/>
        <v>113.33</v>
      </c>
      <c r="D50" s="1332" t="s">
        <v>2864</v>
      </c>
      <c r="E50" s="1333">
        <v>67</v>
      </c>
      <c r="F50" s="1334">
        <f t="shared" si="8"/>
        <v>3.7965549999999997</v>
      </c>
      <c r="G50" s="1335" t="s">
        <v>3234</v>
      </c>
      <c r="H50" s="1363"/>
      <c r="I50" s="662">
        <f t="shared" si="1"/>
        <v>0</v>
      </c>
      <c r="J50" s="1354"/>
      <c r="K50" s="1160"/>
      <c r="L50" s="1354"/>
      <c r="M50" s="1160"/>
      <c r="N50" s="1354"/>
      <c r="O50" s="1160"/>
      <c r="P50" s="1354"/>
      <c r="Q50" s="1160"/>
      <c r="R50" s="1354"/>
      <c r="S50" s="1160"/>
      <c r="T50" s="1354"/>
      <c r="U50" s="1160"/>
      <c r="W50">
        <v>33</v>
      </c>
      <c r="X50" t="s">
        <v>3371</v>
      </c>
      <c r="Y50" t="s">
        <v>3043</v>
      </c>
      <c r="Z50" s="300">
        <v>113.33</v>
      </c>
      <c r="AA50" t="s">
        <v>48</v>
      </c>
      <c r="AB50" s="300">
        <v>8</v>
      </c>
      <c r="AC50" s="300" t="s">
        <v>3041</v>
      </c>
    </row>
    <row r="51" spans="1:29" hidden="1" outlineLevel="1">
      <c r="A51" s="1355"/>
      <c r="B51" s="667" t="str">
        <f t="shared" si="6"/>
        <v>DSC-3 - 15.56 W8X67</v>
      </c>
      <c r="C51" s="1331">
        <f t="shared" si="7"/>
        <v>93.5</v>
      </c>
      <c r="D51" s="1332" t="s">
        <v>2864</v>
      </c>
      <c r="E51" s="1333">
        <v>67</v>
      </c>
      <c r="F51" s="1334">
        <f t="shared" si="8"/>
        <v>3.13225</v>
      </c>
      <c r="G51" s="1335" t="s">
        <v>3234</v>
      </c>
      <c r="H51" s="1363"/>
      <c r="I51" s="662">
        <f t="shared" si="1"/>
        <v>0</v>
      </c>
      <c r="J51" s="1354"/>
      <c r="K51" s="1160"/>
      <c r="L51" s="1354"/>
      <c r="M51" s="1160"/>
      <c r="N51" s="1354"/>
      <c r="O51" s="1160"/>
      <c r="P51" s="1354"/>
      <c r="Q51" s="1160"/>
      <c r="R51" s="1354"/>
      <c r="S51" s="1160"/>
      <c r="T51" s="1354"/>
      <c r="U51" s="1160"/>
      <c r="W51">
        <v>185</v>
      </c>
      <c r="X51" t="s">
        <v>3372</v>
      </c>
      <c r="Y51" t="s">
        <v>3373</v>
      </c>
      <c r="Z51" s="300">
        <v>93.5</v>
      </c>
      <c r="AA51" t="s">
        <v>48</v>
      </c>
      <c r="AB51" s="300">
        <v>6</v>
      </c>
      <c r="AC51" s="300" t="s">
        <v>3041</v>
      </c>
    </row>
    <row r="52" spans="1:29" hidden="1" outlineLevel="1">
      <c r="A52" s="1355"/>
      <c r="B52" s="667" t="str">
        <f t="shared" si="6"/>
        <v>DSC-4 - 14.17 W8X67</v>
      </c>
      <c r="C52" s="1331">
        <f t="shared" si="7"/>
        <v>127.5</v>
      </c>
      <c r="D52" s="1332" t="s">
        <v>2864</v>
      </c>
      <c r="E52" s="1333">
        <v>67</v>
      </c>
      <c r="F52" s="1334">
        <f t="shared" si="8"/>
        <v>4.2712500000000002</v>
      </c>
      <c r="G52" s="1335" t="s">
        <v>3234</v>
      </c>
      <c r="H52" s="1363"/>
      <c r="I52" s="662">
        <f t="shared" si="1"/>
        <v>0</v>
      </c>
      <c r="J52" s="1354"/>
      <c r="K52" s="1160"/>
      <c r="L52" s="1354"/>
      <c r="M52" s="1160"/>
      <c r="N52" s="1354"/>
      <c r="O52" s="1160"/>
      <c r="P52" s="1354"/>
      <c r="Q52" s="1160"/>
      <c r="R52" s="1354"/>
      <c r="S52" s="1160"/>
      <c r="T52" s="1354"/>
      <c r="U52" s="1160"/>
      <c r="W52">
        <v>30</v>
      </c>
      <c r="X52" t="s">
        <v>3374</v>
      </c>
      <c r="Y52" t="s">
        <v>3043</v>
      </c>
      <c r="Z52" s="300">
        <v>127.5</v>
      </c>
      <c r="AA52" t="s">
        <v>48</v>
      </c>
      <c r="AB52" s="300">
        <v>9</v>
      </c>
      <c r="AC52" s="300" t="s">
        <v>3041</v>
      </c>
    </row>
    <row r="53" spans="1:29" hidden="1" outlineLevel="1">
      <c r="A53" s="1355"/>
      <c r="B53" s="667" t="str">
        <f t="shared" si="6"/>
        <v>DSC-4 - 15.56 W8X67</v>
      </c>
      <c r="C53" s="1331">
        <f t="shared" si="7"/>
        <v>15.58</v>
      </c>
      <c r="D53" s="1332" t="s">
        <v>2864</v>
      </c>
      <c r="E53" s="1333">
        <v>67</v>
      </c>
      <c r="F53" s="1334">
        <f t="shared" si="8"/>
        <v>0.52193000000000001</v>
      </c>
      <c r="G53" s="1335" t="s">
        <v>3234</v>
      </c>
      <c r="H53" s="1363"/>
      <c r="I53" s="662">
        <f t="shared" si="1"/>
        <v>0</v>
      </c>
      <c r="J53" s="1354"/>
      <c r="K53" s="1160"/>
      <c r="L53" s="1354"/>
      <c r="M53" s="1160"/>
      <c r="N53" s="1354"/>
      <c r="O53" s="1160"/>
      <c r="P53" s="1354"/>
      <c r="Q53" s="1160"/>
      <c r="R53" s="1354"/>
      <c r="S53" s="1160"/>
      <c r="T53" s="1354"/>
      <c r="U53" s="1160"/>
      <c r="W53">
        <v>186</v>
      </c>
      <c r="X53" t="s">
        <v>3375</v>
      </c>
      <c r="Y53" t="s">
        <v>3373</v>
      </c>
      <c r="Z53" s="300">
        <v>15.58</v>
      </c>
      <c r="AA53" t="s">
        <v>48</v>
      </c>
      <c r="AB53" s="300">
        <v>1</v>
      </c>
      <c r="AC53" s="300" t="s">
        <v>3041</v>
      </c>
    </row>
    <row r="54" spans="1:29" hidden="1" outlineLevel="1">
      <c r="A54" s="1355"/>
      <c r="B54" s="667" t="str">
        <f t="shared" si="6"/>
        <v>DSC-5 - 14.17 W12X65</v>
      </c>
      <c r="C54" s="1331">
        <f t="shared" si="7"/>
        <v>155.83000000000001</v>
      </c>
      <c r="D54" s="1332" t="s">
        <v>2864</v>
      </c>
      <c r="E54" s="1333">
        <v>65</v>
      </c>
      <c r="F54" s="1334">
        <f t="shared" si="8"/>
        <v>5.0644750000000007</v>
      </c>
      <c r="G54" s="1335" t="s">
        <v>3234</v>
      </c>
      <c r="H54" s="1363"/>
      <c r="I54" s="662">
        <f t="shared" si="1"/>
        <v>0</v>
      </c>
      <c r="J54" s="1354"/>
      <c r="K54" s="1160"/>
      <c r="L54" s="1354"/>
      <c r="M54" s="1160"/>
      <c r="N54" s="1354"/>
      <c r="O54" s="1160"/>
      <c r="P54" s="1354"/>
      <c r="Q54" s="1160"/>
      <c r="R54" s="1354"/>
      <c r="S54" s="1160"/>
      <c r="T54" s="1354"/>
      <c r="U54" s="1160"/>
      <c r="W54">
        <v>31</v>
      </c>
      <c r="X54" t="s">
        <v>3376</v>
      </c>
      <c r="Y54" t="s">
        <v>3043</v>
      </c>
      <c r="Z54" s="300">
        <v>155.83000000000001</v>
      </c>
      <c r="AA54" t="s">
        <v>48</v>
      </c>
      <c r="AB54" s="300">
        <v>11</v>
      </c>
      <c r="AC54" s="300" t="s">
        <v>3041</v>
      </c>
    </row>
    <row r="55" spans="1:29" hidden="1" outlineLevel="1">
      <c r="A55" s="1355"/>
      <c r="B55" s="667" t="str">
        <f t="shared" si="6"/>
        <v>DSC-6 - 14.17 HSS12x12x5/8</v>
      </c>
      <c r="C55" s="1331">
        <f t="shared" si="7"/>
        <v>56.67</v>
      </c>
      <c r="D55" s="1332" t="s">
        <v>2864</v>
      </c>
      <c r="E55" s="1333">
        <v>93.34</v>
      </c>
      <c r="F55" s="1334">
        <f t="shared" si="8"/>
        <v>2.6447889</v>
      </c>
      <c r="G55" s="1335" t="s">
        <v>3234</v>
      </c>
      <c r="H55" s="1363"/>
      <c r="I55" s="662">
        <f t="shared" si="1"/>
        <v>0</v>
      </c>
      <c r="J55" s="1354"/>
      <c r="K55" s="1160"/>
      <c r="L55" s="1354"/>
      <c r="M55" s="1160"/>
      <c r="N55" s="1354"/>
      <c r="O55" s="1160"/>
      <c r="P55" s="1354"/>
      <c r="Q55" s="1160"/>
      <c r="R55" s="1354"/>
      <c r="S55" s="1160"/>
      <c r="T55" s="1354"/>
      <c r="U55" s="1160"/>
      <c r="W55">
        <v>29</v>
      </c>
      <c r="X55" t="s">
        <v>3377</v>
      </c>
      <c r="Y55" t="s">
        <v>3043</v>
      </c>
      <c r="Z55" s="300">
        <v>56.67</v>
      </c>
      <c r="AA55" t="s">
        <v>48</v>
      </c>
      <c r="AB55" s="300">
        <v>4</v>
      </c>
      <c r="AC55" s="300" t="s">
        <v>3041</v>
      </c>
    </row>
    <row r="56" spans="1:29" hidden="1" outlineLevel="1">
      <c r="A56" s="1355"/>
      <c r="B56" s="667" t="str">
        <f t="shared" si="6"/>
        <v>DSC-7 - 14.17 HSS8x8x5/8</v>
      </c>
      <c r="C56" s="1331">
        <f t="shared" si="7"/>
        <v>14.17</v>
      </c>
      <c r="D56" s="1332" t="s">
        <v>2864</v>
      </c>
      <c r="E56" s="1333">
        <v>59.32</v>
      </c>
      <c r="F56" s="1334">
        <f t="shared" si="8"/>
        <v>0.42028219999999999</v>
      </c>
      <c r="G56" s="1335" t="s">
        <v>3234</v>
      </c>
      <c r="H56" s="1363"/>
      <c r="I56" s="662">
        <f t="shared" si="1"/>
        <v>0</v>
      </c>
      <c r="J56" s="1354"/>
      <c r="K56" s="1160"/>
      <c r="L56" s="1354"/>
      <c r="M56" s="1160"/>
      <c r="N56" s="1354"/>
      <c r="O56" s="1160"/>
      <c r="P56" s="1354"/>
      <c r="Q56" s="1160"/>
      <c r="R56" s="1354"/>
      <c r="S56" s="1160"/>
      <c r="T56" s="1354"/>
      <c r="U56" s="1160"/>
      <c r="W56">
        <v>34</v>
      </c>
      <c r="X56" t="s">
        <v>3378</v>
      </c>
      <c r="Y56" t="s">
        <v>3043</v>
      </c>
      <c r="Z56" s="300">
        <v>14.17</v>
      </c>
      <c r="AA56" t="s">
        <v>48</v>
      </c>
      <c r="AB56" s="300">
        <v>1</v>
      </c>
      <c r="AC56" s="300" t="s">
        <v>3041</v>
      </c>
    </row>
    <row r="57" spans="1:29" hidden="1" outlineLevel="1">
      <c r="A57" s="1355"/>
      <c r="B57" s="667" t="str">
        <f t="shared" si="6"/>
        <v>DSC-7 - 15.56 HSS8x8x5/8</v>
      </c>
      <c r="C57" s="1331">
        <f t="shared" si="7"/>
        <v>15.58</v>
      </c>
      <c r="D57" s="1332" t="s">
        <v>2864</v>
      </c>
      <c r="E57" s="1333">
        <v>59.32</v>
      </c>
      <c r="F57" s="1334">
        <f t="shared" si="8"/>
        <v>0.46210279999999998</v>
      </c>
      <c r="G57" s="1335" t="s">
        <v>3234</v>
      </c>
      <c r="H57" s="1363"/>
      <c r="I57" s="662">
        <f t="shared" si="1"/>
        <v>0</v>
      </c>
      <c r="J57" s="1354"/>
      <c r="K57" s="1160"/>
      <c r="L57" s="1354"/>
      <c r="M57" s="1160"/>
      <c r="N57" s="1354"/>
      <c r="O57" s="1160"/>
      <c r="P57" s="1354"/>
      <c r="Q57" s="1160"/>
      <c r="R57" s="1354"/>
      <c r="S57" s="1160"/>
      <c r="T57" s="1354"/>
      <c r="U57" s="1160"/>
      <c r="W57">
        <v>189</v>
      </c>
      <c r="X57" t="s">
        <v>3379</v>
      </c>
      <c r="Y57" t="s">
        <v>3373</v>
      </c>
      <c r="Z57" s="300">
        <v>15.58</v>
      </c>
      <c r="AA57" t="s">
        <v>48</v>
      </c>
      <c r="AB57" s="300">
        <v>1</v>
      </c>
      <c r="AC57" s="300" t="s">
        <v>3041</v>
      </c>
    </row>
    <row r="58" spans="1:29" hidden="1" outlineLevel="1">
      <c r="A58" s="1355"/>
      <c r="B58" s="667" t="str">
        <f t="shared" si="6"/>
        <v>DSC-8 - 15.67 HSS6x6x5/8</v>
      </c>
      <c r="C58" s="1331">
        <f t="shared" si="7"/>
        <v>15.67</v>
      </c>
      <c r="D58" s="1332" t="s">
        <v>2864</v>
      </c>
      <c r="E58" s="1333">
        <v>42.3</v>
      </c>
      <c r="F58" s="1334">
        <f t="shared" si="8"/>
        <v>0.33142050000000001</v>
      </c>
      <c r="G58" s="1335" t="s">
        <v>3234</v>
      </c>
      <c r="H58" s="1363"/>
      <c r="I58" s="662">
        <f t="shared" si="1"/>
        <v>0</v>
      </c>
      <c r="J58" s="1354"/>
      <c r="K58" s="1160"/>
      <c r="L58" s="1354"/>
      <c r="M58" s="1160"/>
      <c r="N58" s="1354"/>
      <c r="O58" s="1160"/>
      <c r="P58" s="1354"/>
      <c r="Q58" s="1160"/>
      <c r="R58" s="1354"/>
      <c r="S58" s="1160"/>
      <c r="T58" s="1354"/>
      <c r="U58" s="1160"/>
      <c r="W58">
        <v>17</v>
      </c>
      <c r="X58" t="s">
        <v>3380</v>
      </c>
      <c r="Y58" t="s">
        <v>3368</v>
      </c>
      <c r="Z58" s="300">
        <v>15.67</v>
      </c>
      <c r="AA58" t="s">
        <v>48</v>
      </c>
      <c r="AB58" s="300">
        <v>1</v>
      </c>
      <c r="AC58" s="300" t="s">
        <v>3041</v>
      </c>
    </row>
    <row r="59" spans="1:29" hidden="1" outlineLevel="1">
      <c r="A59" s="1355"/>
      <c r="B59" s="667" t="str">
        <f t="shared" si="6"/>
        <v>FSC-1 - 14.50 W8X35</v>
      </c>
      <c r="C59" s="1331">
        <f t="shared" si="7"/>
        <v>29</v>
      </c>
      <c r="D59" s="1332" t="s">
        <v>2864</v>
      </c>
      <c r="E59" s="1333">
        <v>35</v>
      </c>
      <c r="F59" s="1334">
        <f t="shared" si="8"/>
        <v>0.50749999999999995</v>
      </c>
      <c r="G59" s="1335" t="s">
        <v>3234</v>
      </c>
      <c r="H59" s="1363"/>
      <c r="I59" s="662">
        <f t="shared" si="1"/>
        <v>0</v>
      </c>
      <c r="J59" s="1354"/>
      <c r="K59" s="1160"/>
      <c r="L59" s="1354"/>
      <c r="M59" s="1160"/>
      <c r="N59" s="1354"/>
      <c r="O59" s="1160"/>
      <c r="P59" s="1354"/>
      <c r="Q59" s="1160"/>
      <c r="R59" s="1354"/>
      <c r="S59" s="1160"/>
      <c r="T59" s="1354"/>
      <c r="U59" s="1160"/>
      <c r="W59">
        <v>202</v>
      </c>
      <c r="X59" t="s">
        <v>3381</v>
      </c>
      <c r="Y59" t="s">
        <v>3382</v>
      </c>
      <c r="Z59" s="300">
        <v>29</v>
      </c>
      <c r="AA59" t="s">
        <v>48</v>
      </c>
      <c r="AB59" s="300">
        <v>2</v>
      </c>
      <c r="AC59" s="300" t="s">
        <v>3041</v>
      </c>
    </row>
    <row r="60" spans="1:29" hidden="1" outlineLevel="1">
      <c r="A60" s="1355"/>
      <c r="B60" s="667" t="str">
        <f t="shared" si="6"/>
        <v>FSC-2 - 14.67 W12X26</v>
      </c>
      <c r="C60" s="1331">
        <f t="shared" si="7"/>
        <v>102.67</v>
      </c>
      <c r="D60" s="1332" t="s">
        <v>2864</v>
      </c>
      <c r="E60" s="1333">
        <v>26</v>
      </c>
      <c r="F60" s="1334">
        <f t="shared" si="8"/>
        <v>1.3347100000000001</v>
      </c>
      <c r="G60" s="1335" t="s">
        <v>3234</v>
      </c>
      <c r="H60" s="1363"/>
      <c r="I60" s="662">
        <f t="shared" si="1"/>
        <v>0</v>
      </c>
      <c r="J60" s="1354"/>
      <c r="K60" s="1160"/>
      <c r="L60" s="1354"/>
      <c r="M60" s="1160"/>
      <c r="N60" s="1354"/>
      <c r="O60" s="1160"/>
      <c r="P60" s="1354"/>
      <c r="Q60" s="1160"/>
      <c r="R60" s="1354"/>
      <c r="S60" s="1160"/>
      <c r="T60" s="1354"/>
      <c r="U60" s="1160"/>
      <c r="W60">
        <v>203</v>
      </c>
      <c r="X60" t="s">
        <v>3383</v>
      </c>
      <c r="Y60" t="s">
        <v>3384</v>
      </c>
      <c r="Z60" s="300">
        <v>102.67</v>
      </c>
      <c r="AA60" t="s">
        <v>48</v>
      </c>
      <c r="AB60" s="300">
        <v>7</v>
      </c>
      <c r="AC60" s="300" t="s">
        <v>3041</v>
      </c>
    </row>
    <row r="61" spans="1:29" hidden="1" outlineLevel="1">
      <c r="A61" s="1355"/>
      <c r="B61" s="667" t="str">
        <f t="shared" si="6"/>
        <v>FSC-2 - 15.33 W12X26</v>
      </c>
      <c r="C61" s="1331">
        <f t="shared" si="7"/>
        <v>92</v>
      </c>
      <c r="D61" s="1332" t="s">
        <v>2864</v>
      </c>
      <c r="E61" s="1333">
        <v>26</v>
      </c>
      <c r="F61" s="1334">
        <f t="shared" si="8"/>
        <v>1.196</v>
      </c>
      <c r="G61" s="1335" t="s">
        <v>3234</v>
      </c>
      <c r="H61" s="1363"/>
      <c r="I61" s="662">
        <f t="shared" si="1"/>
        <v>0</v>
      </c>
      <c r="J61" s="1354"/>
      <c r="K61" s="1160"/>
      <c r="L61" s="1354"/>
      <c r="M61" s="1160"/>
      <c r="N61" s="1354"/>
      <c r="O61" s="1160"/>
      <c r="P61" s="1354"/>
      <c r="Q61" s="1160"/>
      <c r="R61" s="1354"/>
      <c r="S61" s="1160"/>
      <c r="T61" s="1354"/>
      <c r="U61" s="1160"/>
      <c r="W61">
        <v>152</v>
      </c>
      <c r="X61" t="s">
        <v>3385</v>
      </c>
      <c r="Y61" t="s">
        <v>3386</v>
      </c>
      <c r="Z61" s="300">
        <v>92</v>
      </c>
      <c r="AA61" t="s">
        <v>48</v>
      </c>
      <c r="AB61" s="300">
        <v>6</v>
      </c>
      <c r="AC61" s="300" t="s">
        <v>3041</v>
      </c>
    </row>
    <row r="62" spans="1:29" hidden="1" outlineLevel="1">
      <c r="A62" s="1355"/>
      <c r="B62" s="667" t="str">
        <f t="shared" si="6"/>
        <v>FSC-3 - 09.67 W8X24</v>
      </c>
      <c r="C62" s="1331">
        <f t="shared" si="7"/>
        <v>328.67</v>
      </c>
      <c r="D62" s="1332" t="s">
        <v>2864</v>
      </c>
      <c r="E62" s="1333">
        <v>24</v>
      </c>
      <c r="F62" s="1334">
        <f t="shared" si="8"/>
        <v>3.9440399999999998</v>
      </c>
      <c r="G62" s="1335" t="s">
        <v>3234</v>
      </c>
      <c r="H62" s="1363"/>
      <c r="I62" s="662">
        <f t="shared" si="1"/>
        <v>0</v>
      </c>
      <c r="J62" s="1354"/>
      <c r="K62" s="1160"/>
      <c r="L62" s="1354"/>
      <c r="M62" s="1160"/>
      <c r="N62" s="1354"/>
      <c r="O62" s="1160"/>
      <c r="P62" s="1354"/>
      <c r="Q62" s="1160"/>
      <c r="R62" s="1354"/>
      <c r="S62" s="1160"/>
      <c r="T62" s="1354"/>
      <c r="U62" s="1160"/>
      <c r="W62">
        <v>151</v>
      </c>
      <c r="X62" t="s">
        <v>3387</v>
      </c>
      <c r="Y62" t="s">
        <v>3388</v>
      </c>
      <c r="Z62" s="300">
        <v>328.67</v>
      </c>
      <c r="AA62" t="s">
        <v>48</v>
      </c>
      <c r="AB62" s="300">
        <v>34</v>
      </c>
      <c r="AC62" s="300" t="s">
        <v>3041</v>
      </c>
    </row>
    <row r="63" spans="1:29" hidden="1" outlineLevel="1">
      <c r="A63" s="1355"/>
      <c r="B63" s="667" t="str">
        <f t="shared" si="6"/>
        <v>FSC-4 - 15.00 HSS10x10x1/2</v>
      </c>
      <c r="C63" s="1331">
        <f t="shared" si="7"/>
        <v>150</v>
      </c>
      <c r="D63" s="1332" t="s">
        <v>2864</v>
      </c>
      <c r="E63" s="1333">
        <v>62.46</v>
      </c>
      <c r="F63" s="1334">
        <f t="shared" si="8"/>
        <v>4.6844999999999999</v>
      </c>
      <c r="G63" s="1335" t="s">
        <v>3234</v>
      </c>
      <c r="H63" s="1363"/>
      <c r="I63" s="662">
        <f t="shared" si="1"/>
        <v>0</v>
      </c>
      <c r="J63" s="1354"/>
      <c r="K63" s="1160"/>
      <c r="L63" s="1354"/>
      <c r="M63" s="1160"/>
      <c r="N63" s="1354"/>
      <c r="O63" s="1160"/>
      <c r="P63" s="1354"/>
      <c r="Q63" s="1160"/>
      <c r="R63" s="1354"/>
      <c r="S63" s="1160"/>
      <c r="T63" s="1354"/>
      <c r="U63" s="1160"/>
      <c r="W63">
        <v>199</v>
      </c>
      <c r="X63" t="s">
        <v>3389</v>
      </c>
      <c r="Y63" t="s">
        <v>3131</v>
      </c>
      <c r="Z63" s="300">
        <v>150</v>
      </c>
      <c r="AA63" t="s">
        <v>48</v>
      </c>
      <c r="AB63" s="300">
        <v>10</v>
      </c>
      <c r="AC63" s="300" t="s">
        <v>3041</v>
      </c>
    </row>
    <row r="64" spans="1:29" hidden="1" outlineLevel="1">
      <c r="A64" s="1355"/>
      <c r="B64" s="1365" t="str">
        <f t="shared" si="6"/>
        <v>HSS02 1/2X2 1/2X3/16</v>
      </c>
      <c r="C64" s="1366">
        <f>Z64-C168</f>
        <v>199</v>
      </c>
      <c r="D64" s="1332" t="s">
        <v>2864</v>
      </c>
      <c r="E64" s="1333">
        <v>4.32</v>
      </c>
      <c r="F64" s="1334">
        <f t="shared" si="8"/>
        <v>0.42984000000000006</v>
      </c>
      <c r="G64" s="1335" t="s">
        <v>3234</v>
      </c>
      <c r="H64" s="1363"/>
      <c r="I64" s="662">
        <f t="shared" si="1"/>
        <v>0</v>
      </c>
      <c r="J64" s="1354"/>
      <c r="K64" s="1160"/>
      <c r="L64" s="1354"/>
      <c r="M64" s="1160"/>
      <c r="N64" s="1354"/>
      <c r="O64" s="1160"/>
      <c r="P64" s="1354"/>
      <c r="Q64" s="1160"/>
      <c r="R64" s="1354"/>
      <c r="S64" s="1160"/>
      <c r="T64" s="1354"/>
      <c r="U64" s="1160"/>
      <c r="X64" t="s">
        <v>3390</v>
      </c>
      <c r="Z64" s="300">
        <v>328</v>
      </c>
      <c r="AA64" t="s">
        <v>48</v>
      </c>
      <c r="AB64" s="300"/>
      <c r="AC64" s="300"/>
    </row>
    <row r="65" spans="1:29" hidden="1" outlineLevel="1">
      <c r="A65" s="1355"/>
      <c r="B65" s="1365" t="str">
        <f t="shared" si="6"/>
        <v>HSS03X3X1/4</v>
      </c>
      <c r="C65" s="1331">
        <f t="shared" si="7"/>
        <v>151</v>
      </c>
      <c r="D65" s="1332" t="s">
        <v>2864</v>
      </c>
      <c r="E65" s="1333">
        <v>8.81</v>
      </c>
      <c r="F65" s="1334">
        <f t="shared" si="8"/>
        <v>0.66515500000000005</v>
      </c>
      <c r="G65" s="1335" t="s">
        <v>3234</v>
      </c>
      <c r="H65" s="1363"/>
      <c r="I65" s="662">
        <f t="shared" si="1"/>
        <v>0</v>
      </c>
      <c r="J65" s="1354"/>
      <c r="K65" s="1160"/>
      <c r="L65" s="1354"/>
      <c r="M65" s="1160"/>
      <c r="N65" s="1354"/>
      <c r="O65" s="1160"/>
      <c r="P65" s="1354"/>
      <c r="Q65" s="1160"/>
      <c r="R65" s="1354"/>
      <c r="S65" s="1160"/>
      <c r="T65" s="1354"/>
      <c r="U65" s="1160"/>
      <c r="X65" t="s">
        <v>3391</v>
      </c>
      <c r="Z65" s="300">
        <v>151</v>
      </c>
      <c r="AA65" t="s">
        <v>48</v>
      </c>
      <c r="AB65" s="300"/>
      <c r="AC65" s="300"/>
    </row>
    <row r="66" spans="1:29" hidden="1" outlineLevel="1">
      <c r="A66" s="1355"/>
      <c r="B66" s="667" t="str">
        <f t="shared" si="6"/>
        <v>HSS05X2 1/2X1/4</v>
      </c>
      <c r="C66" s="1331">
        <f>Z66-C162</f>
        <v>98</v>
      </c>
      <c r="D66" s="1332" t="s">
        <v>2864</v>
      </c>
      <c r="E66" s="1333">
        <v>11.36</v>
      </c>
      <c r="F66" s="1334">
        <f t="shared" si="8"/>
        <v>0.55664000000000002</v>
      </c>
      <c r="G66" s="1335" t="s">
        <v>3234</v>
      </c>
      <c r="H66" s="1363"/>
      <c r="I66" s="662">
        <f t="shared" si="1"/>
        <v>0</v>
      </c>
      <c r="J66" s="1354"/>
      <c r="K66" s="1160"/>
      <c r="L66" s="1354"/>
      <c r="M66" s="1160"/>
      <c r="N66" s="1354"/>
      <c r="O66" s="1160"/>
      <c r="P66" s="1354"/>
      <c r="Q66" s="1160"/>
      <c r="R66" s="1354"/>
      <c r="S66" s="1160"/>
      <c r="T66" s="1354"/>
      <c r="U66" s="1160"/>
      <c r="X66" t="s">
        <v>3392</v>
      </c>
      <c r="Z66" s="300">
        <v>526</v>
      </c>
      <c r="AA66" t="s">
        <v>48</v>
      </c>
      <c r="AB66" s="300"/>
      <c r="AC66" s="300"/>
    </row>
    <row r="67" spans="1:29" hidden="1" outlineLevel="1">
      <c r="A67" s="1355"/>
      <c r="B67" s="667" t="str">
        <f t="shared" si="6"/>
        <v>HSS06X8X1/4</v>
      </c>
      <c r="C67" s="1331">
        <f t="shared" si="7"/>
        <v>177</v>
      </c>
      <c r="D67" s="1332" t="s">
        <v>2864</v>
      </c>
      <c r="E67" s="1333">
        <v>22.42</v>
      </c>
      <c r="F67" s="1334">
        <f t="shared" si="8"/>
        <v>1.98417</v>
      </c>
      <c r="G67" s="1335" t="s">
        <v>3234</v>
      </c>
      <c r="H67" s="1284"/>
      <c r="I67" s="662">
        <f t="shared" si="1"/>
        <v>0</v>
      </c>
      <c r="J67" s="1354"/>
      <c r="K67" s="1160"/>
      <c r="L67" s="1354"/>
      <c r="M67" s="1160"/>
      <c r="N67" s="1354"/>
      <c r="O67" s="1160"/>
      <c r="P67" s="1354"/>
      <c r="Q67" s="1160"/>
      <c r="R67" s="1354"/>
      <c r="S67" s="1160"/>
      <c r="T67" s="1354"/>
      <c r="U67" s="1160"/>
      <c r="X67" t="s">
        <v>3393</v>
      </c>
      <c r="Z67" s="300">
        <v>177</v>
      </c>
      <c r="AA67" s="300" t="s">
        <v>48</v>
      </c>
    </row>
    <row r="68" spans="1:29" hidden="1" outlineLevel="1">
      <c r="A68" s="1355"/>
      <c r="B68" s="667" t="str">
        <f t="shared" si="6"/>
        <v>HSS08X8X5/8 - 10'-5"</v>
      </c>
      <c r="C68" s="1331">
        <f t="shared" si="7"/>
        <v>166.67</v>
      </c>
      <c r="D68" s="1332" t="s">
        <v>2864</v>
      </c>
      <c r="E68" s="1333">
        <v>59.32</v>
      </c>
      <c r="F68" s="1334">
        <f t="shared" si="8"/>
        <v>4.9434321999999993</v>
      </c>
      <c r="G68" s="1335" t="s">
        <v>3234</v>
      </c>
      <c r="H68" s="1363"/>
      <c r="I68" s="662">
        <f t="shared" si="1"/>
        <v>0</v>
      </c>
      <c r="J68" s="1354"/>
      <c r="K68" s="1160"/>
      <c r="L68" s="1354"/>
      <c r="M68" s="1160"/>
      <c r="N68" s="1354"/>
      <c r="O68" s="1160"/>
      <c r="P68" s="1354"/>
      <c r="Q68" s="1160"/>
      <c r="R68" s="1354"/>
      <c r="S68" s="1160"/>
      <c r="T68" s="1354"/>
      <c r="U68" s="1160"/>
      <c r="W68">
        <v>174</v>
      </c>
      <c r="X68" t="s">
        <v>3394</v>
      </c>
      <c r="Y68" t="s">
        <v>3395</v>
      </c>
      <c r="Z68" s="300">
        <v>166.67</v>
      </c>
      <c r="AA68" s="300" t="s">
        <v>48</v>
      </c>
      <c r="AB68" s="300">
        <v>16</v>
      </c>
      <c r="AC68" s="300" t="s">
        <v>3041</v>
      </c>
    </row>
    <row r="69" spans="1:29" hidden="1" outlineLevel="1">
      <c r="A69" s="1355"/>
      <c r="B69" s="667" t="str">
        <f t="shared" si="6"/>
        <v>HSS12X2X1/8- 14.67</v>
      </c>
      <c r="C69" s="1331">
        <f>Z69</f>
        <v>29.34</v>
      </c>
      <c r="D69" s="1332" t="s">
        <v>2864</v>
      </c>
      <c r="E69" s="1333">
        <v>17.079999999999998</v>
      </c>
      <c r="F69" s="1334">
        <f t="shared" si="8"/>
        <v>0.2505636</v>
      </c>
      <c r="G69" s="1335" t="s">
        <v>3234</v>
      </c>
      <c r="H69" s="1363"/>
      <c r="I69" s="662">
        <f t="shared" si="1"/>
        <v>0</v>
      </c>
      <c r="J69" s="1354"/>
      <c r="K69" s="1160"/>
      <c r="L69" s="1354"/>
      <c r="M69" s="1160"/>
      <c r="N69" s="1354"/>
      <c r="O69" s="1160"/>
      <c r="P69" s="1354"/>
      <c r="Q69" s="1160"/>
      <c r="R69" s="1354"/>
      <c r="S69" s="1160"/>
      <c r="T69" s="1354"/>
      <c r="U69" s="1160"/>
      <c r="W69">
        <v>204</v>
      </c>
      <c r="X69" t="s">
        <v>3396</v>
      </c>
      <c r="Y69" t="s">
        <v>3111</v>
      </c>
      <c r="Z69" s="300">
        <f>2*14.67</f>
        <v>29.34</v>
      </c>
      <c r="AA69" s="300" t="s">
        <v>48</v>
      </c>
      <c r="AB69" s="300">
        <v>2</v>
      </c>
      <c r="AC69" s="300" t="s">
        <v>3041</v>
      </c>
    </row>
    <row r="70" spans="1:29" hidden="1" outlineLevel="1">
      <c r="A70" s="1355"/>
      <c r="B70" s="667" t="str">
        <f t="shared" si="6"/>
        <v>HSS12x8x3/8</v>
      </c>
      <c r="C70" s="1331">
        <f t="shared" si="7"/>
        <v>160</v>
      </c>
      <c r="D70" s="1332" t="s">
        <v>2864</v>
      </c>
      <c r="E70" s="1333">
        <v>47.9</v>
      </c>
      <c r="F70" s="1334">
        <f t="shared" si="8"/>
        <v>3.8319999999999999</v>
      </c>
      <c r="G70" s="1335" t="s">
        <v>3234</v>
      </c>
      <c r="H70" s="1363"/>
      <c r="I70" s="662">
        <f t="shared" si="1"/>
        <v>0</v>
      </c>
      <c r="J70" s="1354"/>
      <c r="K70" s="1160"/>
      <c r="L70" s="1354"/>
      <c r="M70" s="1160"/>
      <c r="N70" s="1354"/>
      <c r="O70" s="1160"/>
      <c r="P70" s="1354"/>
      <c r="Q70" s="1160"/>
      <c r="R70" s="1354"/>
      <c r="S70" s="1160"/>
      <c r="T70" s="1354"/>
      <c r="U70" s="1160"/>
      <c r="W70">
        <v>216</v>
      </c>
      <c r="X70" t="s">
        <v>3397</v>
      </c>
      <c r="Y70" t="s">
        <v>3395</v>
      </c>
      <c r="Z70" s="300">
        <v>160</v>
      </c>
      <c r="AA70" s="300" t="s">
        <v>48</v>
      </c>
      <c r="AB70" t="s">
        <v>2795</v>
      </c>
    </row>
    <row r="71" spans="1:29" hidden="1" outlineLevel="1">
      <c r="A71" s="1355"/>
      <c r="B71" s="667" t="str">
        <f t="shared" si="6"/>
        <v>HSS14X6X1/4</v>
      </c>
      <c r="C71" s="1331">
        <f t="shared" si="7"/>
        <v>35</v>
      </c>
      <c r="D71" s="1332" t="s">
        <v>2864</v>
      </c>
      <c r="E71" s="1333">
        <v>32.630000000000003</v>
      </c>
      <c r="F71" s="1334">
        <f t="shared" si="8"/>
        <v>0.57102500000000012</v>
      </c>
      <c r="G71" s="1335" t="s">
        <v>3234</v>
      </c>
      <c r="H71" s="1363"/>
      <c r="I71" s="662">
        <f t="shared" si="1"/>
        <v>0</v>
      </c>
      <c r="J71" s="1354"/>
      <c r="K71" s="1160"/>
      <c r="L71" s="1354"/>
      <c r="M71" s="1160"/>
      <c r="N71" s="1354"/>
      <c r="O71" s="1160"/>
      <c r="P71" s="1354"/>
      <c r="Q71" s="1160"/>
      <c r="R71" s="1354"/>
      <c r="S71" s="1160"/>
      <c r="T71" s="1354"/>
      <c r="U71" s="1160"/>
      <c r="W71">
        <v>184</v>
      </c>
      <c r="X71" t="s">
        <v>3398</v>
      </c>
      <c r="Y71" t="s">
        <v>3395</v>
      </c>
      <c r="Z71" s="300">
        <v>35</v>
      </c>
      <c r="AA71" s="300" t="s">
        <v>48</v>
      </c>
      <c r="AB71" t="s">
        <v>2795</v>
      </c>
    </row>
    <row r="72" spans="1:29" hidden="1" outlineLevel="1">
      <c r="A72" s="1355"/>
      <c r="B72" s="667" t="str">
        <f t="shared" si="6"/>
        <v>HSS14X6X5/16</v>
      </c>
      <c r="C72" s="1331">
        <f t="shared" si="7"/>
        <v>291</v>
      </c>
      <c r="D72" s="1332" t="s">
        <v>2864</v>
      </c>
      <c r="E72" s="1333">
        <v>40.35</v>
      </c>
      <c r="F72" s="1334">
        <f t="shared" si="8"/>
        <v>5.8709250000000006</v>
      </c>
      <c r="G72" s="1335" t="s">
        <v>3234</v>
      </c>
      <c r="H72" s="1363"/>
      <c r="I72" s="662">
        <f t="shared" si="1"/>
        <v>0</v>
      </c>
      <c r="J72" s="1354"/>
      <c r="K72" s="1160"/>
      <c r="L72" s="1354"/>
      <c r="M72" s="1160"/>
      <c r="N72" s="1354"/>
      <c r="O72" s="1160"/>
      <c r="P72" s="1354"/>
      <c r="Q72" s="1160"/>
      <c r="R72" s="1354"/>
      <c r="S72" s="1160"/>
      <c r="T72" s="1354"/>
      <c r="U72" s="1160"/>
      <c r="W72">
        <v>249</v>
      </c>
      <c r="X72" t="s">
        <v>3399</v>
      </c>
      <c r="Y72" t="s">
        <v>3395</v>
      </c>
      <c r="Z72" s="300">
        <v>291</v>
      </c>
      <c r="AA72" s="300" t="s">
        <v>48</v>
      </c>
      <c r="AB72" t="s">
        <v>2795</v>
      </c>
    </row>
    <row r="73" spans="1:29" hidden="1" outlineLevel="1">
      <c r="A73" s="1355"/>
      <c r="B73" s="667" t="str">
        <f t="shared" si="6"/>
        <v>HSS18X6X1/4</v>
      </c>
      <c r="C73" s="1331">
        <f t="shared" si="7"/>
        <v>385</v>
      </c>
      <c r="D73" s="1332" t="s">
        <v>2864</v>
      </c>
      <c r="E73" s="1333">
        <v>39.43</v>
      </c>
      <c r="F73" s="1334">
        <f t="shared" si="8"/>
        <v>7.5902749999999992</v>
      </c>
      <c r="G73" s="1335" t="s">
        <v>3234</v>
      </c>
      <c r="H73" s="1363"/>
      <c r="I73" s="662">
        <f t="shared" si="1"/>
        <v>0</v>
      </c>
      <c r="J73" s="1354"/>
      <c r="K73" s="1160"/>
      <c r="L73" s="1354"/>
      <c r="M73" s="1160"/>
      <c r="N73" s="1354"/>
      <c r="O73" s="1160"/>
      <c r="P73" s="1354"/>
      <c r="Q73" s="1160"/>
      <c r="R73" s="1354"/>
      <c r="S73" s="1160"/>
      <c r="T73" s="1354"/>
      <c r="U73" s="1160"/>
      <c r="W73">
        <v>183</v>
      </c>
      <c r="X73" t="s">
        <v>3400</v>
      </c>
      <c r="Y73" t="s">
        <v>3395</v>
      </c>
      <c r="Z73" s="300">
        <v>385</v>
      </c>
      <c r="AA73" s="300" t="s">
        <v>48</v>
      </c>
      <c r="AB73" t="s">
        <v>2795</v>
      </c>
    </row>
    <row r="74" spans="1:29" hidden="1" outlineLevel="1">
      <c r="A74" s="1355"/>
      <c r="B74" s="667" t="str">
        <f t="shared" si="6"/>
        <v>HSS18X6X3/8</v>
      </c>
      <c r="C74" s="1331">
        <f t="shared" si="7"/>
        <v>181</v>
      </c>
      <c r="D74" s="1332" t="s">
        <v>2864</v>
      </c>
      <c r="E74" s="1333">
        <v>58.1</v>
      </c>
      <c r="F74" s="1334">
        <f t="shared" si="8"/>
        <v>5.2580499999999999</v>
      </c>
      <c r="G74" s="1335" t="s">
        <v>3234</v>
      </c>
      <c r="H74" s="1363"/>
      <c r="I74" s="662">
        <f t="shared" si="1"/>
        <v>0</v>
      </c>
      <c r="J74" s="1354"/>
      <c r="K74" s="1160"/>
      <c r="L74" s="1354"/>
      <c r="M74" s="1160"/>
      <c r="N74" s="1354"/>
      <c r="O74" s="1160"/>
      <c r="P74" s="1354"/>
      <c r="Q74" s="1160"/>
      <c r="R74" s="1354"/>
      <c r="S74" s="1160"/>
      <c r="T74" s="1354"/>
      <c r="U74" s="1160"/>
      <c r="W74">
        <v>215</v>
      </c>
      <c r="X74" t="s">
        <v>3401</v>
      </c>
      <c r="Y74" t="s">
        <v>3395</v>
      </c>
      <c r="Z74" s="300">
        <v>181</v>
      </c>
      <c r="AA74" s="300" t="s">
        <v>48</v>
      </c>
      <c r="AB74" t="s">
        <v>2795</v>
      </c>
    </row>
    <row r="75" spans="1:29" hidden="1" outlineLevel="1">
      <c r="A75" s="1355"/>
      <c r="B75" s="667" t="str">
        <f t="shared" si="6"/>
        <v>L2X2X1/2</v>
      </c>
      <c r="C75" s="1331">
        <f t="shared" si="7"/>
        <v>52</v>
      </c>
      <c r="D75" s="1332" t="s">
        <v>2864</v>
      </c>
      <c r="E75" s="1333">
        <v>4.7</v>
      </c>
      <c r="F75" s="1334">
        <f t="shared" si="8"/>
        <v>0.1222</v>
      </c>
      <c r="G75" s="1335" t="s">
        <v>3234</v>
      </c>
      <c r="H75" s="1363"/>
      <c r="I75" s="662">
        <f t="shared" si="1"/>
        <v>0</v>
      </c>
      <c r="J75" s="1354"/>
      <c r="K75" s="1160"/>
      <c r="L75" s="1354"/>
      <c r="M75" s="1160"/>
      <c r="N75" s="1354"/>
      <c r="O75" s="1160"/>
      <c r="P75" s="1354"/>
      <c r="Q75" s="1160"/>
      <c r="R75" s="1354"/>
      <c r="S75" s="1160"/>
      <c r="T75" s="1354"/>
      <c r="U75" s="1160"/>
      <c r="X75" t="s">
        <v>3402</v>
      </c>
      <c r="Z75" s="300">
        <v>52</v>
      </c>
      <c r="AA75" s="300" t="s">
        <v>48</v>
      </c>
    </row>
    <row r="76" spans="1:29" hidden="1" outlineLevel="1">
      <c r="A76" s="1355"/>
      <c r="B76" s="667" t="str">
        <f t="shared" si="6"/>
        <v>L3X3X1/4</v>
      </c>
      <c r="C76" s="1331">
        <f t="shared" si="7"/>
        <v>469</v>
      </c>
      <c r="D76" s="1332" t="s">
        <v>2864</v>
      </c>
      <c r="E76" s="1333">
        <v>4.9000000000000004</v>
      </c>
      <c r="F76" s="1334">
        <f t="shared" si="8"/>
        <v>1.1490500000000001</v>
      </c>
      <c r="G76" s="1335" t="s">
        <v>3234</v>
      </c>
      <c r="H76" s="1363"/>
      <c r="I76" s="662">
        <f t="shared" si="1"/>
        <v>0</v>
      </c>
      <c r="J76" s="1354"/>
      <c r="K76" s="1160"/>
      <c r="L76" s="1354"/>
      <c r="M76" s="1160"/>
      <c r="N76" s="1354"/>
      <c r="O76" s="1160"/>
      <c r="P76" s="1354"/>
      <c r="Q76" s="1160"/>
      <c r="R76" s="1354"/>
      <c r="S76" s="1160"/>
      <c r="T76" s="1354"/>
      <c r="U76" s="1160"/>
      <c r="X76" t="s">
        <v>3403</v>
      </c>
      <c r="Z76" s="300">
        <v>469</v>
      </c>
      <c r="AA76" s="300" t="s">
        <v>48</v>
      </c>
    </row>
    <row r="77" spans="1:29" hidden="1" outlineLevel="1">
      <c r="A77" s="1355"/>
      <c r="B77" s="667" t="str">
        <f t="shared" si="6"/>
        <v>W04X13 - 4 EA</v>
      </c>
      <c r="C77" s="1331">
        <f t="shared" si="7"/>
        <v>242</v>
      </c>
      <c r="D77" s="1332" t="s">
        <v>2864</v>
      </c>
      <c r="E77" s="1333">
        <v>13</v>
      </c>
      <c r="F77" s="1334">
        <f t="shared" si="8"/>
        <v>1.573</v>
      </c>
      <c r="G77" s="1335" t="s">
        <v>3234</v>
      </c>
      <c r="H77" s="1363"/>
      <c r="I77" s="662">
        <f t="shared" si="1"/>
        <v>0</v>
      </c>
      <c r="J77" s="1354"/>
      <c r="K77" s="1160"/>
      <c r="L77" s="1354"/>
      <c r="M77" s="1160"/>
      <c r="N77" s="1354"/>
      <c r="O77" s="1160"/>
      <c r="P77" s="1354"/>
      <c r="Q77" s="1160"/>
      <c r="R77" s="1354"/>
      <c r="S77" s="1160"/>
      <c r="T77" s="1354"/>
      <c r="U77" s="1160"/>
      <c r="W77">
        <v>213</v>
      </c>
      <c r="X77" t="s">
        <v>3404</v>
      </c>
      <c r="Y77" t="s">
        <v>3111</v>
      </c>
      <c r="Z77" s="300">
        <v>242</v>
      </c>
      <c r="AA77" s="300" t="s">
        <v>48</v>
      </c>
      <c r="AB77" t="s">
        <v>2795</v>
      </c>
    </row>
    <row r="78" spans="1:29" hidden="1" outlineLevel="1">
      <c r="A78" s="1355"/>
      <c r="B78" s="667" t="str">
        <f t="shared" si="6"/>
        <v>W06X12</v>
      </c>
      <c r="C78" s="1331">
        <f t="shared" si="7"/>
        <v>207</v>
      </c>
      <c r="D78" s="1332" t="s">
        <v>2864</v>
      </c>
      <c r="E78" s="1333">
        <v>12</v>
      </c>
      <c r="F78" s="1334">
        <f t="shared" si="8"/>
        <v>1.242</v>
      </c>
      <c r="G78" s="1335" t="s">
        <v>3234</v>
      </c>
      <c r="H78" s="1363"/>
      <c r="I78" s="662">
        <f t="shared" si="1"/>
        <v>0</v>
      </c>
      <c r="J78" s="1354"/>
      <c r="K78" s="1160"/>
      <c r="L78" s="1354"/>
      <c r="M78" s="1160"/>
      <c r="N78" s="1354"/>
      <c r="O78" s="1160"/>
      <c r="P78" s="1354"/>
      <c r="Q78" s="1160"/>
      <c r="R78" s="1354"/>
      <c r="S78" s="1160"/>
      <c r="T78" s="1354"/>
      <c r="U78" s="1160"/>
      <c r="W78">
        <v>155</v>
      </c>
      <c r="X78" t="s">
        <v>3405</v>
      </c>
      <c r="Y78" t="s">
        <v>3111</v>
      </c>
      <c r="Z78" s="300">
        <v>207</v>
      </c>
      <c r="AA78" s="300" t="s">
        <v>48</v>
      </c>
      <c r="AB78" t="s">
        <v>2795</v>
      </c>
    </row>
    <row r="79" spans="1:29" hidden="1" outlineLevel="1">
      <c r="A79" s="1355"/>
      <c r="B79" s="667" t="str">
        <f t="shared" si="6"/>
        <v>W06X12  - 4'-6"</v>
      </c>
      <c r="C79" s="1331">
        <f t="shared" si="7"/>
        <v>198</v>
      </c>
      <c r="D79" s="1332" t="s">
        <v>2864</v>
      </c>
      <c r="E79" s="1333">
        <v>12</v>
      </c>
      <c r="F79" s="1334">
        <f t="shared" si="8"/>
        <v>1.1879999999999999</v>
      </c>
      <c r="G79" s="1335" t="s">
        <v>3234</v>
      </c>
      <c r="H79" s="1363"/>
      <c r="I79" s="662">
        <f t="shared" si="1"/>
        <v>0</v>
      </c>
      <c r="J79" s="1354"/>
      <c r="K79" s="1160"/>
      <c r="L79" s="1354"/>
      <c r="M79" s="1160"/>
      <c r="N79" s="1354"/>
      <c r="O79" s="1160"/>
      <c r="P79" s="1354"/>
      <c r="Q79" s="1160"/>
      <c r="R79" s="1354"/>
      <c r="S79" s="1160"/>
      <c r="T79" s="1354"/>
      <c r="U79" s="1160"/>
      <c r="W79">
        <v>259</v>
      </c>
      <c r="X79" t="s">
        <v>3406</v>
      </c>
      <c r="Y79" t="s">
        <v>3407</v>
      </c>
      <c r="Z79" s="300">
        <v>198</v>
      </c>
      <c r="AA79" s="300" t="s">
        <v>48</v>
      </c>
      <c r="AB79" s="300">
        <v>44</v>
      </c>
      <c r="AC79" s="300" t="s">
        <v>3041</v>
      </c>
    </row>
    <row r="80" spans="1:29" hidden="1" outlineLevel="1">
      <c r="A80" s="1355"/>
      <c r="B80" s="667" t="str">
        <f t="shared" si="6"/>
        <v>W06X12  - 6'-10"</v>
      </c>
      <c r="C80" s="1331">
        <f t="shared" si="7"/>
        <v>68.33</v>
      </c>
      <c r="D80" s="1332" t="s">
        <v>2864</v>
      </c>
      <c r="E80" s="1333">
        <v>12</v>
      </c>
      <c r="F80" s="1334">
        <f t="shared" si="8"/>
        <v>0.40998000000000001</v>
      </c>
      <c r="G80" s="1335" t="s">
        <v>3234</v>
      </c>
      <c r="H80" s="1363"/>
      <c r="I80" s="662">
        <f t="shared" si="1"/>
        <v>0</v>
      </c>
      <c r="J80" s="1354"/>
      <c r="K80" s="1160"/>
      <c r="L80" s="1354"/>
      <c r="M80" s="1160"/>
      <c r="N80" s="1354"/>
      <c r="O80" s="1160"/>
      <c r="P80" s="1354"/>
      <c r="Q80" s="1160"/>
      <c r="R80" s="1354"/>
      <c r="S80" s="1160"/>
      <c r="T80" s="1354"/>
      <c r="U80" s="1160"/>
      <c r="W80">
        <v>252</v>
      </c>
      <c r="X80" t="s">
        <v>3408</v>
      </c>
      <c r="Y80" t="s">
        <v>3409</v>
      </c>
      <c r="Z80" s="300">
        <v>68.33</v>
      </c>
      <c r="AA80" s="300" t="s">
        <v>48</v>
      </c>
      <c r="AB80" s="300">
        <v>10</v>
      </c>
      <c r="AC80" s="300" t="s">
        <v>3041</v>
      </c>
    </row>
    <row r="81" spans="1:29" hidden="1" outlineLevel="1">
      <c r="A81" s="1355"/>
      <c r="B81" s="667" t="str">
        <f t="shared" si="6"/>
        <v>W06X12  - 6'-6"</v>
      </c>
      <c r="C81" s="1331">
        <f t="shared" si="7"/>
        <v>429</v>
      </c>
      <c r="D81" s="1332" t="s">
        <v>2864</v>
      </c>
      <c r="E81" s="1333">
        <v>12</v>
      </c>
      <c r="F81" s="1334">
        <f t="shared" si="8"/>
        <v>2.5739999999999998</v>
      </c>
      <c r="G81" s="1335" t="s">
        <v>3234</v>
      </c>
      <c r="H81" s="1363"/>
      <c r="I81" s="662">
        <f t="shared" si="1"/>
        <v>0</v>
      </c>
      <c r="J81" s="1354"/>
      <c r="K81" s="1160"/>
      <c r="L81" s="1354"/>
      <c r="M81" s="1160"/>
      <c r="N81" s="1354"/>
      <c r="O81" s="1160"/>
      <c r="P81" s="1354"/>
      <c r="Q81" s="1160"/>
      <c r="R81" s="1354"/>
      <c r="S81" s="1160"/>
      <c r="T81" s="1354"/>
      <c r="U81" s="1160"/>
      <c r="W81">
        <v>251</v>
      </c>
      <c r="X81" t="s">
        <v>3410</v>
      </c>
      <c r="Y81" t="s">
        <v>3411</v>
      </c>
      <c r="Z81" s="300">
        <v>429</v>
      </c>
      <c r="AA81" s="300" t="s">
        <v>48</v>
      </c>
      <c r="AB81" s="300">
        <v>66</v>
      </c>
      <c r="AC81" s="300" t="s">
        <v>3041</v>
      </c>
    </row>
    <row r="82" spans="1:29" hidden="1" outlineLevel="1">
      <c r="A82" s="1355"/>
      <c r="B82" s="667" t="str">
        <f t="shared" si="6"/>
        <v>W06X12  - 6'-8"</v>
      </c>
      <c r="C82" s="1331">
        <f t="shared" si="7"/>
        <v>413.33</v>
      </c>
      <c r="D82" s="1332" t="s">
        <v>2864</v>
      </c>
      <c r="E82" s="1333">
        <v>12</v>
      </c>
      <c r="F82" s="1334">
        <f t="shared" si="8"/>
        <v>2.4799799999999999</v>
      </c>
      <c r="G82" s="1335" t="s">
        <v>3234</v>
      </c>
      <c r="H82" s="1363"/>
      <c r="I82" s="662">
        <f t="shared" si="1"/>
        <v>0</v>
      </c>
      <c r="J82" s="1354"/>
      <c r="K82" s="1160"/>
      <c r="L82" s="1354"/>
      <c r="M82" s="1160"/>
      <c r="N82" s="1354"/>
      <c r="O82" s="1160"/>
      <c r="P82" s="1354"/>
      <c r="Q82" s="1160"/>
      <c r="R82" s="1354"/>
      <c r="S82" s="1160"/>
      <c r="T82" s="1354"/>
      <c r="U82" s="1160"/>
      <c r="W82">
        <v>250</v>
      </c>
      <c r="X82" t="s">
        <v>3412</v>
      </c>
      <c r="Y82" t="s">
        <v>3413</v>
      </c>
      <c r="Z82" s="300">
        <v>413.33</v>
      </c>
      <c r="AA82" s="300" t="s">
        <v>48</v>
      </c>
      <c r="AB82" s="300">
        <v>62</v>
      </c>
      <c r="AC82" s="300" t="s">
        <v>3041</v>
      </c>
    </row>
    <row r="83" spans="1:29" hidden="1" outlineLevel="1">
      <c r="A83" s="1355"/>
      <c r="B83" s="667" t="str">
        <f t="shared" si="6"/>
        <v>W06X12  - 7'-0"</v>
      </c>
      <c r="C83" s="1331">
        <f t="shared" si="7"/>
        <v>1295</v>
      </c>
      <c r="D83" s="1332" t="s">
        <v>2864</v>
      </c>
      <c r="E83" s="1333">
        <v>12</v>
      </c>
      <c r="F83" s="1334">
        <f t="shared" si="8"/>
        <v>7.77</v>
      </c>
      <c r="G83" s="1335" t="s">
        <v>3234</v>
      </c>
      <c r="H83" s="1363"/>
      <c r="I83" s="662">
        <f t="shared" si="1"/>
        <v>0</v>
      </c>
      <c r="J83" s="1354"/>
      <c r="K83" s="1160"/>
      <c r="L83" s="1354"/>
      <c r="M83" s="1160"/>
      <c r="N83" s="1354"/>
      <c r="O83" s="1160"/>
      <c r="P83" s="1354"/>
      <c r="Q83" s="1160"/>
      <c r="R83" s="1354"/>
      <c r="S83" s="1160"/>
      <c r="T83" s="1354"/>
      <c r="U83" s="1160"/>
      <c r="W83">
        <v>153</v>
      </c>
      <c r="X83" t="s">
        <v>3414</v>
      </c>
      <c r="Y83" t="s">
        <v>3203</v>
      </c>
      <c r="Z83" s="300">
        <v>1295</v>
      </c>
      <c r="AA83" s="300" t="s">
        <v>48</v>
      </c>
      <c r="AB83" s="300">
        <v>185</v>
      </c>
      <c r="AC83" s="300" t="s">
        <v>3041</v>
      </c>
    </row>
    <row r="84" spans="1:29" hidden="1" outlineLevel="1">
      <c r="A84" s="1355"/>
      <c r="B84" s="667" t="str">
        <f t="shared" si="6"/>
        <v>W06X12  - 7'-6"</v>
      </c>
      <c r="C84" s="1331">
        <f t="shared" si="7"/>
        <v>157.5</v>
      </c>
      <c r="D84" s="1332" t="s">
        <v>2864</v>
      </c>
      <c r="E84" s="1333">
        <v>12</v>
      </c>
      <c r="F84" s="1334">
        <f t="shared" si="8"/>
        <v>0.94499999999999995</v>
      </c>
      <c r="G84" s="1335" t="s">
        <v>3234</v>
      </c>
      <c r="H84" s="1363"/>
      <c r="I84" s="662">
        <f t="shared" si="1"/>
        <v>0</v>
      </c>
      <c r="J84" s="1354"/>
      <c r="K84" s="1160"/>
      <c r="L84" s="1354"/>
      <c r="M84" s="1160"/>
      <c r="N84" s="1354"/>
      <c r="O84" s="1160"/>
      <c r="P84" s="1354"/>
      <c r="Q84" s="1160"/>
      <c r="R84" s="1354"/>
      <c r="S84" s="1160"/>
      <c r="T84" s="1354"/>
      <c r="U84" s="1160"/>
      <c r="W84">
        <v>192</v>
      </c>
      <c r="X84" t="s">
        <v>3415</v>
      </c>
      <c r="Y84" t="s">
        <v>3416</v>
      </c>
      <c r="Z84" s="300">
        <v>157.5</v>
      </c>
      <c r="AA84" s="300" t="s">
        <v>48</v>
      </c>
      <c r="AB84" s="300">
        <v>21</v>
      </c>
      <c r="AC84" s="300" t="s">
        <v>3041</v>
      </c>
    </row>
    <row r="85" spans="1:29" hidden="1" outlineLevel="1">
      <c r="A85" s="1355"/>
      <c r="B85" s="667" t="str">
        <f t="shared" si="6"/>
        <v>W06X12  - 9'-8"</v>
      </c>
      <c r="C85" s="1331">
        <f t="shared" si="7"/>
        <v>106.33</v>
      </c>
      <c r="D85" s="1332" t="s">
        <v>2864</v>
      </c>
      <c r="E85" s="1333">
        <v>12</v>
      </c>
      <c r="F85" s="1334">
        <f t="shared" si="8"/>
        <v>0.63797999999999999</v>
      </c>
      <c r="G85" s="1335" t="s">
        <v>3234</v>
      </c>
      <c r="H85" s="1363"/>
      <c r="I85" s="662">
        <f t="shared" si="1"/>
        <v>0</v>
      </c>
      <c r="J85" s="1354"/>
      <c r="K85" s="1160"/>
      <c r="L85" s="1354"/>
      <c r="M85" s="1160"/>
      <c r="N85" s="1354"/>
      <c r="O85" s="1160"/>
      <c r="P85" s="1354"/>
      <c r="Q85" s="1160"/>
      <c r="R85" s="1354"/>
      <c r="S85" s="1160"/>
      <c r="T85" s="1354"/>
      <c r="U85" s="1160"/>
      <c r="W85">
        <v>258</v>
      </c>
      <c r="X85" t="s">
        <v>3417</v>
      </c>
      <c r="Y85" t="s">
        <v>3388</v>
      </c>
      <c r="Z85" s="300">
        <v>106.33</v>
      </c>
      <c r="AA85" s="300" t="s">
        <v>48</v>
      </c>
      <c r="AB85" s="300">
        <v>11</v>
      </c>
      <c r="AC85" s="300" t="s">
        <v>3041</v>
      </c>
    </row>
    <row r="86" spans="1:29" hidden="1" outlineLevel="1">
      <c r="A86" s="1355"/>
      <c r="B86" s="667" t="str">
        <f t="shared" si="6"/>
        <v>W06X15  - 6'-6"</v>
      </c>
      <c r="C86" s="1331">
        <f t="shared" si="7"/>
        <v>208</v>
      </c>
      <c r="D86" s="1332" t="s">
        <v>2864</v>
      </c>
      <c r="E86" s="1333">
        <v>15</v>
      </c>
      <c r="F86" s="1334">
        <f t="shared" si="8"/>
        <v>1.56</v>
      </c>
      <c r="G86" s="1335" t="s">
        <v>3234</v>
      </c>
      <c r="H86" s="1363"/>
      <c r="I86" s="662">
        <f t="shared" si="1"/>
        <v>0</v>
      </c>
      <c r="J86" s="1354"/>
      <c r="K86" s="1160"/>
      <c r="L86" s="1354"/>
      <c r="M86" s="1160"/>
      <c r="N86" s="1354"/>
      <c r="O86" s="1160"/>
      <c r="P86" s="1354"/>
      <c r="Q86" s="1160"/>
      <c r="R86" s="1354"/>
      <c r="S86" s="1160"/>
      <c r="T86" s="1354"/>
      <c r="U86" s="1160"/>
      <c r="W86">
        <v>206</v>
      </c>
      <c r="X86" t="s">
        <v>3418</v>
      </c>
      <c r="Y86" t="s">
        <v>3411</v>
      </c>
      <c r="Z86" s="300">
        <v>208</v>
      </c>
      <c r="AA86" s="300" t="s">
        <v>48</v>
      </c>
      <c r="AB86" s="300">
        <v>32</v>
      </c>
      <c r="AC86" s="300" t="s">
        <v>3041</v>
      </c>
    </row>
    <row r="87" spans="1:29" hidden="1" outlineLevel="1">
      <c r="A87" s="1355"/>
      <c r="B87" s="667" t="str">
        <f t="shared" si="6"/>
        <v>W06X15  - 8'-4"</v>
      </c>
      <c r="C87" s="1331">
        <f t="shared" si="7"/>
        <v>291.67</v>
      </c>
      <c r="D87" s="1332" t="s">
        <v>2864</v>
      </c>
      <c r="E87" s="1333">
        <v>15</v>
      </c>
      <c r="F87" s="1334">
        <f t="shared" si="8"/>
        <v>2.1875249999999999</v>
      </c>
      <c r="G87" s="1335" t="s">
        <v>3234</v>
      </c>
      <c r="H87" s="1363"/>
      <c r="I87" s="662">
        <f t="shared" si="1"/>
        <v>0</v>
      </c>
      <c r="J87" s="1354"/>
      <c r="K87" s="1160"/>
      <c r="L87" s="1354"/>
      <c r="M87" s="1160"/>
      <c r="N87" s="1354"/>
      <c r="O87" s="1160"/>
      <c r="P87" s="1354"/>
      <c r="Q87" s="1160"/>
      <c r="R87" s="1354"/>
      <c r="S87" s="1160"/>
      <c r="T87" s="1354"/>
      <c r="U87" s="1160"/>
      <c r="W87">
        <v>205</v>
      </c>
      <c r="X87" t="s">
        <v>3419</v>
      </c>
      <c r="Y87" t="s">
        <v>3420</v>
      </c>
      <c r="Z87" s="300">
        <v>291.67</v>
      </c>
      <c r="AA87" s="300" t="s">
        <v>48</v>
      </c>
      <c r="AB87" s="300">
        <v>35</v>
      </c>
      <c r="AC87" s="300" t="s">
        <v>3041</v>
      </c>
    </row>
    <row r="88" spans="1:29" hidden="1" outlineLevel="1">
      <c r="A88" s="1355"/>
      <c r="B88" s="667" t="str">
        <f t="shared" si="6"/>
        <v>W06X20</v>
      </c>
      <c r="C88" s="1331">
        <f t="shared" si="7"/>
        <v>263</v>
      </c>
      <c r="D88" s="1332" t="s">
        <v>2864</v>
      </c>
      <c r="E88" s="1333">
        <v>20</v>
      </c>
      <c r="F88" s="1334">
        <f t="shared" si="8"/>
        <v>2.63</v>
      </c>
      <c r="G88" s="1335" t="s">
        <v>3234</v>
      </c>
      <c r="H88" s="1363"/>
      <c r="I88" s="662">
        <f t="shared" si="1"/>
        <v>0</v>
      </c>
      <c r="J88" s="1354"/>
      <c r="K88" s="1160"/>
      <c r="L88" s="1354"/>
      <c r="M88" s="1160"/>
      <c r="N88" s="1354"/>
      <c r="O88" s="1160"/>
      <c r="P88" s="1354"/>
      <c r="Q88" s="1160"/>
      <c r="R88" s="1354"/>
      <c r="S88" s="1160"/>
      <c r="T88" s="1354"/>
      <c r="U88" s="1160"/>
      <c r="W88">
        <v>193</v>
      </c>
      <c r="X88" t="s">
        <v>3421</v>
      </c>
      <c r="Y88" t="s">
        <v>3111</v>
      </c>
      <c r="Z88" s="300">
        <v>263</v>
      </c>
      <c r="AA88" s="300" t="s">
        <v>48</v>
      </c>
      <c r="AB88" t="s">
        <v>2795</v>
      </c>
    </row>
    <row r="89" spans="1:29" hidden="1" outlineLevel="1">
      <c r="A89" s="1355"/>
      <c r="B89" s="667" t="str">
        <f t="shared" si="6"/>
        <v>W06X25</v>
      </c>
      <c r="C89" s="1331">
        <f t="shared" si="7"/>
        <v>279</v>
      </c>
      <c r="D89" s="1332" t="s">
        <v>2864</v>
      </c>
      <c r="E89" s="1333">
        <v>25</v>
      </c>
      <c r="F89" s="1334">
        <f t="shared" si="8"/>
        <v>3.4874999999999998</v>
      </c>
      <c r="G89" s="1335" t="s">
        <v>3234</v>
      </c>
      <c r="H89" s="1363"/>
      <c r="I89" s="662">
        <f t="shared" si="1"/>
        <v>0</v>
      </c>
      <c r="J89" s="1354"/>
      <c r="K89" s="1160"/>
      <c r="L89" s="1354"/>
      <c r="M89" s="1160"/>
      <c r="N89" s="1354"/>
      <c r="O89" s="1160"/>
      <c r="P89" s="1354"/>
      <c r="Q89" s="1160"/>
      <c r="R89" s="1354"/>
      <c r="S89" s="1160"/>
      <c r="T89" s="1354"/>
      <c r="U89" s="1160"/>
      <c r="W89">
        <v>156</v>
      </c>
      <c r="X89" t="s">
        <v>3422</v>
      </c>
      <c r="Y89" t="s">
        <v>3111</v>
      </c>
      <c r="Z89" s="300">
        <v>279</v>
      </c>
      <c r="AA89" s="300" t="s">
        <v>48</v>
      </c>
      <c r="AB89" t="s">
        <v>2795</v>
      </c>
    </row>
    <row r="90" spans="1:29" hidden="1" outlineLevel="1">
      <c r="A90" s="1355"/>
      <c r="B90" s="667" t="str">
        <f t="shared" si="6"/>
        <v>W06X31</v>
      </c>
      <c r="C90" s="1331">
        <f t="shared" si="7"/>
        <v>26</v>
      </c>
      <c r="D90" s="1332" t="s">
        <v>2864</v>
      </c>
      <c r="E90" s="1333">
        <v>31</v>
      </c>
      <c r="F90" s="1334">
        <f t="shared" si="8"/>
        <v>0.40300000000000002</v>
      </c>
      <c r="G90" s="1335" t="s">
        <v>3234</v>
      </c>
      <c r="H90" s="1363"/>
      <c r="I90" s="662">
        <f t="shared" si="1"/>
        <v>0</v>
      </c>
      <c r="J90" s="1354"/>
      <c r="K90" s="1160"/>
      <c r="L90" s="1354"/>
      <c r="M90" s="1160"/>
      <c r="N90" s="1354"/>
      <c r="O90" s="1160"/>
      <c r="P90" s="1354"/>
      <c r="Q90" s="1160"/>
      <c r="R90" s="1354"/>
      <c r="S90" s="1160"/>
      <c r="T90" s="1354"/>
      <c r="U90" s="1160"/>
      <c r="W90">
        <v>220</v>
      </c>
      <c r="X90" t="s">
        <v>3423</v>
      </c>
      <c r="Y90" t="s">
        <v>3111</v>
      </c>
      <c r="Z90" s="300">
        <v>26</v>
      </c>
      <c r="AA90" s="300" t="s">
        <v>48</v>
      </c>
      <c r="AB90" t="s">
        <v>2795</v>
      </c>
    </row>
    <row r="91" spans="1:29" hidden="1" outlineLevel="1">
      <c r="A91" s="1355"/>
      <c r="B91" s="667" t="str">
        <f t="shared" si="6"/>
        <v>W08X10</v>
      </c>
      <c r="C91" s="1331">
        <f t="shared" si="7"/>
        <v>244</v>
      </c>
      <c r="D91" s="1332" t="s">
        <v>2864</v>
      </c>
      <c r="E91" s="1333">
        <v>10</v>
      </c>
      <c r="F91" s="1334">
        <f t="shared" si="8"/>
        <v>1.22</v>
      </c>
      <c r="G91" s="1335" t="s">
        <v>3234</v>
      </c>
      <c r="H91" s="1363"/>
      <c r="I91" s="662">
        <f t="shared" si="1"/>
        <v>0</v>
      </c>
      <c r="J91" s="1354"/>
      <c r="K91" s="1160"/>
      <c r="L91" s="1354"/>
      <c r="M91" s="1160"/>
      <c r="N91" s="1354"/>
      <c r="O91" s="1160"/>
      <c r="P91" s="1354"/>
      <c r="Q91" s="1160"/>
      <c r="R91" s="1354"/>
      <c r="S91" s="1160"/>
      <c r="T91" s="1354"/>
      <c r="U91" s="1160"/>
      <c r="W91">
        <v>148</v>
      </c>
      <c r="X91" t="s">
        <v>3424</v>
      </c>
      <c r="Y91" t="s">
        <v>3111</v>
      </c>
      <c r="Z91" s="300">
        <v>244</v>
      </c>
      <c r="AA91" s="300" t="s">
        <v>48</v>
      </c>
      <c r="AB91" t="s">
        <v>2795</v>
      </c>
    </row>
    <row r="92" spans="1:29" hidden="1" outlineLevel="1">
      <c r="A92" s="1355"/>
      <c r="B92" s="667" t="str">
        <f t="shared" si="6"/>
        <v>W08X13</v>
      </c>
      <c r="C92" s="1331">
        <f t="shared" si="7"/>
        <v>246</v>
      </c>
      <c r="D92" s="1332" t="s">
        <v>2864</v>
      </c>
      <c r="E92" s="1333">
        <v>13</v>
      </c>
      <c r="F92" s="1334">
        <f t="shared" si="8"/>
        <v>1.599</v>
      </c>
      <c r="G92" s="1335" t="s">
        <v>3234</v>
      </c>
      <c r="H92" s="1363"/>
      <c r="I92" s="662">
        <f t="shared" si="1"/>
        <v>0</v>
      </c>
      <c r="J92" s="1354"/>
      <c r="K92" s="1160"/>
      <c r="L92" s="1354"/>
      <c r="M92" s="1160"/>
      <c r="N92" s="1354"/>
      <c r="O92" s="1160"/>
      <c r="P92" s="1354"/>
      <c r="Q92" s="1160"/>
      <c r="R92" s="1354"/>
      <c r="S92" s="1160"/>
      <c r="T92" s="1354"/>
      <c r="U92" s="1160"/>
      <c r="W92">
        <v>169</v>
      </c>
      <c r="X92" t="s">
        <v>3425</v>
      </c>
      <c r="Y92" t="s">
        <v>3111</v>
      </c>
      <c r="Z92" s="300">
        <v>246</v>
      </c>
      <c r="AA92" s="300" t="s">
        <v>48</v>
      </c>
      <c r="AB92" t="s">
        <v>2795</v>
      </c>
    </row>
    <row r="93" spans="1:29" hidden="1" outlineLevel="1">
      <c r="A93" s="1355"/>
      <c r="B93" s="667" t="str">
        <f t="shared" si="6"/>
        <v>W08X15</v>
      </c>
      <c r="C93" s="1331">
        <f t="shared" si="7"/>
        <v>57</v>
      </c>
      <c r="D93" s="1332" t="s">
        <v>2864</v>
      </c>
      <c r="E93" s="1333">
        <v>15</v>
      </c>
      <c r="F93" s="1334">
        <f t="shared" si="8"/>
        <v>0.42749999999999999</v>
      </c>
      <c r="G93" s="1335" t="s">
        <v>3234</v>
      </c>
      <c r="H93" s="1363"/>
      <c r="I93" s="662">
        <f t="shared" si="1"/>
        <v>0</v>
      </c>
      <c r="J93" s="1354"/>
      <c r="K93" s="1160"/>
      <c r="L93" s="1354"/>
      <c r="M93" s="1160"/>
      <c r="N93" s="1354"/>
      <c r="O93" s="1160"/>
      <c r="P93" s="1354"/>
      <c r="Q93" s="1160"/>
      <c r="R93" s="1354"/>
      <c r="S93" s="1160"/>
      <c r="T93" s="1354"/>
      <c r="U93" s="1160"/>
      <c r="W93">
        <v>201</v>
      </c>
      <c r="X93" t="s">
        <v>3426</v>
      </c>
      <c r="Y93" t="s">
        <v>3111</v>
      </c>
      <c r="Z93" s="300">
        <v>57</v>
      </c>
      <c r="AA93" s="300" t="s">
        <v>48</v>
      </c>
      <c r="AB93" t="s">
        <v>2795</v>
      </c>
    </row>
    <row r="94" spans="1:29" hidden="1" outlineLevel="1">
      <c r="A94" s="1355"/>
      <c r="B94" s="667" t="str">
        <f t="shared" si="6"/>
        <v>W08X18</v>
      </c>
      <c r="C94" s="1331">
        <f t="shared" si="7"/>
        <v>38</v>
      </c>
      <c r="D94" s="1332" t="s">
        <v>2864</v>
      </c>
      <c r="E94" s="1333">
        <v>18</v>
      </c>
      <c r="F94" s="1334">
        <f t="shared" si="8"/>
        <v>0.34200000000000003</v>
      </c>
      <c r="G94" s="1335" t="s">
        <v>3234</v>
      </c>
      <c r="H94" s="1363"/>
      <c r="I94" s="662">
        <f t="shared" ref="I94:I157" si="9">ROUND(F94*H94,0)</f>
        <v>0</v>
      </c>
      <c r="J94" s="1354"/>
      <c r="K94" s="1160"/>
      <c r="L94" s="1354"/>
      <c r="M94" s="1160"/>
      <c r="N94" s="1354"/>
      <c r="O94" s="1160"/>
      <c r="P94" s="1354"/>
      <c r="Q94" s="1160"/>
      <c r="R94" s="1354"/>
      <c r="S94" s="1160"/>
      <c r="T94" s="1354"/>
      <c r="U94" s="1160"/>
      <c r="W94">
        <v>210</v>
      </c>
      <c r="X94" t="s">
        <v>3427</v>
      </c>
      <c r="Y94" t="s">
        <v>3111</v>
      </c>
      <c r="Z94" s="300">
        <v>38</v>
      </c>
      <c r="AA94" s="300" t="s">
        <v>48</v>
      </c>
      <c r="AB94" t="s">
        <v>2795</v>
      </c>
    </row>
    <row r="95" spans="1:29" hidden="1" outlineLevel="1">
      <c r="A95" s="1355"/>
      <c r="B95" s="667" t="str">
        <f t="shared" si="6"/>
        <v>W08X24</v>
      </c>
      <c r="C95" s="1331">
        <f t="shared" si="7"/>
        <v>288</v>
      </c>
      <c r="D95" s="1332" t="s">
        <v>2864</v>
      </c>
      <c r="E95" s="1333">
        <v>24</v>
      </c>
      <c r="F95" s="1334">
        <f t="shared" si="8"/>
        <v>3.456</v>
      </c>
      <c r="G95" s="1335" t="s">
        <v>3234</v>
      </c>
      <c r="H95" s="1363"/>
      <c r="I95" s="662">
        <f t="shared" si="9"/>
        <v>0</v>
      </c>
      <c r="J95" s="1354"/>
      <c r="K95" s="1160"/>
      <c r="L95" s="1354"/>
      <c r="M95" s="1160"/>
      <c r="N95" s="1354"/>
      <c r="O95" s="1160"/>
      <c r="P95" s="1354"/>
      <c r="Q95" s="1160"/>
      <c r="R95" s="1354"/>
      <c r="S95" s="1160"/>
      <c r="T95" s="1354"/>
      <c r="U95" s="1160"/>
      <c r="W95">
        <v>248</v>
      </c>
      <c r="X95" t="s">
        <v>3428</v>
      </c>
      <c r="Y95" t="s">
        <v>3388</v>
      </c>
      <c r="Z95" s="300">
        <v>288</v>
      </c>
      <c r="AA95" s="300" t="s">
        <v>48</v>
      </c>
      <c r="AB95" t="s">
        <v>2795</v>
      </c>
    </row>
    <row r="96" spans="1:29" hidden="1" outlineLevel="1">
      <c r="A96" s="1355"/>
      <c r="B96" s="667" t="str">
        <f t="shared" si="6"/>
        <v>W08X24  - 9'-8"</v>
      </c>
      <c r="C96" s="1331">
        <f t="shared" si="7"/>
        <v>154.66999999999999</v>
      </c>
      <c r="D96" s="1332" t="s">
        <v>2864</v>
      </c>
      <c r="E96" s="1333">
        <v>24</v>
      </c>
      <c r="F96" s="1334">
        <f t="shared" si="8"/>
        <v>1.8560399999999999</v>
      </c>
      <c r="G96" s="1335" t="s">
        <v>3234</v>
      </c>
      <c r="H96" s="1363"/>
      <c r="I96" s="662">
        <f t="shared" si="9"/>
        <v>0</v>
      </c>
      <c r="J96" s="1354"/>
      <c r="K96" s="1160"/>
      <c r="L96" s="1354"/>
      <c r="M96" s="1160"/>
      <c r="N96" s="1354"/>
      <c r="O96" s="1160"/>
      <c r="P96" s="1354"/>
      <c r="Q96" s="1160"/>
      <c r="R96" s="1354"/>
      <c r="S96" s="1160"/>
      <c r="T96" s="1354"/>
      <c r="U96" s="1160"/>
      <c r="W96">
        <v>219</v>
      </c>
      <c r="X96" t="s">
        <v>3429</v>
      </c>
      <c r="Y96" t="s">
        <v>3388</v>
      </c>
      <c r="Z96" s="300">
        <v>154.66999999999999</v>
      </c>
      <c r="AA96" s="300" t="s">
        <v>48</v>
      </c>
      <c r="AB96" s="300">
        <v>16</v>
      </c>
      <c r="AC96" s="300" t="s">
        <v>3041</v>
      </c>
    </row>
    <row r="97" spans="1:30" hidden="1" outlineLevel="1">
      <c r="A97" s="1355"/>
      <c r="B97" s="667" t="str">
        <f t="shared" si="6"/>
        <v>W08X31</v>
      </c>
      <c r="C97" s="1331">
        <f t="shared" si="7"/>
        <v>47</v>
      </c>
      <c r="D97" s="1332" t="s">
        <v>2864</v>
      </c>
      <c r="E97" s="1333">
        <v>31</v>
      </c>
      <c r="F97" s="1334">
        <f t="shared" si="8"/>
        <v>0.72850000000000004</v>
      </c>
      <c r="G97" s="1335" t="s">
        <v>3234</v>
      </c>
      <c r="H97" s="1363"/>
      <c r="I97" s="662">
        <f t="shared" si="9"/>
        <v>0</v>
      </c>
      <c r="J97" s="1354"/>
      <c r="K97" s="1160"/>
      <c r="L97" s="1354"/>
      <c r="M97" s="1160"/>
      <c r="N97" s="1354"/>
      <c r="O97" s="1160"/>
      <c r="P97" s="1354"/>
      <c r="Q97" s="1160"/>
      <c r="R97" s="1354"/>
      <c r="S97" s="1160"/>
      <c r="T97" s="1354"/>
      <c r="U97" s="1160"/>
      <c r="W97">
        <v>170</v>
      </c>
      <c r="X97" t="s">
        <v>3430</v>
      </c>
      <c r="Y97" t="s">
        <v>3111</v>
      </c>
      <c r="Z97" s="300">
        <v>47</v>
      </c>
      <c r="AA97" s="300" t="s">
        <v>48</v>
      </c>
      <c r="AB97" t="s">
        <v>2795</v>
      </c>
    </row>
    <row r="98" spans="1:30" hidden="1" outlineLevel="1">
      <c r="A98" s="1355"/>
      <c r="B98" s="667" t="str">
        <f t="shared" si="6"/>
        <v>W08X40</v>
      </c>
      <c r="C98" s="1331">
        <f t="shared" si="7"/>
        <v>164</v>
      </c>
      <c r="D98" s="1332" t="s">
        <v>2864</v>
      </c>
      <c r="E98" s="1333">
        <v>40</v>
      </c>
      <c r="F98" s="1334">
        <f t="shared" si="8"/>
        <v>3.28</v>
      </c>
      <c r="G98" s="1335" t="s">
        <v>3234</v>
      </c>
      <c r="H98" s="1363"/>
      <c r="I98" s="662">
        <f t="shared" si="9"/>
        <v>0</v>
      </c>
      <c r="J98" s="1354"/>
      <c r="K98" s="1160"/>
      <c r="L98" s="1354"/>
      <c r="M98" s="1160"/>
      <c r="N98" s="1354"/>
      <c r="O98" s="1160"/>
      <c r="P98" s="1354"/>
      <c r="Q98" s="1160"/>
      <c r="R98" s="1354"/>
      <c r="S98" s="1160"/>
      <c r="T98" s="1354"/>
      <c r="U98" s="1160"/>
      <c r="W98">
        <v>180</v>
      </c>
      <c r="X98" t="s">
        <v>3431</v>
      </c>
      <c r="Y98" t="s">
        <v>3111</v>
      </c>
      <c r="Z98" s="300">
        <v>164</v>
      </c>
      <c r="AA98" s="300" t="s">
        <v>48</v>
      </c>
      <c r="AB98" t="s">
        <v>2795</v>
      </c>
    </row>
    <row r="99" spans="1:30" hidden="1" outlineLevel="1">
      <c r="A99" s="1355"/>
      <c r="B99" s="667" t="str">
        <f t="shared" si="6"/>
        <v>W08X48</v>
      </c>
      <c r="C99" s="1331">
        <f t="shared" si="7"/>
        <v>18</v>
      </c>
      <c r="D99" s="1332" t="s">
        <v>2864</v>
      </c>
      <c r="E99" s="1333">
        <v>48</v>
      </c>
      <c r="F99" s="1334">
        <f t="shared" si="8"/>
        <v>0.432</v>
      </c>
      <c r="G99" s="1335" t="s">
        <v>3234</v>
      </c>
      <c r="H99" s="1363"/>
      <c r="I99" s="662">
        <f t="shared" si="9"/>
        <v>0</v>
      </c>
      <c r="J99" s="1354"/>
      <c r="K99" s="1160"/>
      <c r="L99" s="1354"/>
      <c r="M99" s="1160"/>
      <c r="N99" s="1354"/>
      <c r="O99" s="1160"/>
      <c r="P99" s="1354"/>
      <c r="Q99" s="1160"/>
      <c r="R99" s="1354"/>
      <c r="S99" s="1160"/>
      <c r="T99" s="1354"/>
      <c r="U99" s="1160"/>
      <c r="W99">
        <v>262</v>
      </c>
      <c r="X99" t="s">
        <v>3432</v>
      </c>
      <c r="Y99" t="s">
        <v>3111</v>
      </c>
      <c r="Z99" s="300">
        <v>18</v>
      </c>
      <c r="AA99" s="300" t="s">
        <v>48</v>
      </c>
      <c r="AB99" t="s">
        <v>2795</v>
      </c>
    </row>
    <row r="100" spans="1:30" hidden="1" outlineLevel="1">
      <c r="A100" s="1355"/>
      <c r="B100" s="667" t="str">
        <f t="shared" si="6"/>
        <v>W08X67</v>
      </c>
      <c r="C100" s="1331">
        <f t="shared" si="7"/>
        <v>1086</v>
      </c>
      <c r="D100" s="1332" t="s">
        <v>2864</v>
      </c>
      <c r="E100" s="1333">
        <v>67</v>
      </c>
      <c r="F100" s="1334">
        <f t="shared" si="8"/>
        <v>36.381</v>
      </c>
      <c r="G100" s="1335" t="s">
        <v>3234</v>
      </c>
      <c r="H100" s="1363"/>
      <c r="I100" s="662">
        <f t="shared" si="9"/>
        <v>0</v>
      </c>
      <c r="J100" s="1354"/>
      <c r="K100" s="1160"/>
      <c r="L100" s="1354"/>
      <c r="M100" s="1160"/>
      <c r="N100" s="1354"/>
      <c r="O100" s="1160"/>
      <c r="P100" s="1354"/>
      <c r="Q100" s="1160"/>
      <c r="R100" s="1354"/>
      <c r="S100" s="1160"/>
      <c r="T100" s="1354"/>
      <c r="U100" s="1160"/>
      <c r="W100">
        <v>181</v>
      </c>
      <c r="X100" t="s">
        <v>3433</v>
      </c>
      <c r="Y100" t="s">
        <v>3111</v>
      </c>
      <c r="Z100" s="300">
        <v>1086</v>
      </c>
      <c r="AA100" s="300" t="s">
        <v>48</v>
      </c>
      <c r="AB100" t="s">
        <v>2795</v>
      </c>
    </row>
    <row r="101" spans="1:30" hidden="1" outlineLevel="1">
      <c r="A101" s="1355"/>
      <c r="B101" s="667" t="str">
        <f t="shared" si="6"/>
        <v>W10X15</v>
      </c>
      <c r="C101" s="1331">
        <f t="shared" si="7"/>
        <v>440</v>
      </c>
      <c r="D101" s="1332" t="s">
        <v>2864</v>
      </c>
      <c r="E101" s="1333">
        <v>15</v>
      </c>
      <c r="F101" s="1334">
        <f t="shared" si="8"/>
        <v>3.3</v>
      </c>
      <c r="G101" s="1335" t="s">
        <v>3234</v>
      </c>
      <c r="H101" s="1363"/>
      <c r="I101" s="662">
        <f t="shared" si="9"/>
        <v>0</v>
      </c>
      <c r="J101" s="1354"/>
      <c r="K101" s="1160"/>
      <c r="L101" s="1354"/>
      <c r="M101" s="1160"/>
      <c r="N101" s="1354"/>
      <c r="O101" s="1160"/>
      <c r="P101" s="1354"/>
      <c r="Q101" s="1160"/>
      <c r="R101" s="1354"/>
      <c r="S101" s="1160"/>
      <c r="T101" s="1354"/>
      <c r="U101" s="1160"/>
      <c r="W101">
        <v>175</v>
      </c>
      <c r="X101" t="s">
        <v>3434</v>
      </c>
      <c r="Y101" t="s">
        <v>3111</v>
      </c>
      <c r="Z101" s="300">
        <v>440</v>
      </c>
      <c r="AA101" s="300" t="s">
        <v>48</v>
      </c>
      <c r="AB101" t="s">
        <v>2795</v>
      </c>
    </row>
    <row r="102" spans="1:30" hidden="1" outlineLevel="1">
      <c r="A102" s="1355"/>
      <c r="B102" s="667" t="str">
        <f t="shared" si="6"/>
        <v>W10X54</v>
      </c>
      <c r="C102" s="1331">
        <f t="shared" si="7"/>
        <v>93</v>
      </c>
      <c r="D102" s="1332" t="s">
        <v>2864</v>
      </c>
      <c r="E102" s="1333">
        <v>54</v>
      </c>
      <c r="F102" s="1334">
        <f t="shared" si="8"/>
        <v>2.5110000000000001</v>
      </c>
      <c r="G102" s="1335" t="s">
        <v>3234</v>
      </c>
      <c r="H102" s="1363"/>
      <c r="I102" s="662">
        <f t="shared" si="9"/>
        <v>0</v>
      </c>
      <c r="J102" s="1354"/>
      <c r="K102" s="1160"/>
      <c r="L102" s="1354"/>
      <c r="M102" s="1160"/>
      <c r="N102" s="1354"/>
      <c r="O102" s="1160"/>
      <c r="P102" s="1354"/>
      <c r="Q102" s="1160"/>
      <c r="R102" s="1354"/>
      <c r="S102" s="1160"/>
      <c r="T102" s="1354"/>
      <c r="U102" s="1160"/>
      <c r="X102" t="s">
        <v>3435</v>
      </c>
      <c r="Y102" t="s">
        <v>3111</v>
      </c>
      <c r="Z102" s="300">
        <v>93</v>
      </c>
      <c r="AA102" s="300" t="s">
        <v>48</v>
      </c>
      <c r="AB102">
        <v>7</v>
      </c>
      <c r="AC102" t="s">
        <v>3041</v>
      </c>
    </row>
    <row r="103" spans="1:30" hidden="1" outlineLevel="1">
      <c r="A103" s="1355"/>
      <c r="B103" s="667" t="str">
        <f t="shared" si="6"/>
        <v>W12X16</v>
      </c>
      <c r="C103" s="1331">
        <f t="shared" si="7"/>
        <v>348</v>
      </c>
      <c r="D103" s="1332" t="s">
        <v>2864</v>
      </c>
      <c r="E103" s="1333">
        <v>16</v>
      </c>
      <c r="F103" s="1334">
        <f t="shared" si="8"/>
        <v>2.7839999999999998</v>
      </c>
      <c r="G103" s="1335" t="s">
        <v>3234</v>
      </c>
      <c r="H103" s="1363"/>
      <c r="I103" s="662">
        <f t="shared" si="9"/>
        <v>0</v>
      </c>
      <c r="J103" s="1354"/>
      <c r="K103" s="1160"/>
      <c r="L103" s="1354"/>
      <c r="M103" s="1160"/>
      <c r="N103" s="1354"/>
      <c r="O103" s="1160"/>
      <c r="P103" s="1354"/>
      <c r="Q103" s="1160"/>
      <c r="R103" s="1354"/>
      <c r="S103" s="1160"/>
      <c r="T103" s="1354"/>
      <c r="U103" s="1160"/>
      <c r="W103">
        <v>160</v>
      </c>
      <c r="X103" t="s">
        <v>3436</v>
      </c>
      <c r="Y103" t="s">
        <v>3111</v>
      </c>
      <c r="Z103" s="300">
        <v>348</v>
      </c>
      <c r="AA103" s="300" t="s">
        <v>48</v>
      </c>
      <c r="AB103" t="s">
        <v>2795</v>
      </c>
    </row>
    <row r="104" spans="1:30" hidden="1" outlineLevel="1">
      <c r="A104" s="1355"/>
      <c r="B104" s="667" t="str">
        <f t="shared" si="6"/>
        <v>W12X22</v>
      </c>
      <c r="C104" s="1331">
        <f t="shared" si="7"/>
        <v>521</v>
      </c>
      <c r="D104" s="1332" t="s">
        <v>2864</v>
      </c>
      <c r="E104" s="1333">
        <v>22</v>
      </c>
      <c r="F104" s="1334">
        <f t="shared" si="8"/>
        <v>5.7309999999999999</v>
      </c>
      <c r="G104" s="1335" t="s">
        <v>3234</v>
      </c>
      <c r="H104" s="1363"/>
      <c r="I104" s="662">
        <f t="shared" si="9"/>
        <v>0</v>
      </c>
      <c r="J104" s="1354"/>
      <c r="K104" s="1160"/>
      <c r="L104" s="1354"/>
      <c r="M104" s="1160"/>
      <c r="N104" s="1354"/>
      <c r="O104" s="1160"/>
      <c r="P104" s="1354"/>
      <c r="Q104" s="1160"/>
      <c r="R104" s="1354"/>
      <c r="S104" s="1160"/>
      <c r="T104" s="1354"/>
      <c r="U104" s="1160"/>
      <c r="W104">
        <v>162</v>
      </c>
      <c r="X104" t="s">
        <v>3437</v>
      </c>
      <c r="Y104" t="s">
        <v>3111</v>
      </c>
      <c r="Z104" s="300">
        <v>521</v>
      </c>
      <c r="AA104" s="300" t="s">
        <v>48</v>
      </c>
      <c r="AB104" t="s">
        <v>2795</v>
      </c>
    </row>
    <row r="105" spans="1:30" hidden="1" outlineLevel="1">
      <c r="A105" s="1355"/>
      <c r="B105" s="667" t="str">
        <f t="shared" si="6"/>
        <v>W12X26</v>
      </c>
      <c r="C105" s="1331">
        <f t="shared" si="7"/>
        <v>802</v>
      </c>
      <c r="D105" s="1332" t="s">
        <v>2864</v>
      </c>
      <c r="E105" s="1333">
        <v>26</v>
      </c>
      <c r="F105" s="1334">
        <f t="shared" si="8"/>
        <v>10.426</v>
      </c>
      <c r="G105" s="1335" t="s">
        <v>3234</v>
      </c>
      <c r="H105" s="1363"/>
      <c r="I105" s="662">
        <f t="shared" si="9"/>
        <v>0</v>
      </c>
      <c r="J105" s="1354"/>
      <c r="K105" s="1160"/>
      <c r="L105" s="1354"/>
      <c r="M105" s="1160"/>
      <c r="N105" s="1354"/>
      <c r="O105" s="1160"/>
      <c r="P105" s="1354"/>
      <c r="Q105" s="1160"/>
      <c r="R105" s="1354"/>
      <c r="S105" s="1160"/>
      <c r="T105" s="1354"/>
      <c r="U105" s="1160"/>
      <c r="W105">
        <v>147</v>
      </c>
      <c r="X105" t="s">
        <v>3438</v>
      </c>
      <c r="Y105" t="s">
        <v>3111</v>
      </c>
      <c r="Z105" s="300">
        <v>802</v>
      </c>
      <c r="AA105" s="300" t="s">
        <v>48</v>
      </c>
      <c r="AB105" t="s">
        <v>2795</v>
      </c>
    </row>
    <row r="106" spans="1:30" hidden="1" outlineLevel="1">
      <c r="A106" s="1355"/>
      <c r="B106" s="667" t="str">
        <f t="shared" si="6"/>
        <v>W12X30</v>
      </c>
      <c r="C106" s="1331">
        <f t="shared" si="7"/>
        <v>396</v>
      </c>
      <c r="D106" s="1332" t="s">
        <v>2864</v>
      </c>
      <c r="E106" s="1333">
        <v>30</v>
      </c>
      <c r="F106" s="1334">
        <f t="shared" si="8"/>
        <v>5.94</v>
      </c>
      <c r="G106" s="1335" t="s">
        <v>3234</v>
      </c>
      <c r="H106" s="1363"/>
      <c r="I106" s="662">
        <f t="shared" si="9"/>
        <v>0</v>
      </c>
      <c r="J106" s="1354"/>
      <c r="K106" s="1160"/>
      <c r="L106" s="1354"/>
      <c r="M106" s="1160"/>
      <c r="N106" s="1354"/>
      <c r="O106" s="1160"/>
      <c r="P106" s="1354"/>
      <c r="Q106" s="1160"/>
      <c r="R106" s="1354"/>
      <c r="S106" s="1160"/>
      <c r="T106" s="1354"/>
      <c r="U106" s="1160"/>
      <c r="W106">
        <v>253</v>
      </c>
      <c r="X106" t="s">
        <v>3439</v>
      </c>
      <c r="Y106" t="s">
        <v>3111</v>
      </c>
      <c r="Z106" s="300">
        <v>396</v>
      </c>
      <c r="AA106" s="300" t="s">
        <v>48</v>
      </c>
      <c r="AB106" t="s">
        <v>2795</v>
      </c>
    </row>
    <row r="107" spans="1:30" hidden="1" outlineLevel="1">
      <c r="A107" s="1355"/>
      <c r="B107" s="667" t="str">
        <f t="shared" si="6"/>
        <v>W12X35</v>
      </c>
      <c r="C107" s="1331">
        <f t="shared" si="7"/>
        <v>956</v>
      </c>
      <c r="D107" s="1332" t="s">
        <v>2864</v>
      </c>
      <c r="E107" s="1333">
        <v>35</v>
      </c>
      <c r="F107" s="1334">
        <f t="shared" si="8"/>
        <v>16.73</v>
      </c>
      <c r="G107" s="1335" t="s">
        <v>3234</v>
      </c>
      <c r="H107" s="1363"/>
      <c r="I107" s="662">
        <f t="shared" si="9"/>
        <v>0</v>
      </c>
      <c r="J107" s="1354"/>
      <c r="K107" s="1160"/>
      <c r="L107" s="1354"/>
      <c r="M107" s="1160"/>
      <c r="N107" s="1354"/>
      <c r="O107" s="1160"/>
      <c r="P107" s="1354"/>
      <c r="Q107" s="1160"/>
      <c r="R107" s="1354"/>
      <c r="S107" s="1160"/>
      <c r="T107" s="1354"/>
      <c r="U107" s="1160"/>
      <c r="W107">
        <v>176</v>
      </c>
      <c r="X107" t="s">
        <v>3440</v>
      </c>
      <c r="Y107" t="s">
        <v>3111</v>
      </c>
      <c r="Z107" s="300">
        <v>956</v>
      </c>
      <c r="AA107" s="300" t="s">
        <v>48</v>
      </c>
      <c r="AB107" t="s">
        <v>2795</v>
      </c>
    </row>
    <row r="108" spans="1:30" hidden="1" outlineLevel="1">
      <c r="A108" s="1355"/>
      <c r="B108" s="667" t="str">
        <f t="shared" si="6"/>
        <v>W12X45</v>
      </c>
      <c r="C108" s="1331">
        <f t="shared" si="7"/>
        <v>71</v>
      </c>
      <c r="D108" s="1332" t="s">
        <v>2864</v>
      </c>
      <c r="E108" s="1333">
        <v>45</v>
      </c>
      <c r="F108" s="1334">
        <f t="shared" si="8"/>
        <v>1.5974999999999999</v>
      </c>
      <c r="G108" s="1335" t="s">
        <v>3234</v>
      </c>
      <c r="H108" s="1363"/>
      <c r="I108" s="662">
        <f t="shared" si="9"/>
        <v>0</v>
      </c>
      <c r="J108" s="1354"/>
      <c r="K108" s="1160"/>
      <c r="L108" s="1354"/>
      <c r="M108" s="1160"/>
      <c r="N108" s="1354"/>
      <c r="O108" s="1160"/>
      <c r="P108" s="1354"/>
      <c r="Q108" s="1160"/>
      <c r="R108" s="1354"/>
      <c r="S108" s="1160"/>
      <c r="T108" s="1354"/>
      <c r="U108" s="1160"/>
      <c r="W108">
        <v>257</v>
      </c>
      <c r="X108" t="s">
        <v>3441</v>
      </c>
      <c r="Y108" t="s">
        <v>3111</v>
      </c>
      <c r="Z108" s="300">
        <v>71</v>
      </c>
      <c r="AA108" s="300" t="s">
        <v>48</v>
      </c>
      <c r="AB108" t="s">
        <v>2795</v>
      </c>
    </row>
    <row r="109" spans="1:30" hidden="1" outlineLevel="1">
      <c r="A109" s="1355"/>
      <c r="B109" s="667" t="str">
        <f t="shared" si="6"/>
        <v>W12X50</v>
      </c>
      <c r="C109" s="1331">
        <f t="shared" si="7"/>
        <v>272</v>
      </c>
      <c r="D109" s="1332" t="s">
        <v>2864</v>
      </c>
      <c r="E109" s="1333">
        <v>50</v>
      </c>
      <c r="F109" s="1334">
        <f t="shared" si="8"/>
        <v>6.8</v>
      </c>
      <c r="G109" s="1335" t="s">
        <v>3234</v>
      </c>
      <c r="H109" s="1363"/>
      <c r="I109" s="662">
        <f t="shared" si="9"/>
        <v>0</v>
      </c>
      <c r="J109" s="1354"/>
      <c r="K109" s="1160"/>
      <c r="L109" s="1354"/>
      <c r="M109" s="1160"/>
      <c r="N109" s="1354"/>
      <c r="O109" s="1160"/>
      <c r="P109" s="1354"/>
      <c r="Q109" s="1160"/>
      <c r="R109" s="1354"/>
      <c r="S109" s="1160"/>
      <c r="T109" s="1354"/>
      <c r="U109" s="1160"/>
      <c r="W109">
        <v>197</v>
      </c>
      <c r="X109" t="s">
        <v>3442</v>
      </c>
      <c r="Y109" t="s">
        <v>3111</v>
      </c>
      <c r="Z109" s="300">
        <v>272</v>
      </c>
      <c r="AA109" s="300" t="s">
        <v>48</v>
      </c>
      <c r="AB109" t="s">
        <v>2795</v>
      </c>
    </row>
    <row r="110" spans="1:30" hidden="1" outlineLevel="1">
      <c r="A110" s="1355"/>
      <c r="B110" s="667" t="str">
        <f t="shared" si="6"/>
        <v>W12X65</v>
      </c>
      <c r="C110" s="1331">
        <f t="shared" si="7"/>
        <v>250</v>
      </c>
      <c r="D110" s="1332" t="s">
        <v>2864</v>
      </c>
      <c r="E110" s="1333">
        <v>65</v>
      </c>
      <c r="F110" s="1334">
        <f t="shared" si="8"/>
        <v>8.125</v>
      </c>
      <c r="G110" s="1335" t="s">
        <v>3234</v>
      </c>
      <c r="H110" s="1363"/>
      <c r="I110" s="662">
        <f t="shared" si="9"/>
        <v>0</v>
      </c>
      <c r="J110" s="1354"/>
      <c r="K110" s="1160"/>
      <c r="L110" s="1354"/>
      <c r="M110" s="1160"/>
      <c r="N110" s="1354"/>
      <c r="O110" s="1160"/>
      <c r="P110" s="1354"/>
      <c r="Q110" s="1160"/>
      <c r="R110" s="1354"/>
      <c r="S110" s="1160"/>
      <c r="T110" s="1354"/>
      <c r="U110" s="1160"/>
      <c r="W110">
        <v>243</v>
      </c>
      <c r="X110" t="s">
        <v>3443</v>
      </c>
      <c r="Y110" t="s">
        <v>3111</v>
      </c>
      <c r="Z110" s="300">
        <v>250</v>
      </c>
      <c r="AA110" s="300" t="s">
        <v>48</v>
      </c>
      <c r="AB110" t="s">
        <v>2795</v>
      </c>
    </row>
    <row r="111" spans="1:30" hidden="1" outlineLevel="1">
      <c r="A111" s="1355"/>
      <c r="B111" s="667" t="str">
        <f t="shared" ref="B111:B157" si="10">X111</f>
        <v>W14X22</v>
      </c>
      <c r="C111" s="1331">
        <f t="shared" ref="C111:C157" si="11">Z111</f>
        <v>449</v>
      </c>
      <c r="D111" s="1332" t="s">
        <v>2864</v>
      </c>
      <c r="E111" s="1333">
        <v>22</v>
      </c>
      <c r="F111" s="1334">
        <f t="shared" si="8"/>
        <v>4.9390000000000001</v>
      </c>
      <c r="G111" s="1335" t="s">
        <v>3234</v>
      </c>
      <c r="H111" s="1363"/>
      <c r="I111" s="662">
        <f t="shared" si="9"/>
        <v>0</v>
      </c>
      <c r="J111" s="1354"/>
      <c r="K111" s="1160"/>
      <c r="L111" s="1354"/>
      <c r="M111" s="1160"/>
      <c r="N111" s="1354"/>
      <c r="O111" s="1160"/>
      <c r="P111" s="1354"/>
      <c r="Q111" s="1160"/>
      <c r="R111" s="1354"/>
      <c r="S111" s="1160"/>
      <c r="T111" s="1354"/>
      <c r="U111" s="1160"/>
      <c r="W111">
        <v>159</v>
      </c>
      <c r="X111" t="s">
        <v>3444</v>
      </c>
      <c r="Y111" t="s">
        <v>3111</v>
      </c>
      <c r="Z111" s="300">
        <v>449</v>
      </c>
      <c r="AA111" s="300" t="s">
        <v>48</v>
      </c>
      <c r="AB111" s="300"/>
      <c r="AD111" s="312"/>
    </row>
    <row r="112" spans="1:30" hidden="1" outlineLevel="1">
      <c r="A112" s="1355"/>
      <c r="B112" s="667" t="str">
        <f t="shared" si="10"/>
        <v>W14X26</v>
      </c>
      <c r="C112" s="1331">
        <f t="shared" si="11"/>
        <v>74</v>
      </c>
      <c r="D112" s="1332" t="s">
        <v>2864</v>
      </c>
      <c r="E112" s="1333">
        <v>26</v>
      </c>
      <c r="F112" s="1334">
        <f t="shared" ref="F112:F157" si="12">C112*E112/2000</f>
        <v>0.96199999999999997</v>
      </c>
      <c r="G112" s="1335" t="s">
        <v>3234</v>
      </c>
      <c r="H112" s="1363"/>
      <c r="I112" s="662">
        <f t="shared" si="9"/>
        <v>0</v>
      </c>
      <c r="J112" s="1354"/>
      <c r="K112" s="1160"/>
      <c r="L112" s="1354"/>
      <c r="M112" s="1160"/>
      <c r="N112" s="1354"/>
      <c r="O112" s="1160"/>
      <c r="P112" s="1354"/>
      <c r="Q112" s="1160"/>
      <c r="R112" s="1354"/>
      <c r="S112" s="1160"/>
      <c r="T112" s="1354"/>
      <c r="U112" s="1160"/>
      <c r="W112">
        <v>222</v>
      </c>
      <c r="X112" t="s">
        <v>3445</v>
      </c>
      <c r="Y112" t="s">
        <v>3111</v>
      </c>
      <c r="Z112" s="300">
        <v>74</v>
      </c>
      <c r="AA112" s="300" t="s">
        <v>48</v>
      </c>
      <c r="AB112" s="300"/>
      <c r="AD112" s="311"/>
    </row>
    <row r="113" spans="1:30" hidden="1" outlineLevel="1">
      <c r="A113" s="1355"/>
      <c r="B113" s="667" t="str">
        <f t="shared" si="10"/>
        <v>W16X26</v>
      </c>
      <c r="C113" s="1331">
        <f t="shared" si="11"/>
        <v>381</v>
      </c>
      <c r="D113" s="1332" t="s">
        <v>2864</v>
      </c>
      <c r="E113" s="1333">
        <v>26</v>
      </c>
      <c r="F113" s="1334">
        <f t="shared" si="12"/>
        <v>4.9530000000000003</v>
      </c>
      <c r="G113" s="1335" t="s">
        <v>3234</v>
      </c>
      <c r="H113" s="1363"/>
      <c r="I113" s="662">
        <f t="shared" si="9"/>
        <v>0</v>
      </c>
      <c r="J113" s="1354"/>
      <c r="K113" s="1160"/>
      <c r="L113" s="1354"/>
      <c r="M113" s="1160"/>
      <c r="N113" s="1354"/>
      <c r="O113" s="1160"/>
      <c r="P113" s="1354"/>
      <c r="Q113" s="1160"/>
      <c r="R113" s="1354"/>
      <c r="S113" s="1160"/>
      <c r="T113" s="1354"/>
      <c r="U113" s="1160"/>
      <c r="W113">
        <v>238</v>
      </c>
      <c r="X113" t="s">
        <v>3446</v>
      </c>
      <c r="Y113" t="s">
        <v>3111</v>
      </c>
      <c r="Z113" s="300">
        <v>381</v>
      </c>
      <c r="AA113" s="300" t="s">
        <v>48</v>
      </c>
      <c r="AB113" s="300"/>
      <c r="AD113" s="311"/>
    </row>
    <row r="114" spans="1:30" hidden="1" outlineLevel="1">
      <c r="A114" s="1355"/>
      <c r="B114" s="667" t="str">
        <f t="shared" si="10"/>
        <v>W16X31</v>
      </c>
      <c r="C114" s="1331">
        <f t="shared" si="11"/>
        <v>2177</v>
      </c>
      <c r="D114" s="1332" t="s">
        <v>2864</v>
      </c>
      <c r="E114" s="1333">
        <v>31</v>
      </c>
      <c r="F114" s="1334">
        <f t="shared" si="12"/>
        <v>33.743499999999997</v>
      </c>
      <c r="G114" s="1335" t="s">
        <v>3234</v>
      </c>
      <c r="H114" s="1363"/>
      <c r="I114" s="662">
        <f t="shared" si="9"/>
        <v>0</v>
      </c>
      <c r="J114" s="1354"/>
      <c r="K114" s="1160"/>
      <c r="L114" s="1354"/>
      <c r="M114" s="1160"/>
      <c r="N114" s="1354"/>
      <c r="O114" s="1160"/>
      <c r="P114" s="1354"/>
      <c r="Q114" s="1160"/>
      <c r="R114" s="1354"/>
      <c r="S114" s="1160"/>
      <c r="T114" s="1354"/>
      <c r="U114" s="1160"/>
      <c r="W114">
        <v>164</v>
      </c>
      <c r="X114" t="s">
        <v>3447</v>
      </c>
      <c r="Y114" t="s">
        <v>3111</v>
      </c>
      <c r="Z114" s="300">
        <v>2177</v>
      </c>
      <c r="AA114" s="300" t="s">
        <v>48</v>
      </c>
      <c r="AB114" s="300"/>
      <c r="AD114" s="311"/>
    </row>
    <row r="115" spans="1:30" hidden="1" outlineLevel="1">
      <c r="A115" s="1355"/>
      <c r="B115" s="667" t="str">
        <f t="shared" si="10"/>
        <v>W16X36</v>
      </c>
      <c r="C115" s="1331">
        <f t="shared" si="11"/>
        <v>74</v>
      </c>
      <c r="D115" s="1332" t="s">
        <v>2864</v>
      </c>
      <c r="E115" s="1333">
        <v>36</v>
      </c>
      <c r="F115" s="1334">
        <f t="shared" si="12"/>
        <v>1.3320000000000001</v>
      </c>
      <c r="G115" s="1335" t="s">
        <v>3234</v>
      </c>
      <c r="H115" s="1363"/>
      <c r="I115" s="662">
        <f t="shared" si="9"/>
        <v>0</v>
      </c>
      <c r="J115" s="1354"/>
      <c r="K115" s="1160"/>
      <c r="L115" s="1354"/>
      <c r="M115" s="1160"/>
      <c r="N115" s="1354"/>
      <c r="O115" s="1160"/>
      <c r="P115" s="1354"/>
      <c r="Q115" s="1160"/>
      <c r="R115" s="1354"/>
      <c r="S115" s="1160"/>
      <c r="T115" s="1354"/>
      <c r="U115" s="1160"/>
      <c r="W115">
        <v>195</v>
      </c>
      <c r="X115" t="s">
        <v>3448</v>
      </c>
      <c r="Y115" t="s">
        <v>3111</v>
      </c>
      <c r="Z115" s="300">
        <v>74</v>
      </c>
      <c r="AA115" s="300" t="s">
        <v>48</v>
      </c>
      <c r="AB115" s="300"/>
      <c r="AD115" s="311"/>
    </row>
    <row r="116" spans="1:30" hidden="1" outlineLevel="1">
      <c r="A116" s="1355"/>
      <c r="B116" s="667" t="str">
        <f t="shared" si="10"/>
        <v>W16X40</v>
      </c>
      <c r="C116" s="1331">
        <f t="shared" si="11"/>
        <v>72</v>
      </c>
      <c r="D116" s="1332" t="s">
        <v>2864</v>
      </c>
      <c r="E116" s="1333">
        <v>40</v>
      </c>
      <c r="F116" s="1334">
        <f t="shared" si="12"/>
        <v>1.44</v>
      </c>
      <c r="G116" s="1335" t="s">
        <v>3234</v>
      </c>
      <c r="H116" s="1363"/>
      <c r="I116" s="662">
        <f t="shared" si="9"/>
        <v>0</v>
      </c>
      <c r="J116" s="1354"/>
      <c r="K116" s="1160"/>
      <c r="L116" s="1354"/>
      <c r="M116" s="1160"/>
      <c r="N116" s="1354"/>
      <c r="O116" s="1160"/>
      <c r="P116" s="1354"/>
      <c r="Q116" s="1160"/>
      <c r="R116" s="1354"/>
      <c r="S116" s="1160"/>
      <c r="T116" s="1354"/>
      <c r="U116" s="1160"/>
      <c r="W116">
        <v>254</v>
      </c>
      <c r="X116" t="s">
        <v>3449</v>
      </c>
      <c r="Y116" t="s">
        <v>3111</v>
      </c>
      <c r="Z116" s="300">
        <v>72</v>
      </c>
      <c r="AA116" s="300" t="s">
        <v>48</v>
      </c>
      <c r="AB116" s="300"/>
      <c r="AD116" s="311"/>
    </row>
    <row r="117" spans="1:30" hidden="1" outlineLevel="1">
      <c r="A117" s="1355"/>
      <c r="B117" s="667" t="str">
        <f t="shared" si="10"/>
        <v>W16X45</v>
      </c>
      <c r="C117" s="1331">
        <f t="shared" si="11"/>
        <v>34</v>
      </c>
      <c r="D117" s="1332" t="s">
        <v>2864</v>
      </c>
      <c r="E117" s="1333">
        <v>45</v>
      </c>
      <c r="F117" s="1334">
        <f t="shared" si="12"/>
        <v>0.76500000000000001</v>
      </c>
      <c r="G117" s="1335" t="s">
        <v>3234</v>
      </c>
      <c r="H117" s="1363"/>
      <c r="I117" s="662">
        <f t="shared" si="9"/>
        <v>0</v>
      </c>
      <c r="J117" s="1354"/>
      <c r="K117" s="1160"/>
      <c r="L117" s="1354"/>
      <c r="M117" s="1160"/>
      <c r="N117" s="1354"/>
      <c r="O117" s="1160"/>
      <c r="P117" s="1354"/>
      <c r="Q117" s="1160"/>
      <c r="R117" s="1354"/>
      <c r="S117" s="1160"/>
      <c r="T117" s="1354"/>
      <c r="U117" s="1160"/>
      <c r="W117">
        <v>196</v>
      </c>
      <c r="X117" t="s">
        <v>3450</v>
      </c>
      <c r="Y117" t="s">
        <v>3111</v>
      </c>
      <c r="Z117" s="300">
        <v>34</v>
      </c>
      <c r="AA117" s="300" t="s">
        <v>48</v>
      </c>
      <c r="AB117" s="300"/>
      <c r="AD117" s="311"/>
    </row>
    <row r="118" spans="1:30" hidden="1" outlineLevel="1">
      <c r="A118" s="1355"/>
      <c r="B118" s="667" t="str">
        <f t="shared" si="10"/>
        <v>W18X35</v>
      </c>
      <c r="C118" s="1331">
        <f t="shared" si="11"/>
        <v>608</v>
      </c>
      <c r="D118" s="1332" t="s">
        <v>2864</v>
      </c>
      <c r="E118" s="1333">
        <v>36</v>
      </c>
      <c r="F118" s="1334">
        <f t="shared" si="12"/>
        <v>10.944000000000001</v>
      </c>
      <c r="G118" s="1335" t="s">
        <v>3234</v>
      </c>
      <c r="H118" s="1363"/>
      <c r="I118" s="662">
        <f t="shared" si="9"/>
        <v>0</v>
      </c>
      <c r="J118" s="1354"/>
      <c r="K118" s="1160"/>
      <c r="L118" s="1354"/>
      <c r="M118" s="1160"/>
      <c r="N118" s="1354"/>
      <c r="O118" s="1160"/>
      <c r="P118" s="1354"/>
      <c r="Q118" s="1160"/>
      <c r="R118" s="1354"/>
      <c r="S118" s="1160"/>
      <c r="T118" s="1354"/>
      <c r="U118" s="1160"/>
      <c r="W118">
        <v>161</v>
      </c>
      <c r="X118" t="s">
        <v>3451</v>
      </c>
      <c r="Y118" t="s">
        <v>3111</v>
      </c>
      <c r="Z118" s="300">
        <v>608</v>
      </c>
      <c r="AA118" s="300" t="s">
        <v>48</v>
      </c>
      <c r="AB118" s="300"/>
      <c r="AD118" s="311"/>
    </row>
    <row r="119" spans="1:30" hidden="1" outlineLevel="1">
      <c r="A119" s="1355"/>
      <c r="B119" s="667" t="str">
        <f t="shared" si="10"/>
        <v>W18X40</v>
      </c>
      <c r="C119" s="1331">
        <f t="shared" si="11"/>
        <v>689</v>
      </c>
      <c r="D119" s="1332" t="s">
        <v>2864</v>
      </c>
      <c r="E119" s="1333">
        <v>40</v>
      </c>
      <c r="F119" s="1334">
        <f t="shared" si="12"/>
        <v>13.78</v>
      </c>
      <c r="G119" s="1335" t="s">
        <v>3234</v>
      </c>
      <c r="H119" s="1363"/>
      <c r="I119" s="662">
        <f t="shared" si="9"/>
        <v>0</v>
      </c>
      <c r="J119" s="1354"/>
      <c r="K119" s="1160"/>
      <c r="L119" s="1354"/>
      <c r="M119" s="1160"/>
      <c r="N119" s="1354"/>
      <c r="O119" s="1160"/>
      <c r="P119" s="1354"/>
      <c r="Q119" s="1160"/>
      <c r="R119" s="1354"/>
      <c r="S119" s="1160"/>
      <c r="T119" s="1354"/>
      <c r="U119" s="1160"/>
      <c r="W119">
        <v>149</v>
      </c>
      <c r="X119" t="s">
        <v>3452</v>
      </c>
      <c r="Y119" t="s">
        <v>3111</v>
      </c>
      <c r="Z119" s="300">
        <v>689</v>
      </c>
      <c r="AA119" s="300" t="s">
        <v>48</v>
      </c>
      <c r="AB119" s="300"/>
      <c r="AD119" s="311"/>
    </row>
    <row r="120" spans="1:30" hidden="1" outlineLevel="1">
      <c r="A120" s="1355"/>
      <c r="B120" s="667" t="str">
        <f t="shared" si="10"/>
        <v>W18X46</v>
      </c>
      <c r="C120" s="1331">
        <f t="shared" si="11"/>
        <v>50</v>
      </c>
      <c r="D120" s="1332" t="s">
        <v>2864</v>
      </c>
      <c r="E120" s="1333">
        <v>46</v>
      </c>
      <c r="F120" s="1334">
        <f t="shared" si="12"/>
        <v>1.1499999999999999</v>
      </c>
      <c r="G120" s="1335" t="s">
        <v>3234</v>
      </c>
      <c r="H120" s="1363"/>
      <c r="I120" s="662">
        <f t="shared" si="9"/>
        <v>0</v>
      </c>
      <c r="J120" s="1354"/>
      <c r="K120" s="1160"/>
      <c r="L120" s="1354"/>
      <c r="M120" s="1160"/>
      <c r="N120" s="1354"/>
      <c r="O120" s="1160"/>
      <c r="P120" s="1354"/>
      <c r="Q120" s="1160"/>
      <c r="R120" s="1354"/>
      <c r="S120" s="1160"/>
      <c r="T120" s="1354"/>
      <c r="U120" s="1160"/>
      <c r="W120">
        <v>171</v>
      </c>
      <c r="X120" t="s">
        <v>3453</v>
      </c>
      <c r="Y120" t="s">
        <v>3111</v>
      </c>
      <c r="Z120" s="300">
        <v>50</v>
      </c>
      <c r="AA120" s="300" t="s">
        <v>48</v>
      </c>
      <c r="AB120" s="300"/>
      <c r="AD120" s="311"/>
    </row>
    <row r="121" spans="1:30" hidden="1" outlineLevel="1">
      <c r="A121" s="1355"/>
      <c r="B121" s="667" t="str">
        <f t="shared" si="10"/>
        <v>W18X60</v>
      </c>
      <c r="C121" s="1331">
        <f t="shared" si="11"/>
        <v>224</v>
      </c>
      <c r="D121" s="1332" t="s">
        <v>2864</v>
      </c>
      <c r="E121" s="1333">
        <v>60</v>
      </c>
      <c r="F121" s="1334">
        <f t="shared" si="12"/>
        <v>6.72</v>
      </c>
      <c r="G121" s="1335" t="s">
        <v>3234</v>
      </c>
      <c r="H121" s="1363"/>
      <c r="I121" s="662">
        <f t="shared" si="9"/>
        <v>0</v>
      </c>
      <c r="J121" s="1354"/>
      <c r="K121" s="1160"/>
      <c r="L121" s="1354"/>
      <c r="M121" s="1160"/>
      <c r="N121" s="1354"/>
      <c r="O121" s="1160"/>
      <c r="P121" s="1354"/>
      <c r="Q121" s="1160"/>
      <c r="R121" s="1354"/>
      <c r="S121" s="1160"/>
      <c r="T121" s="1354"/>
      <c r="U121" s="1160"/>
      <c r="W121">
        <v>172</v>
      </c>
      <c r="X121" t="s">
        <v>3454</v>
      </c>
      <c r="Y121" t="s">
        <v>3111</v>
      </c>
      <c r="Z121" s="300">
        <v>224</v>
      </c>
      <c r="AA121" s="300" t="s">
        <v>48</v>
      </c>
      <c r="AB121" s="300"/>
      <c r="AD121" s="311"/>
    </row>
    <row r="122" spans="1:30" hidden="1" outlineLevel="1">
      <c r="A122" s="1355"/>
      <c r="B122" s="667" t="str">
        <f t="shared" si="10"/>
        <v>W18X65</v>
      </c>
      <c r="C122" s="1331">
        <f t="shared" si="11"/>
        <v>26</v>
      </c>
      <c r="D122" s="1332" t="s">
        <v>2864</v>
      </c>
      <c r="E122" s="1333">
        <v>65</v>
      </c>
      <c r="F122" s="1334">
        <f t="shared" si="12"/>
        <v>0.84499999999999997</v>
      </c>
      <c r="G122" s="1335" t="s">
        <v>3234</v>
      </c>
      <c r="H122" s="1363"/>
      <c r="I122" s="662">
        <f t="shared" si="9"/>
        <v>0</v>
      </c>
      <c r="J122" s="1354"/>
      <c r="K122" s="1160"/>
      <c r="L122" s="1354"/>
      <c r="M122" s="1160"/>
      <c r="N122" s="1354"/>
      <c r="O122" s="1160"/>
      <c r="P122" s="1354"/>
      <c r="Q122" s="1160"/>
      <c r="R122" s="1354"/>
      <c r="S122" s="1160"/>
      <c r="T122" s="1354"/>
      <c r="U122" s="1160"/>
      <c r="X122" t="s">
        <v>3455</v>
      </c>
      <c r="Z122" s="300">
        <v>26</v>
      </c>
      <c r="AA122" t="s">
        <v>48</v>
      </c>
      <c r="AB122" s="300"/>
    </row>
    <row r="123" spans="1:30" hidden="1" outlineLevel="1">
      <c r="A123" s="1355"/>
      <c r="B123" s="667" t="str">
        <f t="shared" si="10"/>
        <v>W18X86</v>
      </c>
      <c r="C123" s="1331">
        <f t="shared" si="11"/>
        <v>305</v>
      </c>
      <c r="D123" s="1332" t="s">
        <v>2864</v>
      </c>
      <c r="E123" s="1333">
        <v>86</v>
      </c>
      <c r="F123" s="1334">
        <f t="shared" si="12"/>
        <v>13.115</v>
      </c>
      <c r="G123" s="1335" t="s">
        <v>3234</v>
      </c>
      <c r="H123" s="1363"/>
      <c r="I123" s="662">
        <f t="shared" si="9"/>
        <v>0</v>
      </c>
      <c r="J123" s="1354"/>
      <c r="K123" s="1160"/>
      <c r="L123" s="1354"/>
      <c r="M123" s="1160"/>
      <c r="N123" s="1354"/>
      <c r="O123" s="1160"/>
      <c r="P123" s="1354"/>
      <c r="Q123" s="1160"/>
      <c r="R123" s="1354"/>
      <c r="S123" s="1160"/>
      <c r="T123" s="1354"/>
      <c r="U123" s="1160"/>
      <c r="W123">
        <v>173</v>
      </c>
      <c r="X123" t="s">
        <v>3456</v>
      </c>
      <c r="Y123" t="s">
        <v>3111</v>
      </c>
      <c r="Z123" s="300">
        <v>305</v>
      </c>
      <c r="AA123" s="300" t="s">
        <v>48</v>
      </c>
      <c r="AB123" s="300"/>
    </row>
    <row r="124" spans="1:30" hidden="1" outlineLevel="1">
      <c r="A124" s="1355"/>
      <c r="B124" s="667" t="str">
        <f t="shared" si="10"/>
        <v>W21X101</v>
      </c>
      <c r="C124" s="1331">
        <f t="shared" si="11"/>
        <v>57</v>
      </c>
      <c r="D124" s="1332" t="s">
        <v>2864</v>
      </c>
      <c r="E124" s="1333">
        <v>101</v>
      </c>
      <c r="F124" s="1334">
        <f t="shared" si="12"/>
        <v>2.8784999999999998</v>
      </c>
      <c r="G124" s="1335" t="s">
        <v>3234</v>
      </c>
      <c r="H124" s="1363"/>
      <c r="I124" s="662">
        <f t="shared" si="9"/>
        <v>0</v>
      </c>
      <c r="J124" s="1354"/>
      <c r="K124" s="1160"/>
      <c r="L124" s="1354"/>
      <c r="M124" s="1160"/>
      <c r="N124" s="1354"/>
      <c r="O124" s="1160"/>
      <c r="P124" s="1354"/>
      <c r="Q124" s="1160"/>
      <c r="R124" s="1354"/>
      <c r="S124" s="1160"/>
      <c r="T124" s="1354"/>
      <c r="U124" s="1160"/>
      <c r="W124">
        <v>242</v>
      </c>
      <c r="X124" t="s">
        <v>3457</v>
      </c>
      <c r="Y124" t="s">
        <v>3111</v>
      </c>
      <c r="Z124" s="300">
        <v>57</v>
      </c>
      <c r="AA124" s="300" t="s">
        <v>48</v>
      </c>
      <c r="AB124" s="300"/>
    </row>
    <row r="125" spans="1:30" hidden="1" outlineLevel="1">
      <c r="A125" s="1355"/>
      <c r="B125" s="667" t="str">
        <f t="shared" si="10"/>
        <v>W21X101</v>
      </c>
      <c r="C125" s="1331">
        <f t="shared" si="11"/>
        <v>26</v>
      </c>
      <c r="D125" s="1332" t="s">
        <v>2864</v>
      </c>
      <c r="E125" s="1333">
        <v>101</v>
      </c>
      <c r="F125" s="1334">
        <f t="shared" si="12"/>
        <v>1.3129999999999999</v>
      </c>
      <c r="G125" s="1335" t="s">
        <v>3234</v>
      </c>
      <c r="H125" s="1363"/>
      <c r="I125" s="662">
        <f t="shared" si="9"/>
        <v>0</v>
      </c>
      <c r="J125" s="1354"/>
      <c r="K125" s="1160"/>
      <c r="L125" s="1354"/>
      <c r="M125" s="1160"/>
      <c r="N125" s="1354"/>
      <c r="O125" s="1160"/>
      <c r="P125" s="1354"/>
      <c r="Q125" s="1160"/>
      <c r="R125" s="1354"/>
      <c r="S125" s="1160"/>
      <c r="T125" s="1354"/>
      <c r="U125" s="1160"/>
      <c r="W125">
        <v>246</v>
      </c>
      <c r="X125" t="s">
        <v>3457</v>
      </c>
      <c r="Y125" t="s">
        <v>3111</v>
      </c>
      <c r="Z125" s="300">
        <v>26</v>
      </c>
      <c r="AA125" s="300" t="s">
        <v>48</v>
      </c>
      <c r="AB125" s="300"/>
    </row>
    <row r="126" spans="1:30" hidden="1" outlineLevel="1">
      <c r="A126" s="1355"/>
      <c r="B126" s="667" t="str">
        <f t="shared" si="10"/>
        <v>W21X44</v>
      </c>
      <c r="C126" s="1331">
        <f t="shared" si="11"/>
        <v>550</v>
      </c>
      <c r="D126" s="1332" t="s">
        <v>2864</v>
      </c>
      <c r="E126" s="1333">
        <v>44</v>
      </c>
      <c r="F126" s="1334">
        <f t="shared" si="12"/>
        <v>12.1</v>
      </c>
      <c r="G126" s="1335" t="s">
        <v>3234</v>
      </c>
      <c r="H126" s="1363"/>
      <c r="I126" s="662">
        <f t="shared" si="9"/>
        <v>0</v>
      </c>
      <c r="J126" s="1354"/>
      <c r="K126" s="1160"/>
      <c r="L126" s="1354"/>
      <c r="M126" s="1160"/>
      <c r="N126" s="1354"/>
      <c r="O126" s="1160"/>
      <c r="P126" s="1354"/>
      <c r="Q126" s="1160"/>
      <c r="R126" s="1354"/>
      <c r="S126" s="1160"/>
      <c r="T126" s="1354"/>
      <c r="U126" s="1160"/>
      <c r="W126">
        <v>167</v>
      </c>
      <c r="X126" t="s">
        <v>3458</v>
      </c>
      <c r="Y126" t="s">
        <v>3111</v>
      </c>
      <c r="Z126" s="300">
        <v>550</v>
      </c>
      <c r="AA126" s="300" t="s">
        <v>48</v>
      </c>
      <c r="AB126" s="300"/>
    </row>
    <row r="127" spans="1:30" hidden="1" outlineLevel="1">
      <c r="A127" s="1355"/>
      <c r="B127" s="667" t="str">
        <f t="shared" si="10"/>
        <v>W21X48</v>
      </c>
      <c r="C127" s="1331">
        <f t="shared" si="11"/>
        <v>72</v>
      </c>
      <c r="D127" s="1332" t="s">
        <v>2864</v>
      </c>
      <c r="E127" s="1333">
        <v>48</v>
      </c>
      <c r="F127" s="1334">
        <f t="shared" si="12"/>
        <v>1.728</v>
      </c>
      <c r="G127" s="1335" t="s">
        <v>3234</v>
      </c>
      <c r="H127" s="1363"/>
      <c r="I127" s="662">
        <f t="shared" si="9"/>
        <v>0</v>
      </c>
      <c r="J127" s="1354"/>
      <c r="K127" s="1160"/>
      <c r="L127" s="1354"/>
      <c r="M127" s="1160"/>
      <c r="N127" s="1354"/>
      <c r="O127" s="1160"/>
      <c r="P127" s="1354"/>
      <c r="Q127" s="1160"/>
      <c r="R127" s="1354"/>
      <c r="S127" s="1160"/>
      <c r="T127" s="1354"/>
      <c r="U127" s="1160"/>
      <c r="W127">
        <v>239</v>
      </c>
      <c r="X127" t="s">
        <v>3459</v>
      </c>
      <c r="Y127" t="s">
        <v>3111</v>
      </c>
      <c r="Z127" s="300">
        <v>72</v>
      </c>
      <c r="AA127" s="300" t="s">
        <v>48</v>
      </c>
      <c r="AB127" s="300"/>
    </row>
    <row r="128" spans="1:30" hidden="1" outlineLevel="1">
      <c r="A128" s="1355"/>
      <c r="B128" s="1365" t="str">
        <f t="shared" si="10"/>
        <v>W21X50</v>
      </c>
      <c r="C128" s="1331">
        <f t="shared" si="11"/>
        <v>1160</v>
      </c>
      <c r="D128" s="1332" t="s">
        <v>2864</v>
      </c>
      <c r="E128" s="1333">
        <v>50</v>
      </c>
      <c r="F128" s="1334">
        <f t="shared" si="12"/>
        <v>29</v>
      </c>
      <c r="G128" s="1335" t="s">
        <v>3234</v>
      </c>
      <c r="H128" s="1363"/>
      <c r="I128" s="662">
        <f t="shared" si="9"/>
        <v>0</v>
      </c>
      <c r="J128" s="1354"/>
      <c r="K128" s="1160"/>
      <c r="L128" s="1354"/>
      <c r="M128" s="1160"/>
      <c r="N128" s="1354"/>
      <c r="O128" s="1160"/>
      <c r="P128" s="1354"/>
      <c r="Q128" s="1160"/>
      <c r="R128" s="1354"/>
      <c r="S128" s="1160"/>
      <c r="T128" s="1354"/>
      <c r="U128" s="1160"/>
      <c r="W128">
        <v>150</v>
      </c>
      <c r="X128" t="s">
        <v>3460</v>
      </c>
      <c r="Y128" t="s">
        <v>3111</v>
      </c>
      <c r="Z128" s="300">
        <v>1160</v>
      </c>
      <c r="AA128" s="300" t="s">
        <v>48</v>
      </c>
      <c r="AB128" s="300"/>
    </row>
    <row r="129" spans="1:29" hidden="1" outlineLevel="1">
      <c r="A129" s="1355"/>
      <c r="B129" s="1365" t="str">
        <f t="shared" si="10"/>
        <v>W21X55</v>
      </c>
      <c r="C129" s="1331">
        <f t="shared" si="11"/>
        <v>30</v>
      </c>
      <c r="D129" s="1332" t="s">
        <v>2864</v>
      </c>
      <c r="E129" s="1333">
        <v>55</v>
      </c>
      <c r="F129" s="1334">
        <f t="shared" si="12"/>
        <v>0.82499999999999996</v>
      </c>
      <c r="G129" s="1335" t="s">
        <v>3234</v>
      </c>
      <c r="H129" s="1363"/>
      <c r="I129" s="662">
        <f t="shared" si="9"/>
        <v>0</v>
      </c>
      <c r="J129" s="1354"/>
      <c r="K129" s="1160"/>
      <c r="L129" s="1354"/>
      <c r="M129" s="1160"/>
      <c r="N129" s="1354"/>
      <c r="O129" s="1160"/>
      <c r="P129" s="1354"/>
      <c r="Q129" s="1160"/>
      <c r="R129" s="1354"/>
      <c r="S129" s="1160"/>
      <c r="T129" s="1354"/>
      <c r="U129" s="1160"/>
      <c r="W129">
        <v>177</v>
      </c>
      <c r="X129" t="s">
        <v>3461</v>
      </c>
      <c r="Y129" t="s">
        <v>3111</v>
      </c>
      <c r="Z129" s="300">
        <v>30</v>
      </c>
      <c r="AA129" s="300" t="s">
        <v>48</v>
      </c>
      <c r="AB129" s="300"/>
    </row>
    <row r="130" spans="1:29" hidden="1" outlineLevel="1">
      <c r="A130" s="1355"/>
      <c r="B130" s="1365" t="str">
        <f t="shared" si="10"/>
        <v>W21X62</v>
      </c>
      <c r="C130" s="1331">
        <f t="shared" si="11"/>
        <v>77</v>
      </c>
      <c r="D130" s="1332" t="s">
        <v>2864</v>
      </c>
      <c r="E130" s="1333">
        <v>62</v>
      </c>
      <c r="F130" s="1334">
        <f t="shared" si="12"/>
        <v>2.387</v>
      </c>
      <c r="G130" s="1335" t="s">
        <v>3234</v>
      </c>
      <c r="H130" s="1363"/>
      <c r="I130" s="662">
        <f t="shared" si="9"/>
        <v>0</v>
      </c>
      <c r="J130" s="1354"/>
      <c r="K130" s="1160"/>
      <c r="L130" s="1354"/>
      <c r="M130" s="1160"/>
      <c r="N130" s="1354"/>
      <c r="O130" s="1160"/>
      <c r="P130" s="1354"/>
      <c r="Q130" s="1160"/>
      <c r="R130" s="1354"/>
      <c r="S130" s="1160"/>
      <c r="T130" s="1354"/>
      <c r="U130" s="1160"/>
      <c r="W130">
        <v>247</v>
      </c>
      <c r="X130" t="s">
        <v>3462</v>
      </c>
      <c r="Y130" t="s">
        <v>3111</v>
      </c>
      <c r="Z130" s="300">
        <v>77</v>
      </c>
      <c r="AA130" s="300" t="s">
        <v>48</v>
      </c>
      <c r="AB130" s="300"/>
    </row>
    <row r="131" spans="1:29" hidden="1" outlineLevel="1">
      <c r="A131" s="1355"/>
      <c r="B131" s="1365" t="str">
        <f t="shared" si="10"/>
        <v>W21X73</v>
      </c>
      <c r="C131" s="1331">
        <f t="shared" si="11"/>
        <v>29</v>
      </c>
      <c r="D131" s="1332" t="s">
        <v>2864</v>
      </c>
      <c r="E131" s="1333">
        <v>73</v>
      </c>
      <c r="F131" s="1334">
        <f t="shared" si="12"/>
        <v>1.0585</v>
      </c>
      <c r="G131" s="1335" t="s">
        <v>3234</v>
      </c>
      <c r="H131" s="1363"/>
      <c r="I131" s="662">
        <f t="shared" si="9"/>
        <v>0</v>
      </c>
      <c r="J131" s="1354"/>
      <c r="K131" s="1160"/>
      <c r="L131" s="1354"/>
      <c r="M131" s="1160"/>
      <c r="N131" s="1354"/>
      <c r="O131" s="1160"/>
      <c r="P131" s="1354"/>
      <c r="Q131" s="1160"/>
      <c r="R131" s="1354"/>
      <c r="S131" s="1160"/>
      <c r="T131" s="1354"/>
      <c r="U131" s="1160"/>
      <c r="X131" t="s">
        <v>3463</v>
      </c>
      <c r="Z131" s="300">
        <v>29</v>
      </c>
      <c r="AA131" t="s">
        <v>48</v>
      </c>
      <c r="AB131" s="300"/>
    </row>
    <row r="132" spans="1:29" hidden="1" outlineLevel="1">
      <c r="A132" s="1355"/>
      <c r="B132" s="667" t="str">
        <f t="shared" si="10"/>
        <v>W21X83</v>
      </c>
      <c r="C132" s="1331">
        <f t="shared" si="11"/>
        <v>30</v>
      </c>
      <c r="D132" s="1332" t="s">
        <v>2864</v>
      </c>
      <c r="E132" s="1333">
        <v>83</v>
      </c>
      <c r="F132" s="1334">
        <f t="shared" si="12"/>
        <v>1.2450000000000001</v>
      </c>
      <c r="G132" s="1335" t="s">
        <v>3234</v>
      </c>
      <c r="H132" s="1363"/>
      <c r="I132" s="662">
        <f t="shared" si="9"/>
        <v>0</v>
      </c>
      <c r="J132" s="1354"/>
      <c r="K132" s="1160"/>
      <c r="L132" s="1354"/>
      <c r="M132" s="1160"/>
      <c r="N132" s="1354"/>
      <c r="O132" s="1160"/>
      <c r="P132" s="1354"/>
      <c r="Q132" s="1160"/>
      <c r="R132" s="1354"/>
      <c r="S132" s="1160"/>
      <c r="T132" s="1354"/>
      <c r="U132" s="1160"/>
      <c r="W132">
        <v>179</v>
      </c>
      <c r="X132" t="s">
        <v>3464</v>
      </c>
      <c r="Y132" t="s">
        <v>3111</v>
      </c>
      <c r="Z132" s="300">
        <v>30</v>
      </c>
      <c r="AA132" s="300" t="s">
        <v>48</v>
      </c>
      <c r="AB132" s="300"/>
    </row>
    <row r="133" spans="1:29" hidden="1" outlineLevel="1">
      <c r="A133" s="1355"/>
      <c r="B133" s="667" t="str">
        <f t="shared" si="10"/>
        <v>W24X104</v>
      </c>
      <c r="C133" s="1331">
        <f t="shared" si="11"/>
        <v>141</v>
      </c>
      <c r="D133" s="1332" t="s">
        <v>2864</v>
      </c>
      <c r="E133" s="1333">
        <v>104</v>
      </c>
      <c r="F133" s="1334">
        <f t="shared" si="12"/>
        <v>7.3319999999999999</v>
      </c>
      <c r="G133" s="1335" t="s">
        <v>3234</v>
      </c>
      <c r="H133" s="1363"/>
      <c r="I133" s="662">
        <f t="shared" si="9"/>
        <v>0</v>
      </c>
      <c r="J133" s="1354"/>
      <c r="K133" s="1160"/>
      <c r="L133" s="1354"/>
      <c r="M133" s="1160"/>
      <c r="N133" s="1354"/>
      <c r="O133" s="1160"/>
      <c r="P133" s="1354"/>
      <c r="Q133" s="1160"/>
      <c r="R133" s="1354"/>
      <c r="S133" s="1160"/>
      <c r="T133" s="1354"/>
      <c r="U133" s="1160"/>
      <c r="W133">
        <v>166</v>
      </c>
      <c r="X133" t="s">
        <v>3465</v>
      </c>
      <c r="Y133" t="s">
        <v>3111</v>
      </c>
      <c r="Z133" s="300">
        <v>141</v>
      </c>
      <c r="AA133" s="300" t="s">
        <v>48</v>
      </c>
      <c r="AB133" s="300"/>
    </row>
    <row r="134" spans="1:29" hidden="1" outlineLevel="1">
      <c r="A134" s="1355"/>
      <c r="B134" s="667" t="str">
        <f t="shared" si="10"/>
        <v>W24X48</v>
      </c>
      <c r="C134" s="1331">
        <f t="shared" si="11"/>
        <v>47</v>
      </c>
      <c r="D134" s="1332" t="s">
        <v>2864</v>
      </c>
      <c r="E134" s="1333">
        <v>48</v>
      </c>
      <c r="F134" s="1334">
        <f t="shared" si="12"/>
        <v>1.1279999999999999</v>
      </c>
      <c r="G134" s="1335" t="s">
        <v>3234</v>
      </c>
      <c r="H134" s="1363"/>
      <c r="I134" s="662">
        <f t="shared" si="9"/>
        <v>0</v>
      </c>
      <c r="J134" s="1354"/>
      <c r="K134" s="1160"/>
      <c r="L134" s="1354"/>
      <c r="M134" s="1160"/>
      <c r="N134" s="1354"/>
      <c r="O134" s="1160"/>
      <c r="P134" s="1354"/>
      <c r="Q134" s="1160"/>
      <c r="R134" s="1354"/>
      <c r="S134" s="1160"/>
      <c r="T134" s="1354"/>
      <c r="U134" s="1160"/>
      <c r="W134">
        <v>255</v>
      </c>
      <c r="X134" t="s">
        <v>3466</v>
      </c>
      <c r="Y134" t="s">
        <v>3111</v>
      </c>
      <c r="Z134" s="300">
        <v>47</v>
      </c>
      <c r="AA134" s="300" t="s">
        <v>48</v>
      </c>
      <c r="AB134" s="300"/>
    </row>
    <row r="135" spans="1:29" hidden="1" outlineLevel="1">
      <c r="A135" s="1355"/>
      <c r="B135" s="667" t="str">
        <f t="shared" si="10"/>
        <v>W24X55</v>
      </c>
      <c r="C135" s="1331">
        <f t="shared" si="11"/>
        <v>426</v>
      </c>
      <c r="D135" s="1332" t="s">
        <v>2864</v>
      </c>
      <c r="E135" s="1333">
        <v>55</v>
      </c>
      <c r="F135" s="1334">
        <f t="shared" si="12"/>
        <v>11.715</v>
      </c>
      <c r="G135" s="1335" t="s">
        <v>3234</v>
      </c>
      <c r="H135" s="1363"/>
      <c r="I135" s="662">
        <f t="shared" si="9"/>
        <v>0</v>
      </c>
      <c r="J135" s="1354"/>
      <c r="K135" s="1160"/>
      <c r="L135" s="1354"/>
      <c r="M135" s="1160"/>
      <c r="N135" s="1354"/>
      <c r="O135" s="1160"/>
      <c r="P135" s="1354"/>
      <c r="Q135" s="1160"/>
      <c r="R135" s="1354"/>
      <c r="S135" s="1160"/>
      <c r="T135" s="1354"/>
      <c r="U135" s="1160"/>
      <c r="W135">
        <v>168</v>
      </c>
      <c r="X135" t="s">
        <v>3467</v>
      </c>
      <c r="Y135" t="s">
        <v>3111</v>
      </c>
      <c r="Z135" s="300">
        <v>426</v>
      </c>
      <c r="AA135" s="300" t="s">
        <v>48</v>
      </c>
      <c r="AB135" s="300"/>
    </row>
    <row r="136" spans="1:29" hidden="1" outlineLevel="1">
      <c r="A136" s="1355"/>
      <c r="B136" s="667" t="str">
        <f t="shared" si="10"/>
        <v>W24X62</v>
      </c>
      <c r="C136" s="1331">
        <f t="shared" si="11"/>
        <v>69</v>
      </c>
      <c r="D136" s="1332" t="s">
        <v>2864</v>
      </c>
      <c r="E136" s="1333">
        <v>62</v>
      </c>
      <c r="F136" s="1334">
        <f t="shared" si="12"/>
        <v>2.1389999999999998</v>
      </c>
      <c r="G136" s="1335" t="s">
        <v>3234</v>
      </c>
      <c r="H136" s="1363"/>
      <c r="I136" s="662">
        <f t="shared" si="9"/>
        <v>0</v>
      </c>
      <c r="J136" s="1354"/>
      <c r="K136" s="1160"/>
      <c r="L136" s="1354"/>
      <c r="M136" s="1160"/>
      <c r="N136" s="1354"/>
      <c r="O136" s="1160"/>
      <c r="P136" s="1354"/>
      <c r="Q136" s="1160"/>
      <c r="R136" s="1354"/>
      <c r="S136" s="1160"/>
      <c r="T136" s="1354"/>
      <c r="U136" s="1160"/>
      <c r="W136">
        <v>240</v>
      </c>
      <c r="X136" t="s">
        <v>3468</v>
      </c>
      <c r="Y136" t="s">
        <v>3111</v>
      </c>
      <c r="Z136" s="300">
        <v>69</v>
      </c>
      <c r="AA136" s="300" t="s">
        <v>48</v>
      </c>
      <c r="AB136" s="300"/>
    </row>
    <row r="137" spans="1:29" hidden="1" outlineLevel="1">
      <c r="A137" s="1355"/>
      <c r="B137" s="667" t="str">
        <f t="shared" si="10"/>
        <v>W24X76</v>
      </c>
      <c r="C137" s="1331">
        <f t="shared" si="11"/>
        <v>127</v>
      </c>
      <c r="D137" s="1332" t="s">
        <v>2864</v>
      </c>
      <c r="E137" s="1333">
        <v>76</v>
      </c>
      <c r="F137" s="1334">
        <f t="shared" si="12"/>
        <v>4.8259999999999996</v>
      </c>
      <c r="G137" s="1335" t="s">
        <v>3234</v>
      </c>
      <c r="H137" s="1363"/>
      <c r="I137" s="662">
        <f t="shared" si="9"/>
        <v>0</v>
      </c>
      <c r="J137" s="1354"/>
      <c r="K137" s="1160"/>
      <c r="L137" s="1354"/>
      <c r="M137" s="1160"/>
      <c r="N137" s="1354"/>
      <c r="O137" s="1160"/>
      <c r="P137" s="1354"/>
      <c r="Q137" s="1160"/>
      <c r="R137" s="1354"/>
      <c r="S137" s="1160"/>
      <c r="T137" s="1354"/>
      <c r="U137" s="1160"/>
      <c r="W137">
        <v>211</v>
      </c>
      <c r="X137" t="s">
        <v>3469</v>
      </c>
      <c r="Y137" t="s">
        <v>3111</v>
      </c>
      <c r="Z137" s="300">
        <v>127</v>
      </c>
      <c r="AA137" s="300" t="s">
        <v>48</v>
      </c>
      <c r="AB137" s="300"/>
    </row>
    <row r="138" spans="1:29" hidden="1" outlineLevel="1">
      <c r="A138" s="1355"/>
      <c r="B138" s="667" t="str">
        <f t="shared" si="10"/>
        <v>W27X94</v>
      </c>
      <c r="C138" s="1331">
        <f t="shared" si="11"/>
        <v>89</v>
      </c>
      <c r="D138" s="1332" t="s">
        <v>2864</v>
      </c>
      <c r="E138" s="1333">
        <v>94</v>
      </c>
      <c r="F138" s="1334">
        <f t="shared" si="12"/>
        <v>4.1829999999999998</v>
      </c>
      <c r="G138" s="1335" t="s">
        <v>3234</v>
      </c>
      <c r="H138" s="1363"/>
      <c r="I138" s="662">
        <f t="shared" si="9"/>
        <v>0</v>
      </c>
      <c r="J138" s="1354"/>
      <c r="K138" s="1160"/>
      <c r="L138" s="1354"/>
      <c r="M138" s="1160"/>
      <c r="N138" s="1354"/>
      <c r="O138" s="1160"/>
      <c r="P138" s="1354"/>
      <c r="Q138" s="1160"/>
      <c r="R138" s="1354"/>
      <c r="S138" s="1160"/>
      <c r="T138" s="1354"/>
      <c r="U138" s="1160"/>
      <c r="W138">
        <v>165</v>
      </c>
      <c r="X138" t="s">
        <v>3470</v>
      </c>
      <c r="Y138" t="s">
        <v>3111</v>
      </c>
      <c r="Z138" s="300">
        <v>89</v>
      </c>
      <c r="AA138" s="300" t="s">
        <v>48</v>
      </c>
      <c r="AB138" s="300"/>
    </row>
    <row r="139" spans="1:29" hidden="1" outlineLevel="1">
      <c r="A139" s="1355"/>
      <c r="B139" s="667" t="str">
        <f t="shared" si="10"/>
        <v>W30X90</v>
      </c>
      <c r="C139" s="1331">
        <f t="shared" si="11"/>
        <v>24</v>
      </c>
      <c r="D139" s="1332" t="s">
        <v>2864</v>
      </c>
      <c r="E139" s="1333">
        <v>90</v>
      </c>
      <c r="F139" s="1334">
        <f t="shared" si="12"/>
        <v>1.08</v>
      </c>
      <c r="G139" s="1335" t="s">
        <v>3234</v>
      </c>
      <c r="H139" s="1363"/>
      <c r="I139" s="662">
        <f t="shared" si="9"/>
        <v>0</v>
      </c>
      <c r="J139" s="1354"/>
      <c r="K139" s="1160"/>
      <c r="L139" s="1354"/>
      <c r="M139" s="1160"/>
      <c r="N139" s="1354"/>
      <c r="O139" s="1160"/>
      <c r="P139" s="1354"/>
      <c r="Q139" s="1160"/>
      <c r="R139" s="1354"/>
      <c r="S139" s="1160"/>
      <c r="T139" s="1354"/>
      <c r="U139" s="1160"/>
      <c r="W139">
        <v>256</v>
      </c>
      <c r="X139" t="s">
        <v>3471</v>
      </c>
      <c r="Y139" t="s">
        <v>3111</v>
      </c>
      <c r="Z139" s="300">
        <v>24</v>
      </c>
      <c r="AA139" s="300" t="s">
        <v>48</v>
      </c>
      <c r="AB139" s="300"/>
    </row>
    <row r="140" spans="1:29" hidden="1" outlineLevel="1">
      <c r="A140" s="1355"/>
      <c r="B140" s="667" t="str">
        <f t="shared" si="10"/>
        <v>W36X135</v>
      </c>
      <c r="C140" s="1331">
        <f t="shared" si="11"/>
        <v>34</v>
      </c>
      <c r="D140" s="1332" t="s">
        <v>2864</v>
      </c>
      <c r="E140" s="1333">
        <v>135</v>
      </c>
      <c r="F140" s="1334">
        <f t="shared" si="12"/>
        <v>2.2949999999999999</v>
      </c>
      <c r="G140" s="1335" t="s">
        <v>3234</v>
      </c>
      <c r="H140" s="1363"/>
      <c r="I140" s="662">
        <f t="shared" si="9"/>
        <v>0</v>
      </c>
      <c r="J140" s="1354"/>
      <c r="K140" s="1160"/>
      <c r="L140" s="1354"/>
      <c r="M140" s="1160"/>
      <c r="N140" s="1354"/>
      <c r="O140" s="1160"/>
      <c r="P140" s="1354"/>
      <c r="Q140" s="1160"/>
      <c r="R140" s="1354"/>
      <c r="S140" s="1160"/>
      <c r="T140" s="1354"/>
      <c r="U140" s="1160"/>
      <c r="W140">
        <v>178</v>
      </c>
      <c r="X140" t="s">
        <v>3472</v>
      </c>
      <c r="Y140" t="s">
        <v>3111</v>
      </c>
      <c r="Z140" s="300">
        <v>34</v>
      </c>
      <c r="AA140" s="300" t="s">
        <v>48</v>
      </c>
      <c r="AB140" s="300"/>
    </row>
    <row r="141" spans="1:29" hidden="1" outlineLevel="1">
      <c r="A141" s="1355"/>
      <c r="B141" s="667" t="str">
        <f t="shared" si="10"/>
        <v>W36X160</v>
      </c>
      <c r="C141" s="1331">
        <f t="shared" si="11"/>
        <v>34</v>
      </c>
      <c r="D141" s="1332" t="s">
        <v>2864</v>
      </c>
      <c r="E141" s="1333">
        <v>160</v>
      </c>
      <c r="F141" s="1334">
        <f t="shared" si="12"/>
        <v>2.72</v>
      </c>
      <c r="G141" s="1335" t="s">
        <v>3234</v>
      </c>
      <c r="H141" s="1363"/>
      <c r="I141" s="662">
        <f t="shared" si="9"/>
        <v>0</v>
      </c>
      <c r="J141" s="1354"/>
      <c r="K141" s="1160"/>
      <c r="L141" s="1354"/>
      <c r="M141" s="1160"/>
      <c r="N141" s="1354"/>
      <c r="O141" s="1160"/>
      <c r="P141" s="1354"/>
      <c r="Q141" s="1160"/>
      <c r="R141" s="1354"/>
      <c r="S141" s="1160"/>
      <c r="T141" s="1354"/>
      <c r="U141" s="1160"/>
      <c r="W141">
        <v>244</v>
      </c>
      <c r="X141" t="s">
        <v>3473</v>
      </c>
      <c r="Y141" t="s">
        <v>3111</v>
      </c>
      <c r="Z141" s="300">
        <v>34</v>
      </c>
      <c r="AA141" s="300" t="s">
        <v>48</v>
      </c>
      <c r="AB141" s="300"/>
    </row>
    <row r="142" spans="1:29" hidden="1" outlineLevel="1">
      <c r="A142" s="1355"/>
      <c r="B142" s="667" t="str">
        <f t="shared" si="10"/>
        <v>WSC-1 - 14.83 HSS8x8x1/2</v>
      </c>
      <c r="C142" s="1331">
        <f t="shared" si="11"/>
        <v>89</v>
      </c>
      <c r="D142" s="1332" t="s">
        <v>2864</v>
      </c>
      <c r="E142" s="1333">
        <v>48.85</v>
      </c>
      <c r="F142" s="1334">
        <f t="shared" si="12"/>
        <v>2.1738250000000003</v>
      </c>
      <c r="G142" s="1335" t="s">
        <v>3234</v>
      </c>
      <c r="H142" s="1363"/>
      <c r="I142" s="662">
        <f t="shared" si="9"/>
        <v>0</v>
      </c>
      <c r="J142" s="1354"/>
      <c r="K142" s="1160"/>
      <c r="L142" s="1354"/>
      <c r="M142" s="1160"/>
      <c r="N142" s="1354"/>
      <c r="O142" s="1160"/>
      <c r="P142" s="1354"/>
      <c r="Q142" s="1160"/>
      <c r="R142" s="1354"/>
      <c r="S142" s="1160"/>
      <c r="T142" s="1354"/>
      <c r="U142" s="1160"/>
      <c r="W142">
        <v>232</v>
      </c>
      <c r="X142" t="s">
        <v>3474</v>
      </c>
      <c r="Y142" t="s">
        <v>3475</v>
      </c>
      <c r="Z142" s="300">
        <v>89</v>
      </c>
      <c r="AA142" s="300" t="s">
        <v>48</v>
      </c>
      <c r="AB142" s="300">
        <v>6</v>
      </c>
      <c r="AC142" s="300" t="s">
        <v>3041</v>
      </c>
    </row>
    <row r="143" spans="1:29" hidden="1" outlineLevel="1">
      <c r="A143" s="1355"/>
      <c r="B143" s="667" t="str">
        <f t="shared" si="10"/>
        <v>WSC-1 - 15.00 HSS8x8x1/2</v>
      </c>
      <c r="C143" s="1331">
        <f t="shared" si="11"/>
        <v>45</v>
      </c>
      <c r="D143" s="1332" t="s">
        <v>2864</v>
      </c>
      <c r="E143" s="1333">
        <v>48.85</v>
      </c>
      <c r="F143" s="1334">
        <f t="shared" si="12"/>
        <v>1.0991249999999999</v>
      </c>
      <c r="G143" s="1335" t="s">
        <v>3234</v>
      </c>
      <c r="H143" s="1363"/>
      <c r="I143" s="662">
        <f t="shared" si="9"/>
        <v>0</v>
      </c>
      <c r="J143" s="1354"/>
      <c r="K143" s="1160"/>
      <c r="L143" s="1354"/>
      <c r="M143" s="1160"/>
      <c r="N143" s="1354"/>
      <c r="O143" s="1160"/>
      <c r="P143" s="1354"/>
      <c r="Q143" s="1160"/>
      <c r="R143" s="1354"/>
      <c r="S143" s="1160"/>
      <c r="T143" s="1354"/>
      <c r="U143" s="1160"/>
      <c r="W143">
        <v>234</v>
      </c>
      <c r="X143" t="s">
        <v>3476</v>
      </c>
      <c r="Y143" t="s">
        <v>3131</v>
      </c>
      <c r="Z143" s="300">
        <v>45</v>
      </c>
      <c r="AA143" s="300" t="s">
        <v>48</v>
      </c>
      <c r="AB143" s="300">
        <v>3</v>
      </c>
      <c r="AC143" s="300" t="s">
        <v>3041</v>
      </c>
    </row>
    <row r="144" spans="1:29" hidden="1" outlineLevel="1">
      <c r="A144" s="1355"/>
      <c r="B144" s="667" t="str">
        <f t="shared" si="10"/>
        <v>WSC-1 - 17.00 HSS8x8x1/2</v>
      </c>
      <c r="C144" s="1331">
        <f t="shared" si="11"/>
        <v>68</v>
      </c>
      <c r="D144" s="1332" t="s">
        <v>2864</v>
      </c>
      <c r="E144" s="1333">
        <v>48.85</v>
      </c>
      <c r="F144" s="1334">
        <f t="shared" si="12"/>
        <v>1.6609</v>
      </c>
      <c r="G144" s="1335" t="s">
        <v>3234</v>
      </c>
      <c r="H144" s="1363"/>
      <c r="I144" s="662">
        <f t="shared" si="9"/>
        <v>0</v>
      </c>
      <c r="J144" s="1354"/>
      <c r="K144" s="1160"/>
      <c r="L144" s="1354"/>
      <c r="M144" s="1160"/>
      <c r="N144" s="1354"/>
      <c r="O144" s="1160"/>
      <c r="P144" s="1354"/>
      <c r="Q144" s="1160"/>
      <c r="R144" s="1354"/>
      <c r="S144" s="1160"/>
      <c r="T144" s="1354"/>
      <c r="U144" s="1160"/>
      <c r="W144">
        <v>225</v>
      </c>
      <c r="X144" t="s">
        <v>3477</v>
      </c>
      <c r="Y144" t="s">
        <v>3045</v>
      </c>
      <c r="Z144" s="300">
        <v>68</v>
      </c>
      <c r="AA144" s="300" t="s">
        <v>48</v>
      </c>
      <c r="AB144" s="300">
        <v>4</v>
      </c>
      <c r="AC144" s="300" t="s">
        <v>3041</v>
      </c>
    </row>
    <row r="145" spans="1:29" hidden="1" outlineLevel="1">
      <c r="A145" s="1355"/>
      <c r="B145" s="667" t="str">
        <f t="shared" si="10"/>
        <v>WSC-2 - 15.00 HSS10x6x5/8</v>
      </c>
      <c r="C145" s="1331">
        <f t="shared" si="11"/>
        <v>90</v>
      </c>
      <c r="D145" s="1332" t="s">
        <v>2864</v>
      </c>
      <c r="E145" s="1333">
        <v>59.32</v>
      </c>
      <c r="F145" s="1334">
        <f t="shared" si="12"/>
        <v>2.6694</v>
      </c>
      <c r="G145" s="1335" t="s">
        <v>3234</v>
      </c>
      <c r="H145" s="1363"/>
      <c r="I145" s="662">
        <f t="shared" si="9"/>
        <v>0</v>
      </c>
      <c r="J145" s="1354"/>
      <c r="K145" s="1160"/>
      <c r="L145" s="1354"/>
      <c r="M145" s="1160"/>
      <c r="N145" s="1354"/>
      <c r="O145" s="1160"/>
      <c r="P145" s="1354"/>
      <c r="Q145" s="1160"/>
      <c r="R145" s="1354"/>
      <c r="S145" s="1160"/>
      <c r="T145" s="1354"/>
      <c r="U145" s="1160"/>
      <c r="W145">
        <v>236</v>
      </c>
      <c r="X145" t="s">
        <v>3478</v>
      </c>
      <c r="Y145" t="s">
        <v>3131</v>
      </c>
      <c r="Z145" s="300">
        <v>90</v>
      </c>
      <c r="AA145" s="300" t="s">
        <v>48</v>
      </c>
      <c r="AB145" s="300">
        <v>6</v>
      </c>
      <c r="AC145" s="300" t="s">
        <v>3041</v>
      </c>
    </row>
    <row r="146" spans="1:29" hidden="1" outlineLevel="1">
      <c r="A146" s="1355"/>
      <c r="B146" s="667" t="str">
        <f t="shared" si="10"/>
        <v>WSC-2 - 17.00 HSS10x6x5/8</v>
      </c>
      <c r="C146" s="1331">
        <f t="shared" si="11"/>
        <v>102</v>
      </c>
      <c r="D146" s="1332" t="s">
        <v>2864</v>
      </c>
      <c r="E146" s="1333">
        <v>59.32</v>
      </c>
      <c r="F146" s="1334">
        <f t="shared" si="12"/>
        <v>3.0253200000000002</v>
      </c>
      <c r="G146" s="1335" t="s">
        <v>3234</v>
      </c>
      <c r="H146" s="1363"/>
      <c r="I146" s="662">
        <f t="shared" si="9"/>
        <v>0</v>
      </c>
      <c r="J146" s="1354"/>
      <c r="K146" s="1160"/>
      <c r="L146" s="1354"/>
      <c r="M146" s="1160"/>
      <c r="N146" s="1354"/>
      <c r="O146" s="1160"/>
      <c r="P146" s="1354"/>
      <c r="Q146" s="1160"/>
      <c r="R146" s="1354"/>
      <c r="S146" s="1160"/>
      <c r="T146" s="1354"/>
      <c r="U146" s="1160"/>
      <c r="W146">
        <v>226</v>
      </c>
      <c r="X146" t="s">
        <v>3479</v>
      </c>
      <c r="Y146" t="s">
        <v>3045</v>
      </c>
      <c r="Z146" s="300">
        <v>102</v>
      </c>
      <c r="AA146" s="300" t="s">
        <v>48</v>
      </c>
      <c r="AB146" s="300">
        <v>6</v>
      </c>
      <c r="AC146" s="300" t="s">
        <v>3041</v>
      </c>
    </row>
    <row r="147" spans="1:29" hidden="1" outlineLevel="1">
      <c r="A147" s="1355"/>
      <c r="B147" s="667" t="str">
        <f t="shared" si="10"/>
        <v>WSC-3 - 17.00 HSS6x6x5/16</v>
      </c>
      <c r="C147" s="1331">
        <f t="shared" si="11"/>
        <v>51</v>
      </c>
      <c r="D147" s="1332" t="s">
        <v>2864</v>
      </c>
      <c r="E147" s="1333">
        <v>23.34</v>
      </c>
      <c r="F147" s="1334">
        <f t="shared" si="12"/>
        <v>0.59516999999999998</v>
      </c>
      <c r="G147" s="1335" t="s">
        <v>3234</v>
      </c>
      <c r="H147" s="1363"/>
      <c r="I147" s="662">
        <f t="shared" si="9"/>
        <v>0</v>
      </c>
      <c r="J147" s="1354"/>
      <c r="K147" s="1160"/>
      <c r="L147" s="1354"/>
      <c r="M147" s="1160"/>
      <c r="N147" s="1354"/>
      <c r="O147" s="1160"/>
      <c r="P147" s="1354"/>
      <c r="Q147" s="1160"/>
      <c r="R147" s="1354"/>
      <c r="S147" s="1160"/>
      <c r="T147" s="1354"/>
      <c r="U147" s="1160"/>
      <c r="W147">
        <v>224</v>
      </c>
      <c r="X147" t="s">
        <v>3480</v>
      </c>
      <c r="Y147" t="s">
        <v>3045</v>
      </c>
      <c r="Z147" s="300">
        <v>51</v>
      </c>
      <c r="AA147" s="300" t="s">
        <v>48</v>
      </c>
      <c r="AB147" s="300">
        <v>3</v>
      </c>
      <c r="AC147" s="300" t="s">
        <v>3041</v>
      </c>
    </row>
    <row r="148" spans="1:29" hidden="1" outlineLevel="1">
      <c r="A148" s="1355"/>
      <c r="B148" s="667" t="str">
        <f t="shared" si="10"/>
        <v>WSC-3 - 13.00 HSS6x6x5/16</v>
      </c>
      <c r="C148" s="1331">
        <f t="shared" si="11"/>
        <v>34</v>
      </c>
      <c r="D148" s="1332" t="s">
        <v>2864</v>
      </c>
      <c r="E148" s="1333">
        <v>23.34</v>
      </c>
      <c r="F148" s="1334">
        <f t="shared" si="12"/>
        <v>0.39677999999999997</v>
      </c>
      <c r="G148" s="1335" t="s">
        <v>3234</v>
      </c>
      <c r="H148" s="1363"/>
      <c r="I148" s="662">
        <f t="shared" si="9"/>
        <v>0</v>
      </c>
      <c r="J148" s="1354"/>
      <c r="K148" s="1160"/>
      <c r="L148" s="1354"/>
      <c r="M148" s="1160"/>
      <c r="N148" s="1354"/>
      <c r="O148" s="1160"/>
      <c r="P148" s="1354"/>
      <c r="Q148" s="1160"/>
      <c r="R148" s="1354"/>
      <c r="S148" s="1160"/>
      <c r="T148" s="1354"/>
      <c r="U148" s="1160"/>
      <c r="X148" t="s">
        <v>3481</v>
      </c>
      <c r="Z148" s="300">
        <v>34</v>
      </c>
      <c r="AA148" s="300" t="s">
        <v>48</v>
      </c>
      <c r="AB148" s="300">
        <v>2</v>
      </c>
      <c r="AC148" s="300" t="s">
        <v>3041</v>
      </c>
    </row>
    <row r="149" spans="1:29" hidden="1" outlineLevel="1">
      <c r="A149" s="1355"/>
      <c r="B149" s="667" t="str">
        <f t="shared" si="10"/>
        <v>WSC-4 - 15.00 HSS8x6x1/2</v>
      </c>
      <c r="C149" s="1331">
        <f t="shared" si="11"/>
        <v>30</v>
      </c>
      <c r="D149" s="1332" t="s">
        <v>2864</v>
      </c>
      <c r="E149" s="1333">
        <v>42.05</v>
      </c>
      <c r="F149" s="1334">
        <f t="shared" si="12"/>
        <v>0.63075000000000003</v>
      </c>
      <c r="G149" s="1335" t="s">
        <v>3234</v>
      </c>
      <c r="H149" s="1363"/>
      <c r="I149" s="662">
        <f t="shared" si="9"/>
        <v>0</v>
      </c>
      <c r="J149" s="1354"/>
      <c r="K149" s="1160"/>
      <c r="L149" s="1354"/>
      <c r="M149" s="1160"/>
      <c r="N149" s="1354"/>
      <c r="O149" s="1160"/>
      <c r="P149" s="1354"/>
      <c r="Q149" s="1160"/>
      <c r="R149" s="1354"/>
      <c r="S149" s="1160"/>
      <c r="T149" s="1354"/>
      <c r="U149" s="1160"/>
      <c r="W149">
        <v>237</v>
      </c>
      <c r="X149" t="s">
        <v>3482</v>
      </c>
      <c r="Y149" t="s">
        <v>3131</v>
      </c>
      <c r="Z149" s="300">
        <v>30</v>
      </c>
      <c r="AA149" s="300" t="s">
        <v>48</v>
      </c>
      <c r="AB149" s="300">
        <v>2</v>
      </c>
      <c r="AC149" s="300" t="s">
        <v>3041</v>
      </c>
    </row>
    <row r="150" spans="1:29" hidden="1" outlineLevel="1">
      <c r="A150" s="1355"/>
      <c r="B150" s="667" t="str">
        <f t="shared" si="10"/>
        <v>WSC-4 - 17.00 HSS8x6x1/2</v>
      </c>
      <c r="C150" s="1331">
        <f t="shared" si="11"/>
        <v>17</v>
      </c>
      <c r="D150" s="1332" t="s">
        <v>2864</v>
      </c>
      <c r="E150" s="1333">
        <v>42.05</v>
      </c>
      <c r="F150" s="1334">
        <f t="shared" si="12"/>
        <v>0.35742499999999994</v>
      </c>
      <c r="G150" s="1335" t="s">
        <v>3234</v>
      </c>
      <c r="H150" s="1363"/>
      <c r="I150" s="662">
        <f t="shared" si="9"/>
        <v>0</v>
      </c>
      <c r="J150" s="1354"/>
      <c r="K150" s="1160"/>
      <c r="L150" s="1354"/>
      <c r="M150" s="1160"/>
      <c r="N150" s="1354"/>
      <c r="O150" s="1160"/>
      <c r="P150" s="1354"/>
      <c r="Q150" s="1160"/>
      <c r="R150" s="1354"/>
      <c r="S150" s="1160"/>
      <c r="T150" s="1354"/>
      <c r="U150" s="1160"/>
      <c r="W150">
        <v>227</v>
      </c>
      <c r="X150" t="s">
        <v>3483</v>
      </c>
      <c r="Y150" t="s">
        <v>3045</v>
      </c>
      <c r="Z150" s="300">
        <v>17</v>
      </c>
      <c r="AA150" s="300" t="s">
        <v>48</v>
      </c>
      <c r="AB150" s="300">
        <v>1</v>
      </c>
      <c r="AC150" s="300" t="s">
        <v>3041</v>
      </c>
    </row>
    <row r="151" spans="1:29" hidden="1" outlineLevel="1">
      <c r="A151" s="1355"/>
      <c r="B151" s="667" t="str">
        <f t="shared" si="10"/>
        <v>WSC-5 - 15.00 HSS12x8x5/8</v>
      </c>
      <c r="C151" s="1331">
        <f t="shared" si="11"/>
        <v>30</v>
      </c>
      <c r="D151" s="1332" t="s">
        <v>2864</v>
      </c>
      <c r="E151" s="1333">
        <v>76.33</v>
      </c>
      <c r="F151" s="1334">
        <f t="shared" si="12"/>
        <v>1.1449500000000001</v>
      </c>
      <c r="G151" s="1335" t="s">
        <v>3234</v>
      </c>
      <c r="H151" s="1363"/>
      <c r="I151" s="662">
        <f t="shared" si="9"/>
        <v>0</v>
      </c>
      <c r="J151" s="1354"/>
      <c r="K151" s="1160"/>
      <c r="L151" s="1354"/>
      <c r="M151" s="1160"/>
      <c r="N151" s="1354"/>
      <c r="O151" s="1160"/>
      <c r="P151" s="1354"/>
      <c r="Q151" s="1160"/>
      <c r="R151" s="1354"/>
      <c r="S151" s="1160"/>
      <c r="T151" s="1354"/>
      <c r="U151" s="1160"/>
      <c r="W151">
        <v>235</v>
      </c>
      <c r="X151" t="s">
        <v>3484</v>
      </c>
      <c r="Y151" t="s">
        <v>3131</v>
      </c>
      <c r="Z151" s="300">
        <v>30</v>
      </c>
      <c r="AA151" s="300" t="s">
        <v>48</v>
      </c>
      <c r="AB151" s="300">
        <v>2</v>
      </c>
      <c r="AC151" s="300" t="s">
        <v>3041</v>
      </c>
    </row>
    <row r="152" spans="1:29" hidden="1" outlineLevel="1">
      <c r="A152" s="1355"/>
      <c r="B152" s="667" t="str">
        <f t="shared" si="10"/>
        <v>WSC-5 - 17.00 HSS12x8x5/8</v>
      </c>
      <c r="C152" s="1331">
        <f t="shared" si="11"/>
        <v>34</v>
      </c>
      <c r="D152" s="1332" t="s">
        <v>2864</v>
      </c>
      <c r="E152" s="1333">
        <v>76.33</v>
      </c>
      <c r="F152" s="1334">
        <f t="shared" si="12"/>
        <v>1.2976099999999999</v>
      </c>
      <c r="G152" s="1335" t="s">
        <v>3234</v>
      </c>
      <c r="H152" s="1363"/>
      <c r="I152" s="662">
        <f t="shared" si="9"/>
        <v>0</v>
      </c>
      <c r="J152" s="1354"/>
      <c r="K152" s="1160"/>
      <c r="L152" s="1354"/>
      <c r="M152" s="1160"/>
      <c r="N152" s="1354"/>
      <c r="O152" s="1160"/>
      <c r="P152" s="1354"/>
      <c r="Q152" s="1160"/>
      <c r="R152" s="1354"/>
      <c r="S152" s="1160"/>
      <c r="T152" s="1354"/>
      <c r="U152" s="1160"/>
      <c r="W152">
        <v>228</v>
      </c>
      <c r="X152" t="s">
        <v>3485</v>
      </c>
      <c r="Y152" t="s">
        <v>3045</v>
      </c>
      <c r="Z152" s="300">
        <v>34</v>
      </c>
      <c r="AA152" s="300" t="s">
        <v>48</v>
      </c>
      <c r="AB152" s="300">
        <v>2</v>
      </c>
      <c r="AC152" s="300" t="s">
        <v>3041</v>
      </c>
    </row>
    <row r="153" spans="1:29" hidden="1" outlineLevel="1">
      <c r="A153" s="1355"/>
      <c r="B153" s="667" t="str">
        <f t="shared" si="10"/>
        <v>WSC-6 - 15.00 HSS12x6x5/8</v>
      </c>
      <c r="C153" s="1331">
        <f t="shared" si="11"/>
        <v>30</v>
      </c>
      <c r="D153" s="1332" t="s">
        <v>2864</v>
      </c>
      <c r="E153" s="1333">
        <v>67.819999999999993</v>
      </c>
      <c r="F153" s="1334">
        <f t="shared" si="12"/>
        <v>1.0172999999999999</v>
      </c>
      <c r="G153" s="1335" t="s">
        <v>3234</v>
      </c>
      <c r="H153" s="1363"/>
      <c r="I153" s="662">
        <f t="shared" si="9"/>
        <v>0</v>
      </c>
      <c r="J153" s="1354"/>
      <c r="K153" s="1160"/>
      <c r="L153" s="1354"/>
      <c r="M153" s="1160"/>
      <c r="N153" s="1354"/>
      <c r="O153" s="1160"/>
      <c r="P153" s="1354"/>
      <c r="Q153" s="1160"/>
      <c r="R153" s="1354"/>
      <c r="S153" s="1160"/>
      <c r="T153" s="1354"/>
      <c r="U153" s="1160"/>
      <c r="W153">
        <v>241</v>
      </c>
      <c r="X153" t="s">
        <v>3486</v>
      </c>
      <c r="Y153" t="s">
        <v>3131</v>
      </c>
      <c r="Z153" s="300">
        <v>30</v>
      </c>
      <c r="AA153" s="300" t="s">
        <v>48</v>
      </c>
      <c r="AB153" s="300">
        <v>2</v>
      </c>
      <c r="AC153" s="300" t="s">
        <v>3041</v>
      </c>
    </row>
    <row r="154" spans="1:29" hidden="1" outlineLevel="1">
      <c r="A154" s="1355"/>
      <c r="B154" s="667" t="str">
        <f t="shared" si="10"/>
        <v>WSC-6 - 17.00 HSS12x6x5/8</v>
      </c>
      <c r="C154" s="1331">
        <f t="shared" si="11"/>
        <v>34</v>
      </c>
      <c r="D154" s="1332" t="s">
        <v>2864</v>
      </c>
      <c r="E154" s="1333">
        <v>67.819999999999993</v>
      </c>
      <c r="F154" s="1334">
        <f t="shared" si="12"/>
        <v>1.1529399999999999</v>
      </c>
      <c r="G154" s="1335" t="s">
        <v>3234</v>
      </c>
      <c r="H154" s="1363"/>
      <c r="I154" s="662">
        <f t="shared" si="9"/>
        <v>0</v>
      </c>
      <c r="J154" s="1354"/>
      <c r="K154" s="1160"/>
      <c r="L154" s="1354"/>
      <c r="M154" s="1160"/>
      <c r="N154" s="1354"/>
      <c r="O154" s="1160"/>
      <c r="P154" s="1354"/>
      <c r="Q154" s="1160"/>
      <c r="R154" s="1354"/>
      <c r="S154" s="1160"/>
      <c r="T154" s="1354"/>
      <c r="U154" s="1160"/>
      <c r="W154">
        <v>229</v>
      </c>
      <c r="X154" t="s">
        <v>3487</v>
      </c>
      <c r="Y154" t="s">
        <v>3045</v>
      </c>
      <c r="Z154" s="300">
        <v>34</v>
      </c>
      <c r="AA154" s="300" t="s">
        <v>48</v>
      </c>
      <c r="AB154" s="300">
        <v>2</v>
      </c>
      <c r="AC154" s="300" t="s">
        <v>3041</v>
      </c>
    </row>
    <row r="155" spans="1:29" hidden="1" outlineLevel="1">
      <c r="A155" s="1355"/>
      <c r="B155" s="667" t="str">
        <f t="shared" si="10"/>
        <v>WSC-7 - 15.00 W10X54</v>
      </c>
      <c r="C155" s="1331">
        <f t="shared" si="11"/>
        <v>150</v>
      </c>
      <c r="D155" s="1332" t="s">
        <v>2864</v>
      </c>
      <c r="E155" s="1333">
        <v>54</v>
      </c>
      <c r="F155" s="1334">
        <f t="shared" si="12"/>
        <v>4.05</v>
      </c>
      <c r="G155" s="1335" t="s">
        <v>3234</v>
      </c>
      <c r="H155" s="1363"/>
      <c r="I155" s="662">
        <f t="shared" si="9"/>
        <v>0</v>
      </c>
      <c r="J155" s="1354"/>
      <c r="K155" s="1160"/>
      <c r="L155" s="1354"/>
      <c r="M155" s="1160"/>
      <c r="N155" s="1354"/>
      <c r="O155" s="1160"/>
      <c r="P155" s="1354"/>
      <c r="Q155" s="1160"/>
      <c r="R155" s="1354"/>
      <c r="S155" s="1160"/>
      <c r="T155" s="1354"/>
      <c r="U155" s="1160"/>
      <c r="W155">
        <v>233</v>
      </c>
      <c r="X155" t="s">
        <v>3488</v>
      </c>
      <c r="Y155" t="s">
        <v>3131</v>
      </c>
      <c r="Z155" s="300">
        <v>150</v>
      </c>
      <c r="AA155" s="300" t="s">
        <v>48</v>
      </c>
      <c r="AB155" s="300">
        <v>10</v>
      </c>
      <c r="AC155" s="300" t="s">
        <v>3041</v>
      </c>
    </row>
    <row r="156" spans="1:29" hidden="1" outlineLevel="1">
      <c r="A156" s="1355"/>
      <c r="B156" s="667" t="str">
        <f t="shared" si="10"/>
        <v>WSC-8 - 09.67 W8X24</v>
      </c>
      <c r="C156" s="1331">
        <f t="shared" si="11"/>
        <v>174</v>
      </c>
      <c r="D156" s="1332" t="s">
        <v>2864</v>
      </c>
      <c r="E156" s="1333">
        <v>25</v>
      </c>
      <c r="F156" s="1334">
        <f t="shared" si="12"/>
        <v>2.1749999999999998</v>
      </c>
      <c r="G156" s="1335" t="s">
        <v>3234</v>
      </c>
      <c r="H156" s="1363"/>
      <c r="I156" s="662">
        <f t="shared" si="9"/>
        <v>0</v>
      </c>
      <c r="J156" s="1354"/>
      <c r="K156" s="1160"/>
      <c r="L156" s="1354"/>
      <c r="M156" s="1160"/>
      <c r="N156" s="1354"/>
      <c r="O156" s="1160"/>
      <c r="P156" s="1354"/>
      <c r="Q156" s="1160"/>
      <c r="R156" s="1354"/>
      <c r="S156" s="1160"/>
      <c r="T156" s="1354"/>
      <c r="U156" s="1160"/>
      <c r="W156">
        <v>230</v>
      </c>
      <c r="X156" t="s">
        <v>3489</v>
      </c>
      <c r="Y156" t="s">
        <v>3388</v>
      </c>
      <c r="Z156" s="300">
        <v>174</v>
      </c>
      <c r="AA156" s="300" t="s">
        <v>48</v>
      </c>
      <c r="AB156" s="300">
        <v>18</v>
      </c>
      <c r="AC156" s="300" t="s">
        <v>3041</v>
      </c>
    </row>
    <row r="157" spans="1:29" hidden="1" outlineLevel="1">
      <c r="A157" s="1355"/>
      <c r="B157" s="667" t="str">
        <f t="shared" si="10"/>
        <v>WSC-9 - 14.83 W12X26</v>
      </c>
      <c r="C157" s="1331">
        <f t="shared" si="11"/>
        <v>59.33</v>
      </c>
      <c r="D157" s="1332" t="s">
        <v>2864</v>
      </c>
      <c r="E157" s="1333">
        <v>26</v>
      </c>
      <c r="F157" s="1334">
        <f t="shared" si="12"/>
        <v>0.77128999999999992</v>
      </c>
      <c r="G157" s="1335" t="s">
        <v>3234</v>
      </c>
      <c r="H157" s="1363"/>
      <c r="I157" s="662">
        <f t="shared" si="9"/>
        <v>0</v>
      </c>
      <c r="J157" s="1354"/>
      <c r="K157" s="1160"/>
      <c r="L157" s="1354"/>
      <c r="M157" s="1160"/>
      <c r="N157" s="1354"/>
      <c r="O157" s="1160"/>
      <c r="P157" s="1354"/>
      <c r="Q157" s="1160"/>
      <c r="R157" s="1354"/>
      <c r="S157" s="1160"/>
      <c r="T157" s="1354"/>
      <c r="U157" s="1160"/>
      <c r="W157">
        <v>231</v>
      </c>
      <c r="X157" t="s">
        <v>3490</v>
      </c>
      <c r="Y157" t="s">
        <v>3475</v>
      </c>
      <c r="Z157" s="300">
        <v>59.33</v>
      </c>
      <c r="AA157" s="300" t="s">
        <v>48</v>
      </c>
      <c r="AB157" s="300">
        <v>4</v>
      </c>
      <c r="AC157" s="300" t="s">
        <v>3041</v>
      </c>
    </row>
    <row r="158" spans="1:29" collapsed="1">
      <c r="A158" s="1355"/>
      <c r="B158" s="667"/>
      <c r="C158" s="1331"/>
      <c r="D158" s="1332"/>
      <c r="E158" s="1335"/>
      <c r="F158" s="1334"/>
      <c r="G158" s="1335"/>
      <c r="H158" s="1363"/>
      <c r="I158" s="662">
        <f t="shared" ref="I158:I275" si="13">ROUND(F158*H158,0)</f>
        <v>0</v>
      </c>
      <c r="J158" s="1354"/>
      <c r="K158" s="1160"/>
      <c r="L158" s="1354"/>
      <c r="M158" s="1160"/>
      <c r="N158" s="1354"/>
      <c r="O158" s="1160"/>
      <c r="P158" s="1354"/>
      <c r="Q158" s="1160"/>
      <c r="R158" s="1354"/>
      <c r="S158" s="1160"/>
      <c r="T158" s="1354"/>
      <c r="U158" s="1160"/>
    </row>
    <row r="159" spans="1:29">
      <c r="A159" s="1355"/>
      <c r="B159" s="652" t="s">
        <v>3491</v>
      </c>
      <c r="C159" s="1331"/>
      <c r="D159" s="1332"/>
      <c r="E159" s="1335"/>
      <c r="F159" s="1334"/>
      <c r="G159" s="1335"/>
      <c r="H159" s="1363"/>
      <c r="I159" s="662">
        <f t="shared" si="13"/>
        <v>0</v>
      </c>
      <c r="J159" s="1354"/>
      <c r="K159" s="1160"/>
      <c r="L159" s="1354"/>
      <c r="M159" s="1160"/>
      <c r="N159" s="1354"/>
      <c r="O159" s="1160"/>
      <c r="P159" s="1354"/>
      <c r="Q159" s="1160"/>
      <c r="R159" s="1354"/>
      <c r="S159" s="1160"/>
      <c r="T159" s="1354"/>
      <c r="U159" s="1160"/>
    </row>
    <row r="160" spans="1:29">
      <c r="A160" s="1355"/>
      <c r="B160" s="667" t="s">
        <v>3492</v>
      </c>
      <c r="C160" s="1331">
        <v>22</v>
      </c>
      <c r="D160" s="1332" t="s">
        <v>2864</v>
      </c>
      <c r="E160" s="1334">
        <v>20.7</v>
      </c>
      <c r="F160" s="1334">
        <f>C160*E160/2000</f>
        <v>0.22769999999999999</v>
      </c>
      <c r="G160" s="1335" t="s">
        <v>3234</v>
      </c>
      <c r="H160" s="1363"/>
      <c r="I160" s="662">
        <f t="shared" si="13"/>
        <v>0</v>
      </c>
      <c r="J160" s="1354"/>
      <c r="K160" s="1160"/>
      <c r="L160" s="1354"/>
      <c r="M160" s="1160"/>
      <c r="N160" s="1354"/>
      <c r="O160" s="1160"/>
      <c r="P160" s="1354"/>
      <c r="Q160" s="1160"/>
      <c r="R160" s="1354"/>
      <c r="S160" s="1160"/>
      <c r="T160" s="1354"/>
      <c r="U160" s="1160"/>
    </row>
    <row r="161" spans="1:28">
      <c r="A161" s="1355"/>
      <c r="B161" s="667" t="s">
        <v>3493</v>
      </c>
      <c r="C161" s="1331">
        <f>Z161</f>
        <v>226</v>
      </c>
      <c r="D161" s="1332" t="s">
        <v>2864</v>
      </c>
      <c r="E161" s="1333">
        <v>10.3</v>
      </c>
      <c r="F161" s="1334">
        <f>C161*E161/2000</f>
        <v>1.1639000000000002</v>
      </c>
      <c r="G161" s="1335" t="s">
        <v>3234</v>
      </c>
      <c r="H161" s="1363"/>
      <c r="I161" s="662">
        <f t="shared" si="13"/>
        <v>0</v>
      </c>
      <c r="J161" s="1354"/>
      <c r="K161" s="1367">
        <f>19*1200</f>
        <v>22800</v>
      </c>
      <c r="L161" s="1354" t="s">
        <v>2929</v>
      </c>
      <c r="M161" s="1256">
        <v>23000</v>
      </c>
      <c r="N161" s="1354"/>
      <c r="O161" s="1160"/>
      <c r="P161" s="1354"/>
      <c r="Q161" s="1160"/>
      <c r="R161" s="1354"/>
      <c r="S161" s="1160"/>
      <c r="T161" s="1354"/>
      <c r="U161" s="1160"/>
      <c r="W161">
        <v>198</v>
      </c>
      <c r="X161" t="s">
        <v>3494</v>
      </c>
      <c r="Y161" t="s">
        <v>3111</v>
      </c>
      <c r="Z161" s="300">
        <v>226</v>
      </c>
      <c r="AA161" s="300" t="s">
        <v>48</v>
      </c>
      <c r="AB161" t="s">
        <v>2795</v>
      </c>
    </row>
    <row r="162" spans="1:28" s="502" customFormat="1" ht="30">
      <c r="A162" s="1368"/>
      <c r="B162" s="642" t="s">
        <v>3495</v>
      </c>
      <c r="C162" s="1369">
        <v>428</v>
      </c>
      <c r="D162" s="1332" t="s">
        <v>2864</v>
      </c>
      <c r="E162" s="1369">
        <v>11.36</v>
      </c>
      <c r="F162" s="1369">
        <f t="shared" ref="F162:F180" si="14">C162*E162/2000</f>
        <v>2.4310399999999999</v>
      </c>
      <c r="G162" s="1332" t="s">
        <v>3234</v>
      </c>
      <c r="H162" s="1370"/>
      <c r="I162" s="662">
        <f t="shared" si="13"/>
        <v>0</v>
      </c>
      <c r="J162" s="1371"/>
      <c r="K162" s="1372"/>
      <c r="L162" s="1371"/>
      <c r="M162" s="1372"/>
      <c r="N162" s="1371"/>
      <c r="O162" s="1372"/>
      <c r="P162" s="1371"/>
      <c r="Q162" s="1372"/>
      <c r="R162" s="1371"/>
      <c r="S162" s="1372"/>
      <c r="T162" s="1371"/>
      <c r="U162" s="1372"/>
      <c r="Z162" s="503"/>
      <c r="AA162" s="503"/>
    </row>
    <row r="163" spans="1:28" s="502" customFormat="1">
      <c r="A163" s="1368"/>
      <c r="B163" s="642" t="s">
        <v>3496</v>
      </c>
      <c r="C163" s="1369">
        <v>263</v>
      </c>
      <c r="D163" s="1332" t="s">
        <v>2864</v>
      </c>
      <c r="E163" s="1369">
        <v>19.02</v>
      </c>
      <c r="F163" s="1369">
        <f t="shared" ref="F163" si="15">C163*E163/2000</f>
        <v>2.5011300000000003</v>
      </c>
      <c r="G163" s="1332" t="s">
        <v>3234</v>
      </c>
      <c r="H163" s="1370"/>
      <c r="I163" s="662">
        <f t="shared" si="13"/>
        <v>0</v>
      </c>
      <c r="J163" s="1371"/>
      <c r="K163" s="1372"/>
      <c r="L163" s="1371"/>
      <c r="M163" s="1372"/>
      <c r="N163" s="1371"/>
      <c r="O163" s="1372"/>
      <c r="P163" s="1371"/>
      <c r="Q163" s="1372"/>
      <c r="R163" s="1371"/>
      <c r="S163" s="1372"/>
      <c r="T163" s="1371"/>
      <c r="U163" s="1372"/>
      <c r="Z163" s="503"/>
      <c r="AA163" s="503"/>
    </row>
    <row r="164" spans="1:28" s="502" customFormat="1">
      <c r="A164" s="1368"/>
      <c r="B164" s="642" t="s">
        <v>3497</v>
      </c>
      <c r="C164" s="1369">
        <v>146</v>
      </c>
      <c r="D164" s="1332" t="s">
        <v>2803</v>
      </c>
      <c r="E164" s="1369">
        <f>1*1.5*40.8</f>
        <v>61.199999999999996</v>
      </c>
      <c r="F164" s="1369">
        <f t="shared" ref="F164" si="16">C164*E164/2000</f>
        <v>4.4675999999999991</v>
      </c>
      <c r="G164" s="1332" t="s">
        <v>3234</v>
      </c>
      <c r="H164" s="1370"/>
      <c r="I164" s="662">
        <f t="shared" si="13"/>
        <v>0</v>
      </c>
      <c r="J164" s="1371"/>
      <c r="K164" s="1372"/>
      <c r="L164" s="1371"/>
      <c r="M164" s="1372"/>
      <c r="N164" s="1371"/>
      <c r="O164" s="1372"/>
      <c r="P164" s="1371"/>
      <c r="Q164" s="1372"/>
      <c r="R164" s="1371"/>
      <c r="S164" s="1372"/>
      <c r="T164" s="1371"/>
      <c r="U164" s="1372"/>
      <c r="Z164" s="503"/>
      <c r="AA164" s="503"/>
    </row>
    <row r="165" spans="1:28">
      <c r="A165" s="1355"/>
      <c r="B165" s="667" t="s">
        <v>3498</v>
      </c>
      <c r="C165" s="1331">
        <v>131</v>
      </c>
      <c r="D165" s="1332" t="s">
        <v>2864</v>
      </c>
      <c r="E165" s="1333">
        <v>15</v>
      </c>
      <c r="F165" s="1334">
        <f t="shared" si="14"/>
        <v>0.98250000000000004</v>
      </c>
      <c r="G165" s="1335" t="s">
        <v>3234</v>
      </c>
      <c r="H165" s="1370"/>
      <c r="I165" s="662">
        <f t="shared" si="13"/>
        <v>0</v>
      </c>
      <c r="J165" s="1354"/>
      <c r="K165" s="1160"/>
      <c r="L165" s="1354"/>
      <c r="M165" s="1160"/>
      <c r="N165" s="1354"/>
      <c r="O165" s="1160"/>
      <c r="P165" s="1354"/>
      <c r="Q165" s="1160"/>
      <c r="R165" s="1354"/>
      <c r="S165" s="1160"/>
      <c r="T165" s="1354"/>
      <c r="U165" s="1160"/>
    </row>
    <row r="166" spans="1:28">
      <c r="A166" s="1355"/>
      <c r="B166" s="667" t="s">
        <v>3499</v>
      </c>
      <c r="C166" s="1331">
        <v>165</v>
      </c>
      <c r="D166" s="1332" t="s">
        <v>2864</v>
      </c>
      <c r="E166" s="1333">
        <v>15</v>
      </c>
      <c r="F166" s="1334">
        <f t="shared" si="14"/>
        <v>1.2375</v>
      </c>
      <c r="G166" s="1335" t="s">
        <v>3234</v>
      </c>
      <c r="H166" s="1363"/>
      <c r="I166" s="662">
        <f t="shared" si="13"/>
        <v>0</v>
      </c>
      <c r="J166" s="1354"/>
      <c r="K166" s="1160"/>
      <c r="L166" s="1354"/>
      <c r="M166" s="1160"/>
      <c r="N166" s="1354"/>
      <c r="O166" s="1160"/>
      <c r="P166" s="1354"/>
      <c r="Q166" s="1160"/>
      <c r="R166" s="1354"/>
      <c r="S166" s="1160"/>
      <c r="T166" s="1354"/>
      <c r="U166" s="1160"/>
    </row>
    <row r="167" spans="1:28">
      <c r="A167" s="1355"/>
      <c r="B167" s="667" t="s">
        <v>3500</v>
      </c>
      <c r="C167" s="1331">
        <v>279</v>
      </c>
      <c r="D167" s="1332" t="s">
        <v>2864</v>
      </c>
      <c r="E167" s="1333">
        <v>15.62</v>
      </c>
      <c r="F167" s="1334">
        <f t="shared" si="14"/>
        <v>2.1789899999999998</v>
      </c>
      <c r="G167" s="1335" t="s">
        <v>3234</v>
      </c>
      <c r="H167" s="1363"/>
      <c r="I167" s="662">
        <f t="shared" si="13"/>
        <v>0</v>
      </c>
      <c r="J167" s="1354"/>
      <c r="K167" s="1160"/>
      <c r="L167" s="1354"/>
      <c r="M167" s="1160"/>
      <c r="N167" s="1354"/>
      <c r="O167" s="1160"/>
      <c r="P167" s="1354"/>
      <c r="Q167" s="1160"/>
      <c r="R167" s="1354"/>
      <c r="S167" s="1160"/>
      <c r="T167" s="1354"/>
      <c r="U167" s="1160"/>
      <c r="AB167" t="s">
        <v>2795</v>
      </c>
    </row>
    <row r="168" spans="1:28">
      <c r="A168" s="1355"/>
      <c r="B168" s="667" t="s">
        <v>3501</v>
      </c>
      <c r="C168" s="1331">
        <v>129</v>
      </c>
      <c r="D168" s="1332" t="s">
        <v>2864</v>
      </c>
      <c r="E168" s="1333">
        <v>4.32</v>
      </c>
      <c r="F168" s="1334">
        <f t="shared" si="14"/>
        <v>0.27864000000000005</v>
      </c>
      <c r="G168" s="1335" t="s">
        <v>3234</v>
      </c>
      <c r="H168" s="1363"/>
      <c r="I168" s="662">
        <f t="shared" si="13"/>
        <v>0</v>
      </c>
      <c r="J168" s="1354"/>
      <c r="K168" s="1160"/>
      <c r="L168" s="1354"/>
      <c r="M168" s="1160"/>
      <c r="N168" s="1354"/>
      <c r="O168" s="1160"/>
      <c r="P168" s="1354"/>
      <c r="Q168" s="1160"/>
      <c r="R168" s="1354"/>
      <c r="S168" s="1160"/>
      <c r="T168" s="1354"/>
      <c r="U168" s="1160"/>
    </row>
    <row r="169" spans="1:28">
      <c r="A169" s="1355"/>
      <c r="B169" s="667" t="s">
        <v>3502</v>
      </c>
      <c r="C169" s="1331">
        <v>575</v>
      </c>
      <c r="D169" s="1332" t="s">
        <v>2864</v>
      </c>
      <c r="E169" s="1333">
        <v>20.7</v>
      </c>
      <c r="F169" s="1334">
        <f t="shared" si="14"/>
        <v>5.9512499999999999</v>
      </c>
      <c r="G169" s="1335" t="s">
        <v>3234</v>
      </c>
      <c r="H169" s="1363"/>
      <c r="I169" s="662">
        <f t="shared" si="13"/>
        <v>0</v>
      </c>
      <c r="J169" s="1354"/>
      <c r="K169" s="1160"/>
      <c r="L169" s="1354"/>
      <c r="M169" s="1160"/>
      <c r="N169" s="1354"/>
      <c r="O169" s="1160"/>
      <c r="P169" s="1354"/>
      <c r="Q169" s="1160"/>
      <c r="R169" s="1354"/>
      <c r="S169" s="1160"/>
      <c r="T169" s="1354"/>
      <c r="U169" s="1160"/>
    </row>
    <row r="170" spans="1:28">
      <c r="A170" s="1355"/>
      <c r="B170" s="667" t="s">
        <v>3503</v>
      </c>
      <c r="C170" s="1331">
        <v>197</v>
      </c>
      <c r="D170" s="1332" t="s">
        <v>2864</v>
      </c>
      <c r="E170" s="1333">
        <v>20.7</v>
      </c>
      <c r="F170" s="1334">
        <f t="shared" si="14"/>
        <v>2.0389499999999998</v>
      </c>
      <c r="G170" s="1335" t="s">
        <v>3234</v>
      </c>
      <c r="I170" s="662">
        <f t="shared" si="13"/>
        <v>0</v>
      </c>
      <c r="J170" s="1354"/>
      <c r="K170" s="1160"/>
      <c r="L170" s="1354"/>
      <c r="M170" s="1160"/>
      <c r="N170" s="1354"/>
      <c r="O170" s="1160"/>
      <c r="P170" s="1354"/>
      <c r="Q170" s="1160"/>
      <c r="R170" s="1354"/>
      <c r="S170" s="1160"/>
      <c r="T170" s="1354"/>
      <c r="U170" s="1160"/>
    </row>
    <row r="171" spans="1:28" s="175" customFormat="1" ht="30">
      <c r="A171" s="1355"/>
      <c r="B171" s="642" t="s">
        <v>3504</v>
      </c>
      <c r="C171" s="1331">
        <v>469</v>
      </c>
      <c r="D171" s="1332" t="s">
        <v>2864</v>
      </c>
      <c r="E171" s="1373">
        <v>4.9000000000000004</v>
      </c>
      <c r="F171" s="1331">
        <f t="shared" si="14"/>
        <v>1.1490500000000001</v>
      </c>
      <c r="G171" s="1332" t="s">
        <v>3234</v>
      </c>
      <c r="H171" s="1363"/>
      <c r="I171" s="668">
        <f t="shared" si="13"/>
        <v>0</v>
      </c>
      <c r="J171" s="1374"/>
      <c r="K171" s="1236"/>
      <c r="L171" s="1374"/>
      <c r="M171" s="1236"/>
      <c r="N171" s="1374"/>
      <c r="O171" s="1236"/>
      <c r="P171" s="1374"/>
      <c r="Q171" s="1236"/>
      <c r="R171" s="1374"/>
      <c r="S171" s="1236"/>
      <c r="T171" s="1374"/>
      <c r="U171" s="1236"/>
      <c r="Z171" s="301"/>
      <c r="AA171" s="301"/>
    </row>
    <row r="172" spans="1:28">
      <c r="A172" s="1355"/>
      <c r="B172" s="667" t="s">
        <v>3505</v>
      </c>
      <c r="C172" s="1331">
        <v>64</v>
      </c>
      <c r="D172" s="1332" t="s">
        <v>2864</v>
      </c>
      <c r="E172" s="1333">
        <v>13.91</v>
      </c>
      <c r="F172" s="1334">
        <f t="shared" si="14"/>
        <v>0.44512000000000002</v>
      </c>
      <c r="G172" s="1335" t="s">
        <v>3234</v>
      </c>
      <c r="H172" s="1363"/>
      <c r="I172" s="662">
        <f t="shared" si="13"/>
        <v>0</v>
      </c>
      <c r="J172" s="1354"/>
      <c r="K172" s="1160"/>
      <c r="L172" s="1354"/>
      <c r="M172" s="1160"/>
      <c r="N172" s="1354"/>
      <c r="O172" s="1160"/>
      <c r="P172" s="1354"/>
      <c r="Q172" s="1160"/>
      <c r="R172" s="1354"/>
      <c r="S172" s="1160"/>
      <c r="T172" s="1354"/>
      <c r="U172" s="1160"/>
    </row>
    <row r="173" spans="1:28">
      <c r="A173" s="1355"/>
      <c r="B173" s="667" t="s">
        <v>3506</v>
      </c>
      <c r="C173" s="1331">
        <v>598</v>
      </c>
      <c r="D173" s="1332" t="s">
        <v>2864</v>
      </c>
      <c r="E173" s="1333">
        <v>20.7</v>
      </c>
      <c r="F173" s="1334">
        <f t="shared" si="14"/>
        <v>6.1893000000000002</v>
      </c>
      <c r="G173" s="1335" t="s">
        <v>3234</v>
      </c>
      <c r="H173" s="1363"/>
      <c r="I173" s="662">
        <f t="shared" si="13"/>
        <v>0</v>
      </c>
      <c r="J173" s="1354"/>
      <c r="K173" s="1160"/>
      <c r="L173" s="1354"/>
      <c r="M173" s="1160"/>
      <c r="N173" s="1354"/>
      <c r="O173" s="1160"/>
      <c r="P173" s="1354"/>
      <c r="Q173" s="1160"/>
      <c r="R173" s="1354"/>
      <c r="S173" s="1160"/>
      <c r="T173" s="1354"/>
      <c r="U173" s="1160"/>
    </row>
    <row r="174" spans="1:28">
      <c r="A174" s="1355"/>
      <c r="B174" s="667" t="s">
        <v>3507</v>
      </c>
      <c r="C174" s="1331">
        <v>177</v>
      </c>
      <c r="D174" s="1332" t="s">
        <v>2864</v>
      </c>
      <c r="E174" s="1333">
        <v>22.42</v>
      </c>
      <c r="F174" s="1334">
        <f t="shared" si="14"/>
        <v>1.98417</v>
      </c>
      <c r="G174" s="1335" t="s">
        <v>3234</v>
      </c>
      <c r="H174" s="1363"/>
      <c r="I174" s="662">
        <f t="shared" si="13"/>
        <v>0</v>
      </c>
      <c r="J174" s="1354"/>
      <c r="K174" s="1160"/>
      <c r="L174" s="1354"/>
      <c r="M174" s="1160"/>
      <c r="N174" s="1354"/>
      <c r="O174" s="1160"/>
      <c r="P174" s="1354"/>
      <c r="Q174" s="1160"/>
      <c r="R174" s="1354"/>
      <c r="S174" s="1160"/>
      <c r="T174" s="1354"/>
      <c r="U174" s="1160"/>
    </row>
    <row r="175" spans="1:28">
      <c r="A175" s="1355"/>
      <c r="B175" s="667" t="s">
        <v>3508</v>
      </c>
      <c r="C175" s="1331">
        <v>213</v>
      </c>
      <c r="D175" s="1332" t="s">
        <v>2864</v>
      </c>
      <c r="E175" s="1333">
        <v>19.02</v>
      </c>
      <c r="F175" s="1334">
        <f t="shared" si="14"/>
        <v>2.02563</v>
      </c>
      <c r="G175" s="1335" t="s">
        <v>3234</v>
      </c>
      <c r="H175" s="1363"/>
      <c r="I175" s="662">
        <f t="shared" si="13"/>
        <v>0</v>
      </c>
      <c r="J175" s="1354"/>
      <c r="K175" s="1160"/>
      <c r="L175" s="1354"/>
      <c r="M175" s="1160"/>
      <c r="N175" s="1354"/>
      <c r="O175" s="1160"/>
      <c r="P175" s="1354"/>
      <c r="Q175" s="1160"/>
      <c r="R175" s="1354"/>
      <c r="S175" s="1160"/>
      <c r="T175" s="1354"/>
      <c r="U175" s="1160"/>
    </row>
    <row r="176" spans="1:28">
      <c r="A176" s="1355"/>
      <c r="B176" s="667" t="s">
        <v>3509</v>
      </c>
      <c r="C176" s="1331">
        <v>29</v>
      </c>
      <c r="D176" s="1332" t="s">
        <v>2864</v>
      </c>
      <c r="E176" s="1333">
        <v>19.02</v>
      </c>
      <c r="F176" s="1334">
        <f t="shared" si="14"/>
        <v>0.27579000000000004</v>
      </c>
      <c r="G176" s="1335" t="s">
        <v>3234</v>
      </c>
      <c r="H176" s="1363"/>
      <c r="I176" s="662">
        <f t="shared" si="13"/>
        <v>0</v>
      </c>
      <c r="J176" s="1354"/>
      <c r="K176" s="1160"/>
      <c r="L176" s="1354"/>
      <c r="M176" s="1160"/>
      <c r="N176" s="1354"/>
      <c r="O176" s="1160"/>
      <c r="P176" s="1354"/>
      <c r="Q176" s="1160"/>
      <c r="R176" s="1354"/>
      <c r="S176" s="1160"/>
      <c r="T176" s="1354"/>
      <c r="U176" s="1160"/>
    </row>
    <row r="177" spans="1:27">
      <c r="A177" s="1355"/>
      <c r="B177" s="667" t="s">
        <v>3510</v>
      </c>
      <c r="C177" s="1331">
        <v>114</v>
      </c>
      <c r="D177" s="1332" t="s">
        <v>2864</v>
      </c>
      <c r="E177" s="1333">
        <v>19.02</v>
      </c>
      <c r="F177" s="1334">
        <f t="shared" si="14"/>
        <v>1.0841399999999999</v>
      </c>
      <c r="G177" s="1335" t="s">
        <v>3234</v>
      </c>
      <c r="H177" s="1363"/>
      <c r="I177" s="662">
        <f t="shared" si="13"/>
        <v>0</v>
      </c>
      <c r="J177" s="1354"/>
      <c r="K177" s="1160"/>
      <c r="L177" s="1354"/>
      <c r="M177" s="1160"/>
      <c r="N177" s="1354"/>
      <c r="O177" s="1160"/>
      <c r="P177" s="1354"/>
      <c r="Q177" s="1160"/>
      <c r="R177" s="1354"/>
      <c r="S177" s="1160"/>
      <c r="T177" s="1354"/>
      <c r="U177" s="1160"/>
    </row>
    <row r="178" spans="1:27">
      <c r="A178" s="1355"/>
      <c r="B178" s="667" t="s">
        <v>3511</v>
      </c>
      <c r="C178" s="1331">
        <v>14</v>
      </c>
      <c r="D178" s="1332" t="s">
        <v>2864</v>
      </c>
      <c r="E178" s="1333">
        <v>19.02</v>
      </c>
      <c r="F178" s="1334">
        <f t="shared" si="14"/>
        <v>0.13313999999999998</v>
      </c>
      <c r="G178" s="1335" t="s">
        <v>3234</v>
      </c>
      <c r="H178" s="1363"/>
      <c r="I178" s="662">
        <f t="shared" si="13"/>
        <v>0</v>
      </c>
      <c r="J178" s="1354"/>
      <c r="K178" s="1160"/>
      <c r="L178" s="1354"/>
      <c r="M178" s="1160"/>
      <c r="N178" s="1354"/>
      <c r="O178" s="1160"/>
      <c r="P178" s="1354"/>
      <c r="Q178" s="1160"/>
      <c r="R178" s="1354"/>
      <c r="S178" s="1160"/>
      <c r="T178" s="1354"/>
      <c r="U178" s="1160"/>
    </row>
    <row r="179" spans="1:27">
      <c r="A179" s="1355"/>
      <c r="B179" s="667" t="s">
        <v>3512</v>
      </c>
      <c r="C179" s="1331">
        <v>32</v>
      </c>
      <c r="D179" s="1332" t="s">
        <v>2864</v>
      </c>
      <c r="E179" s="1333">
        <v>21</v>
      </c>
      <c r="F179" s="1334">
        <f t="shared" si="14"/>
        <v>0.33600000000000002</v>
      </c>
      <c r="G179" s="1335" t="s">
        <v>3234</v>
      </c>
      <c r="H179" s="1363"/>
      <c r="I179" s="662">
        <f t="shared" si="13"/>
        <v>0</v>
      </c>
      <c r="J179" s="1354"/>
      <c r="K179" s="1160"/>
      <c r="L179" s="1354"/>
      <c r="M179" s="1160"/>
      <c r="N179" s="1354"/>
      <c r="O179" s="1160"/>
      <c r="P179" s="1354"/>
      <c r="Q179" s="1160"/>
      <c r="R179" s="1354"/>
      <c r="S179" s="1160"/>
      <c r="T179" s="1354"/>
      <c r="U179" s="1160"/>
    </row>
    <row r="180" spans="1:27">
      <c r="A180" s="1355"/>
      <c r="B180" s="667" t="s">
        <v>3513</v>
      </c>
      <c r="C180" s="1331">
        <v>9</v>
      </c>
      <c r="D180" s="1332" t="s">
        <v>2864</v>
      </c>
      <c r="E180" s="1333">
        <v>12.3</v>
      </c>
      <c r="F180" s="1334">
        <f t="shared" si="14"/>
        <v>5.5350000000000003E-2</v>
      </c>
      <c r="G180" s="1335" t="s">
        <v>3234</v>
      </c>
      <c r="H180" s="1363"/>
      <c r="I180" s="662">
        <f t="shared" si="13"/>
        <v>0</v>
      </c>
      <c r="J180" s="1354"/>
      <c r="K180" s="1160"/>
      <c r="L180" s="1354"/>
      <c r="M180" s="1160"/>
      <c r="N180" s="1354"/>
      <c r="O180" s="1160"/>
      <c r="P180" s="1354"/>
      <c r="Q180" s="1160"/>
      <c r="R180" s="1354"/>
      <c r="S180" s="1160"/>
      <c r="T180" s="1354"/>
      <c r="U180" s="1160"/>
    </row>
    <row r="181" spans="1:27">
      <c r="A181" s="1355"/>
      <c r="B181" s="667"/>
      <c r="C181" s="1331"/>
      <c r="D181" s="1332"/>
      <c r="E181" s="1333"/>
      <c r="F181" s="1334"/>
      <c r="G181" s="1335"/>
      <c r="H181" s="1363"/>
      <c r="I181" s="662">
        <f t="shared" si="13"/>
        <v>0</v>
      </c>
      <c r="J181" s="1354"/>
      <c r="K181" s="1160"/>
      <c r="L181" s="1354"/>
      <c r="M181" s="1160"/>
      <c r="N181" s="1354"/>
      <c r="O181" s="1160"/>
      <c r="P181" s="1354"/>
      <c r="Q181" s="1160"/>
      <c r="R181" s="1354"/>
      <c r="S181" s="1160"/>
      <c r="T181" s="1354"/>
      <c r="U181" s="1160"/>
    </row>
    <row r="182" spans="1:27">
      <c r="A182" s="1355"/>
      <c r="B182" s="667" t="s">
        <v>3514</v>
      </c>
      <c r="C182" s="1366">
        <v>2273</v>
      </c>
      <c r="D182" s="1332" t="s">
        <v>2864</v>
      </c>
      <c r="E182" s="1333">
        <v>6.6</v>
      </c>
      <c r="F182" s="1334">
        <f>C182*E182/2000</f>
        <v>7.5008999999999997</v>
      </c>
      <c r="G182" s="1335" t="s">
        <v>3234</v>
      </c>
      <c r="H182" s="1363"/>
      <c r="I182" s="662">
        <f t="shared" si="13"/>
        <v>0</v>
      </c>
      <c r="J182" s="1354"/>
      <c r="K182" s="1160"/>
      <c r="L182" s="1354"/>
      <c r="M182" s="1160"/>
      <c r="N182" s="1354"/>
      <c r="O182" s="1160"/>
      <c r="P182" s="1354"/>
      <c r="Q182" s="1160"/>
      <c r="R182" s="1354"/>
      <c r="S182" s="1160"/>
      <c r="T182" s="1354"/>
      <c r="U182" s="1160"/>
    </row>
    <row r="183" spans="1:27">
      <c r="A183" s="1355"/>
      <c r="B183" s="667" t="s">
        <v>3515</v>
      </c>
      <c r="C183" s="1331"/>
      <c r="D183" s="1332"/>
      <c r="E183" s="1333"/>
      <c r="F183" s="1334">
        <f>SUM(F44:F182)</f>
        <v>478.47630019999997</v>
      </c>
      <c r="G183" s="1335" t="s">
        <v>3234</v>
      </c>
      <c r="H183" s="1363">
        <v>6000</v>
      </c>
      <c r="I183" s="662">
        <f>ROUND(F183*H183,0)</f>
        <v>2870858</v>
      </c>
      <c r="J183" s="1354"/>
      <c r="K183" s="1160"/>
      <c r="L183" s="1354"/>
      <c r="M183" s="1160"/>
      <c r="N183" s="1354"/>
      <c r="O183" s="1160"/>
      <c r="P183" s="1354"/>
      <c r="Q183" s="1160"/>
      <c r="R183" s="1354"/>
      <c r="S183" s="1160"/>
      <c r="T183" s="1354"/>
      <c r="U183" s="1160"/>
    </row>
    <row r="184" spans="1:27">
      <c r="A184" s="1355"/>
      <c r="B184" s="667" t="s">
        <v>3516</v>
      </c>
      <c r="C184" s="1331"/>
      <c r="D184" s="1332"/>
      <c r="E184" s="1333"/>
      <c r="F184" s="1334">
        <f>F183*0.15</f>
        <v>71.771445029999995</v>
      </c>
      <c r="G184" s="1335" t="s">
        <v>3234</v>
      </c>
      <c r="H184" s="1363">
        <f>H183</f>
        <v>6000</v>
      </c>
      <c r="I184" s="662">
        <f>ROUND(F184*H184,0)</f>
        <v>430629</v>
      </c>
      <c r="J184" s="1354"/>
      <c r="K184" s="1160"/>
      <c r="L184" s="1354"/>
      <c r="M184" s="1160"/>
      <c r="N184" s="1354"/>
      <c r="O184" s="1160"/>
      <c r="P184" s="1354"/>
      <c r="Q184" s="1160"/>
      <c r="R184" s="1354"/>
      <c r="S184" s="1160"/>
      <c r="T184" s="1354"/>
      <c r="U184" s="1160"/>
    </row>
    <row r="185" spans="1:27">
      <c r="A185" s="1355"/>
      <c r="B185" s="667" t="s">
        <v>3361</v>
      </c>
      <c r="C185" s="1331"/>
      <c r="D185" s="1332"/>
      <c r="E185" s="1333"/>
      <c r="F185" s="1334">
        <f>SUM(F183:F184)</f>
        <v>550.24774522999996</v>
      </c>
      <c r="G185" s="1335" t="s">
        <v>3234</v>
      </c>
      <c r="H185" s="1363"/>
      <c r="I185" s="662"/>
      <c r="J185" s="1354"/>
      <c r="K185" s="1160"/>
      <c r="L185" s="1354"/>
      <c r="M185" s="1375" t="s">
        <v>3517</v>
      </c>
      <c r="N185" s="1354"/>
      <c r="O185" s="1160"/>
      <c r="P185" s="1354"/>
      <c r="Q185" s="1160"/>
      <c r="R185" s="1354"/>
      <c r="S185" s="1160"/>
      <c r="T185" s="1354"/>
      <c r="U185" s="1160"/>
    </row>
    <row r="186" spans="1:27">
      <c r="A186" s="1355"/>
      <c r="B186" s="652"/>
      <c r="C186" s="1331"/>
      <c r="D186" s="1332"/>
      <c r="E186" s="1333"/>
      <c r="F186" s="1334"/>
      <c r="G186" s="1335"/>
      <c r="H186" s="1363"/>
      <c r="I186" s="662">
        <f>ROUND(F186*H186,0)</f>
        <v>0</v>
      </c>
      <c r="J186" s="1354"/>
      <c r="K186" s="1160"/>
      <c r="L186" s="1354"/>
      <c r="M186" s="1160"/>
      <c r="N186" s="1354"/>
      <c r="O186" s="1160"/>
      <c r="P186" s="1354"/>
      <c r="Q186" s="1160"/>
      <c r="R186" s="1354"/>
      <c r="S186" s="1160"/>
      <c r="T186" s="1354"/>
      <c r="U186" s="1160"/>
    </row>
    <row r="187" spans="1:27">
      <c r="A187" s="1376" t="s">
        <v>2587</v>
      </c>
      <c r="B187" s="652" t="s">
        <v>2621</v>
      </c>
      <c r="C187" s="1331"/>
      <c r="D187" s="1332"/>
      <c r="E187" s="1333"/>
      <c r="F187" s="1377">
        <f>SUM(F188:F196)</f>
        <v>32.24098</v>
      </c>
      <c r="G187" s="1335" t="s">
        <v>3234</v>
      </c>
      <c r="H187" s="1363">
        <f>H183</f>
        <v>6000</v>
      </c>
      <c r="I187" s="1378">
        <f>ROUND(F187*H187,0)</f>
        <v>193446</v>
      </c>
      <c r="J187" s="1374"/>
      <c r="K187" s="1262">
        <f>$I187</f>
        <v>193446</v>
      </c>
      <c r="L187" s="1354"/>
      <c r="M187" s="1262">
        <f>$I187</f>
        <v>193446</v>
      </c>
      <c r="N187" s="1374"/>
      <c r="O187" s="1262">
        <f>$I187</f>
        <v>193446</v>
      </c>
      <c r="P187" s="1374"/>
      <c r="Q187" s="1160"/>
      <c r="R187" s="1354"/>
      <c r="S187" s="1160"/>
      <c r="T187" s="1354"/>
      <c r="U187" s="1160"/>
    </row>
    <row r="188" spans="1:27">
      <c r="A188" s="1355"/>
      <c r="B188" s="667" t="s">
        <v>3518</v>
      </c>
      <c r="C188" s="1331">
        <v>263</v>
      </c>
      <c r="D188" s="1332" t="s">
        <v>2864</v>
      </c>
      <c r="E188" s="1333">
        <v>19.02</v>
      </c>
      <c r="F188" s="1377">
        <f t="shared" ref="F188" si="17">C188*E188/2000</f>
        <v>2.5011300000000003</v>
      </c>
      <c r="G188" s="1335" t="s">
        <v>3234</v>
      </c>
      <c r="H188" s="1363"/>
      <c r="I188" s="662">
        <f t="shared" ref="I188:I198" si="18">ROUND(F188*H188,0)</f>
        <v>0</v>
      </c>
      <c r="J188" s="1354"/>
      <c r="K188" s="1160"/>
      <c r="L188" s="1354"/>
      <c r="M188" s="1160"/>
      <c r="N188" s="1354"/>
      <c r="O188" s="1160"/>
      <c r="P188" s="1354"/>
      <c r="Q188" s="1160"/>
      <c r="R188" s="1354"/>
      <c r="S188" s="1160"/>
      <c r="T188" s="1354"/>
      <c r="U188" s="1160"/>
    </row>
    <row r="189" spans="1:27">
      <c r="A189" s="1355"/>
      <c r="B189" s="667" t="s">
        <v>3519</v>
      </c>
      <c r="C189" s="1331">
        <v>176</v>
      </c>
      <c r="D189" s="1332" t="s">
        <v>2864</v>
      </c>
      <c r="E189" s="1379">
        <v>90</v>
      </c>
      <c r="F189" s="1377">
        <f t="shared" ref="F189" si="19">C189*E189/2000</f>
        <v>7.92</v>
      </c>
      <c r="G189" s="1335" t="s">
        <v>3234</v>
      </c>
      <c r="H189" s="1363"/>
      <c r="I189" s="662">
        <f t="shared" si="18"/>
        <v>0</v>
      </c>
      <c r="J189" s="1354"/>
      <c r="K189" s="1160"/>
      <c r="L189" s="1354"/>
      <c r="M189" s="1160"/>
      <c r="N189" s="1354"/>
      <c r="O189" s="1160"/>
      <c r="P189" s="1354"/>
      <c r="Q189" s="1160"/>
      <c r="R189" s="1354"/>
      <c r="S189" s="1160"/>
      <c r="T189" s="1354"/>
      <c r="U189" s="1160"/>
    </row>
    <row r="190" spans="1:27" s="175" customFormat="1" ht="30">
      <c r="A190" s="1355"/>
      <c r="B190" s="1380" t="s">
        <v>3520</v>
      </c>
      <c r="C190" s="1331">
        <v>428</v>
      </c>
      <c r="D190" s="1332" t="s">
        <v>2864</v>
      </c>
      <c r="E190" s="1373">
        <v>13.7</v>
      </c>
      <c r="F190" s="1381">
        <f t="shared" ref="F190:F196" si="20">C190*E190/2000</f>
        <v>2.9317999999999995</v>
      </c>
      <c r="G190" s="1332" t="s">
        <v>3234</v>
      </c>
      <c r="H190" s="1382"/>
      <c r="I190" s="668">
        <f t="shared" si="18"/>
        <v>0</v>
      </c>
      <c r="J190" s="1374"/>
      <c r="K190" s="1236"/>
      <c r="L190" s="1374"/>
      <c r="M190" s="1236"/>
      <c r="N190" s="1374"/>
      <c r="O190" s="1236"/>
      <c r="P190" s="1374"/>
      <c r="Q190" s="1160"/>
      <c r="R190" s="1354"/>
      <c r="S190" s="1160"/>
      <c r="T190" s="1354"/>
      <c r="U190" s="1160"/>
      <c r="Z190" s="301"/>
      <c r="AA190" s="301"/>
    </row>
    <row r="191" spans="1:27" s="175" customFormat="1" ht="30">
      <c r="A191" s="1355"/>
      <c r="B191" s="1380" t="s">
        <v>3521</v>
      </c>
      <c r="C191" s="1331">
        <v>658</v>
      </c>
      <c r="D191" s="1332" t="s">
        <v>2864</v>
      </c>
      <c r="E191" s="1373">
        <v>13.4</v>
      </c>
      <c r="F191" s="1381">
        <f t="shared" si="20"/>
        <v>4.4086000000000007</v>
      </c>
      <c r="G191" s="1332" t="s">
        <v>3234</v>
      </c>
      <c r="H191" s="1382"/>
      <c r="I191" s="668">
        <f t="shared" si="18"/>
        <v>0</v>
      </c>
      <c r="J191" s="1374"/>
      <c r="K191" s="1236"/>
      <c r="L191" s="1374"/>
      <c r="M191" s="1236"/>
      <c r="N191" s="1374"/>
      <c r="O191" s="1236"/>
      <c r="P191" s="1374"/>
      <c r="Q191" s="1160"/>
      <c r="R191" s="1354"/>
      <c r="S191" s="1160"/>
      <c r="T191" s="1354"/>
      <c r="U191" s="1160"/>
      <c r="Z191" s="301"/>
      <c r="AA191" s="301"/>
    </row>
    <row r="192" spans="1:27">
      <c r="A192" s="1355"/>
      <c r="B192" s="1365" t="s">
        <v>3522</v>
      </c>
      <c r="C192" s="1331">
        <v>242</v>
      </c>
      <c r="D192" s="1332" t="s">
        <v>2864</v>
      </c>
      <c r="E192" s="1379">
        <v>35</v>
      </c>
      <c r="F192" s="1377">
        <f t="shared" si="20"/>
        <v>4.2350000000000003</v>
      </c>
      <c r="G192" s="1335" t="s">
        <v>3234</v>
      </c>
      <c r="H192" s="1363"/>
      <c r="I192" s="662">
        <f t="shared" si="18"/>
        <v>0</v>
      </c>
      <c r="J192" s="1354"/>
      <c r="K192" s="1160"/>
      <c r="L192" s="1354"/>
      <c r="M192" s="1160"/>
      <c r="N192" s="1354"/>
      <c r="O192" s="1160"/>
      <c r="P192" s="1354"/>
      <c r="Q192" s="1160"/>
      <c r="R192" s="1354"/>
      <c r="S192" s="1160"/>
      <c r="T192" s="1354"/>
      <c r="U192" s="1160"/>
    </row>
    <row r="193" spans="1:27">
      <c r="A193" s="1355"/>
      <c r="B193" s="1365" t="s">
        <v>3523</v>
      </c>
      <c r="C193" s="1331">
        <v>204</v>
      </c>
      <c r="D193" s="1332" t="s">
        <v>2864</v>
      </c>
      <c r="E193" s="1379">
        <v>35</v>
      </c>
      <c r="F193" s="1377">
        <f t="shared" si="20"/>
        <v>3.57</v>
      </c>
      <c r="G193" s="1335" t="s">
        <v>3234</v>
      </c>
      <c r="H193" s="1363"/>
      <c r="I193" s="662">
        <f t="shared" si="18"/>
        <v>0</v>
      </c>
      <c r="J193" s="1354"/>
      <c r="K193" s="1160"/>
      <c r="L193" s="1354"/>
      <c r="M193" s="1160"/>
      <c r="N193" s="1354"/>
      <c r="O193" s="1160"/>
      <c r="P193" s="1354"/>
      <c r="Q193" s="1160"/>
      <c r="R193" s="1354"/>
      <c r="S193" s="1160"/>
      <c r="T193" s="1354"/>
      <c r="U193" s="1160"/>
    </row>
    <row r="194" spans="1:27">
      <c r="A194" s="1355"/>
      <c r="B194" s="667" t="s">
        <v>3524</v>
      </c>
      <c r="C194" s="1331">
        <v>290</v>
      </c>
      <c r="D194" s="1332" t="s">
        <v>2864</v>
      </c>
      <c r="E194" s="1379">
        <v>35</v>
      </c>
      <c r="F194" s="1377">
        <f t="shared" si="20"/>
        <v>5.0750000000000002</v>
      </c>
      <c r="G194" s="1335" t="s">
        <v>3234</v>
      </c>
      <c r="H194" s="1363"/>
      <c r="I194" s="662">
        <f t="shared" si="18"/>
        <v>0</v>
      </c>
      <c r="J194" s="1354"/>
      <c r="K194" s="1160"/>
      <c r="L194" s="1354"/>
      <c r="M194" s="1160"/>
      <c r="N194" s="1354"/>
      <c r="O194" s="1160"/>
      <c r="P194" s="1354"/>
      <c r="Q194" s="1160"/>
      <c r="R194" s="1354"/>
      <c r="S194" s="1160"/>
      <c r="T194" s="1354"/>
      <c r="U194" s="1160"/>
    </row>
    <row r="195" spans="1:27" s="175" customFormat="1" ht="30">
      <c r="A195" s="1355"/>
      <c r="B195" s="642" t="s">
        <v>3525</v>
      </c>
      <c r="C195" s="1331">
        <v>111</v>
      </c>
      <c r="D195" s="1332" t="s">
        <v>2864</v>
      </c>
      <c r="E195" s="1373">
        <v>4.9000000000000004</v>
      </c>
      <c r="F195" s="1381">
        <f t="shared" si="20"/>
        <v>0.27195000000000003</v>
      </c>
      <c r="G195" s="1332" t="s">
        <v>3234</v>
      </c>
      <c r="H195" s="1382"/>
      <c r="I195" s="668">
        <f t="shared" si="18"/>
        <v>0</v>
      </c>
      <c r="J195" s="1374"/>
      <c r="K195" s="1236"/>
      <c r="L195" s="1374"/>
      <c r="M195" s="1236"/>
      <c r="N195" s="1374"/>
      <c r="O195" s="1236"/>
      <c r="P195" s="1374"/>
      <c r="Q195" s="1160"/>
      <c r="R195" s="1354"/>
      <c r="S195" s="1160"/>
      <c r="T195" s="1354"/>
      <c r="U195" s="1160"/>
      <c r="Z195" s="301"/>
      <c r="AA195" s="301"/>
    </row>
    <row r="196" spans="1:27">
      <c r="A196" s="1355"/>
      <c r="B196" s="667" t="s">
        <v>3526</v>
      </c>
      <c r="C196" s="1331">
        <v>177</v>
      </c>
      <c r="D196" s="1332" t="s">
        <v>2864</v>
      </c>
      <c r="E196" s="1333">
        <v>15</v>
      </c>
      <c r="F196" s="1377">
        <f t="shared" si="20"/>
        <v>1.3274999999999999</v>
      </c>
      <c r="G196" s="1335" t="s">
        <v>3234</v>
      </c>
      <c r="H196" s="1363"/>
      <c r="I196" s="662">
        <f t="shared" si="18"/>
        <v>0</v>
      </c>
      <c r="J196" s="1354"/>
      <c r="K196" s="1160"/>
      <c r="L196" s="1354"/>
      <c r="M196" s="1160"/>
      <c r="N196" s="1354"/>
      <c r="O196" s="1160"/>
      <c r="P196" s="1354"/>
      <c r="Q196" s="1160"/>
      <c r="R196" s="1354"/>
      <c r="S196" s="1160"/>
      <c r="T196" s="1354"/>
      <c r="U196" s="1160"/>
    </row>
    <row r="197" spans="1:27">
      <c r="A197" s="1355"/>
      <c r="B197" s="667" t="s">
        <v>3527</v>
      </c>
      <c r="C197" s="1331" t="s">
        <v>3528</v>
      </c>
      <c r="D197" s="1332"/>
      <c r="E197" s="1333"/>
      <c r="F197" s="1377"/>
      <c r="G197" s="1335"/>
      <c r="H197" s="1363"/>
      <c r="I197" s="662">
        <f t="shared" si="18"/>
        <v>0</v>
      </c>
      <c r="J197" s="1354"/>
      <c r="K197" s="1160"/>
      <c r="L197" s="1354"/>
      <c r="M197" s="1160"/>
      <c r="N197" s="1354"/>
      <c r="O197" s="1160"/>
      <c r="P197" s="1354"/>
      <c r="Q197" s="1160"/>
      <c r="R197" s="1354"/>
      <c r="S197" s="1160"/>
      <c r="T197" s="1354"/>
      <c r="U197" s="1160"/>
    </row>
    <row r="198" spans="1:27">
      <c r="A198" s="1355"/>
      <c r="B198" s="667"/>
      <c r="C198" s="1331"/>
      <c r="D198" s="1332"/>
      <c r="E198" s="1333"/>
      <c r="F198" s="1333"/>
      <c r="G198" s="1335"/>
      <c r="H198" s="1363"/>
      <c r="I198" s="662">
        <f t="shared" si="18"/>
        <v>0</v>
      </c>
      <c r="J198" s="1354"/>
      <c r="K198" s="1160"/>
      <c r="L198" s="1354"/>
      <c r="M198" s="1160"/>
      <c r="N198" s="1354"/>
      <c r="O198" s="1160"/>
      <c r="P198" s="1354"/>
      <c r="Q198" s="1160"/>
      <c r="R198" s="1354"/>
      <c r="S198" s="1160"/>
      <c r="T198" s="1354"/>
      <c r="U198" s="1160"/>
    </row>
    <row r="199" spans="1:27">
      <c r="A199" s="1355"/>
      <c r="B199" s="643" t="s">
        <v>3529</v>
      </c>
      <c r="C199" s="1383">
        <v>108</v>
      </c>
      <c r="D199" s="1332" t="s">
        <v>2864</v>
      </c>
      <c r="E199" s="1384"/>
      <c r="F199" s="1366"/>
      <c r="G199" s="1332"/>
      <c r="H199" s="1363">
        <v>150</v>
      </c>
      <c r="I199" s="669">
        <f>ROUND(C199*H199,0)</f>
        <v>16200</v>
      </c>
      <c r="J199" s="1354"/>
      <c r="K199" s="1160"/>
      <c r="L199" s="1354" t="s">
        <v>2931</v>
      </c>
      <c r="M199" s="1160"/>
      <c r="N199" s="1354" t="s">
        <v>2931</v>
      </c>
      <c r="O199" s="1160"/>
      <c r="P199" s="1354"/>
      <c r="Q199" s="1160"/>
      <c r="R199" s="1354"/>
      <c r="S199" s="1160"/>
      <c r="T199" s="1354"/>
      <c r="U199" s="1160"/>
    </row>
    <row r="200" spans="1:27">
      <c r="A200" s="1355"/>
      <c r="B200" s="667"/>
      <c r="C200" s="1331"/>
      <c r="D200" s="1332"/>
      <c r="E200" s="1333"/>
      <c r="F200" s="1334"/>
      <c r="G200" s="1335"/>
      <c r="H200" s="1363"/>
      <c r="I200" s="662">
        <f>ROUND(F200*H200,0)</f>
        <v>0</v>
      </c>
      <c r="J200" s="1354"/>
      <c r="K200" s="1160"/>
      <c r="L200" s="1354"/>
      <c r="M200" s="1160"/>
      <c r="N200" s="1354"/>
      <c r="O200" s="1160"/>
      <c r="P200" s="1354"/>
      <c r="Q200" s="1160"/>
      <c r="R200" s="1354"/>
      <c r="S200" s="1160"/>
      <c r="T200" s="1354"/>
      <c r="U200" s="1160"/>
    </row>
    <row r="201" spans="1:27">
      <c r="A201" s="1376" t="s">
        <v>2587</v>
      </c>
      <c r="B201" s="652" t="s">
        <v>2622</v>
      </c>
      <c r="C201" s="1331">
        <v>470</v>
      </c>
      <c r="D201" s="1332" t="s">
        <v>2845</v>
      </c>
      <c r="E201" s="1333"/>
      <c r="F201" s="1331"/>
      <c r="G201" s="1332"/>
      <c r="H201" s="1363">
        <v>30</v>
      </c>
      <c r="I201" s="670">
        <f>ROUND(C201*H201,0)</f>
        <v>14100</v>
      </c>
      <c r="J201" s="1374"/>
      <c r="K201" s="1262">
        <f>$I201</f>
        <v>14100</v>
      </c>
      <c r="L201" s="1354"/>
      <c r="M201" s="1262">
        <f>$I201</f>
        <v>14100</v>
      </c>
      <c r="N201" s="1374"/>
      <c r="O201" s="1262">
        <f>$I201</f>
        <v>14100</v>
      </c>
      <c r="P201" s="1374"/>
      <c r="Q201" s="1160"/>
      <c r="R201" s="1354"/>
      <c r="S201" s="1160"/>
      <c r="T201" s="1354"/>
      <c r="U201" s="1160"/>
    </row>
    <row r="202" spans="1:27">
      <c r="A202" s="1355"/>
      <c r="B202" s="667"/>
      <c r="C202" s="1331"/>
      <c r="D202" s="1332"/>
      <c r="E202" s="1333"/>
      <c r="F202" s="1331"/>
      <c r="G202" s="1332"/>
      <c r="H202" s="1363"/>
      <c r="I202" s="662">
        <f t="shared" ref="I202:I216" si="21">ROUND(F202*H202,0)</f>
        <v>0</v>
      </c>
      <c r="J202" s="1354"/>
      <c r="K202" s="1160"/>
      <c r="L202" s="1354"/>
      <c r="M202" s="1160"/>
      <c r="N202" s="1354"/>
      <c r="O202" s="1160"/>
      <c r="P202" s="1354"/>
      <c r="Q202" s="1160"/>
      <c r="R202" s="1354"/>
      <c r="S202" s="1160"/>
      <c r="T202" s="1354"/>
      <c r="U202" s="1160"/>
    </row>
    <row r="203" spans="1:27">
      <c r="A203" s="1376" t="s">
        <v>2587</v>
      </c>
      <c r="B203" s="652" t="s">
        <v>2623</v>
      </c>
      <c r="C203" s="1331"/>
      <c r="D203" s="1332"/>
      <c r="E203" s="1333"/>
      <c r="F203" s="1377">
        <f>SUM(F204:F212)</f>
        <v>24.933505</v>
      </c>
      <c r="G203" s="1335" t="s">
        <v>3234</v>
      </c>
      <c r="H203" s="1363">
        <f>H183</f>
        <v>6000</v>
      </c>
      <c r="I203" s="1378">
        <f t="shared" si="21"/>
        <v>149601</v>
      </c>
      <c r="J203" s="1374"/>
      <c r="K203" s="1262">
        <f>$I203</f>
        <v>149601</v>
      </c>
      <c r="L203" s="1354"/>
      <c r="M203" s="1262">
        <f>$I203</f>
        <v>149601</v>
      </c>
      <c r="N203" s="1374"/>
      <c r="O203" s="1262">
        <f>$I203</f>
        <v>149601</v>
      </c>
      <c r="P203" s="1374"/>
      <c r="Q203" s="1160"/>
      <c r="R203" s="1354"/>
      <c r="S203" s="1160"/>
      <c r="T203" s="1354"/>
      <c r="U203" s="1160"/>
    </row>
    <row r="204" spans="1:27">
      <c r="A204" s="1355"/>
      <c r="B204" s="667" t="s">
        <v>3530</v>
      </c>
      <c r="C204" s="1331">
        <v>19</v>
      </c>
      <c r="D204" s="1332" t="s">
        <v>2864</v>
      </c>
      <c r="E204" s="1333">
        <v>37.69</v>
      </c>
      <c r="F204" s="1377">
        <f>C204*E204/2000</f>
        <v>0.35805499999999996</v>
      </c>
      <c r="G204" s="1335" t="s">
        <v>3234</v>
      </c>
      <c r="H204" s="1363"/>
      <c r="I204" s="662">
        <f t="shared" si="21"/>
        <v>0</v>
      </c>
      <c r="J204" s="1354"/>
      <c r="K204" s="1160"/>
      <c r="L204" s="1354"/>
      <c r="M204" s="1160"/>
      <c r="N204" s="1354"/>
      <c r="O204" s="1160"/>
      <c r="P204" s="1354"/>
      <c r="Q204" s="1160"/>
      <c r="R204" s="1354"/>
      <c r="S204" s="1160"/>
      <c r="T204" s="1354"/>
      <c r="U204" s="1160"/>
    </row>
    <row r="205" spans="1:27">
      <c r="A205" s="1355"/>
      <c r="B205" s="667" t="s">
        <v>3531</v>
      </c>
      <c r="C205" s="1366">
        <v>104</v>
      </c>
      <c r="D205" s="1332" t="s">
        <v>2864</v>
      </c>
      <c r="E205" s="1333">
        <v>30</v>
      </c>
      <c r="F205" s="1377">
        <f>C205*E205/2000</f>
        <v>1.56</v>
      </c>
      <c r="G205" s="1335" t="s">
        <v>3234</v>
      </c>
      <c r="H205" s="1363"/>
      <c r="I205" s="662">
        <f t="shared" si="21"/>
        <v>0</v>
      </c>
      <c r="J205" s="1354"/>
      <c r="K205" s="1160"/>
      <c r="L205" s="1354"/>
      <c r="M205" s="1160"/>
      <c r="N205" s="1354"/>
      <c r="O205" s="1160"/>
      <c r="P205" s="1354"/>
      <c r="Q205" s="1160"/>
      <c r="R205" s="1354"/>
      <c r="S205" s="1160"/>
      <c r="T205" s="1354"/>
      <c r="U205" s="1160"/>
    </row>
    <row r="206" spans="1:27">
      <c r="A206" s="1355">
        <f>18*2</f>
        <v>36</v>
      </c>
      <c r="B206" s="1385" t="s">
        <v>3532</v>
      </c>
      <c r="C206" s="1366">
        <f>15*A206</f>
        <v>540</v>
      </c>
      <c r="D206" s="1332" t="s">
        <v>2864</v>
      </c>
      <c r="E206" s="1333">
        <v>3.05</v>
      </c>
      <c r="F206" s="1377">
        <f t="shared" ref="F206:F211" si="22">C206*E206/2000</f>
        <v>0.82350000000000001</v>
      </c>
      <c r="G206" s="1335" t="s">
        <v>3234</v>
      </c>
      <c r="H206" s="1363"/>
      <c r="I206" s="662">
        <f t="shared" si="21"/>
        <v>0</v>
      </c>
      <c r="J206" s="1354"/>
      <c r="K206" s="1160"/>
      <c r="L206" s="1354"/>
      <c r="M206" s="1160"/>
      <c r="N206" s="1354"/>
      <c r="O206" s="1160"/>
      <c r="P206" s="1354"/>
      <c r="Q206" s="1160"/>
      <c r="R206" s="1354"/>
      <c r="S206" s="1160"/>
      <c r="T206" s="1354"/>
      <c r="U206" s="1160"/>
    </row>
    <row r="207" spans="1:27">
      <c r="A207" s="1355">
        <f>14*2</f>
        <v>28</v>
      </c>
      <c r="B207" s="1385" t="s">
        <v>3533</v>
      </c>
      <c r="C207" s="1366">
        <f t="shared" ref="C207:C208" si="23">15*A207</f>
        <v>420</v>
      </c>
      <c r="D207" s="1332" t="s">
        <v>2864</v>
      </c>
      <c r="E207" s="1333">
        <v>3.05</v>
      </c>
      <c r="F207" s="1377">
        <f t="shared" si="22"/>
        <v>0.64049999999999996</v>
      </c>
      <c r="G207" s="1335" t="s">
        <v>3234</v>
      </c>
      <c r="H207" s="1363"/>
      <c r="I207" s="662">
        <f t="shared" si="21"/>
        <v>0</v>
      </c>
      <c r="J207" s="1354"/>
      <c r="K207" s="1160"/>
      <c r="L207" s="1354"/>
      <c r="M207" s="1160"/>
      <c r="N207" s="1354"/>
      <c r="O207" s="1160"/>
      <c r="P207" s="1354"/>
      <c r="Q207" s="1160"/>
      <c r="R207" s="1354"/>
      <c r="S207" s="1160"/>
      <c r="T207" s="1354"/>
      <c r="U207" s="1160"/>
    </row>
    <row r="208" spans="1:27">
      <c r="A208" s="1355">
        <v>6</v>
      </c>
      <c r="B208" s="1385" t="s">
        <v>3534</v>
      </c>
      <c r="C208" s="1366">
        <f t="shared" si="23"/>
        <v>90</v>
      </c>
      <c r="D208" s="1332" t="s">
        <v>2864</v>
      </c>
      <c r="E208" s="1333">
        <v>22.37</v>
      </c>
      <c r="F208" s="1377">
        <f t="shared" si="22"/>
        <v>1.00665</v>
      </c>
      <c r="G208" s="1335" t="s">
        <v>3234</v>
      </c>
      <c r="H208" s="1363"/>
      <c r="I208" s="662">
        <f t="shared" si="21"/>
        <v>0</v>
      </c>
      <c r="J208" s="1354"/>
      <c r="K208" s="1160"/>
      <c r="L208" s="1354"/>
      <c r="M208" s="1160"/>
      <c r="N208" s="1354"/>
      <c r="O208" s="1160"/>
      <c r="P208" s="1354"/>
      <c r="Q208" s="1160"/>
      <c r="R208" s="1354"/>
      <c r="S208" s="1160"/>
      <c r="T208" s="1354"/>
      <c r="U208" s="1160"/>
    </row>
    <row r="209" spans="1:28">
      <c r="A209" s="1355">
        <f>2*4</f>
        <v>8</v>
      </c>
      <c r="B209" s="667" t="s">
        <v>3535</v>
      </c>
      <c r="C209" s="1366">
        <f t="shared" ref="C209:C210" si="24">15*A209</f>
        <v>120</v>
      </c>
      <c r="D209" s="1332" t="s">
        <v>2864</v>
      </c>
      <c r="E209" s="1333">
        <v>3</v>
      </c>
      <c r="F209" s="1377">
        <f t="shared" si="22"/>
        <v>0.18</v>
      </c>
      <c r="G209" s="1335" t="s">
        <v>3234</v>
      </c>
      <c r="H209" s="1363"/>
      <c r="I209" s="662">
        <f t="shared" si="21"/>
        <v>0</v>
      </c>
      <c r="J209" s="1354"/>
      <c r="K209" s="1160"/>
      <c r="L209" s="1354"/>
      <c r="M209" s="1160"/>
      <c r="N209" s="1354"/>
      <c r="O209" s="1160"/>
      <c r="P209" s="1354"/>
      <c r="Q209" s="1160"/>
      <c r="R209" s="1354"/>
      <c r="S209" s="1160"/>
      <c r="T209" s="1354"/>
      <c r="U209" s="1160"/>
    </row>
    <row r="210" spans="1:28">
      <c r="A210" s="1355">
        <v>4</v>
      </c>
      <c r="B210" s="667" t="s">
        <v>3536</v>
      </c>
      <c r="C210" s="1366">
        <f t="shared" si="24"/>
        <v>60</v>
      </c>
      <c r="D210" s="1332" t="s">
        <v>2864</v>
      </c>
      <c r="E210" s="1333">
        <v>8.16</v>
      </c>
      <c r="F210" s="1377">
        <f t="shared" ref="F210" si="25">C210*E210/2000</f>
        <v>0.24480000000000002</v>
      </c>
      <c r="G210" s="1335" t="s">
        <v>3234</v>
      </c>
      <c r="H210" s="1363"/>
      <c r="I210" s="662">
        <f t="shared" si="21"/>
        <v>0</v>
      </c>
      <c r="J210" s="1354"/>
      <c r="K210" s="1160"/>
      <c r="L210" s="1354"/>
      <c r="M210" s="1160"/>
      <c r="N210" s="1354"/>
      <c r="O210" s="1160"/>
      <c r="P210" s="1354"/>
      <c r="Q210" s="1160"/>
      <c r="R210" s="1354"/>
      <c r="S210" s="1160"/>
      <c r="T210" s="1354"/>
      <c r="U210" s="1160"/>
    </row>
    <row r="211" spans="1:28">
      <c r="A211" s="1355">
        <v>2</v>
      </c>
      <c r="B211" s="667" t="s">
        <v>3537</v>
      </c>
      <c r="C211" s="1366">
        <f>15*2</f>
        <v>30</v>
      </c>
      <c r="D211" s="1332" t="s">
        <v>2864</v>
      </c>
      <c r="E211" s="1333">
        <v>8</v>
      </c>
      <c r="F211" s="1377">
        <f t="shared" si="22"/>
        <v>0.12</v>
      </c>
      <c r="G211" s="1335" t="s">
        <v>3234</v>
      </c>
      <c r="H211" s="1363"/>
      <c r="I211" s="662">
        <f t="shared" si="21"/>
        <v>0</v>
      </c>
      <c r="J211" s="1354"/>
      <c r="K211" s="1160"/>
      <c r="L211" s="1354"/>
      <c r="M211" s="1160"/>
      <c r="N211" s="1354"/>
      <c r="O211" s="1160"/>
      <c r="P211" s="1354"/>
      <c r="Q211" s="1160"/>
      <c r="R211" s="1354"/>
      <c r="S211" s="1160"/>
      <c r="T211" s="1354"/>
      <c r="U211" s="1160"/>
    </row>
    <row r="212" spans="1:28">
      <c r="A212" s="1355"/>
      <c r="B212" s="667" t="s">
        <v>3538</v>
      </c>
      <c r="C212" s="1366">
        <v>2000</v>
      </c>
      <c r="D212" s="1332" t="s">
        <v>2864</v>
      </c>
      <c r="E212" s="1333">
        <v>20</v>
      </c>
      <c r="F212" s="1377">
        <f t="shared" ref="F212" si="26">C212*E212/2000</f>
        <v>20</v>
      </c>
      <c r="G212" s="1335" t="s">
        <v>3234</v>
      </c>
      <c r="H212" s="1363"/>
      <c r="I212" s="662"/>
      <c r="J212" s="1354"/>
      <c r="K212" s="1160"/>
      <c r="L212" s="1354"/>
      <c r="M212" s="1160"/>
      <c r="N212" s="1354"/>
      <c r="O212" s="1160"/>
      <c r="P212" s="1354"/>
      <c r="Q212" s="1160"/>
      <c r="R212" s="1354"/>
      <c r="S212" s="1160"/>
      <c r="T212" s="1354"/>
      <c r="U212" s="1160"/>
    </row>
    <row r="213" spans="1:28">
      <c r="A213" s="1355"/>
      <c r="B213" s="667"/>
      <c r="C213" s="1366"/>
      <c r="D213" s="1332"/>
      <c r="E213" s="1333"/>
      <c r="F213" s="1333"/>
      <c r="G213" s="1335"/>
      <c r="H213" s="1363"/>
      <c r="I213" s="662"/>
      <c r="J213" s="1354"/>
      <c r="K213" s="1160"/>
      <c r="L213" s="1354"/>
      <c r="M213" s="1160"/>
      <c r="N213" s="1354"/>
      <c r="O213" s="1160"/>
      <c r="P213" s="1354"/>
      <c r="Q213" s="1160"/>
      <c r="R213" s="1354"/>
      <c r="S213" s="1160"/>
      <c r="T213" s="1354"/>
      <c r="U213" s="1160"/>
    </row>
    <row r="214" spans="1:28">
      <c r="A214" s="1355"/>
      <c r="B214" s="652"/>
      <c r="C214" s="1331"/>
      <c r="D214" s="1332"/>
      <c r="E214" s="1333"/>
      <c r="F214" s="1334"/>
      <c r="G214" s="1335"/>
      <c r="H214" s="1363"/>
      <c r="I214" s="662">
        <f t="shared" si="21"/>
        <v>0</v>
      </c>
      <c r="J214" s="1354"/>
      <c r="K214" s="1160"/>
      <c r="L214" s="1354"/>
      <c r="M214" s="1160"/>
      <c r="N214" s="1354"/>
      <c r="O214" s="1160"/>
      <c r="P214" s="1354"/>
      <c r="Q214" s="1160"/>
      <c r="R214" s="1354"/>
      <c r="S214" s="1160"/>
      <c r="T214" s="1354"/>
      <c r="U214" s="1160"/>
    </row>
    <row r="215" spans="1:28" ht="30">
      <c r="A215" s="1376" t="s">
        <v>2587</v>
      </c>
      <c r="B215" s="643" t="s">
        <v>2624</v>
      </c>
      <c r="C215" s="1373">
        <v>700</v>
      </c>
      <c r="D215" s="1332" t="s">
        <v>3234</v>
      </c>
      <c r="E215" s="1333"/>
      <c r="F215" s="1386">
        <v>0.05</v>
      </c>
      <c r="G215" s="1332"/>
      <c r="H215" s="1382">
        <v>6000</v>
      </c>
      <c r="I215" s="653">
        <f>C215*F215*H215</f>
        <v>210000</v>
      </c>
      <c r="J215" s="1374"/>
      <c r="K215" s="1262">
        <f>$I215</f>
        <v>210000</v>
      </c>
      <c r="L215" s="1374"/>
      <c r="M215" s="1262">
        <f>$I215</f>
        <v>210000</v>
      </c>
      <c r="N215" s="1374"/>
      <c r="O215" s="1262">
        <f>$I215</f>
        <v>210000</v>
      </c>
      <c r="P215" s="1374"/>
      <c r="Q215" s="1160"/>
      <c r="R215" s="1354"/>
      <c r="S215" s="1160"/>
      <c r="T215" s="1354"/>
      <c r="U215" s="1160"/>
    </row>
    <row r="216" spans="1:28">
      <c r="A216" s="1355"/>
      <c r="B216" s="652"/>
      <c r="C216" s="1331"/>
      <c r="D216" s="1332"/>
      <c r="E216" s="1333"/>
      <c r="F216" s="1334"/>
      <c r="G216" s="1335"/>
      <c r="H216" s="1363"/>
      <c r="I216" s="662">
        <f t="shared" si="21"/>
        <v>0</v>
      </c>
      <c r="J216" s="1354"/>
      <c r="K216" s="1160"/>
      <c r="L216" s="1354"/>
      <c r="M216" s="1160"/>
      <c r="N216" s="1354"/>
      <c r="O216" s="1160"/>
      <c r="P216" s="1354"/>
      <c r="Q216" s="1160"/>
      <c r="R216" s="1354"/>
      <c r="S216" s="1160"/>
      <c r="T216" s="1354"/>
      <c r="U216" s="1160"/>
    </row>
    <row r="217" spans="1:28">
      <c r="A217" s="1355"/>
      <c r="B217" s="644" t="s">
        <v>3539</v>
      </c>
      <c r="C217" s="1331"/>
      <c r="D217" s="1332"/>
      <c r="E217" s="1333"/>
      <c r="F217" s="1334"/>
      <c r="G217" s="1335"/>
      <c r="H217" s="1363"/>
      <c r="I217" s="662">
        <f t="shared" ref="I217:I219" si="27">ROUND(F217*H217,0)</f>
        <v>0</v>
      </c>
      <c r="J217" s="1354"/>
      <c r="K217" s="1160"/>
      <c r="L217" s="1354"/>
      <c r="M217" s="1160"/>
      <c r="N217" s="1354"/>
      <c r="O217" s="1160"/>
      <c r="P217" s="1354"/>
      <c r="Q217" s="1160"/>
      <c r="R217" s="1354"/>
      <c r="S217" s="1160"/>
      <c r="T217" s="1354"/>
      <c r="U217" s="1160"/>
    </row>
    <row r="218" spans="1:28">
      <c r="A218" s="1355"/>
      <c r="B218" s="652" t="s">
        <v>60</v>
      </c>
      <c r="C218" s="1331"/>
      <c r="D218" s="1332"/>
      <c r="E218" s="1335"/>
      <c r="F218" s="1334"/>
      <c r="G218" s="1335"/>
      <c r="H218" s="1363"/>
      <c r="I218" s="662">
        <f t="shared" si="27"/>
        <v>0</v>
      </c>
      <c r="J218" s="1354"/>
      <c r="K218" s="1160"/>
      <c r="L218" s="1354" t="s">
        <v>2929</v>
      </c>
      <c r="M218" s="1160"/>
      <c r="N218" s="1354"/>
      <c r="O218" s="1160"/>
      <c r="P218" s="1354"/>
      <c r="Q218" s="1160"/>
      <c r="R218" s="1354"/>
      <c r="S218" s="1160"/>
      <c r="T218" s="1354"/>
      <c r="U218" s="1160"/>
    </row>
    <row r="219" spans="1:28">
      <c r="A219" s="1355"/>
      <c r="B219" s="652" t="s">
        <v>3540</v>
      </c>
      <c r="C219" s="1331"/>
      <c r="D219" s="1332"/>
      <c r="E219" s="1333"/>
      <c r="F219" s="1334"/>
      <c r="G219" s="1335"/>
      <c r="H219" s="1363"/>
      <c r="I219" s="662">
        <f t="shared" si="27"/>
        <v>0</v>
      </c>
      <c r="J219" s="1354"/>
      <c r="K219" s="1160"/>
      <c r="L219" s="1354" t="s">
        <v>2929</v>
      </c>
      <c r="M219" s="1160"/>
      <c r="N219" s="1354"/>
      <c r="O219" s="1160"/>
      <c r="P219" s="1354"/>
      <c r="Q219" s="1160"/>
      <c r="R219" s="1354"/>
      <c r="S219" s="1160"/>
      <c r="T219" s="1354"/>
      <c r="U219" s="1160"/>
    </row>
    <row r="220" spans="1:28">
      <c r="A220" s="1355"/>
      <c r="B220" s="652"/>
      <c r="C220" s="1331"/>
      <c r="D220" s="1332"/>
      <c r="E220" s="1333"/>
      <c r="F220" s="1334"/>
      <c r="G220" s="1335"/>
      <c r="H220" s="1363"/>
      <c r="I220" s="662">
        <f t="shared" si="13"/>
        <v>0</v>
      </c>
      <c r="J220" s="1354"/>
      <c r="K220" s="1160"/>
      <c r="L220" s="1354"/>
      <c r="M220" s="1160"/>
      <c r="N220" s="1354"/>
      <c r="O220" s="1160"/>
      <c r="P220" s="1354"/>
      <c r="Q220" s="1160"/>
      <c r="R220" s="1354"/>
      <c r="S220" s="1160"/>
      <c r="T220" s="1354"/>
      <c r="U220" s="1160"/>
    </row>
    <row r="221" spans="1:28">
      <c r="A221" s="1355"/>
      <c r="B221" s="671" t="s">
        <v>3541</v>
      </c>
      <c r="C221" s="1331"/>
      <c r="D221" s="1332"/>
      <c r="E221" s="1333"/>
      <c r="F221" s="1334"/>
      <c r="G221" s="1335"/>
      <c r="H221" s="1363"/>
      <c r="I221" s="662">
        <f t="shared" si="13"/>
        <v>0</v>
      </c>
      <c r="J221" s="1354" t="s">
        <v>2931</v>
      </c>
      <c r="K221" s="1160"/>
      <c r="L221" s="1354" t="s">
        <v>2931</v>
      </c>
      <c r="M221" s="1160"/>
      <c r="N221" s="1354" t="s">
        <v>2931</v>
      </c>
      <c r="O221" s="1160"/>
      <c r="P221" s="1354"/>
      <c r="Q221" s="1160"/>
      <c r="R221" s="1354"/>
      <c r="S221" s="1160"/>
      <c r="T221" s="1354"/>
      <c r="U221" s="1160"/>
      <c r="AB221" t="s">
        <v>2795</v>
      </c>
    </row>
    <row r="222" spans="1:28">
      <c r="A222" s="1355"/>
      <c r="B222" s="652" t="str">
        <f>X222</f>
        <v>Deck 1.5B 20 GA</v>
      </c>
      <c r="C222" s="1331">
        <f>Z222</f>
        <v>52143</v>
      </c>
      <c r="D222" s="1332" t="s">
        <v>2845</v>
      </c>
      <c r="E222" s="1333"/>
      <c r="F222" s="1334">
        <f>C222</f>
        <v>52143</v>
      </c>
      <c r="G222" s="1335" t="s">
        <v>2845</v>
      </c>
      <c r="H222" s="1363">
        <v>6.5</v>
      </c>
      <c r="I222" s="662">
        <f t="shared" si="13"/>
        <v>338930</v>
      </c>
      <c r="J222" s="1354"/>
      <c r="K222" s="1160"/>
      <c r="L222" s="1354"/>
      <c r="M222" s="1160"/>
      <c r="N222" s="1354"/>
      <c r="O222" s="1160"/>
      <c r="P222" s="1354"/>
      <c r="Q222" s="1160"/>
      <c r="R222" s="1354"/>
      <c r="S222" s="1160"/>
      <c r="T222" s="1354"/>
      <c r="U222" s="1160"/>
      <c r="W222">
        <v>41</v>
      </c>
      <c r="X222" t="s">
        <v>3542</v>
      </c>
      <c r="Y222" t="s">
        <v>3111</v>
      </c>
      <c r="Z222" s="300">
        <v>52143</v>
      </c>
      <c r="AA222" s="300" t="s">
        <v>3112</v>
      </c>
      <c r="AB222" t="s">
        <v>2795</v>
      </c>
    </row>
    <row r="223" spans="1:28">
      <c r="A223" s="1355"/>
      <c r="B223" s="652" t="str">
        <f>X223</f>
        <v>Deck 2C22 - 5" conc</v>
      </c>
      <c r="C223" s="1331">
        <f>Z223</f>
        <v>49302</v>
      </c>
      <c r="D223" s="1332" t="s">
        <v>2845</v>
      </c>
      <c r="E223" s="1333"/>
      <c r="F223" s="1334">
        <f>C223</f>
        <v>49302</v>
      </c>
      <c r="G223" s="1335" t="s">
        <v>2845</v>
      </c>
      <c r="H223" s="1363">
        <v>7</v>
      </c>
      <c r="I223" s="662">
        <f t="shared" si="13"/>
        <v>345114</v>
      </c>
      <c r="J223" s="1354"/>
      <c r="K223" s="1160"/>
      <c r="L223" s="1354"/>
      <c r="M223" s="1160"/>
      <c r="N223" s="1354"/>
      <c r="O223" s="1160"/>
      <c r="P223" s="1354"/>
      <c r="Q223" s="1160"/>
      <c r="R223" s="1354"/>
      <c r="S223" s="1160"/>
      <c r="T223" s="1354"/>
      <c r="U223" s="1160"/>
      <c r="W223">
        <v>73</v>
      </c>
      <c r="X223" t="s">
        <v>3543</v>
      </c>
      <c r="Y223" t="s">
        <v>3111</v>
      </c>
      <c r="Z223" s="300">
        <v>49302</v>
      </c>
      <c r="AA223" s="300" t="s">
        <v>3112</v>
      </c>
      <c r="AB223" t="s">
        <v>2795</v>
      </c>
    </row>
    <row r="224" spans="1:28">
      <c r="A224" s="1355"/>
      <c r="B224" s="671"/>
      <c r="C224" s="1331"/>
      <c r="D224" s="1332"/>
      <c r="E224" s="1333"/>
      <c r="F224" s="1334"/>
      <c r="G224" s="1335"/>
      <c r="H224" s="1363"/>
      <c r="I224" s="662">
        <f t="shared" si="13"/>
        <v>0</v>
      </c>
      <c r="J224" s="1354"/>
      <c r="K224" s="1160"/>
      <c r="L224" s="1354"/>
      <c r="M224" s="1160"/>
      <c r="N224" s="1354"/>
      <c r="O224" s="1160"/>
      <c r="P224" s="1354"/>
      <c r="Q224" s="1160"/>
      <c r="R224" s="1354"/>
      <c r="S224" s="1160"/>
      <c r="T224" s="1354"/>
      <c r="U224" s="1160"/>
    </row>
    <row r="225" spans="1:27">
      <c r="A225" s="1355"/>
      <c r="B225" s="671" t="s">
        <v>3544</v>
      </c>
      <c r="C225" s="1331"/>
      <c r="D225" s="1332"/>
      <c r="E225" s="1333"/>
      <c r="F225" s="1334"/>
      <c r="G225" s="1335"/>
      <c r="H225" s="1363"/>
      <c r="I225" s="662"/>
      <c r="J225" s="1354"/>
      <c r="K225" s="1160">
        <f>104958+14608+64166</f>
        <v>183732</v>
      </c>
      <c r="L225" s="1354"/>
      <c r="M225" s="1160"/>
      <c r="N225" s="1354"/>
      <c r="O225" s="1160">
        <v>122218</v>
      </c>
      <c r="P225" s="1354"/>
      <c r="Q225" s="1160"/>
      <c r="R225" s="1354"/>
      <c r="S225" s="1160"/>
      <c r="T225" s="1354"/>
      <c r="U225" s="1160"/>
    </row>
    <row r="226" spans="1:27">
      <c r="A226" s="1355"/>
      <c r="B226" s="1287" t="s">
        <v>3545</v>
      </c>
      <c r="C226" s="1331"/>
      <c r="D226" s="1332"/>
      <c r="E226" s="1333"/>
      <c r="F226" s="1334">
        <v>6</v>
      </c>
      <c r="G226" s="1335" t="s">
        <v>3546</v>
      </c>
      <c r="H226" s="1284">
        <v>12000</v>
      </c>
      <c r="I226" s="662">
        <f t="shared" si="13"/>
        <v>72000</v>
      </c>
      <c r="J226" s="1354" t="s">
        <v>2931</v>
      </c>
      <c r="K226" s="1160"/>
      <c r="L226" s="1354" t="s">
        <v>2931</v>
      </c>
      <c r="M226" s="1160"/>
      <c r="N226" s="1354" t="s">
        <v>2931</v>
      </c>
      <c r="O226" s="1160"/>
      <c r="P226" s="1354"/>
      <c r="Q226" s="1160"/>
      <c r="R226" s="1354"/>
      <c r="S226" s="1160"/>
      <c r="T226" s="1354"/>
      <c r="U226" s="1160"/>
    </row>
    <row r="227" spans="1:27">
      <c r="A227" s="1355"/>
      <c r="B227" s="652" t="s">
        <v>3547</v>
      </c>
      <c r="C227" s="1331"/>
      <c r="D227" s="1332"/>
      <c r="E227" s="1333"/>
      <c r="F227" s="1334"/>
      <c r="G227" s="1335"/>
      <c r="H227" s="1284"/>
      <c r="I227" s="662">
        <f t="shared" si="13"/>
        <v>0</v>
      </c>
      <c r="J227" s="1354"/>
      <c r="K227" s="1160"/>
      <c r="L227" s="1354"/>
      <c r="M227" s="1160"/>
      <c r="N227" s="1354"/>
      <c r="O227" s="1160"/>
      <c r="P227" s="1354"/>
      <c r="Q227" s="1160"/>
      <c r="R227" s="1354"/>
      <c r="S227" s="1160"/>
      <c r="T227" s="1354"/>
      <c r="U227" s="1160"/>
    </row>
    <row r="228" spans="1:27">
      <c r="A228" s="1355"/>
      <c r="B228" s="667" t="s">
        <v>3548</v>
      </c>
      <c r="C228" s="1331"/>
      <c r="D228" s="1332"/>
      <c r="E228" s="1333"/>
      <c r="F228" s="1334">
        <v>70</v>
      </c>
      <c r="G228" s="1335" t="s">
        <v>2864</v>
      </c>
      <c r="H228" s="1387">
        <v>350</v>
      </c>
      <c r="I228" s="1388">
        <f t="shared" si="13"/>
        <v>24500</v>
      </c>
      <c r="J228" s="1354" t="s">
        <v>2931</v>
      </c>
      <c r="K228" s="1160"/>
      <c r="L228" s="1354" t="s">
        <v>2931</v>
      </c>
      <c r="M228" s="1160"/>
      <c r="N228" s="1354" t="s">
        <v>2931</v>
      </c>
      <c r="O228" s="1160"/>
      <c r="P228" s="1354"/>
      <c r="Q228" s="1160"/>
      <c r="R228" s="1354"/>
      <c r="S228" s="1160"/>
      <c r="T228" s="1354"/>
      <c r="U228" s="1160"/>
    </row>
    <row r="229" spans="1:27">
      <c r="A229" s="1355"/>
      <c r="B229" s="667" t="s">
        <v>3549</v>
      </c>
      <c r="C229" s="1331"/>
      <c r="D229" s="1332"/>
      <c r="E229" s="1333"/>
      <c r="F229" s="1334">
        <v>60</v>
      </c>
      <c r="G229" s="1335" t="s">
        <v>2864</v>
      </c>
      <c r="H229" s="1389">
        <v>350</v>
      </c>
      <c r="I229" s="1388">
        <f t="shared" si="13"/>
        <v>21000</v>
      </c>
      <c r="J229" s="1354" t="s">
        <v>2931</v>
      </c>
      <c r="K229" s="1160"/>
      <c r="L229" s="1354" t="s">
        <v>2931</v>
      </c>
      <c r="M229" s="1160"/>
      <c r="N229" s="1354" t="s">
        <v>2931</v>
      </c>
      <c r="O229" s="1160"/>
      <c r="P229" s="1354"/>
      <c r="Q229" s="1160"/>
      <c r="R229" s="1354"/>
      <c r="S229" s="1160"/>
      <c r="T229" s="1354"/>
      <c r="U229" s="1160"/>
    </row>
    <row r="230" spans="1:27">
      <c r="A230" s="1355"/>
      <c r="B230" s="667" t="s">
        <v>3550</v>
      </c>
      <c r="C230" s="1331"/>
      <c r="D230" s="1332"/>
      <c r="E230" s="1333"/>
      <c r="F230" s="1334">
        <v>35</v>
      </c>
      <c r="G230" s="1335" t="s">
        <v>2864</v>
      </c>
      <c r="H230" s="1284">
        <v>350</v>
      </c>
      <c r="I230" s="1388">
        <f t="shared" si="13"/>
        <v>12250</v>
      </c>
      <c r="J230" s="1354" t="s">
        <v>2931</v>
      </c>
      <c r="K230" s="1160"/>
      <c r="L230" s="1354" t="s">
        <v>2931</v>
      </c>
      <c r="M230" s="1160"/>
      <c r="N230" s="1354" t="s">
        <v>2931</v>
      </c>
      <c r="O230" s="1160"/>
      <c r="P230" s="1354"/>
      <c r="Q230" s="1160"/>
      <c r="R230" s="1354"/>
      <c r="S230" s="1160"/>
      <c r="T230" s="1354"/>
      <c r="U230" s="1160"/>
    </row>
    <row r="231" spans="1:27">
      <c r="A231" s="1355"/>
      <c r="B231" s="667" t="s">
        <v>3551</v>
      </c>
      <c r="C231" s="1331"/>
      <c r="D231" s="1332"/>
      <c r="E231" s="1333"/>
      <c r="F231" s="1334">
        <v>55</v>
      </c>
      <c r="G231" s="1335" t="s">
        <v>2864</v>
      </c>
      <c r="H231" s="1284">
        <v>350</v>
      </c>
      <c r="I231" s="662">
        <f t="shared" si="13"/>
        <v>19250</v>
      </c>
      <c r="J231" s="1354" t="s">
        <v>2931</v>
      </c>
      <c r="K231" s="1160"/>
      <c r="L231" s="1354" t="s">
        <v>2931</v>
      </c>
      <c r="M231" s="1160"/>
      <c r="N231" s="1354" t="s">
        <v>2931</v>
      </c>
      <c r="O231" s="1160"/>
      <c r="P231" s="1354"/>
      <c r="Q231" s="1160"/>
      <c r="R231" s="1354"/>
      <c r="S231" s="1160"/>
      <c r="T231" s="1354"/>
      <c r="U231" s="1160"/>
    </row>
    <row r="232" spans="1:27">
      <c r="A232" s="1355"/>
      <c r="B232" s="672" t="s">
        <v>3552</v>
      </c>
      <c r="C232" s="1331"/>
      <c r="D232" s="1332"/>
      <c r="E232" s="1333"/>
      <c r="F232" s="1331">
        <v>5</v>
      </c>
      <c r="G232" s="1332" t="s">
        <v>2803</v>
      </c>
      <c r="H232" s="1284">
        <v>2500</v>
      </c>
      <c r="I232" s="662">
        <f t="shared" si="13"/>
        <v>12500</v>
      </c>
      <c r="J232" s="1354" t="s">
        <v>2931</v>
      </c>
      <c r="K232" s="1160"/>
      <c r="L232" s="1354"/>
      <c r="M232" s="1256">
        <f>$I232</f>
        <v>12500</v>
      </c>
      <c r="N232" s="1354" t="s">
        <v>2931</v>
      </c>
      <c r="O232" s="1160"/>
      <c r="P232" s="1354"/>
      <c r="Q232" s="1160"/>
      <c r="R232" s="1354"/>
      <c r="S232" s="1160"/>
      <c r="T232" s="1354"/>
      <c r="U232" s="1160"/>
    </row>
    <row r="233" spans="1:27">
      <c r="A233" s="1355"/>
      <c r="B233" s="672" t="s">
        <v>3553</v>
      </c>
      <c r="C233" s="1331"/>
      <c r="D233" s="1332"/>
      <c r="E233" s="1333"/>
      <c r="F233" s="1334">
        <v>13</v>
      </c>
      <c r="G233" s="1335" t="s">
        <v>2803</v>
      </c>
      <c r="H233" s="1284">
        <v>1500</v>
      </c>
      <c r="I233" s="662">
        <f t="shared" si="13"/>
        <v>19500</v>
      </c>
      <c r="J233" s="1354" t="s">
        <v>2931</v>
      </c>
      <c r="K233" s="1160"/>
      <c r="L233" s="1354"/>
      <c r="M233" s="1256">
        <f>$I233</f>
        <v>19500</v>
      </c>
      <c r="N233" s="1354" t="s">
        <v>2931</v>
      </c>
      <c r="O233" s="1160"/>
      <c r="P233" s="1354"/>
      <c r="Q233" s="1160"/>
      <c r="R233" s="1354"/>
      <c r="S233" s="1160"/>
      <c r="T233" s="1354"/>
      <c r="U233" s="1160"/>
    </row>
    <row r="234" spans="1:27">
      <c r="A234" s="1355"/>
      <c r="B234" s="652"/>
      <c r="C234" s="1331"/>
      <c r="D234" s="1332"/>
      <c r="E234" s="1333"/>
      <c r="F234" s="1334"/>
      <c r="G234" s="1335"/>
      <c r="H234" s="1363"/>
      <c r="I234" s="662">
        <f t="shared" si="13"/>
        <v>0</v>
      </c>
      <c r="J234" s="1354"/>
      <c r="K234" s="1160"/>
      <c r="L234" s="1354"/>
      <c r="M234" s="1160"/>
      <c r="N234" s="1354"/>
      <c r="O234" s="1160"/>
      <c r="P234" s="1354"/>
      <c r="Q234" s="1160"/>
      <c r="R234" s="1354"/>
      <c r="S234" s="1160"/>
      <c r="T234" s="1354"/>
      <c r="U234" s="1160"/>
    </row>
    <row r="235" spans="1:27">
      <c r="A235" s="1355"/>
      <c r="B235" s="673" t="s">
        <v>3554</v>
      </c>
      <c r="C235" s="1331"/>
      <c r="D235" s="1332"/>
      <c r="E235" s="1333"/>
      <c r="F235" s="1334">
        <v>1</v>
      </c>
      <c r="G235" s="1335" t="s">
        <v>2818</v>
      </c>
      <c r="H235" s="1363"/>
      <c r="I235" s="662">
        <f t="shared" si="13"/>
        <v>0</v>
      </c>
      <c r="J235" s="1354" t="s">
        <v>2931</v>
      </c>
      <c r="K235" s="1160"/>
      <c r="L235" s="1354" t="s">
        <v>2931</v>
      </c>
      <c r="M235" s="1160"/>
      <c r="N235" s="1354" t="s">
        <v>2931</v>
      </c>
      <c r="O235" s="1160"/>
      <c r="P235" s="1354"/>
      <c r="Q235" s="1160"/>
      <c r="R235" s="1354"/>
      <c r="S235" s="1160"/>
      <c r="T235" s="1354"/>
      <c r="U235" s="1160"/>
    </row>
    <row r="236" spans="1:27">
      <c r="A236" s="1355"/>
      <c r="B236" s="667"/>
      <c r="C236" s="1331"/>
      <c r="D236" s="1332"/>
      <c r="E236" s="1333"/>
      <c r="F236" s="1334"/>
      <c r="G236" s="1335"/>
      <c r="H236" s="1363"/>
      <c r="I236" s="662">
        <f>ROUND(F236*H236,0)</f>
        <v>0</v>
      </c>
      <c r="J236" s="1354"/>
      <c r="K236" s="1160"/>
      <c r="L236" s="1354"/>
      <c r="M236" s="1160"/>
      <c r="N236" s="1354"/>
      <c r="O236" s="1390">
        <v>-310000</v>
      </c>
      <c r="P236" s="1354"/>
      <c r="Q236" s="1160"/>
      <c r="R236" s="1354"/>
      <c r="S236" s="1160"/>
      <c r="T236" s="1354"/>
      <c r="U236" s="1160"/>
    </row>
    <row r="237" spans="1:27" s="175" customFormat="1" ht="30">
      <c r="A237" s="1376" t="s">
        <v>2587</v>
      </c>
      <c r="B237" s="674" t="s">
        <v>2625</v>
      </c>
      <c r="C237" s="1331"/>
      <c r="D237" s="1332"/>
      <c r="E237" s="1373"/>
      <c r="F237" s="1331">
        <v>1</v>
      </c>
      <c r="G237" s="1332" t="s">
        <v>2818</v>
      </c>
      <c r="H237" s="1382">
        <v>350000</v>
      </c>
      <c r="I237" s="653">
        <f>ROUND(F237*H237,0)</f>
        <v>350000</v>
      </c>
      <c r="J237" s="1374"/>
      <c r="K237" s="1262">
        <f>$I237</f>
        <v>350000</v>
      </c>
      <c r="L237" s="1374" t="s">
        <v>2929</v>
      </c>
      <c r="M237" s="1262">
        <f>$I237</f>
        <v>350000</v>
      </c>
      <c r="N237" s="1374" t="s">
        <v>2931</v>
      </c>
      <c r="O237" s="1262">
        <f>$I237</f>
        <v>350000</v>
      </c>
      <c r="P237" s="1374"/>
      <c r="Q237" s="1160"/>
      <c r="R237" s="1354"/>
      <c r="S237" s="1160"/>
      <c r="T237" s="1354"/>
      <c r="U237" s="1160"/>
      <c r="Z237" s="301"/>
      <c r="AA237" s="301"/>
    </row>
    <row r="238" spans="1:27">
      <c r="A238" s="1355"/>
      <c r="B238" s="1391"/>
      <c r="C238" s="1331"/>
      <c r="D238" s="1332"/>
      <c r="E238" s="1333"/>
      <c r="F238" s="1334"/>
      <c r="G238" s="1335"/>
      <c r="H238" s="1363"/>
      <c r="I238" s="662">
        <f>ROUND(F238*H238,0)</f>
        <v>0</v>
      </c>
      <c r="J238" s="1354"/>
      <c r="K238" s="1160"/>
      <c r="L238" s="1354"/>
      <c r="M238" s="1160"/>
      <c r="N238" s="1354"/>
      <c r="O238" s="1160"/>
      <c r="P238" s="1354"/>
      <c r="Q238" s="1160"/>
      <c r="R238" s="1354"/>
      <c r="S238" s="1160"/>
      <c r="T238" s="1354"/>
      <c r="U238" s="1160"/>
    </row>
    <row r="239" spans="1:27">
      <c r="A239" s="1355"/>
      <c r="B239" s="1391"/>
      <c r="C239" s="1331"/>
      <c r="D239" s="1332"/>
      <c r="E239" s="1333"/>
      <c r="F239" s="1334"/>
      <c r="G239" s="1335"/>
      <c r="H239" s="1363"/>
      <c r="I239" s="662">
        <f t="shared" si="13"/>
        <v>0</v>
      </c>
      <c r="J239" s="1354"/>
      <c r="K239" s="1160"/>
      <c r="L239" s="1354"/>
      <c r="M239" s="1160"/>
      <c r="N239" s="1354"/>
      <c r="O239" s="1160"/>
      <c r="P239" s="1354"/>
      <c r="Q239" s="1160"/>
      <c r="R239" s="1354"/>
      <c r="S239" s="1160"/>
      <c r="T239" s="1354"/>
      <c r="U239" s="1160"/>
    </row>
    <row r="240" spans="1:27" s="175" customFormat="1" ht="75">
      <c r="A240" s="1355"/>
      <c r="B240" s="675" t="s">
        <v>2626</v>
      </c>
      <c r="C240" s="1331"/>
      <c r="D240" s="1332"/>
      <c r="E240" s="1373"/>
      <c r="F240" s="1331"/>
      <c r="G240" s="1332"/>
      <c r="H240" s="1382"/>
      <c r="I240" s="668">
        <f>ROUND(F240*H240,0)</f>
        <v>0</v>
      </c>
      <c r="J240" s="1374"/>
      <c r="K240" s="1236"/>
      <c r="L240" s="1374"/>
      <c r="M240" s="1236"/>
      <c r="N240" s="1374"/>
      <c r="O240" s="1236"/>
      <c r="P240" s="1374"/>
      <c r="Q240" s="1236"/>
      <c r="R240" s="1374"/>
      <c r="S240" s="1236"/>
      <c r="T240" s="1374"/>
      <c r="U240" s="1236"/>
      <c r="X240" s="592"/>
      <c r="Z240" s="301"/>
      <c r="AA240" s="301"/>
    </row>
    <row r="241" spans="1:21">
      <c r="A241" s="1376" t="s">
        <v>2587</v>
      </c>
      <c r="B241" s="676" t="s">
        <v>3555</v>
      </c>
      <c r="C241" s="1331"/>
      <c r="D241" s="1332"/>
      <c r="E241" s="1333"/>
      <c r="F241" s="1334">
        <f>10000/2000</f>
        <v>5</v>
      </c>
      <c r="G241" s="1335" t="s">
        <v>3234</v>
      </c>
      <c r="H241" s="1392">
        <v>6000</v>
      </c>
      <c r="I241" s="670">
        <f t="shared" si="13"/>
        <v>30000</v>
      </c>
      <c r="J241" s="1374"/>
      <c r="K241" s="1262">
        <f t="shared" ref="K241:K242" si="28">$I241</f>
        <v>30000</v>
      </c>
      <c r="L241" s="1354"/>
      <c r="M241" s="1262">
        <f t="shared" ref="M241:M242" si="29">$I241</f>
        <v>30000</v>
      </c>
      <c r="N241" s="1374"/>
      <c r="O241" s="1262">
        <f t="shared" ref="O241:O242" si="30">$I241</f>
        <v>30000</v>
      </c>
      <c r="P241" s="1374"/>
      <c r="Q241" s="1160"/>
      <c r="R241" s="1354"/>
      <c r="S241" s="1160"/>
      <c r="T241" s="1354"/>
      <c r="U241" s="1160"/>
    </row>
    <row r="242" spans="1:21">
      <c r="A242" s="1376" t="s">
        <v>2587</v>
      </c>
      <c r="B242" s="676" t="s">
        <v>3556</v>
      </c>
      <c r="C242" s="1331"/>
      <c r="D242" s="1332"/>
      <c r="E242" s="1333"/>
      <c r="F242" s="1334">
        <f>10000/2000</f>
        <v>5</v>
      </c>
      <c r="G242" s="1335" t="s">
        <v>3234</v>
      </c>
      <c r="H242" s="1392">
        <v>6000</v>
      </c>
      <c r="I242" s="670">
        <f t="shared" si="13"/>
        <v>30000</v>
      </c>
      <c r="J242" s="1374"/>
      <c r="K242" s="1262">
        <f t="shared" si="28"/>
        <v>30000</v>
      </c>
      <c r="L242" s="1354"/>
      <c r="M242" s="1262">
        <f t="shared" si="29"/>
        <v>30000</v>
      </c>
      <c r="N242" s="1374"/>
      <c r="O242" s="1262">
        <f t="shared" si="30"/>
        <v>30000</v>
      </c>
      <c r="P242" s="1374"/>
      <c r="Q242" s="1160"/>
      <c r="R242" s="1354"/>
      <c r="S242" s="1160"/>
      <c r="T242" s="1354"/>
      <c r="U242" s="1160"/>
    </row>
    <row r="243" spans="1:21">
      <c r="A243" s="1355"/>
      <c r="B243" s="1290"/>
      <c r="C243" s="1393"/>
      <c r="D243" s="1332"/>
      <c r="E243" s="1394"/>
      <c r="F243" s="1395"/>
      <c r="G243" s="1335"/>
      <c r="H243" s="1284"/>
      <c r="I243" s="662">
        <f t="shared" si="13"/>
        <v>0</v>
      </c>
      <c r="J243" s="1354"/>
      <c r="K243" s="1160"/>
      <c r="L243" s="1354"/>
      <c r="M243" s="1160"/>
      <c r="N243" s="1354"/>
      <c r="O243" s="1160"/>
      <c r="P243" s="1354"/>
      <c r="Q243" s="1160"/>
      <c r="R243" s="1354"/>
      <c r="S243" s="1160"/>
      <c r="T243" s="1354"/>
      <c r="U243" s="1160"/>
    </row>
    <row r="244" spans="1:21">
      <c r="A244" s="1355"/>
      <c r="B244" s="666" t="s">
        <v>3235</v>
      </c>
      <c r="C244" s="1331"/>
      <c r="D244" s="1332"/>
      <c r="E244" s="1333"/>
      <c r="F244" s="1334"/>
      <c r="G244" s="1335"/>
      <c r="H244" s="1284"/>
      <c r="I244" s="662">
        <f t="shared" si="13"/>
        <v>0</v>
      </c>
      <c r="J244" s="1354"/>
      <c r="K244" s="1166">
        <f>SUBTOTAL(9,K245:K269)</f>
        <v>368224</v>
      </c>
      <c r="L244" s="1354"/>
      <c r="M244" s="1166">
        <f>SUBTOTAL(9,M245:M269)</f>
        <v>440000</v>
      </c>
      <c r="N244" s="1354"/>
      <c r="O244" s="1166">
        <f>SUBTOTAL(9,O245:O269)</f>
        <v>537376</v>
      </c>
      <c r="P244" s="1354"/>
      <c r="Q244" s="1166">
        <f>SUBTOTAL(9,Q245:Q269)</f>
        <v>0</v>
      </c>
      <c r="R244" s="1354"/>
      <c r="S244" s="1166">
        <f>SUBTOTAL(9,S245:S269)</f>
        <v>0</v>
      </c>
      <c r="T244" s="1354"/>
      <c r="U244" s="1166">
        <f>SUBTOTAL(9,U245:U269)</f>
        <v>0</v>
      </c>
    </row>
    <row r="245" spans="1:21">
      <c r="A245" s="1355"/>
      <c r="B245" s="644" t="s">
        <v>3345</v>
      </c>
      <c r="C245" s="1331"/>
      <c r="D245" s="1332"/>
      <c r="E245" s="1333"/>
      <c r="F245" s="1334"/>
      <c r="G245" s="1335"/>
      <c r="H245" s="1284"/>
      <c r="I245" s="662">
        <f t="shared" si="13"/>
        <v>0</v>
      </c>
      <c r="J245" s="1354"/>
      <c r="K245" s="1160">
        <v>221089</v>
      </c>
      <c r="L245" s="1354"/>
      <c r="M245" s="1160">
        <v>292865</v>
      </c>
      <c r="N245" s="1354"/>
      <c r="O245" s="1160">
        <v>390241</v>
      </c>
      <c r="P245" s="1354"/>
      <c r="Q245" s="1160"/>
      <c r="R245" s="1354"/>
      <c r="S245" s="1160"/>
      <c r="T245" s="1354"/>
      <c r="U245" s="1160"/>
    </row>
    <row r="246" spans="1:21">
      <c r="A246" s="1355"/>
      <c r="B246" s="652" t="s">
        <v>3557</v>
      </c>
      <c r="C246" s="1331">
        <v>255</v>
      </c>
      <c r="D246" s="1332" t="s">
        <v>2864</v>
      </c>
      <c r="E246" s="1333">
        <v>20</v>
      </c>
      <c r="F246" s="1334">
        <f t="shared" ref="F246:F253" si="31">C246*E246/2000</f>
        <v>2.5499999999999998</v>
      </c>
      <c r="G246" s="1335" t="s">
        <v>3234</v>
      </c>
      <c r="H246" s="1284"/>
      <c r="I246" s="662">
        <f t="shared" si="13"/>
        <v>0</v>
      </c>
      <c r="J246" s="1354"/>
      <c r="L246" s="1354"/>
      <c r="M246" s="1160"/>
      <c r="N246" s="1354"/>
      <c r="O246" s="1160"/>
      <c r="P246" s="1354"/>
      <c r="Q246" s="1160"/>
      <c r="R246" s="1354"/>
      <c r="S246" s="1160"/>
      <c r="T246" s="1354"/>
      <c r="U246" s="1160"/>
    </row>
    <row r="247" spans="1:21">
      <c r="A247" s="1355"/>
      <c r="B247" s="652" t="s">
        <v>3558</v>
      </c>
      <c r="C247" s="1331">
        <v>347</v>
      </c>
      <c r="D247" s="1332" t="s">
        <v>2864</v>
      </c>
      <c r="E247" s="1333">
        <v>10</v>
      </c>
      <c r="F247" s="1334">
        <f t="shared" si="31"/>
        <v>1.7350000000000001</v>
      </c>
      <c r="G247" s="1335" t="s">
        <v>3234</v>
      </c>
      <c r="H247" s="1284"/>
      <c r="I247" s="662">
        <f t="shared" si="13"/>
        <v>0</v>
      </c>
      <c r="J247" s="1354"/>
      <c r="K247" s="1160"/>
      <c r="L247" s="1354"/>
      <c r="M247" s="1160"/>
      <c r="N247" s="1354"/>
      <c r="O247" s="1160"/>
      <c r="P247" s="1354"/>
      <c r="Q247" s="1160"/>
      <c r="R247" s="1354"/>
      <c r="S247" s="1160"/>
      <c r="T247" s="1354"/>
      <c r="U247" s="1160"/>
    </row>
    <row r="248" spans="1:21">
      <c r="A248" s="1355"/>
      <c r="B248" s="652" t="s">
        <v>3559</v>
      </c>
      <c r="C248" s="1331">
        <v>51</v>
      </c>
      <c r="D248" s="1332" t="s">
        <v>2864</v>
      </c>
      <c r="E248" s="1333">
        <v>13</v>
      </c>
      <c r="F248" s="1334">
        <f t="shared" si="31"/>
        <v>0.33150000000000002</v>
      </c>
      <c r="G248" s="1335" t="s">
        <v>3234</v>
      </c>
      <c r="H248" s="1284"/>
      <c r="I248" s="662">
        <f t="shared" si="13"/>
        <v>0</v>
      </c>
      <c r="J248" s="1354"/>
      <c r="K248" s="1160"/>
      <c r="L248" s="1354"/>
      <c r="M248" s="1160"/>
      <c r="N248" s="1354"/>
      <c r="O248" s="1160"/>
      <c r="P248" s="1354"/>
      <c r="Q248" s="1160"/>
      <c r="R248" s="1354"/>
      <c r="S248" s="1160"/>
      <c r="T248" s="1354"/>
      <c r="U248" s="1160"/>
    </row>
    <row r="249" spans="1:21">
      <c r="A249" s="1355"/>
      <c r="B249" s="652" t="s">
        <v>3560</v>
      </c>
      <c r="C249" s="1331">
        <v>614</v>
      </c>
      <c r="D249" s="1332" t="s">
        <v>2864</v>
      </c>
      <c r="E249" s="1333">
        <v>31</v>
      </c>
      <c r="F249" s="1334">
        <f t="shared" si="31"/>
        <v>9.5169999999999995</v>
      </c>
      <c r="G249" s="1335" t="s">
        <v>3234</v>
      </c>
      <c r="H249" s="1284"/>
      <c r="I249" s="662">
        <f t="shared" si="13"/>
        <v>0</v>
      </c>
      <c r="J249" s="1354"/>
      <c r="K249" s="1160"/>
      <c r="L249" s="1354"/>
      <c r="M249" s="1160"/>
      <c r="N249" s="1354"/>
      <c r="O249" s="1160"/>
      <c r="P249" s="1354"/>
      <c r="Q249" s="1160"/>
      <c r="R249" s="1354"/>
      <c r="S249" s="1160"/>
      <c r="T249" s="1354"/>
      <c r="U249" s="1160"/>
    </row>
    <row r="250" spans="1:21">
      <c r="A250" s="1355"/>
      <c r="B250" s="652" t="s">
        <v>3561</v>
      </c>
      <c r="C250" s="1331">
        <v>103</v>
      </c>
      <c r="D250" s="1332" t="s">
        <v>2864</v>
      </c>
      <c r="E250" s="1333">
        <v>49</v>
      </c>
      <c r="F250" s="1334">
        <f t="shared" si="31"/>
        <v>2.5234999999999999</v>
      </c>
      <c r="G250" s="1335" t="s">
        <v>3234</v>
      </c>
      <c r="H250" s="1284"/>
      <c r="I250" s="662">
        <f t="shared" si="13"/>
        <v>0</v>
      </c>
      <c r="J250" s="1354"/>
      <c r="K250" s="1160"/>
      <c r="L250" s="1354"/>
      <c r="M250" s="1160"/>
      <c r="N250" s="1354"/>
      <c r="O250" s="1160"/>
      <c r="P250" s="1354"/>
      <c r="Q250" s="1160"/>
      <c r="R250" s="1354"/>
      <c r="S250" s="1160"/>
      <c r="T250" s="1354"/>
      <c r="U250" s="1160"/>
    </row>
    <row r="251" spans="1:21">
      <c r="A251" s="1355"/>
      <c r="B251" s="1291" t="s">
        <v>3562</v>
      </c>
      <c r="C251" s="1331">
        <v>147</v>
      </c>
      <c r="D251" s="1332" t="s">
        <v>2864</v>
      </c>
      <c r="E251" s="1333">
        <v>26</v>
      </c>
      <c r="F251" s="1334">
        <f t="shared" si="31"/>
        <v>1.911</v>
      </c>
      <c r="G251" s="1335" t="s">
        <v>3234</v>
      </c>
      <c r="H251" s="1284"/>
      <c r="I251" s="662">
        <f t="shared" si="13"/>
        <v>0</v>
      </c>
      <c r="J251" s="1354"/>
      <c r="K251" s="1160"/>
      <c r="L251" s="1354"/>
      <c r="M251" s="1160"/>
      <c r="N251" s="1354"/>
      <c r="O251" s="1160"/>
      <c r="P251" s="1354"/>
      <c r="Q251" s="1160"/>
      <c r="R251" s="1354"/>
      <c r="S251" s="1160"/>
      <c r="T251" s="1354"/>
      <c r="U251" s="1160"/>
    </row>
    <row r="252" spans="1:21">
      <c r="A252" s="1355"/>
      <c r="B252" s="1291" t="s">
        <v>3563</v>
      </c>
      <c r="C252" s="1331">
        <v>267</v>
      </c>
      <c r="D252" s="1332" t="s">
        <v>2864</v>
      </c>
      <c r="E252" s="1333">
        <v>55</v>
      </c>
      <c r="F252" s="1334">
        <f t="shared" si="31"/>
        <v>7.3425000000000002</v>
      </c>
      <c r="G252" s="1335" t="s">
        <v>3234</v>
      </c>
      <c r="H252" s="1284"/>
      <c r="I252" s="662">
        <f t="shared" si="13"/>
        <v>0</v>
      </c>
      <c r="J252" s="1354"/>
      <c r="K252" s="1160"/>
      <c r="L252" s="1354"/>
      <c r="M252" s="1160"/>
      <c r="N252" s="1354"/>
      <c r="O252" s="1160"/>
      <c r="P252" s="1354"/>
      <c r="Q252" s="1160"/>
      <c r="R252" s="1354"/>
      <c r="S252" s="1160"/>
      <c r="T252" s="1354"/>
      <c r="U252" s="1160"/>
    </row>
    <row r="253" spans="1:21">
      <c r="A253" s="1355"/>
      <c r="B253" s="652" t="s">
        <v>3564</v>
      </c>
      <c r="C253" s="1331">
        <v>150</v>
      </c>
      <c r="D253" s="1332" t="s">
        <v>2864</v>
      </c>
      <c r="E253" s="1333">
        <v>68</v>
      </c>
      <c r="F253" s="1334">
        <f t="shared" si="31"/>
        <v>5.0999999999999996</v>
      </c>
      <c r="G253" s="1335" t="s">
        <v>3234</v>
      </c>
      <c r="H253" s="1284"/>
      <c r="I253" s="662">
        <f t="shared" si="13"/>
        <v>0</v>
      </c>
      <c r="J253" s="1354"/>
      <c r="K253" s="1160"/>
      <c r="L253" s="1354"/>
      <c r="M253" s="1160"/>
      <c r="N253" s="1354"/>
      <c r="O253" s="1160"/>
      <c r="P253" s="1354"/>
      <c r="Q253" s="1160"/>
      <c r="R253" s="1354"/>
      <c r="S253" s="1160"/>
      <c r="T253" s="1354"/>
      <c r="U253" s="1160"/>
    </row>
    <row r="254" spans="1:21">
      <c r="A254" s="1355"/>
      <c r="B254" s="667" t="s">
        <v>3361</v>
      </c>
      <c r="C254" s="1331"/>
      <c r="D254" s="1332"/>
      <c r="E254" s="1333"/>
      <c r="F254" s="1334">
        <f>SUM(F246:F253)</f>
        <v>31.0105</v>
      </c>
      <c r="G254" s="1335" t="s">
        <v>3234</v>
      </c>
      <c r="H254" s="1363">
        <v>7500</v>
      </c>
      <c r="I254" s="662">
        <f>ROUND(F254*H254,0)</f>
        <v>232579</v>
      </c>
      <c r="J254" s="1354"/>
      <c r="K254" s="1160"/>
      <c r="L254" s="1354"/>
      <c r="M254" s="1160"/>
      <c r="N254" s="1354"/>
      <c r="O254" s="1160"/>
      <c r="P254" s="1354"/>
      <c r="Q254" s="1160"/>
      <c r="R254" s="1354"/>
      <c r="S254" s="1160"/>
      <c r="T254" s="1354"/>
      <c r="U254" s="1160"/>
    </row>
    <row r="255" spans="1:21">
      <c r="A255" s="1355"/>
      <c r="B255" s="667" t="s">
        <v>3516</v>
      </c>
      <c r="C255" s="1331"/>
      <c r="D255" s="1332"/>
      <c r="E255" s="1333"/>
      <c r="F255" s="1334">
        <f>F254*0.1</f>
        <v>3.1010500000000003</v>
      </c>
      <c r="G255" s="1335" t="s">
        <v>3234</v>
      </c>
      <c r="H255" s="1363">
        <v>7500</v>
      </c>
      <c r="I255" s="662">
        <f>ROUND(F255*H255,0)</f>
        <v>23258</v>
      </c>
      <c r="J255" s="1354"/>
      <c r="K255" s="1160"/>
      <c r="L255" s="1354"/>
      <c r="M255" s="1160"/>
      <c r="N255" s="1354"/>
      <c r="O255" s="1160"/>
      <c r="P255" s="1354"/>
      <c r="Q255" s="1160"/>
      <c r="R255" s="1354"/>
      <c r="S255" s="1160"/>
      <c r="T255" s="1354"/>
      <c r="U255" s="1160"/>
    </row>
    <row r="256" spans="1:21">
      <c r="A256" s="1355"/>
      <c r="B256" s="667"/>
      <c r="C256" s="1331"/>
      <c r="D256" s="1332"/>
      <c r="E256" s="1333"/>
      <c r="F256" s="1334"/>
      <c r="G256" s="1335"/>
      <c r="H256" s="1363"/>
      <c r="I256" s="662">
        <f t="shared" ref="I256:I257" si="32">ROUND(F256*H256,0)</f>
        <v>0</v>
      </c>
      <c r="J256" s="1354"/>
      <c r="K256" s="1160"/>
      <c r="L256" s="1354"/>
      <c r="M256" s="1160"/>
      <c r="N256" s="1354"/>
      <c r="O256" s="1160"/>
      <c r="P256" s="1354"/>
      <c r="Q256" s="1160"/>
      <c r="R256" s="1354"/>
      <c r="S256" s="1160"/>
      <c r="T256" s="1354"/>
      <c r="U256" s="1160"/>
    </row>
    <row r="257" spans="1:28">
      <c r="A257" s="1355"/>
      <c r="B257" s="671" t="s">
        <v>3541</v>
      </c>
      <c r="C257" s="1331"/>
      <c r="D257" s="1332"/>
      <c r="E257" s="1333"/>
      <c r="F257" s="1334"/>
      <c r="G257" s="1335"/>
      <c r="H257" s="1363"/>
      <c r="I257" s="662">
        <f t="shared" si="32"/>
        <v>0</v>
      </c>
      <c r="J257" s="1354" t="s">
        <v>2931</v>
      </c>
      <c r="K257" s="1160"/>
      <c r="L257" s="1354" t="s">
        <v>2931</v>
      </c>
      <c r="M257" s="1160"/>
      <c r="N257" s="1354"/>
      <c r="O257" s="1160"/>
      <c r="P257" s="1354"/>
      <c r="Q257" s="1160"/>
      <c r="R257" s="1354"/>
      <c r="S257" s="1160"/>
      <c r="T257" s="1354"/>
      <c r="U257" s="1160"/>
      <c r="AB257" t="s">
        <v>2795</v>
      </c>
    </row>
    <row r="258" spans="1:28">
      <c r="A258" s="1355"/>
      <c r="B258" s="644" t="s">
        <v>3565</v>
      </c>
      <c r="C258" s="1331">
        <v>4093</v>
      </c>
      <c r="D258" s="1332" t="s">
        <v>2845</v>
      </c>
      <c r="E258" s="1333"/>
      <c r="F258" s="1334">
        <f>C258</f>
        <v>4093</v>
      </c>
      <c r="G258" s="1335" t="s">
        <v>2845</v>
      </c>
      <c r="H258" s="1363">
        <v>6.5</v>
      </c>
      <c r="I258" s="662">
        <f>ROUND(F258*H258,0)</f>
        <v>26605</v>
      </c>
      <c r="J258" s="1354"/>
      <c r="K258" s="1160"/>
      <c r="L258" s="1354"/>
      <c r="M258" s="1160"/>
      <c r="N258" s="1354"/>
      <c r="O258" s="1160"/>
      <c r="P258" s="1354"/>
      <c r="Q258" s="1160"/>
      <c r="R258" s="1354"/>
      <c r="S258" s="1160"/>
      <c r="T258" s="1354"/>
      <c r="U258" s="1160"/>
    </row>
    <row r="259" spans="1:28">
      <c r="A259" s="1355"/>
      <c r="B259" s="644"/>
      <c r="C259" s="1331"/>
      <c r="D259" s="1332"/>
      <c r="E259" s="1333"/>
      <c r="F259" s="1334"/>
      <c r="G259" s="1335"/>
      <c r="H259" s="1363"/>
      <c r="I259" s="1396"/>
      <c r="J259" s="1354"/>
      <c r="K259" s="1160"/>
      <c r="L259" s="1354"/>
      <c r="M259" s="1160"/>
      <c r="N259" s="1354"/>
      <c r="O259" s="1160"/>
      <c r="P259" s="1354"/>
      <c r="Q259" s="1160"/>
      <c r="R259" s="1354"/>
      <c r="S259" s="1160"/>
      <c r="T259" s="1354"/>
      <c r="U259" s="1160"/>
    </row>
    <row r="260" spans="1:28">
      <c r="A260" s="1376" t="s">
        <v>2587</v>
      </c>
      <c r="B260" s="652" t="s">
        <v>2623</v>
      </c>
      <c r="C260" s="1331"/>
      <c r="D260" s="1332"/>
      <c r="E260" s="1333"/>
      <c r="F260" s="1377">
        <f>SUM(F261:F265)</f>
        <v>0.52242089999999997</v>
      </c>
      <c r="G260" s="1335" t="s">
        <v>3234</v>
      </c>
      <c r="H260" s="1363">
        <v>6000</v>
      </c>
      <c r="I260" s="1281">
        <f t="shared" ref="I260:I266" si="33">ROUND(F260*H260,0)</f>
        <v>3135</v>
      </c>
      <c r="J260" s="1374"/>
      <c r="K260" s="1262">
        <f>$I260</f>
        <v>3135</v>
      </c>
      <c r="L260" s="1354"/>
      <c r="M260" s="1262">
        <f>$I260</f>
        <v>3135</v>
      </c>
      <c r="N260" s="1374"/>
      <c r="O260" s="1262">
        <f>$I260</f>
        <v>3135</v>
      </c>
      <c r="P260" s="1374"/>
      <c r="Q260" s="1160"/>
      <c r="R260" s="1354"/>
      <c r="S260" s="1160"/>
      <c r="T260" s="1354"/>
      <c r="U260" s="1160"/>
    </row>
    <row r="261" spans="1:28">
      <c r="A261" s="1355">
        <v>2</v>
      </c>
      <c r="B261" s="1385" t="s">
        <v>3566</v>
      </c>
      <c r="C261" s="1366">
        <f>11.17*A261</f>
        <v>22.34</v>
      </c>
      <c r="D261" s="1332" t="s">
        <v>2864</v>
      </c>
      <c r="E261" s="1333">
        <v>3.05</v>
      </c>
      <c r="F261" s="1377">
        <f t="shared" ref="F261" si="34">C261*E261/2000</f>
        <v>3.4068500000000002E-2</v>
      </c>
      <c r="G261" s="1335" t="s">
        <v>3234</v>
      </c>
      <c r="H261" s="1363"/>
      <c r="I261" s="662">
        <f t="shared" si="33"/>
        <v>0</v>
      </c>
      <c r="J261" s="1354"/>
      <c r="K261" s="1160"/>
      <c r="L261" s="1354"/>
      <c r="M261" s="1160"/>
      <c r="N261" s="1354"/>
      <c r="O261" s="1160"/>
      <c r="P261" s="1354"/>
      <c r="Q261" s="1160"/>
      <c r="R261" s="1354"/>
      <c r="S261" s="1160"/>
      <c r="T261" s="1354"/>
      <c r="U261" s="1160"/>
    </row>
    <row r="262" spans="1:28">
      <c r="A262" s="1355">
        <v>4</v>
      </c>
      <c r="B262" s="1385" t="s">
        <v>3567</v>
      </c>
      <c r="C262" s="1366">
        <f>11.17*2*A262</f>
        <v>89.36</v>
      </c>
      <c r="D262" s="1332" t="s">
        <v>2864</v>
      </c>
      <c r="E262" s="1333">
        <v>3.05</v>
      </c>
      <c r="F262" s="1377">
        <f t="shared" ref="F262" si="35">C262*E262/2000</f>
        <v>0.13627400000000001</v>
      </c>
      <c r="G262" s="1335" t="s">
        <v>3234</v>
      </c>
      <c r="H262" s="1363"/>
      <c r="I262" s="662">
        <f t="shared" si="33"/>
        <v>0</v>
      </c>
      <c r="J262" s="1354"/>
      <c r="K262" s="1160"/>
      <c r="L262" s="1354"/>
      <c r="M262" s="1160"/>
      <c r="N262" s="1354"/>
      <c r="O262" s="1160"/>
      <c r="P262" s="1354"/>
      <c r="Q262" s="1160"/>
      <c r="R262" s="1354"/>
      <c r="S262" s="1160"/>
      <c r="T262" s="1354"/>
      <c r="U262" s="1160"/>
    </row>
    <row r="263" spans="1:28">
      <c r="A263" s="1355">
        <v>2</v>
      </c>
      <c r="B263" s="1385" t="s">
        <v>3568</v>
      </c>
      <c r="C263" s="1366">
        <f>11.17*2*A263</f>
        <v>44.68</v>
      </c>
      <c r="D263" s="1332" t="s">
        <v>2864</v>
      </c>
      <c r="E263" s="1333">
        <v>3.05</v>
      </c>
      <c r="F263" s="1377">
        <f t="shared" ref="F263" si="36">C263*E263/2000</f>
        <v>6.8137000000000003E-2</v>
      </c>
      <c r="G263" s="1335" t="s">
        <v>3234</v>
      </c>
      <c r="H263" s="1363"/>
      <c r="I263" s="662">
        <f t="shared" ref="I263" si="37">ROUND(F263*H263,0)</f>
        <v>0</v>
      </c>
      <c r="J263" s="1354"/>
      <c r="K263" s="1160"/>
      <c r="L263" s="1354"/>
      <c r="M263" s="1160"/>
      <c r="N263" s="1354"/>
      <c r="O263" s="1160"/>
      <c r="P263" s="1354"/>
      <c r="Q263" s="1160"/>
      <c r="R263" s="1354"/>
      <c r="S263" s="1160"/>
      <c r="T263" s="1354"/>
      <c r="U263" s="1160"/>
    </row>
    <row r="264" spans="1:28">
      <c r="A264" s="1355">
        <v>2</v>
      </c>
      <c r="B264" s="1385" t="s">
        <v>3569</v>
      </c>
      <c r="C264" s="1366">
        <f>11.17*A264</f>
        <v>22.34</v>
      </c>
      <c r="D264" s="1332" t="s">
        <v>2864</v>
      </c>
      <c r="E264" s="1333">
        <v>3.05</v>
      </c>
      <c r="F264" s="1377">
        <f t="shared" ref="F264" si="38">C264*E264/2000</f>
        <v>3.4068500000000002E-2</v>
      </c>
      <c r="G264" s="1335" t="s">
        <v>3234</v>
      </c>
      <c r="H264" s="1363"/>
      <c r="I264" s="662">
        <f t="shared" si="33"/>
        <v>0</v>
      </c>
      <c r="J264" s="1354"/>
      <c r="K264" s="1160"/>
      <c r="L264" s="1354"/>
      <c r="M264" s="1160"/>
      <c r="N264" s="1354"/>
      <c r="O264" s="1160"/>
      <c r="P264" s="1354"/>
      <c r="Q264" s="1160"/>
      <c r="R264" s="1354"/>
      <c r="S264" s="1160"/>
      <c r="T264" s="1354"/>
      <c r="U264" s="1160"/>
    </row>
    <row r="265" spans="1:28">
      <c r="A265" s="1355">
        <v>2</v>
      </c>
      <c r="B265" s="1385" t="s">
        <v>3570</v>
      </c>
      <c r="C265" s="1366">
        <f>11.17*A265</f>
        <v>22.34</v>
      </c>
      <c r="D265" s="1332" t="s">
        <v>2864</v>
      </c>
      <c r="E265" s="1333">
        <v>22.37</v>
      </c>
      <c r="F265" s="1377">
        <f t="shared" ref="F265" si="39">C265*E265/2000</f>
        <v>0.24987290000000001</v>
      </c>
      <c r="G265" s="1335" t="s">
        <v>3234</v>
      </c>
      <c r="H265" s="1363"/>
      <c r="I265" s="662">
        <f t="shared" si="33"/>
        <v>0</v>
      </c>
      <c r="J265" s="1354"/>
      <c r="K265" s="1160"/>
      <c r="L265" s="1354"/>
      <c r="M265" s="1160"/>
      <c r="N265" s="1354"/>
      <c r="O265" s="1160"/>
      <c r="P265" s="1354"/>
      <c r="Q265" s="1160"/>
      <c r="R265" s="1354"/>
      <c r="S265" s="1160"/>
      <c r="T265" s="1354"/>
      <c r="U265" s="1160"/>
    </row>
    <row r="266" spans="1:28">
      <c r="A266" s="1355"/>
      <c r="B266" s="667"/>
      <c r="C266" s="1331"/>
      <c r="D266" s="1332"/>
      <c r="E266" s="1333"/>
      <c r="F266" s="1334"/>
      <c r="G266" s="1335"/>
      <c r="H266" s="1363"/>
      <c r="I266" s="662">
        <f t="shared" si="33"/>
        <v>0</v>
      </c>
      <c r="J266" s="1354"/>
      <c r="K266" s="1160"/>
      <c r="L266" s="1354"/>
      <c r="M266" s="1160"/>
      <c r="N266" s="1354"/>
      <c r="O266" s="1160"/>
      <c r="P266" s="1354"/>
      <c r="Q266" s="1160"/>
      <c r="R266" s="1354"/>
      <c r="S266" s="1160"/>
      <c r="T266" s="1354"/>
      <c r="U266" s="1160"/>
    </row>
    <row r="267" spans="1:28">
      <c r="A267" s="1355"/>
      <c r="B267" s="644"/>
      <c r="C267" s="1331"/>
      <c r="D267" s="1332"/>
      <c r="E267" s="1333"/>
      <c r="F267" s="1334"/>
      <c r="G267" s="1335"/>
      <c r="H267" s="1363"/>
      <c r="I267" s="662"/>
      <c r="J267" s="1354"/>
      <c r="K267" s="1160"/>
      <c r="L267" s="1354"/>
      <c r="M267" s="1160"/>
      <c r="N267" s="1354"/>
      <c r="O267" s="1160"/>
      <c r="P267" s="1354"/>
      <c r="Q267" s="1160"/>
      <c r="R267" s="1354"/>
      <c r="S267" s="1160"/>
      <c r="T267" s="1354"/>
      <c r="U267" s="1160"/>
    </row>
    <row r="268" spans="1:28" s="175" customFormat="1" ht="45">
      <c r="A268" s="1376" t="s">
        <v>2587</v>
      </c>
      <c r="B268" s="677" t="s">
        <v>2628</v>
      </c>
      <c r="C268" s="1331"/>
      <c r="D268" s="1332"/>
      <c r="E268" s="1373"/>
      <c r="F268" s="1331">
        <v>8</v>
      </c>
      <c r="G268" s="1332" t="s">
        <v>2782</v>
      </c>
      <c r="H268" s="1382">
        <v>18000</v>
      </c>
      <c r="I268" s="653">
        <f t="shared" si="13"/>
        <v>144000</v>
      </c>
      <c r="J268" s="1374"/>
      <c r="K268" s="1262">
        <f>$I268</f>
        <v>144000</v>
      </c>
      <c r="L268" s="1354"/>
      <c r="M268" s="1262">
        <f>$I268</f>
        <v>144000</v>
      </c>
      <c r="N268" s="1374"/>
      <c r="O268" s="1262">
        <f>$I268</f>
        <v>144000</v>
      </c>
      <c r="P268" s="1374"/>
      <c r="Q268" s="1160"/>
      <c r="R268" s="1354"/>
      <c r="S268" s="1160"/>
      <c r="T268" s="1354"/>
      <c r="U268" s="1160"/>
      <c r="Z268" s="301"/>
      <c r="AA268" s="301"/>
    </row>
    <row r="269" spans="1:28">
      <c r="A269" s="1355"/>
      <c r="B269" s="644"/>
      <c r="C269" s="1331"/>
      <c r="D269" s="1332"/>
      <c r="E269" s="1333"/>
      <c r="F269" s="1334"/>
      <c r="G269" s="1335"/>
      <c r="H269" s="1284"/>
      <c r="I269" s="662"/>
      <c r="J269" s="1354"/>
      <c r="K269" s="1160"/>
      <c r="L269" s="1354"/>
      <c r="M269" s="1160"/>
      <c r="N269" s="1354"/>
      <c r="O269" s="1160"/>
      <c r="P269" s="1354"/>
      <c r="Q269" s="1160"/>
      <c r="R269" s="1354"/>
      <c r="S269" s="1160"/>
      <c r="T269" s="1354"/>
      <c r="U269" s="1160"/>
    </row>
    <row r="270" spans="1:28">
      <c r="A270" s="1355"/>
      <c r="B270" s="666" t="s">
        <v>2697</v>
      </c>
      <c r="C270" s="1331"/>
      <c r="D270" s="1332"/>
      <c r="E270" s="1333"/>
      <c r="F270" s="1334"/>
      <c r="G270" s="1335"/>
      <c r="H270" s="1284"/>
      <c r="I270" s="662"/>
      <c r="J270" s="1354"/>
      <c r="K270" s="1166">
        <f>SUBTOTAL(9,K271:K291)</f>
        <v>67958</v>
      </c>
      <c r="L270" s="1354"/>
      <c r="M270" s="1166">
        <f>SUBTOTAL(9,M271:M291)</f>
        <v>79554</v>
      </c>
      <c r="N270" s="1354"/>
      <c r="O270" s="1166">
        <f>SUBTOTAL(9,O271:O291)</f>
        <v>85910</v>
      </c>
      <c r="P270" s="1354"/>
      <c r="Q270" s="1166">
        <f>SUBTOTAL(9,Q271:Q291)</f>
        <v>0</v>
      </c>
      <c r="R270" s="1354"/>
      <c r="S270" s="1166">
        <f>SUBTOTAL(9,S271:S291)</f>
        <v>0</v>
      </c>
      <c r="T270" s="1354"/>
      <c r="U270" s="1166">
        <f>SUBTOTAL(9,U271:U291)</f>
        <v>0</v>
      </c>
    </row>
    <row r="271" spans="1:28">
      <c r="A271" s="1355"/>
      <c r="B271" s="644" t="s">
        <v>3345</v>
      </c>
      <c r="C271" s="1331"/>
      <c r="D271" s="1332"/>
      <c r="E271" s="1333"/>
      <c r="F271" s="1334"/>
      <c r="G271" s="1335"/>
      <c r="H271" s="1284"/>
      <c r="I271" s="662"/>
      <c r="J271" s="1354"/>
      <c r="K271" s="1160">
        <v>21690</v>
      </c>
      <c r="L271" s="1354"/>
      <c r="M271" s="1160">
        <v>33556</v>
      </c>
      <c r="N271" s="1354"/>
      <c r="O271" s="1160">
        <v>39912</v>
      </c>
      <c r="P271" s="1354"/>
      <c r="Q271" s="1160"/>
      <c r="R271" s="1354"/>
      <c r="S271" s="1160"/>
      <c r="T271" s="1354"/>
      <c r="U271" s="1160"/>
    </row>
    <row r="272" spans="1:28">
      <c r="A272" s="1355"/>
      <c r="B272" s="652" t="s">
        <v>3571</v>
      </c>
      <c r="C272" s="1331">
        <v>22</v>
      </c>
      <c r="D272" s="1332" t="s">
        <v>2864</v>
      </c>
      <c r="E272" s="1333">
        <v>19.02</v>
      </c>
      <c r="F272" s="1334">
        <f t="shared" ref="F272:F275" si="40">C272*E272/2000</f>
        <v>0.20921999999999999</v>
      </c>
      <c r="G272" s="1335" t="s">
        <v>3234</v>
      </c>
      <c r="H272" s="1363"/>
      <c r="I272" s="662">
        <f t="shared" si="13"/>
        <v>0</v>
      </c>
      <c r="J272" s="1354"/>
      <c r="K272" s="1160"/>
      <c r="L272" s="1354"/>
      <c r="M272" s="1160"/>
      <c r="N272" s="1354"/>
      <c r="O272" s="1160"/>
      <c r="P272" s="1354"/>
      <c r="Q272" s="1160"/>
      <c r="R272" s="1354"/>
      <c r="S272" s="1160"/>
      <c r="T272" s="1354"/>
      <c r="U272" s="1160"/>
      <c r="AB272" t="s">
        <v>2795</v>
      </c>
    </row>
    <row r="273" spans="1:21">
      <c r="A273" s="1355"/>
      <c r="B273" s="652" t="s">
        <v>3572</v>
      </c>
      <c r="C273" s="1331">
        <v>93</v>
      </c>
      <c r="D273" s="1332" t="s">
        <v>2864</v>
      </c>
      <c r="E273" s="1333">
        <v>15.62</v>
      </c>
      <c r="F273" s="1334">
        <f t="shared" si="40"/>
        <v>0.72632999999999992</v>
      </c>
      <c r="G273" s="1335" t="s">
        <v>3234</v>
      </c>
      <c r="H273" s="1363"/>
      <c r="I273" s="662">
        <f t="shared" si="13"/>
        <v>0</v>
      </c>
      <c r="J273" s="1354"/>
      <c r="K273" s="1160"/>
      <c r="L273" s="1354"/>
      <c r="M273" s="1160"/>
      <c r="N273" s="1354"/>
      <c r="O273" s="1160"/>
      <c r="P273" s="1354"/>
      <c r="Q273" s="1160"/>
      <c r="R273" s="1354"/>
      <c r="S273" s="1160"/>
      <c r="T273" s="1354"/>
      <c r="U273" s="1160"/>
    </row>
    <row r="274" spans="1:21">
      <c r="A274" s="1355"/>
      <c r="B274" s="652" t="s">
        <v>3573</v>
      </c>
      <c r="C274" s="1331">
        <v>12</v>
      </c>
      <c r="D274" s="1332" t="s">
        <v>2864</v>
      </c>
      <c r="E274" s="1333">
        <v>17.32</v>
      </c>
      <c r="F274" s="1334">
        <f t="shared" si="40"/>
        <v>0.10392</v>
      </c>
      <c r="G274" s="1335" t="s">
        <v>3234</v>
      </c>
      <c r="H274" s="1363"/>
      <c r="I274" s="662">
        <f t="shared" si="13"/>
        <v>0</v>
      </c>
      <c r="J274" s="1354"/>
      <c r="K274" s="1160"/>
      <c r="L274" s="1354"/>
      <c r="M274" s="1160"/>
      <c r="N274" s="1354"/>
      <c r="O274" s="1160"/>
      <c r="P274" s="1354"/>
      <c r="Q274" s="1160"/>
      <c r="R274" s="1354"/>
      <c r="S274" s="1160"/>
      <c r="T274" s="1354"/>
      <c r="U274" s="1160"/>
    </row>
    <row r="275" spans="1:21">
      <c r="A275" s="1355"/>
      <c r="B275" s="652" t="s">
        <v>3574</v>
      </c>
      <c r="C275" s="1331">
        <v>35</v>
      </c>
      <c r="D275" s="1332" t="s">
        <v>2864</v>
      </c>
      <c r="E275" s="1333">
        <v>22.42</v>
      </c>
      <c r="F275" s="1334">
        <f t="shared" si="40"/>
        <v>0.39235000000000003</v>
      </c>
      <c r="G275" s="1335" t="s">
        <v>3234</v>
      </c>
      <c r="H275" s="1363"/>
      <c r="I275" s="662">
        <f t="shared" si="13"/>
        <v>0</v>
      </c>
      <c r="J275" s="1354"/>
      <c r="K275" s="1160"/>
      <c r="L275" s="1354"/>
      <c r="M275" s="1160"/>
      <c r="N275" s="1354"/>
      <c r="O275" s="1160"/>
      <c r="P275" s="1354"/>
      <c r="Q275" s="1160"/>
      <c r="R275" s="1354"/>
      <c r="S275" s="1160"/>
      <c r="T275" s="1354"/>
      <c r="U275" s="1160"/>
    </row>
    <row r="276" spans="1:21">
      <c r="A276" s="1355"/>
      <c r="B276" s="667" t="s">
        <v>3361</v>
      </c>
      <c r="C276" s="1331"/>
      <c r="D276" s="1332"/>
      <c r="E276" s="1333"/>
      <c r="F276" s="1334">
        <f>SUM(F272:F275)</f>
        <v>1.4318199999999999</v>
      </c>
      <c r="G276" s="1335" t="s">
        <v>3234</v>
      </c>
      <c r="H276" s="1363">
        <v>15000</v>
      </c>
      <c r="I276" s="662">
        <f>ROUND(F276*H276,0)</f>
        <v>21477</v>
      </c>
      <c r="J276" s="1354"/>
      <c r="K276" s="1160"/>
      <c r="L276" s="1354"/>
      <c r="M276" s="1160"/>
      <c r="N276" s="1354"/>
      <c r="O276" s="1160"/>
      <c r="P276" s="1354"/>
      <c r="Q276" s="1160"/>
      <c r="R276" s="1354"/>
      <c r="S276" s="1160"/>
      <c r="T276" s="1354"/>
      <c r="U276" s="1160"/>
    </row>
    <row r="277" spans="1:21">
      <c r="A277" s="1355"/>
      <c r="B277" s="667" t="s">
        <v>3516</v>
      </c>
      <c r="C277" s="1331"/>
      <c r="D277" s="1332"/>
      <c r="E277" s="1333"/>
      <c r="F277" s="1334">
        <f>F276*0.1</f>
        <v>0.143182</v>
      </c>
      <c r="G277" s="1335" t="s">
        <v>3234</v>
      </c>
      <c r="H277" s="1363">
        <v>5000</v>
      </c>
      <c r="I277" s="662">
        <f>ROUND(F277*H277,0)</f>
        <v>716</v>
      </c>
      <c r="J277" s="1354"/>
      <c r="K277" s="1160"/>
      <c r="L277" s="1354"/>
      <c r="M277" s="1160"/>
      <c r="N277" s="1354"/>
      <c r="O277" s="1160"/>
      <c r="P277" s="1354"/>
      <c r="Q277" s="1160"/>
      <c r="R277" s="1354"/>
      <c r="S277" s="1160"/>
      <c r="T277" s="1354"/>
      <c r="U277" s="1160"/>
    </row>
    <row r="278" spans="1:21">
      <c r="A278" s="1355"/>
      <c r="B278" s="1365"/>
      <c r="C278" s="1331"/>
      <c r="D278" s="1332"/>
      <c r="E278" s="1333"/>
      <c r="F278" s="1334"/>
      <c r="G278" s="1335"/>
      <c r="H278" s="1363"/>
      <c r="I278" s="1396"/>
      <c r="J278" s="1354"/>
      <c r="K278" s="1160"/>
      <c r="L278" s="1354"/>
      <c r="M278" s="1160"/>
      <c r="N278" s="1354"/>
      <c r="O278" s="1160"/>
      <c r="P278" s="1354"/>
      <c r="Q278" s="1160"/>
      <c r="R278" s="1354"/>
      <c r="S278" s="1160"/>
      <c r="T278" s="1354"/>
      <c r="U278" s="1160"/>
    </row>
    <row r="279" spans="1:21">
      <c r="A279" s="1376" t="s">
        <v>2587</v>
      </c>
      <c r="B279" s="1391" t="s">
        <v>2627</v>
      </c>
      <c r="C279" s="1331"/>
      <c r="D279" s="1332"/>
      <c r="E279" s="1333"/>
      <c r="F279" s="1377">
        <f>SUM(F280:F285)</f>
        <v>4.5997500000000002</v>
      </c>
      <c r="G279" s="1335" t="s">
        <v>3234</v>
      </c>
      <c r="H279" s="1363">
        <v>10000</v>
      </c>
      <c r="I279" s="1378">
        <f t="shared" ref="I279:I282" si="41">ROUND(F279*H279,0)</f>
        <v>45998</v>
      </c>
      <c r="J279" s="1374"/>
      <c r="K279" s="1262">
        <f>$I279</f>
        <v>45998</v>
      </c>
      <c r="L279" s="1354"/>
      <c r="M279" s="1262">
        <f>$I279</f>
        <v>45998</v>
      </c>
      <c r="N279" s="1374"/>
      <c r="O279" s="1262">
        <f>$I279</f>
        <v>45998</v>
      </c>
      <c r="P279" s="1374"/>
      <c r="Q279" s="1160"/>
      <c r="R279" s="1354"/>
      <c r="S279" s="1160"/>
      <c r="T279" s="1354"/>
      <c r="U279" s="1160"/>
    </row>
    <row r="280" spans="1:21">
      <c r="A280" s="1355">
        <v>2</v>
      </c>
      <c r="B280" s="652" t="s">
        <v>3575</v>
      </c>
      <c r="C280" s="1331">
        <f>A280*10.25</f>
        <v>20.5</v>
      </c>
      <c r="D280" s="1332" t="s">
        <v>2864</v>
      </c>
      <c r="E280" s="1333">
        <v>15</v>
      </c>
      <c r="F280" s="1377">
        <f t="shared" ref="F280:F284" si="42">C280*E280/2000</f>
        <v>0.15375</v>
      </c>
      <c r="G280" s="1335" t="s">
        <v>3234</v>
      </c>
      <c r="H280" s="1363"/>
      <c r="I280" s="662">
        <f t="shared" si="41"/>
        <v>0</v>
      </c>
      <c r="J280" s="1354"/>
      <c r="K280" s="1160"/>
      <c r="L280" s="1354"/>
      <c r="M280" s="1160"/>
      <c r="N280" s="1354"/>
      <c r="O280" s="1160"/>
      <c r="P280" s="1354"/>
      <c r="Q280" s="1160"/>
      <c r="R280" s="1354"/>
      <c r="S280" s="1160"/>
      <c r="T280" s="1354"/>
      <c r="U280" s="1160"/>
    </row>
    <row r="281" spans="1:21">
      <c r="A281" s="1355">
        <v>2</v>
      </c>
      <c r="B281" s="652" t="s">
        <v>3576</v>
      </c>
      <c r="C281" s="1331">
        <f>A281*10.25</f>
        <v>20.5</v>
      </c>
      <c r="D281" s="1332" t="s">
        <v>2864</v>
      </c>
      <c r="E281" s="1333">
        <v>3</v>
      </c>
      <c r="F281" s="1377">
        <f t="shared" si="42"/>
        <v>3.075E-2</v>
      </c>
      <c r="G281" s="1335" t="s">
        <v>3234</v>
      </c>
      <c r="H281" s="1363"/>
      <c r="I281" s="662">
        <f t="shared" si="41"/>
        <v>0</v>
      </c>
      <c r="J281" s="1354"/>
      <c r="K281" s="1160"/>
      <c r="L281" s="1354"/>
      <c r="M281" s="1160"/>
      <c r="N281" s="1354"/>
      <c r="O281" s="1160"/>
      <c r="P281" s="1354"/>
      <c r="Q281" s="1160"/>
      <c r="R281" s="1354"/>
      <c r="S281" s="1160"/>
      <c r="T281" s="1354"/>
      <c r="U281" s="1160"/>
    </row>
    <row r="282" spans="1:21">
      <c r="A282" s="1355">
        <v>2</v>
      </c>
      <c r="B282" s="1291" t="s">
        <v>3577</v>
      </c>
      <c r="C282" s="1331">
        <f>A282*10.25*2</f>
        <v>41</v>
      </c>
      <c r="D282" s="1332" t="s">
        <v>2864</v>
      </c>
      <c r="E282" s="1333">
        <v>3</v>
      </c>
      <c r="F282" s="1377">
        <f t="shared" si="42"/>
        <v>6.1499999999999999E-2</v>
      </c>
      <c r="G282" s="1335" t="s">
        <v>3234</v>
      </c>
      <c r="H282" s="1363"/>
      <c r="I282" s="662">
        <f t="shared" si="41"/>
        <v>0</v>
      </c>
      <c r="J282" s="1354"/>
      <c r="K282" s="1160"/>
      <c r="L282" s="1354"/>
      <c r="M282" s="1160"/>
      <c r="N282" s="1354"/>
      <c r="O282" s="1160"/>
      <c r="P282" s="1354"/>
      <c r="Q282" s="1160"/>
      <c r="R282" s="1354"/>
      <c r="S282" s="1160"/>
      <c r="T282" s="1354"/>
      <c r="U282" s="1160"/>
    </row>
    <row r="283" spans="1:21">
      <c r="A283" s="1355">
        <v>4</v>
      </c>
      <c r="B283" s="1291" t="s">
        <v>3578</v>
      </c>
      <c r="C283" s="1331">
        <f>A283*10.25*2</f>
        <v>82</v>
      </c>
      <c r="D283" s="1332" t="s">
        <v>2864</v>
      </c>
      <c r="E283" s="1333">
        <v>3</v>
      </c>
      <c r="F283" s="1377">
        <f t="shared" si="42"/>
        <v>0.123</v>
      </c>
      <c r="G283" s="1335" t="s">
        <v>3234</v>
      </c>
      <c r="H283" s="1363"/>
      <c r="I283" s="662">
        <f t="shared" ref="I283:I286" si="43">ROUND(F283*H283,0)</f>
        <v>0</v>
      </c>
      <c r="J283" s="1354"/>
      <c r="K283" s="1160"/>
      <c r="L283" s="1354"/>
      <c r="M283" s="1160"/>
      <c r="N283" s="1354"/>
      <c r="O283" s="1160"/>
      <c r="P283" s="1354"/>
      <c r="Q283" s="1160"/>
      <c r="R283" s="1354"/>
      <c r="S283" s="1160"/>
      <c r="T283" s="1354"/>
      <c r="U283" s="1160"/>
    </row>
    <row r="284" spans="1:21">
      <c r="A284" s="1355">
        <v>2</v>
      </c>
      <c r="B284" s="652" t="s">
        <v>3579</v>
      </c>
      <c r="C284" s="1331">
        <f>A284*10.25</f>
        <v>20.5</v>
      </c>
      <c r="D284" s="1332" t="s">
        <v>2864</v>
      </c>
      <c r="E284" s="1333">
        <v>3</v>
      </c>
      <c r="F284" s="1377">
        <f t="shared" si="42"/>
        <v>3.075E-2</v>
      </c>
      <c r="G284" s="1335" t="s">
        <v>3234</v>
      </c>
      <c r="H284" s="1363"/>
      <c r="I284" s="662">
        <f t="shared" si="43"/>
        <v>0</v>
      </c>
      <c r="J284" s="1354"/>
      <c r="K284" s="1160"/>
      <c r="L284" s="1354"/>
      <c r="M284" s="1160"/>
      <c r="N284" s="1354"/>
      <c r="O284" s="1160"/>
      <c r="P284" s="1354"/>
      <c r="Q284" s="1160"/>
      <c r="R284" s="1354"/>
      <c r="S284" s="1160"/>
      <c r="T284" s="1354"/>
      <c r="U284" s="1160"/>
    </row>
    <row r="285" spans="1:21">
      <c r="A285" s="1355"/>
      <c r="B285" s="652" t="s">
        <v>3580</v>
      </c>
      <c r="C285" s="1331">
        <v>1680</v>
      </c>
      <c r="D285" s="1332" t="s">
        <v>2864</v>
      </c>
      <c r="E285" s="1333">
        <v>5</v>
      </c>
      <c r="F285" s="1377">
        <f t="shared" ref="F285" si="44">C285*E285/2000</f>
        <v>4.2</v>
      </c>
      <c r="G285" s="1335" t="s">
        <v>3234</v>
      </c>
      <c r="H285" s="1363"/>
      <c r="I285" s="662"/>
      <c r="J285" s="1354"/>
      <c r="K285" s="1160"/>
      <c r="L285" s="1354"/>
      <c r="M285" s="1160"/>
      <c r="N285" s="1354"/>
      <c r="O285" s="1160"/>
      <c r="P285" s="1354"/>
      <c r="Q285" s="1160"/>
      <c r="R285" s="1354"/>
      <c r="S285" s="1160"/>
      <c r="T285" s="1354"/>
      <c r="U285" s="1160"/>
    </row>
    <row r="286" spans="1:21">
      <c r="A286" s="1355"/>
      <c r="B286" s="1291"/>
      <c r="C286" s="1331"/>
      <c r="D286" s="1332"/>
      <c r="E286" s="1333"/>
      <c r="F286" s="1334"/>
      <c r="G286" s="1335"/>
      <c r="H286" s="1363"/>
      <c r="I286" s="662">
        <f t="shared" si="43"/>
        <v>0</v>
      </c>
      <c r="J286" s="1354"/>
      <c r="K286" s="1160"/>
      <c r="L286" s="1354"/>
      <c r="M286" s="1160"/>
      <c r="N286" s="1354"/>
      <c r="O286" s="1160"/>
      <c r="P286" s="1354"/>
      <c r="Q286" s="1160"/>
      <c r="R286" s="1354"/>
      <c r="S286" s="1160"/>
      <c r="T286" s="1354"/>
      <c r="U286" s="1160"/>
    </row>
    <row r="287" spans="1:21">
      <c r="A287" s="1355"/>
      <c r="B287" s="1159" t="s">
        <v>3581</v>
      </c>
      <c r="C287" s="1331"/>
      <c r="D287" s="1332"/>
      <c r="E287" s="1333"/>
      <c r="F287" s="1334"/>
      <c r="G287" s="1335"/>
      <c r="H287" s="1363"/>
      <c r="I287" s="662">
        <f t="shared" ref="I287:I290" si="45">ROUND(F287*H287,0)</f>
        <v>0</v>
      </c>
      <c r="J287" s="1354" t="s">
        <v>2931</v>
      </c>
      <c r="K287" s="1160"/>
      <c r="L287" s="1354" t="s">
        <v>2931</v>
      </c>
      <c r="M287" s="1160"/>
      <c r="N287" s="1354"/>
      <c r="O287" s="1160"/>
      <c r="P287" s="1354"/>
      <c r="Q287" s="1160"/>
      <c r="R287" s="1354"/>
      <c r="S287" s="1160"/>
      <c r="T287" s="1354"/>
      <c r="U287" s="1160"/>
    </row>
    <row r="288" spans="1:21">
      <c r="A288" s="1355"/>
      <c r="B288" s="1159" t="s">
        <v>3582</v>
      </c>
      <c r="C288" s="1331"/>
      <c r="D288" s="1332"/>
      <c r="E288" s="1333"/>
      <c r="F288" s="1334"/>
      <c r="G288" s="1335"/>
      <c r="H288" s="1363"/>
      <c r="I288" s="662">
        <f t="shared" si="45"/>
        <v>0</v>
      </c>
      <c r="J288" s="1354" t="s">
        <v>2931</v>
      </c>
      <c r="K288" s="1160"/>
      <c r="L288" s="1354" t="s">
        <v>2931</v>
      </c>
      <c r="M288" s="1160"/>
      <c r="N288" s="1354"/>
      <c r="O288" s="1160"/>
      <c r="P288" s="1354"/>
      <c r="Q288" s="1160"/>
      <c r="R288" s="1354"/>
      <c r="S288" s="1160"/>
      <c r="T288" s="1354"/>
      <c r="U288" s="1160"/>
    </row>
    <row r="289" spans="1:32">
      <c r="A289" s="1355"/>
      <c r="B289" s="1159" t="s">
        <v>3583</v>
      </c>
      <c r="C289" s="1366"/>
      <c r="D289" s="1332"/>
      <c r="E289" s="1384"/>
      <c r="F289" s="1397"/>
      <c r="G289" s="1335"/>
      <c r="H289" s="1392"/>
      <c r="I289" s="662">
        <f t="shared" si="45"/>
        <v>0</v>
      </c>
      <c r="J289" s="1398" t="s">
        <v>2931</v>
      </c>
      <c r="K289" s="1399"/>
      <c r="L289" s="1400" t="s">
        <v>2931</v>
      </c>
      <c r="M289" s="1399"/>
      <c r="N289" s="1398"/>
      <c r="O289" s="1399"/>
      <c r="P289" s="1398"/>
      <c r="Q289" s="1399"/>
      <c r="R289" s="1398"/>
      <c r="S289" s="1399"/>
      <c r="T289" s="1400"/>
      <c r="U289" s="1399"/>
      <c r="Z289" s="539"/>
      <c r="AA289" s="539"/>
    </row>
    <row r="290" spans="1:32">
      <c r="A290" s="1355"/>
      <c r="B290" s="652"/>
      <c r="C290" s="1366"/>
      <c r="D290" s="1332"/>
      <c r="E290" s="1384"/>
      <c r="F290" s="1397"/>
      <c r="G290" s="1335"/>
      <c r="H290" s="1392"/>
      <c r="I290" s="662">
        <f t="shared" si="45"/>
        <v>0</v>
      </c>
      <c r="J290" s="1398"/>
      <c r="K290" s="1399"/>
      <c r="L290" s="1400"/>
      <c r="M290" s="1399"/>
      <c r="N290" s="1398"/>
      <c r="O290" s="1399"/>
      <c r="P290" s="1398"/>
      <c r="Q290" s="1399"/>
      <c r="R290" s="1398"/>
      <c r="S290" s="1399"/>
      <c r="T290" s="1400"/>
      <c r="U290" s="1399"/>
      <c r="Z290" s="539"/>
      <c r="AA290" s="539"/>
    </row>
    <row r="291" spans="1:32" ht="15.75" thickBot="1">
      <c r="A291" s="1355"/>
      <c r="B291" s="1290"/>
      <c r="C291" s="1393"/>
      <c r="D291" s="1332"/>
      <c r="E291" s="1394"/>
      <c r="F291" s="1395"/>
      <c r="G291" s="1335"/>
      <c r="H291" s="1284"/>
      <c r="I291" s="662"/>
      <c r="J291" s="1354"/>
      <c r="K291" s="1160">
        <v>270</v>
      </c>
      <c r="L291" s="1354"/>
      <c r="M291" s="1160"/>
      <c r="N291" s="1354"/>
      <c r="O291" s="1160"/>
      <c r="P291" s="1354"/>
      <c r="Q291" s="1160"/>
      <c r="R291" s="1354"/>
      <c r="S291" s="1160"/>
      <c r="T291" s="1354"/>
      <c r="U291" s="1160"/>
    </row>
    <row r="292" spans="1:32" ht="15.75" thickTop="1">
      <c r="A292" s="13"/>
      <c r="B292" s="226" t="s">
        <v>3265</v>
      </c>
      <c r="C292" s="498"/>
      <c r="D292" s="501"/>
      <c r="E292" s="309"/>
      <c r="F292" s="233"/>
      <c r="G292" s="176"/>
      <c r="H292" s="17"/>
      <c r="I292" s="227">
        <f>SUBTOTAL(9,I20:I291)</f>
        <v>5717044</v>
      </c>
      <c r="J292" s="19"/>
      <c r="K292" s="225">
        <f>SUBTOTAL(9,K19:K291)</f>
        <v>5339241</v>
      </c>
      <c r="L292" s="19"/>
      <c r="M292" s="225">
        <f>SUBTOTAL(9,M19:M291)</f>
        <v>5634370</v>
      </c>
      <c r="N292" s="19"/>
      <c r="O292" s="225">
        <f>SUBTOTAL(9,O19:O291)</f>
        <v>6246031</v>
      </c>
      <c r="P292" s="19"/>
      <c r="Q292" s="225">
        <f>SUBTOTAL(9,Q19:Q291)</f>
        <v>0</v>
      </c>
      <c r="R292" s="19"/>
      <c r="S292" s="225">
        <f>SUBTOTAL(9,S19:S291)</f>
        <v>0</v>
      </c>
      <c r="T292" s="19"/>
      <c r="U292" s="225">
        <f>SUBTOTAL(9,U19:U291)</f>
        <v>0</v>
      </c>
    </row>
    <row r="293" spans="1:32">
      <c r="A293" s="1293"/>
      <c r="B293" s="1294" t="s">
        <v>2976</v>
      </c>
      <c r="C293" s="1381"/>
      <c r="D293" s="1401"/>
      <c r="E293" s="1379"/>
      <c r="F293" s="1377"/>
      <c r="G293" s="1297"/>
      <c r="H293" s="1298"/>
      <c r="I293" s="654"/>
      <c r="J293" s="1299">
        <v>0</v>
      </c>
      <c r="K293" s="645"/>
      <c r="L293" s="1299">
        <v>0</v>
      </c>
      <c r="M293" s="645"/>
      <c r="N293" s="1299">
        <v>0</v>
      </c>
      <c r="O293" s="645"/>
      <c r="P293" s="1299">
        <v>0</v>
      </c>
      <c r="Q293" s="645"/>
      <c r="R293" s="1299">
        <v>0</v>
      </c>
      <c r="S293" s="645"/>
      <c r="T293" s="1299">
        <v>0</v>
      </c>
      <c r="U293" s="645"/>
    </row>
    <row r="294" spans="1:32">
      <c r="A294" s="1293"/>
      <c r="B294" s="1294" t="s">
        <v>2977</v>
      </c>
      <c r="C294" s="1381"/>
      <c r="D294" s="1401"/>
      <c r="E294" s="1379"/>
      <c r="F294" s="1377"/>
      <c r="G294" s="1297"/>
      <c r="H294" s="1298"/>
      <c r="I294" s="654">
        <f>H293*I292</f>
        <v>0</v>
      </c>
      <c r="J294" s="1300"/>
      <c r="K294" s="1301">
        <f>J293*K292</f>
        <v>0</v>
      </c>
      <c r="L294" s="1300"/>
      <c r="M294" s="1301">
        <f>L293*M292</f>
        <v>0</v>
      </c>
      <c r="N294" s="1300"/>
      <c r="O294" s="1301">
        <f>N293*O292</f>
        <v>0</v>
      </c>
      <c r="P294" s="1300"/>
      <c r="Q294" s="1301">
        <f>P293*Q292</f>
        <v>0</v>
      </c>
      <c r="R294" s="1300"/>
      <c r="S294" s="1301">
        <f>R293*S292</f>
        <v>0</v>
      </c>
      <c r="T294" s="1300"/>
      <c r="U294" s="1301">
        <f>T293*U292</f>
        <v>0</v>
      </c>
    </row>
    <row r="295" spans="1:32">
      <c r="A295" s="1293"/>
      <c r="B295" s="1294"/>
      <c r="C295" s="1381"/>
      <c r="D295" s="1401"/>
      <c r="E295" s="1379"/>
      <c r="F295" s="1377"/>
      <c r="G295" s="1297"/>
      <c r="H295" s="1298"/>
      <c r="I295" s="654"/>
      <c r="J295" s="1300"/>
      <c r="K295" s="1301"/>
      <c r="L295" s="1300"/>
      <c r="M295" s="1301"/>
      <c r="N295" s="1300"/>
      <c r="O295" s="1301"/>
      <c r="P295" s="1300"/>
      <c r="Q295" s="1301"/>
      <c r="R295" s="1300"/>
      <c r="S295" s="1301"/>
      <c r="T295" s="1300"/>
      <c r="U295" s="1301"/>
    </row>
    <row r="296" spans="1:32">
      <c r="A296" s="1293"/>
      <c r="B296" s="1294" t="s">
        <v>2978</v>
      </c>
      <c r="C296" s="1381"/>
      <c r="D296" s="1401"/>
      <c r="E296" s="1379"/>
      <c r="F296" s="1377"/>
      <c r="G296" s="1297"/>
      <c r="H296" s="1298"/>
      <c r="I296" s="654">
        <f>SUM(I292:I294)</f>
        <v>5717044</v>
      </c>
      <c r="J296" s="1302"/>
      <c r="K296" s="1301">
        <f>SUM(K292:K294)</f>
        <v>5339241</v>
      </c>
      <c r="L296" s="1302"/>
      <c r="M296" s="1301">
        <f>SUM(M292:M294)</f>
        <v>5634370</v>
      </c>
      <c r="N296" s="1302"/>
      <c r="O296" s="1301">
        <f>SUM(O292:O294)</f>
        <v>6246031</v>
      </c>
      <c r="P296" s="1302"/>
      <c r="Q296" s="1301">
        <f>SUM(Q292:Q294)</f>
        <v>0</v>
      </c>
      <c r="R296" s="1302"/>
      <c r="S296" s="1301">
        <f>SUM(S292:S294)</f>
        <v>0</v>
      </c>
      <c r="T296" s="1302"/>
      <c r="U296" s="1301">
        <f>SUM(U292:U294)</f>
        <v>0</v>
      </c>
    </row>
    <row r="297" spans="1:32">
      <c r="A297" s="1293"/>
      <c r="B297" s="1303" t="s">
        <v>2979</v>
      </c>
      <c r="C297" s="1381">
        <f>75564+10580+1078</f>
        <v>87222</v>
      </c>
      <c r="D297" s="1401"/>
      <c r="E297" s="1379"/>
      <c r="F297" s="1377"/>
      <c r="G297" s="1297"/>
      <c r="H297" s="1303"/>
      <c r="I297" s="678">
        <f>I296/C297</f>
        <v>65.545894384444296</v>
      </c>
      <c r="J297" s="1304"/>
      <c r="K297" s="1305" t="e">
        <v>#DIV/0!</v>
      </c>
      <c r="L297" s="1304"/>
      <c r="M297" s="1305" t="e">
        <v>#DIV/0!</v>
      </c>
      <c r="N297" s="1304"/>
      <c r="O297" s="1305" t="e">
        <v>#DIV/0!</v>
      </c>
      <c r="P297" s="1304"/>
      <c r="Q297" s="1305" t="e">
        <v>#DIV/0!</v>
      </c>
      <c r="R297" s="1304"/>
      <c r="S297" s="1305" t="e">
        <v>#DIV/0!</v>
      </c>
      <c r="T297" s="1306"/>
      <c r="U297" s="1305" t="e">
        <v>#DIV/0!</v>
      </c>
    </row>
    <row r="298" spans="1:32">
      <c r="A298" s="1293"/>
      <c r="B298" s="1307"/>
      <c r="C298" s="1381"/>
      <c r="D298" s="1401"/>
      <c r="E298" s="1379"/>
      <c r="F298" s="1377"/>
      <c r="G298" s="1297"/>
      <c r="H298" s="1298"/>
      <c r="I298" s="654"/>
      <c r="J298" s="1308"/>
      <c r="K298" s="1308"/>
      <c r="L298" s="1308"/>
      <c r="M298" s="1309"/>
      <c r="N298" s="1308"/>
      <c r="O298" s="1308"/>
      <c r="P298" s="1308"/>
      <c r="Q298" s="1308"/>
      <c r="R298" s="1308"/>
      <c r="S298" s="1308"/>
      <c r="T298" s="1308"/>
      <c r="U298" s="1308"/>
    </row>
    <row r="299" spans="1:32" ht="16.5" hidden="1" thickTop="1" thickBot="1">
      <c r="A299" s="830" t="s">
        <v>2980</v>
      </c>
      <c r="B299" s="831"/>
      <c r="C299" s="494"/>
      <c r="D299" s="495"/>
      <c r="E299" s="310"/>
      <c r="F299" s="234"/>
      <c r="G299" s="177"/>
      <c r="H299" s="12"/>
      <c r="I299" s="305"/>
      <c r="J299" s="20"/>
      <c r="K299" s="20"/>
      <c r="L299" s="20"/>
      <c r="M299" s="20"/>
      <c r="N299" s="20"/>
      <c r="O299" s="20"/>
      <c r="P299" s="20"/>
      <c r="Q299" s="20"/>
      <c r="R299" s="20"/>
      <c r="S299" s="20"/>
      <c r="T299" s="20"/>
      <c r="U299" s="20"/>
    </row>
    <row r="300" spans="1:32" hidden="1">
      <c r="A300" s="823"/>
      <c r="B300" s="1330"/>
      <c r="C300" s="1402"/>
      <c r="D300" s="1403"/>
      <c r="E300" s="1404"/>
      <c r="F300" s="1193"/>
      <c r="G300" s="1271"/>
      <c r="H300" s="824"/>
      <c r="I300" s="1405"/>
      <c r="J300" s="825"/>
      <c r="K300" s="825"/>
      <c r="L300" s="825"/>
      <c r="M300" s="825"/>
      <c r="N300" s="825"/>
      <c r="O300" s="825"/>
      <c r="P300" s="825"/>
      <c r="Q300" s="825"/>
      <c r="R300" s="825"/>
      <c r="S300" s="825"/>
      <c r="T300" s="825"/>
      <c r="U300" s="825"/>
    </row>
    <row r="301" spans="1:32" hidden="1">
      <c r="A301" s="823"/>
      <c r="B301" s="1330"/>
      <c r="C301" s="1402"/>
      <c r="D301" s="1403"/>
      <c r="E301" s="1404"/>
      <c r="F301" s="1193"/>
      <c r="G301" s="1271"/>
      <c r="H301" s="824"/>
      <c r="I301" s="1405"/>
      <c r="J301" s="825"/>
      <c r="K301" s="825"/>
      <c r="L301" s="825"/>
      <c r="M301" s="825"/>
      <c r="N301" s="825"/>
      <c r="O301" s="825"/>
      <c r="P301" s="825"/>
      <c r="Q301" s="825"/>
      <c r="R301" s="825"/>
      <c r="S301" s="825"/>
      <c r="T301" s="825"/>
      <c r="U301" s="825"/>
    </row>
    <row r="302" spans="1:32" hidden="1">
      <c r="A302" s="823"/>
      <c r="B302" s="1330"/>
      <c r="C302" s="1402"/>
      <c r="D302" s="1403"/>
      <c r="E302" s="1404"/>
      <c r="F302" s="1193"/>
      <c r="G302" s="1271"/>
      <c r="H302" s="824"/>
      <c r="I302" s="1405"/>
      <c r="J302" s="825"/>
      <c r="K302" s="825"/>
      <c r="L302" s="825"/>
      <c r="M302" s="825"/>
      <c r="N302" s="825"/>
      <c r="O302" s="825"/>
      <c r="P302" s="825"/>
      <c r="Q302" s="825"/>
      <c r="R302" s="825"/>
      <c r="S302" s="825"/>
      <c r="T302" s="825"/>
      <c r="U302" s="825"/>
    </row>
    <row r="303" spans="1:32" s="2" customFormat="1" ht="16.5" hidden="1" thickTop="1" thickBot="1">
      <c r="A303" s="830" t="s">
        <v>2981</v>
      </c>
      <c r="B303" s="831"/>
      <c r="C303" s="494"/>
      <c r="D303" s="495"/>
      <c r="E303" s="310"/>
      <c r="F303" s="234"/>
      <c r="G303" s="177"/>
      <c r="H303" s="12"/>
      <c r="I303" s="305"/>
      <c r="J303" s="20"/>
      <c r="K303" s="20"/>
      <c r="L303" s="20"/>
      <c r="M303" s="20"/>
      <c r="N303" s="20"/>
      <c r="O303" s="20"/>
      <c r="P303" s="20"/>
      <c r="Q303" s="20"/>
      <c r="R303" s="20"/>
      <c r="S303" s="20"/>
      <c r="T303" s="20"/>
      <c r="U303" s="20"/>
      <c r="V303"/>
      <c r="W303"/>
      <c r="X303"/>
      <c r="Y303"/>
      <c r="Z303" s="300"/>
      <c r="AA303" s="300"/>
      <c r="AB303"/>
      <c r="AC303"/>
      <c r="AD303"/>
      <c r="AE303"/>
      <c r="AF303"/>
    </row>
    <row r="304" spans="1:32" s="2" customFormat="1" hidden="1">
      <c r="A304" s="823"/>
      <c r="B304" s="1330"/>
      <c r="C304" s="1402"/>
      <c r="D304" s="1403"/>
      <c r="E304" s="1404"/>
      <c r="F304" s="1193"/>
      <c r="G304" s="1271"/>
      <c r="H304" s="824"/>
      <c r="I304" s="1405"/>
      <c r="J304" s="825"/>
      <c r="K304" s="825"/>
      <c r="L304" s="825"/>
      <c r="M304" s="825"/>
      <c r="N304" s="825"/>
      <c r="O304" s="825"/>
      <c r="P304" s="825"/>
      <c r="Q304" s="825"/>
      <c r="R304" s="825"/>
      <c r="S304" s="825"/>
      <c r="T304" s="825"/>
      <c r="U304" s="825"/>
      <c r="V304"/>
      <c r="W304"/>
      <c r="X304"/>
      <c r="Y304"/>
      <c r="Z304" s="300"/>
      <c r="AA304" s="300"/>
      <c r="AB304"/>
      <c r="AC304"/>
      <c r="AD304"/>
      <c r="AE304"/>
      <c r="AF304"/>
    </row>
    <row r="305" spans="1:32" s="2" customFormat="1" hidden="1">
      <c r="A305" s="823"/>
      <c r="B305" s="1330"/>
      <c r="C305" s="1402"/>
      <c r="D305" s="1403"/>
      <c r="E305" s="1404"/>
      <c r="F305" s="1193"/>
      <c r="G305" s="1271"/>
      <c r="H305" s="824"/>
      <c r="I305" s="1405"/>
      <c r="J305" s="825"/>
      <c r="K305" s="825"/>
      <c r="L305" s="825"/>
      <c r="M305" s="825"/>
      <c r="N305" s="825"/>
      <c r="O305" s="825"/>
      <c r="P305" s="825"/>
      <c r="Q305" s="825"/>
      <c r="R305" s="825"/>
      <c r="S305" s="825"/>
      <c r="T305" s="825"/>
      <c r="U305" s="825"/>
      <c r="V305"/>
      <c r="W305"/>
      <c r="X305"/>
      <c r="Y305"/>
      <c r="Z305" s="300"/>
      <c r="AA305" s="300"/>
      <c r="AB305"/>
      <c r="AC305"/>
      <c r="AD305"/>
      <c r="AE305"/>
      <c r="AF305"/>
    </row>
    <row r="306" spans="1:32" hidden="1">
      <c r="A306" s="823"/>
      <c r="B306" s="1330"/>
      <c r="C306" s="1402"/>
      <c r="D306" s="1403"/>
      <c r="E306" s="1404"/>
      <c r="F306" s="1193"/>
      <c r="G306" s="1271"/>
      <c r="H306" s="824"/>
      <c r="I306" s="1405"/>
      <c r="J306" s="825"/>
      <c r="K306" s="825"/>
      <c r="L306" s="825"/>
      <c r="M306" s="825"/>
      <c r="N306" s="825"/>
      <c r="O306" s="825"/>
      <c r="P306" s="825"/>
      <c r="Q306" s="825"/>
      <c r="R306" s="825"/>
      <c r="S306" s="825"/>
      <c r="T306" s="825"/>
      <c r="U306" s="825"/>
    </row>
    <row r="307" spans="1:32" s="2" customFormat="1" ht="16.5" hidden="1" thickTop="1" thickBot="1">
      <c r="A307" s="830" t="s">
        <v>2982</v>
      </c>
      <c r="B307" s="831"/>
      <c r="C307" s="494"/>
      <c r="D307" s="495"/>
      <c r="E307" s="310"/>
      <c r="F307" s="234"/>
      <c r="G307" s="177"/>
      <c r="H307" s="12"/>
      <c r="I307" s="305"/>
      <c r="J307" s="20"/>
      <c r="K307" s="20"/>
      <c r="L307" s="20"/>
      <c r="M307" s="20"/>
      <c r="N307" s="20"/>
      <c r="O307" s="20"/>
      <c r="P307" s="20"/>
      <c r="Q307" s="20"/>
      <c r="R307" s="20"/>
      <c r="S307" s="20"/>
      <c r="T307" s="20"/>
      <c r="U307" s="20"/>
      <c r="V307"/>
      <c r="Z307" s="165"/>
      <c r="AA307" s="165"/>
      <c r="AB307"/>
      <c r="AC307"/>
      <c r="AD307"/>
      <c r="AE307"/>
      <c r="AF307"/>
    </row>
    <row r="308" spans="1:32" s="2" customFormat="1" hidden="1">
      <c r="A308" s="823"/>
      <c r="B308" s="1330"/>
      <c r="C308" s="1402"/>
      <c r="D308" s="1403"/>
      <c r="E308" s="1404"/>
      <c r="F308" s="1193"/>
      <c r="G308" s="1271"/>
      <c r="H308" s="824"/>
      <c r="I308" s="1405"/>
      <c r="J308" s="825"/>
      <c r="K308" s="825"/>
      <c r="L308" s="825"/>
      <c r="M308" s="825"/>
      <c r="N308" s="825"/>
      <c r="O308" s="825"/>
      <c r="P308" s="825"/>
      <c r="Q308" s="825"/>
      <c r="R308" s="825"/>
      <c r="S308" s="825"/>
      <c r="T308" s="825"/>
      <c r="U308" s="825"/>
      <c r="V308"/>
      <c r="W308"/>
      <c r="X308"/>
      <c r="Y308"/>
      <c r="Z308" s="300"/>
      <c r="AA308" s="300"/>
      <c r="AB308"/>
      <c r="AC308"/>
      <c r="AD308"/>
      <c r="AE308"/>
      <c r="AF308"/>
    </row>
    <row r="309" spans="1:32" s="2" customFormat="1" hidden="1">
      <c r="A309" s="1310"/>
      <c r="B309" s="1330"/>
      <c r="C309" s="1331"/>
      <c r="D309" s="1332"/>
      <c r="E309" s="1333"/>
      <c r="F309" s="1334"/>
      <c r="G309" s="1335"/>
      <c r="H309" s="1336"/>
      <c r="I309" s="1388"/>
      <c r="J309" s="1312"/>
      <c r="K309" s="1312"/>
      <c r="L309" s="1312"/>
      <c r="M309" s="1312"/>
      <c r="N309" s="1312"/>
      <c r="O309" s="1312"/>
      <c r="P309" s="1312"/>
      <c r="Q309" s="1312"/>
      <c r="R309" s="1312"/>
      <c r="S309" s="1312"/>
      <c r="T309" s="1312"/>
      <c r="U309" s="1312"/>
      <c r="V309"/>
      <c r="Z309" s="165"/>
      <c r="AA309" s="165"/>
      <c r="AB309"/>
      <c r="AC309"/>
      <c r="AD309"/>
      <c r="AE309"/>
      <c r="AF309"/>
    </row>
    <row r="310" spans="1:32" s="2" customFormat="1" hidden="1">
      <c r="A310" s="1313"/>
      <c r="B310" s="1314"/>
      <c r="C310" s="1331"/>
      <c r="D310" s="1332"/>
      <c r="E310" s="1333"/>
      <c r="F310" s="1334"/>
      <c r="G310" s="1335"/>
      <c r="H310" s="1336"/>
      <c r="I310" s="1388"/>
      <c r="J310" s="1315"/>
      <c r="K310" s="1315"/>
      <c r="L310" s="1315"/>
      <c r="M310" s="1315"/>
      <c r="N310" s="1315"/>
      <c r="O310" s="1315"/>
      <c r="P310" s="1315"/>
      <c r="Q310" s="1315"/>
      <c r="R310" s="1315"/>
      <c r="S310" s="1315"/>
      <c r="T310" s="1315"/>
      <c r="U310" s="1315"/>
      <c r="Z310" s="165"/>
      <c r="AA310" s="165"/>
    </row>
    <row r="311" spans="1:32" s="2" customFormat="1" ht="16.5" hidden="1" thickTop="1" thickBot="1">
      <c r="A311" s="830" t="s">
        <v>2983</v>
      </c>
      <c r="B311" s="831"/>
      <c r="C311" s="494"/>
      <c r="D311" s="495"/>
      <c r="E311" s="310"/>
      <c r="F311" s="234"/>
      <c r="G311" s="177"/>
      <c r="H311" s="12"/>
      <c r="I311" s="305"/>
      <c r="J311" s="20"/>
      <c r="K311" s="20"/>
      <c r="L311" s="20"/>
      <c r="M311" s="20"/>
      <c r="N311" s="20"/>
      <c r="O311" s="20"/>
      <c r="P311" s="20"/>
      <c r="Q311" s="20"/>
      <c r="R311" s="20"/>
      <c r="S311" s="20"/>
      <c r="T311" s="20"/>
      <c r="U311" s="20"/>
      <c r="V311"/>
      <c r="Z311" s="165"/>
      <c r="AA311" s="165"/>
      <c r="AB311"/>
      <c r="AC311"/>
      <c r="AD311"/>
      <c r="AE311"/>
      <c r="AF311"/>
    </row>
    <row r="312" spans="1:32" hidden="1">
      <c r="A312" s="826"/>
      <c r="B312" s="827"/>
      <c r="C312" s="1402"/>
      <c r="D312" s="1403"/>
      <c r="E312" s="1404"/>
      <c r="F312" s="1193"/>
      <c r="G312" s="1271"/>
      <c r="H312" s="824"/>
      <c r="I312" s="1405"/>
      <c r="J312" s="825"/>
      <c r="K312" s="825"/>
      <c r="L312" s="825"/>
      <c r="M312" s="825"/>
      <c r="N312" s="825"/>
      <c r="O312" s="825"/>
      <c r="P312" s="825"/>
      <c r="Q312" s="825"/>
      <c r="R312" s="825"/>
      <c r="S312" s="825"/>
      <c r="T312" s="825"/>
      <c r="U312" s="825"/>
      <c r="V312" s="2"/>
      <c r="AB312" s="2"/>
      <c r="AC312" s="2"/>
      <c r="AD312" s="2"/>
      <c r="AE312" s="2"/>
      <c r="AF312" s="2"/>
    </row>
    <row r="313" spans="1:32" hidden="1">
      <c r="A313" s="1313"/>
      <c r="B313" s="1314"/>
      <c r="C313" s="1331"/>
      <c r="D313" s="1332"/>
      <c r="E313" s="1333"/>
      <c r="F313" s="1334"/>
      <c r="G313" s="1335"/>
      <c r="H313" s="1336"/>
      <c r="I313" s="1388"/>
      <c r="J313" s="1316"/>
      <c r="K313" s="1316"/>
      <c r="L313" s="1316"/>
      <c r="M313" s="1316"/>
      <c r="N313" s="1316"/>
      <c r="O313" s="1316"/>
      <c r="P313" s="1316"/>
      <c r="Q313" s="1316"/>
      <c r="R313" s="1316"/>
      <c r="S313" s="1316"/>
      <c r="T313" s="1316"/>
      <c r="U313" s="1316"/>
      <c r="V313" s="2"/>
      <c r="AB313" s="2"/>
      <c r="AC313" s="2"/>
      <c r="AD313" s="2"/>
      <c r="AE313" s="2"/>
      <c r="AF313" s="2"/>
    </row>
    <row r="314" spans="1:32" hidden="1">
      <c r="A314" s="1313"/>
      <c r="B314" s="1314"/>
      <c r="C314" s="1331"/>
      <c r="D314" s="1332"/>
      <c r="E314" s="1333"/>
      <c r="F314" s="1334"/>
      <c r="G314" s="1335"/>
      <c r="H314" s="1336"/>
      <c r="I314" s="1388"/>
      <c r="J314" s="1316"/>
      <c r="K314" s="1316"/>
      <c r="L314" s="1316"/>
      <c r="M314" s="1316"/>
      <c r="N314" s="1316"/>
      <c r="O314" s="1316"/>
      <c r="P314" s="1316"/>
      <c r="Q314" s="1316"/>
      <c r="R314" s="1316"/>
      <c r="S314" s="1316"/>
      <c r="T314" s="1316"/>
      <c r="U314" s="1316"/>
      <c r="V314" s="2"/>
      <c r="AB314" s="2"/>
      <c r="AC314" s="2"/>
      <c r="AD314" s="2"/>
      <c r="AE314" s="2"/>
      <c r="AF314" s="2"/>
    </row>
    <row r="315" spans="1:32" ht="16.5" hidden="1" thickTop="1" thickBot="1">
      <c r="A315" s="830" t="s">
        <v>2984</v>
      </c>
      <c r="B315" s="831"/>
      <c r="C315" s="494"/>
      <c r="D315" s="495"/>
      <c r="E315" s="310"/>
      <c r="F315" s="234"/>
      <c r="G315" s="177"/>
      <c r="H315" s="12"/>
      <c r="I315" s="305"/>
      <c r="J315" s="20"/>
      <c r="K315" s="20"/>
      <c r="L315" s="20"/>
      <c r="M315" s="20"/>
      <c r="N315" s="20"/>
      <c r="O315" s="20"/>
      <c r="P315" s="20"/>
      <c r="Q315" s="20"/>
      <c r="R315" s="20"/>
      <c r="S315" s="20"/>
      <c r="T315" s="20"/>
      <c r="U315" s="20"/>
    </row>
    <row r="316" spans="1:32" hidden="1">
      <c r="A316" s="1310"/>
      <c r="B316" s="1330" t="s">
        <v>2985</v>
      </c>
      <c r="C316" s="1331"/>
      <c r="D316" s="1332"/>
      <c r="E316" s="1333"/>
      <c r="F316" s="1334"/>
      <c r="G316" s="1335"/>
      <c r="H316" s="1336"/>
      <c r="I316" s="1388"/>
      <c r="J316" s="1316"/>
      <c r="K316" s="1316"/>
      <c r="L316" s="1316"/>
      <c r="M316" s="1316"/>
      <c r="N316" s="1316"/>
      <c r="O316" s="1316"/>
      <c r="P316" s="1316"/>
      <c r="Q316" s="1316"/>
      <c r="R316" s="1316"/>
      <c r="S316" s="1316"/>
      <c r="T316" s="1316"/>
      <c r="U316" s="1316"/>
    </row>
    <row r="317" spans="1:32" hidden="1">
      <c r="A317" s="1310"/>
      <c r="B317" s="1330" t="s">
        <v>2986</v>
      </c>
      <c r="C317" s="1331"/>
      <c r="D317" s="1332"/>
      <c r="E317" s="1333"/>
      <c r="F317" s="1334"/>
      <c r="G317" s="1335"/>
      <c r="H317" s="1336"/>
      <c r="I317" s="1388"/>
      <c r="J317" s="1316"/>
      <c r="K317" s="1316"/>
      <c r="L317" s="1316"/>
      <c r="M317" s="1316"/>
      <c r="N317" s="1316"/>
      <c r="O317" s="1316"/>
      <c r="P317" s="1316"/>
      <c r="Q317" s="1316"/>
      <c r="R317" s="1316"/>
      <c r="S317" s="1316"/>
      <c r="T317" s="1316"/>
      <c r="U317" s="1316"/>
    </row>
    <row r="318" spans="1:32" hidden="1">
      <c r="A318" s="1310"/>
      <c r="B318" s="1330" t="s">
        <v>2987</v>
      </c>
      <c r="C318" s="1331"/>
      <c r="D318" s="1332"/>
      <c r="E318" s="1333"/>
      <c r="F318" s="1334"/>
      <c r="G318" s="1335"/>
      <c r="H318" s="1336"/>
      <c r="I318" s="1388"/>
      <c r="J318" s="1316"/>
      <c r="K318" s="1316"/>
      <c r="L318" s="1316"/>
      <c r="M318" s="1316"/>
      <c r="N318" s="1316"/>
      <c r="O318" s="1316"/>
      <c r="P318" s="1316"/>
      <c r="Q318" s="1316"/>
      <c r="R318" s="1316"/>
      <c r="S318" s="1316"/>
      <c r="T318" s="1316"/>
      <c r="U318" s="1316"/>
    </row>
    <row r="319" spans="1:32" hidden="1">
      <c r="A319" s="1310"/>
      <c r="B319" s="1330" t="s">
        <v>2988</v>
      </c>
      <c r="C319" s="1331"/>
      <c r="D319" s="1332"/>
      <c r="E319" s="1333"/>
      <c r="F319" s="1334"/>
      <c r="G319" s="1335"/>
      <c r="H319" s="1336"/>
      <c r="I319" s="1388"/>
      <c r="J319" s="1316"/>
      <c r="K319" s="1316"/>
      <c r="L319" s="1316"/>
      <c r="M319" s="1316"/>
      <c r="N319" s="1316"/>
      <c r="O319" s="1316"/>
      <c r="P319" s="1316"/>
      <c r="Q319" s="1316"/>
      <c r="R319" s="1316"/>
      <c r="S319" s="1316"/>
      <c r="T319" s="1316"/>
      <c r="U319" s="1316"/>
    </row>
    <row r="320" spans="1:32" hidden="1">
      <c r="A320" s="646"/>
      <c r="B320" s="619"/>
      <c r="C320" s="624"/>
      <c r="D320" s="625"/>
      <c r="E320" s="626"/>
      <c r="F320" s="617"/>
      <c r="G320" s="622"/>
      <c r="H320" s="616"/>
      <c r="I320" s="627"/>
      <c r="J320" s="647"/>
      <c r="K320" s="647"/>
      <c r="L320" s="647"/>
      <c r="M320" s="647"/>
      <c r="N320" s="647"/>
      <c r="O320" s="647"/>
      <c r="P320" s="647"/>
      <c r="Q320" s="647"/>
      <c r="R320" s="647"/>
      <c r="S320" s="647"/>
      <c r="T320" s="647"/>
      <c r="U320" s="647"/>
    </row>
    <row r="321" spans="1:21" ht="16.5" hidden="1" thickTop="1" thickBot="1">
      <c r="A321" s="7" t="s">
        <v>2989</v>
      </c>
      <c r="B321" s="8"/>
      <c r="C321" s="494"/>
      <c r="D321" s="495"/>
      <c r="E321" s="310"/>
      <c r="F321" s="234"/>
      <c r="G321" s="177"/>
      <c r="H321" s="12"/>
      <c r="I321" s="305"/>
      <c r="J321" s="20"/>
      <c r="K321" s="20"/>
      <c r="L321" s="20"/>
      <c r="M321" s="20"/>
      <c r="N321" s="20"/>
      <c r="O321" s="20"/>
      <c r="P321" s="20"/>
      <c r="Q321" s="20"/>
      <c r="R321" s="20"/>
      <c r="S321" s="20"/>
      <c r="T321" s="20"/>
      <c r="U321" s="20"/>
    </row>
    <row r="322" spans="1:21" hidden="1">
      <c r="A322" s="823"/>
      <c r="B322" s="828" t="s">
        <v>2990</v>
      </c>
      <c r="C322" s="1402"/>
      <c r="D322" s="1403"/>
      <c r="E322" s="1404"/>
      <c r="F322" s="1193"/>
      <c r="G322" s="1271"/>
      <c r="H322" s="824"/>
      <c r="I322" s="1405"/>
      <c r="J322" s="829"/>
      <c r="K322" s="829"/>
      <c r="L322" s="829"/>
      <c r="M322" s="829"/>
      <c r="N322" s="829"/>
      <c r="O322" s="829"/>
      <c r="P322" s="829"/>
      <c r="Q322" s="829"/>
      <c r="R322" s="829"/>
      <c r="S322" s="829"/>
      <c r="T322" s="829"/>
      <c r="U322" s="829"/>
    </row>
    <row r="323" spans="1:21" hidden="1">
      <c r="A323" s="1310"/>
      <c r="B323" s="1330" t="s">
        <v>2991</v>
      </c>
      <c r="C323" s="1331"/>
      <c r="D323" s="1332"/>
      <c r="E323" s="1333"/>
      <c r="F323" s="1334"/>
      <c r="G323" s="1335"/>
      <c r="H323" s="1336"/>
      <c r="I323" s="1388"/>
      <c r="J323" s="1406"/>
      <c r="K323" s="1406"/>
      <c r="L323" s="1406"/>
      <c r="M323" s="1406"/>
      <c r="N323" s="1406"/>
      <c r="O323" s="1406"/>
      <c r="P323" s="1406"/>
      <c r="Q323" s="1406"/>
      <c r="R323" s="1406"/>
      <c r="S323" s="1406"/>
      <c r="T323" s="1406"/>
      <c r="U323" s="1406"/>
    </row>
    <row r="324" spans="1:21" ht="15.75" hidden="1" thickBot="1">
      <c r="A324" s="1317"/>
      <c r="B324" s="1347" t="s">
        <v>2992</v>
      </c>
      <c r="C324" s="1407"/>
      <c r="D324" s="1408"/>
      <c r="E324" s="1409"/>
      <c r="F324" s="1410"/>
      <c r="G324" s="1319"/>
      <c r="H324" s="1348"/>
      <c r="I324" s="1411"/>
      <c r="J324" s="1321"/>
      <c r="K324" s="1321"/>
      <c r="L324" s="1321"/>
      <c r="M324" s="1321"/>
      <c r="N324" s="1321"/>
      <c r="O324" s="1321"/>
      <c r="P324" s="1321"/>
      <c r="Q324" s="1321"/>
      <c r="R324" s="1321"/>
      <c r="S324" s="1321"/>
      <c r="T324" s="1321"/>
      <c r="U324" s="1321"/>
    </row>
    <row r="325" spans="1:21" ht="15.75" thickBot="1">
      <c r="O325" s="447"/>
    </row>
    <row r="326" spans="1:21" ht="16.5" thickTop="1" thickBot="1">
      <c r="A326" s="59" t="s">
        <v>2993</v>
      </c>
      <c r="B326" s="61"/>
      <c r="I326" s="2" t="s">
        <v>3584</v>
      </c>
      <c r="K326" s="447">
        <f>K344</f>
        <v>4146161</v>
      </c>
      <c r="L326" s="236"/>
      <c r="M326" s="236">
        <v>4409090</v>
      </c>
      <c r="O326" s="447">
        <v>5263533</v>
      </c>
    </row>
    <row r="327" spans="1:21" ht="15.75" thickTop="1">
      <c r="A327" s="60" t="s">
        <v>2936</v>
      </c>
      <c r="B327" s="1322"/>
      <c r="I327" s="2"/>
      <c r="M327" s="236"/>
      <c r="O327" s="236">
        <v>122218</v>
      </c>
    </row>
    <row r="328" spans="1:21">
      <c r="A328" s="1323" t="s">
        <v>2939</v>
      </c>
      <c r="B328" s="1322"/>
      <c r="I328" s="2" t="s">
        <v>3585</v>
      </c>
      <c r="K328" s="529">
        <f>K187+K201+K203+K215+K237+K241+K242+K260+K268+K279</f>
        <v>1170280</v>
      </c>
      <c r="L328" s="236"/>
      <c r="M328" s="529">
        <f>M187+M201+M203+M215+M241+M242+M260+M279</f>
        <v>676280</v>
      </c>
      <c r="O328" s="529">
        <f>O187+O201+O203+O215+O241+O242+O260+O279</f>
        <v>676280</v>
      </c>
    </row>
    <row r="329" spans="1:21">
      <c r="A329" s="1324" t="s">
        <v>2941</v>
      </c>
      <c r="B329" s="1325"/>
      <c r="I329" s="2" t="s">
        <v>3586</v>
      </c>
      <c r="K329" s="527"/>
      <c r="L329" s="236"/>
      <c r="M329" s="527">
        <f>M161+M232+M233+M237</f>
        <v>405000</v>
      </c>
      <c r="O329" s="527">
        <f>O237</f>
        <v>350000</v>
      </c>
    </row>
    <row r="330" spans="1:21">
      <c r="A330" s="1324" t="s">
        <v>2943</v>
      </c>
      <c r="B330" s="1326"/>
      <c r="I330" s="2" t="s">
        <v>3587</v>
      </c>
      <c r="K330" s="528"/>
      <c r="L330" s="236"/>
      <c r="M330" s="528"/>
      <c r="O330" s="528"/>
    </row>
    <row r="331" spans="1:21" ht="15.75" thickBot="1">
      <c r="A331" s="1327" t="s">
        <v>2994</v>
      </c>
      <c r="B331" s="1328">
        <f>K296</f>
        <v>5339241</v>
      </c>
      <c r="I331" s="2" t="s">
        <v>3588</v>
      </c>
      <c r="K331" s="1412">
        <f>K161</f>
        <v>22800</v>
      </c>
      <c r="L331" s="236"/>
      <c r="M331" s="1412"/>
      <c r="O331" s="1412">
        <f>O161</f>
        <v>0</v>
      </c>
    </row>
    <row r="332" spans="1:21" ht="15.75" thickTop="1">
      <c r="I332" s="2" t="s">
        <v>3589</v>
      </c>
      <c r="K332" s="236">
        <f>SUM(K326:K331)</f>
        <v>5339241</v>
      </c>
      <c r="L332" s="236"/>
      <c r="M332" s="236">
        <f>SUM(M326:M331)</f>
        <v>5490370</v>
      </c>
      <c r="O332" s="236">
        <f>SUM(O326:O331)</f>
        <v>6412031</v>
      </c>
    </row>
    <row r="333" spans="1:21">
      <c r="A333" s="62"/>
      <c r="B333" s="1" t="s">
        <v>2995</v>
      </c>
      <c r="I333" s="2" t="s">
        <v>3590</v>
      </c>
      <c r="K333" s="1396">
        <f>K292</f>
        <v>5339241</v>
      </c>
      <c r="L333" s="236"/>
      <c r="M333" s="1396">
        <f>M292</f>
        <v>5634370</v>
      </c>
      <c r="O333" s="1396">
        <f>O292</f>
        <v>6246031</v>
      </c>
    </row>
    <row r="334" spans="1:21">
      <c r="A334" s="63"/>
      <c r="B334" s="1" t="s">
        <v>2996</v>
      </c>
      <c r="I334" s="2" t="s">
        <v>3591</v>
      </c>
      <c r="K334" s="236">
        <f>K333-K332</f>
        <v>0</v>
      </c>
      <c r="L334" s="236"/>
      <c r="M334" s="236">
        <f>M333-M332</f>
        <v>144000</v>
      </c>
      <c r="O334" s="236">
        <f>O333-O332</f>
        <v>-166000</v>
      </c>
    </row>
    <row r="336" spans="1:21">
      <c r="K336" s="236">
        <v>1574745</v>
      </c>
    </row>
    <row r="337" spans="11:11">
      <c r="K337" s="236">
        <v>716675</v>
      </c>
    </row>
    <row r="338" spans="11:11">
      <c r="K338" s="236">
        <v>1427960</v>
      </c>
    </row>
    <row r="339" spans="11:11">
      <c r="K339" s="236">
        <v>221089</v>
      </c>
    </row>
    <row r="340" spans="11:11">
      <c r="K340" s="236">
        <v>21960</v>
      </c>
    </row>
    <row r="341" spans="11:11">
      <c r="K341" s="236">
        <v>104958</v>
      </c>
    </row>
    <row r="342" spans="11:11">
      <c r="K342" s="236">
        <v>14608</v>
      </c>
    </row>
    <row r="343" spans="11:11">
      <c r="K343" s="1396">
        <v>64166</v>
      </c>
    </row>
    <row r="344" spans="11:11">
      <c r="K344" s="447">
        <f>SUM(K336:K343)</f>
        <v>4146161</v>
      </c>
    </row>
  </sheetData>
  <mergeCells count="35">
    <mergeCell ref="T9:U9"/>
    <mergeCell ref="L8:M8"/>
    <mergeCell ref="N8:O8"/>
    <mergeCell ref="J8:K8"/>
    <mergeCell ref="P8:Q8"/>
    <mergeCell ref="R8:S8"/>
    <mergeCell ref="T8:U8"/>
    <mergeCell ref="L9:M9"/>
    <mergeCell ref="N9:O9"/>
    <mergeCell ref="J9:K9"/>
    <mergeCell ref="P9:Q9"/>
    <mergeCell ref="R9:S9"/>
    <mergeCell ref="T7:U7"/>
    <mergeCell ref="L6:M6"/>
    <mergeCell ref="N6:O6"/>
    <mergeCell ref="J6:K6"/>
    <mergeCell ref="P6:Q6"/>
    <mergeCell ref="R6:S6"/>
    <mergeCell ref="T6:U6"/>
    <mergeCell ref="L7:M7"/>
    <mergeCell ref="N7:O7"/>
    <mergeCell ref="J7:K7"/>
    <mergeCell ref="P7:Q7"/>
    <mergeCell ref="R7:S7"/>
    <mergeCell ref="T5:U5"/>
    <mergeCell ref="L5:M5"/>
    <mergeCell ref="N5:O5"/>
    <mergeCell ref="J5:K5"/>
    <mergeCell ref="P5:Q5"/>
    <mergeCell ref="R5:S5"/>
    <mergeCell ref="A299:B299"/>
    <mergeCell ref="A303:B303"/>
    <mergeCell ref="A307:B307"/>
    <mergeCell ref="A311:B311"/>
    <mergeCell ref="A315:B315"/>
  </mergeCells>
  <conditionalFormatting sqref="J11:J18 L11:L18 N11:N18 P11:P18 R11:R18 T11:T18 T20 J20:J291 L20:L291 N20:N291 P20:P291 R20:R291 T22:T291">
    <cfRule type="cellIs" dxfId="297" priority="3" operator="equal">
      <formula>"X"</formula>
    </cfRule>
    <cfRule type="cellIs" dxfId="296" priority="4" operator="equal">
      <formula>"I"</formula>
    </cfRule>
  </conditionalFormatting>
  <hyperlinks>
    <hyperlink ref="B4" location="'Cost Summary'!A1" display="BACK TO SUMMARY SHEET" xr:uid="{32729A9A-18FC-40B4-BFA0-B82DDD99F9C4}"/>
    <hyperlink ref="L8" r:id="rId1" xr:uid="{BF47DFDD-E497-414D-8A25-B9E296A38A17}"/>
    <hyperlink ref="N8" r:id="rId2" xr:uid="{37CA367B-78B0-453C-AB91-FE6507BD0301}"/>
    <hyperlink ref="J8" r:id="rId3" xr:uid="{D085809E-26DE-42A8-ACB8-36472AA65139}"/>
  </hyperlinks>
  <pageMargins left="0.2" right="0.2" top="0.5" bottom="0.75" header="0.3" footer="0.3"/>
  <pageSetup scale="74" fitToHeight="0" orientation="portrait" r:id="rId4"/>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A1D2-79DC-4CE9-8FD5-4A053F6599E7}">
  <sheetPr>
    <tabColor rgb="FF00B050"/>
    <pageSetUpPr fitToPage="1"/>
  </sheetPr>
  <dimension ref="A1:AH93"/>
  <sheetViews>
    <sheetView zoomScale="90" zoomScaleNormal="90" workbookViewId="0">
      <pane ySplit="10" topLeftCell="A20" activePane="bottomLeft" state="frozen"/>
      <selection pane="bottomLeft" activeCell="E31" sqref="E31"/>
      <selection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231"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232"/>
      <c r="E5" s="171"/>
      <c r="F5" s="5"/>
      <c r="G5" s="6" t="s">
        <v>2936</v>
      </c>
      <c r="H5" s="841" t="s">
        <v>3592</v>
      </c>
      <c r="I5" s="842"/>
      <c r="J5" s="841"/>
      <c r="K5" s="842"/>
      <c r="L5" s="841"/>
      <c r="M5" s="842"/>
      <c r="N5" s="841"/>
      <c r="O5" s="842"/>
      <c r="P5" s="841"/>
      <c r="Q5" s="842"/>
      <c r="R5" s="841"/>
      <c r="S5" s="842"/>
    </row>
    <row r="6" spans="1:19">
      <c r="A6" s="1329" t="s">
        <v>2938</v>
      </c>
      <c r="B6" s="1330" t="s">
        <v>2704</v>
      </c>
      <c r="C6" s="1336"/>
      <c r="D6" s="1334"/>
      <c r="E6" s="1335"/>
      <c r="F6" s="1336"/>
      <c r="G6" s="657" t="s">
        <v>2939</v>
      </c>
      <c r="H6" s="1338"/>
      <c r="I6" s="843"/>
      <c r="J6" s="1338"/>
      <c r="K6" s="843"/>
      <c r="L6" s="1338"/>
      <c r="M6" s="843"/>
      <c r="N6" s="1338"/>
      <c r="O6" s="843"/>
      <c r="P6" s="1338"/>
      <c r="Q6" s="843"/>
      <c r="R6" s="1338"/>
      <c r="S6" s="843"/>
    </row>
    <row r="7" spans="1:19">
      <c r="A7" s="1329" t="s">
        <v>2940</v>
      </c>
      <c r="B7" s="1339" t="s">
        <v>2703</v>
      </c>
      <c r="C7" s="1336"/>
      <c r="D7" s="1334"/>
      <c r="E7" s="1335"/>
      <c r="F7" s="1336"/>
      <c r="G7" s="1413" t="s">
        <v>2941</v>
      </c>
      <c r="H7" s="1342"/>
      <c r="I7" s="844"/>
      <c r="J7" s="1342"/>
      <c r="K7" s="844"/>
      <c r="L7" s="1342"/>
      <c r="M7" s="844"/>
      <c r="N7" s="1342"/>
      <c r="O7" s="844"/>
      <c r="P7" s="1342"/>
      <c r="Q7" s="844"/>
      <c r="R7" s="1342"/>
      <c r="S7" s="844"/>
    </row>
    <row r="8" spans="1:19">
      <c r="A8" s="1329" t="s">
        <v>2942</v>
      </c>
      <c r="B8" s="1343"/>
      <c r="C8" s="1336"/>
      <c r="D8" s="1334"/>
      <c r="E8" s="1335"/>
      <c r="F8" s="1336"/>
      <c r="G8" s="1413" t="s">
        <v>2943</v>
      </c>
      <c r="H8" s="1345"/>
      <c r="I8" s="845"/>
      <c r="J8" s="1345"/>
      <c r="K8" s="845"/>
      <c r="L8" s="1345"/>
      <c r="M8" s="845"/>
      <c r="N8" s="1345"/>
      <c r="O8" s="845"/>
      <c r="P8" s="1345"/>
      <c r="Q8" s="845"/>
      <c r="R8" s="1345"/>
      <c r="S8" s="845"/>
    </row>
    <row r="9" spans="1:19" ht="15.75" thickBot="1">
      <c r="A9" s="1346"/>
      <c r="B9" s="1347"/>
      <c r="C9" s="616"/>
      <c r="D9" s="617"/>
      <c r="E9" s="622"/>
      <c r="F9" s="1348"/>
      <c r="G9" s="1414" t="s">
        <v>2944</v>
      </c>
      <c r="H9" s="1352">
        <f>I$55</f>
        <v>138000</v>
      </c>
      <c r="I9" s="1353"/>
      <c r="J9" s="1350">
        <f>K$55</f>
        <v>0</v>
      </c>
      <c r="K9" s="1351"/>
      <c r="L9" s="1350">
        <f>M$55</f>
        <v>0</v>
      </c>
      <c r="M9" s="1351"/>
      <c r="N9" s="1350">
        <f>O$55</f>
        <v>0</v>
      </c>
      <c r="O9" s="1351"/>
      <c r="P9" s="1350">
        <f>Q$55</f>
        <v>0</v>
      </c>
      <c r="Q9" s="1351"/>
      <c r="R9" s="1350">
        <f>S$55</f>
        <v>0</v>
      </c>
      <c r="S9" s="1351"/>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147"/>
      <c r="B11" s="794" t="s">
        <v>2953</v>
      </c>
      <c r="C11" s="659"/>
      <c r="D11" s="1334"/>
      <c r="E11" s="1335"/>
      <c r="F11" s="1336"/>
      <c r="G11" s="660"/>
      <c r="H11" s="1354"/>
      <c r="I11" s="1148"/>
      <c r="J11" s="1354"/>
      <c r="K11" s="182"/>
      <c r="L11" s="1354"/>
      <c r="M11" s="1149"/>
      <c r="N11" s="1354"/>
      <c r="O11" s="1149"/>
      <c r="P11" s="1354"/>
      <c r="Q11" s="1149"/>
      <c r="R11" s="1354"/>
      <c r="S11" s="1149"/>
    </row>
    <row r="12" spans="1:19">
      <c r="A12" s="1150"/>
      <c r="B12" s="1151" t="s">
        <v>2954</v>
      </c>
      <c r="C12" s="1336"/>
      <c r="D12" s="1334"/>
      <c r="E12" s="1335"/>
      <c r="F12" s="1336"/>
      <c r="G12" s="660"/>
      <c r="H12" s="1354"/>
      <c r="I12" s="1148"/>
      <c r="J12" s="1354"/>
      <c r="K12" s="1149"/>
      <c r="L12" s="1354"/>
      <c r="M12" s="1149"/>
      <c r="N12" s="1354"/>
      <c r="O12" s="1149"/>
      <c r="P12" s="1354"/>
      <c r="Q12" s="1149"/>
      <c r="R12" s="1354"/>
      <c r="S12" s="1149"/>
    </row>
    <row r="13" spans="1:19">
      <c r="A13" s="1355"/>
      <c r="B13" s="1152" t="s">
        <v>2955</v>
      </c>
      <c r="C13" s="1336"/>
      <c r="D13" s="1334"/>
      <c r="E13" s="1335"/>
      <c r="F13" s="1336"/>
      <c r="G13" s="660"/>
      <c r="H13" s="1354"/>
      <c r="I13" s="1148"/>
      <c r="J13" s="1354"/>
      <c r="K13" s="1149"/>
      <c r="L13" s="1354"/>
      <c r="M13" s="1149"/>
      <c r="N13" s="1354"/>
      <c r="O13" s="1149"/>
      <c r="P13" s="1354"/>
      <c r="Q13" s="1149"/>
      <c r="R13" s="1354"/>
      <c r="S13" s="1149"/>
    </row>
    <row r="14" spans="1:19">
      <c r="A14" s="1355"/>
      <c r="B14" s="1153" t="s">
        <v>2956</v>
      </c>
      <c r="C14" s="1336"/>
      <c r="D14" s="1334"/>
      <c r="E14" s="1335"/>
      <c r="F14" s="1336"/>
      <c r="G14" s="660"/>
      <c r="H14" s="1354"/>
      <c r="I14" s="1148"/>
      <c r="J14" s="1354"/>
      <c r="K14" s="1149"/>
      <c r="L14" s="1354"/>
      <c r="M14" s="1149"/>
      <c r="N14" s="1354"/>
      <c r="O14" s="1149"/>
      <c r="P14" s="1354"/>
      <c r="Q14" s="1149"/>
      <c r="R14" s="1354"/>
      <c r="S14" s="1149"/>
    </row>
    <row r="15" spans="1:19">
      <c r="A15" s="1355"/>
      <c r="B15" s="1153" t="s">
        <v>2957</v>
      </c>
      <c r="C15" s="1336"/>
      <c r="D15" s="1334"/>
      <c r="E15" s="1335"/>
      <c r="F15" s="1336"/>
      <c r="G15" s="660"/>
      <c r="H15" s="1354"/>
      <c r="I15" s="1148"/>
      <c r="J15" s="1354"/>
      <c r="K15" s="1148"/>
      <c r="L15" s="1354"/>
      <c r="M15" s="1148"/>
      <c r="N15" s="1354"/>
      <c r="O15" s="1148"/>
      <c r="P15" s="1354"/>
      <c r="Q15" s="1148"/>
      <c r="R15" s="1354"/>
      <c r="S15" s="1148"/>
    </row>
    <row r="16" spans="1:19">
      <c r="A16" s="1355"/>
      <c r="B16" s="1153" t="s">
        <v>2958</v>
      </c>
      <c r="C16" s="1336"/>
      <c r="D16" s="1334"/>
      <c r="E16" s="1335"/>
      <c r="F16" s="1336"/>
      <c r="G16" s="660"/>
      <c r="H16" s="1354"/>
      <c r="I16" s="1148"/>
      <c r="J16" s="1354"/>
      <c r="K16" s="1149"/>
      <c r="L16" s="1354"/>
      <c r="M16" s="1149"/>
      <c r="N16" s="1354"/>
      <c r="O16" s="1149"/>
      <c r="P16" s="1354"/>
      <c r="Q16" s="1149"/>
      <c r="R16" s="1354"/>
      <c r="S16" s="1149"/>
    </row>
    <row r="17" spans="1:19">
      <c r="A17" s="1355"/>
      <c r="B17" s="1153" t="s">
        <v>2959</v>
      </c>
      <c r="C17" s="1336"/>
      <c r="D17" s="1334"/>
      <c r="E17" s="1335"/>
      <c r="F17" s="1336"/>
      <c r="G17" s="660"/>
      <c r="H17" s="1354"/>
      <c r="I17" s="1148"/>
      <c r="J17" s="1354"/>
      <c r="K17" s="1149"/>
      <c r="L17" s="1354"/>
      <c r="M17" s="1149"/>
      <c r="N17" s="1354"/>
      <c r="O17" s="1149"/>
      <c r="P17" s="1354"/>
      <c r="Q17" s="1149"/>
      <c r="R17" s="1354"/>
      <c r="S17" s="1149"/>
    </row>
    <row r="18" spans="1:19">
      <c r="A18" s="1355"/>
      <c r="B18" s="1154" t="s">
        <v>2960</v>
      </c>
      <c r="C18" s="1336"/>
      <c r="D18" s="1334"/>
      <c r="E18" s="1335"/>
      <c r="F18" s="1336"/>
      <c r="G18" s="660"/>
      <c r="H18" s="1354"/>
      <c r="I18" s="1148"/>
      <c r="J18" s="1354"/>
      <c r="K18" s="1149"/>
      <c r="L18" s="1354"/>
      <c r="M18" s="1149"/>
      <c r="N18" s="1354"/>
      <c r="O18" s="1149"/>
      <c r="P18" s="1354"/>
      <c r="Q18" s="1149"/>
      <c r="R18" s="1354"/>
      <c r="S18" s="1149"/>
    </row>
    <row r="19" spans="1:19">
      <c r="A19" s="1355"/>
      <c r="B19" s="1155" t="s">
        <v>2961</v>
      </c>
      <c r="C19" s="1415"/>
      <c r="D19" s="1359"/>
      <c r="E19" s="1360"/>
      <c r="F19" s="1361"/>
      <c r="G19" s="661"/>
      <c r="H19" s="1362"/>
      <c r="I19" s="1157"/>
      <c r="J19" s="1362"/>
      <c r="K19" s="1158"/>
      <c r="L19" s="1362"/>
      <c r="M19" s="1158"/>
      <c r="N19" s="1362"/>
      <c r="O19" s="1158"/>
      <c r="P19" s="1362"/>
      <c r="Q19" s="1158"/>
      <c r="R19" s="1362"/>
      <c r="S19" s="1158"/>
    </row>
    <row r="20" spans="1:19">
      <c r="A20" s="1355"/>
      <c r="B20" s="1159"/>
      <c r="C20" s="1336"/>
      <c r="D20" s="1334"/>
      <c r="E20" s="1335"/>
      <c r="F20" s="1363"/>
      <c r="G20" s="660"/>
      <c r="H20" s="1354"/>
      <c r="I20" s="1160"/>
      <c r="J20" s="1354"/>
      <c r="K20" s="1161"/>
      <c r="L20" s="1354"/>
      <c r="M20" s="1161"/>
      <c r="N20" s="1354"/>
      <c r="O20" s="1161"/>
      <c r="P20" s="1354"/>
      <c r="Q20" s="1161"/>
      <c r="R20" s="1354"/>
      <c r="S20" s="1161"/>
    </row>
    <row r="21" spans="1:19">
      <c r="A21" s="1416"/>
      <c r="B21" s="1417" t="s">
        <v>2695</v>
      </c>
      <c r="C21" s="1336"/>
      <c r="D21" s="1418"/>
      <c r="E21" s="1335"/>
      <c r="F21" s="1419"/>
      <c r="G21" s="662"/>
      <c r="H21" s="1354"/>
      <c r="I21" s="1166">
        <f>SUBTOTAL(9,I22:I26)</f>
        <v>0</v>
      </c>
      <c r="J21" s="1354"/>
      <c r="K21" s="1166">
        <f>SUBTOTAL(9,K22:K26)</f>
        <v>0</v>
      </c>
      <c r="L21" s="1354"/>
      <c r="M21" s="1166">
        <f>SUBTOTAL(9,M22:M26)</f>
        <v>0</v>
      </c>
      <c r="N21" s="1354"/>
      <c r="O21" s="1166">
        <f>SUBTOTAL(9,O22:O26)</f>
        <v>0</v>
      </c>
      <c r="P21" s="1354"/>
      <c r="Q21" s="1166">
        <f>SUBTOTAL(9,Q22:Q26)</f>
        <v>0</v>
      </c>
      <c r="R21" s="1354"/>
      <c r="S21" s="1166">
        <f>SUBTOTAL(9,S22:S26)</f>
        <v>0</v>
      </c>
    </row>
    <row r="22" spans="1:19">
      <c r="A22" s="1355"/>
      <c r="B22" s="644" t="s">
        <v>3593</v>
      </c>
      <c r="C22" s="1336"/>
      <c r="D22" s="1334"/>
      <c r="E22" s="1335"/>
      <c r="F22" s="1419"/>
      <c r="G22" s="662">
        <f t="shared" ref="G22:G30" si="0">ROUND(D22*F22,0)</f>
        <v>0</v>
      </c>
      <c r="H22" s="1354"/>
      <c r="I22" s="1160"/>
      <c r="J22" s="1354"/>
      <c r="K22" s="1160"/>
      <c r="L22" s="1354"/>
      <c r="M22" s="1160"/>
      <c r="N22" s="1354"/>
      <c r="O22" s="1160"/>
      <c r="P22" s="1354"/>
      <c r="Q22" s="1160"/>
      <c r="R22" s="1354"/>
      <c r="S22" s="1160"/>
    </row>
    <row r="23" spans="1:19">
      <c r="A23" s="1355"/>
      <c r="B23" s="652" t="s">
        <v>3594</v>
      </c>
      <c r="C23" s="1336" t="s">
        <v>3595</v>
      </c>
      <c r="D23" s="1334">
        <v>33</v>
      </c>
      <c r="E23" s="1335" t="s">
        <v>2864</v>
      </c>
      <c r="F23" s="1419"/>
      <c r="G23" s="662">
        <f t="shared" si="0"/>
        <v>0</v>
      </c>
      <c r="H23" s="1354"/>
      <c r="I23" s="1160"/>
      <c r="J23" s="1354"/>
      <c r="K23" s="1160"/>
      <c r="L23" s="1354"/>
      <c r="M23" s="1160"/>
      <c r="N23" s="1354"/>
      <c r="O23" s="1160"/>
      <c r="P23" s="1354"/>
      <c r="Q23" s="1160"/>
      <c r="R23" s="1354"/>
      <c r="S23" s="1160"/>
    </row>
    <row r="24" spans="1:19">
      <c r="A24" s="1355"/>
      <c r="B24" s="644"/>
      <c r="C24" s="1336"/>
      <c r="D24" s="1334"/>
      <c r="E24" s="1335"/>
      <c r="F24" s="1419"/>
      <c r="G24" s="662">
        <f t="shared" si="0"/>
        <v>0</v>
      </c>
      <c r="H24" s="1354"/>
      <c r="I24" s="1160"/>
      <c r="J24" s="1354"/>
      <c r="K24" s="1160"/>
      <c r="L24" s="1354"/>
      <c r="M24" s="1160"/>
      <c r="N24" s="1354"/>
      <c r="O24" s="1160"/>
      <c r="P24" s="1354"/>
      <c r="Q24" s="1160"/>
      <c r="R24" s="1354"/>
      <c r="S24" s="1160"/>
    </row>
    <row r="25" spans="1:19">
      <c r="A25" s="1355"/>
      <c r="B25" s="652"/>
      <c r="C25" s="1336"/>
      <c r="D25" s="1334"/>
      <c r="E25" s="1335"/>
      <c r="F25" s="1419"/>
      <c r="G25" s="662">
        <f t="shared" si="0"/>
        <v>0</v>
      </c>
      <c r="H25" s="1354"/>
      <c r="I25" s="1160"/>
      <c r="J25" s="1354"/>
      <c r="K25" s="1160"/>
      <c r="L25" s="1354"/>
      <c r="M25" s="1160"/>
      <c r="N25" s="1354"/>
      <c r="O25" s="1160"/>
      <c r="P25" s="1354"/>
      <c r="Q25" s="1160"/>
      <c r="R25" s="1354"/>
      <c r="S25" s="1160"/>
    </row>
    <row r="26" spans="1:19">
      <c r="A26" s="1355"/>
      <c r="B26" s="644"/>
      <c r="C26" s="1336"/>
      <c r="D26" s="1334"/>
      <c r="E26" s="1335"/>
      <c r="F26" s="1419"/>
      <c r="G26" s="662">
        <f t="shared" si="0"/>
        <v>0</v>
      </c>
      <c r="H26" s="1354"/>
      <c r="I26" s="1160"/>
      <c r="J26" s="1354"/>
      <c r="K26" s="1160"/>
      <c r="L26" s="1354"/>
      <c r="M26" s="1160"/>
      <c r="N26" s="1354"/>
      <c r="O26" s="1160"/>
      <c r="P26" s="1354"/>
      <c r="Q26" s="1160"/>
      <c r="R26" s="1354"/>
      <c r="S26" s="1160"/>
    </row>
    <row r="27" spans="1:19">
      <c r="A27" s="1355"/>
      <c r="B27" s="1420" t="s">
        <v>3235</v>
      </c>
      <c r="C27" s="1336"/>
      <c r="D27" s="1418"/>
      <c r="E27" s="1335"/>
      <c r="F27" s="1419"/>
      <c r="G27" s="662">
        <f t="shared" si="0"/>
        <v>0</v>
      </c>
      <c r="H27" s="1354"/>
      <c r="I27" s="1166">
        <f>SUBTOTAL(9,I28:I31)</f>
        <v>138000</v>
      </c>
      <c r="J27" s="1354"/>
      <c r="K27" s="1166">
        <f>SUBTOTAL(9,K28:K31)</f>
        <v>0</v>
      </c>
      <c r="L27" s="1354"/>
      <c r="M27" s="1166">
        <f>SUBTOTAL(9,M28:M31)</f>
        <v>0</v>
      </c>
      <c r="N27" s="1354"/>
      <c r="O27" s="1166">
        <f>SUBTOTAL(9,O28:O31)</f>
        <v>0</v>
      </c>
      <c r="P27" s="1354"/>
      <c r="Q27" s="1166">
        <f>SUBTOTAL(9,Q28:Q31)</f>
        <v>0</v>
      </c>
      <c r="R27" s="1354"/>
      <c r="S27" s="1166">
        <f>SUBTOTAL(9,S28:S31)</f>
        <v>0</v>
      </c>
    </row>
    <row r="28" spans="1:19">
      <c r="A28" s="1355"/>
      <c r="B28" s="644" t="s">
        <v>3593</v>
      </c>
      <c r="C28" s="1336" t="s">
        <v>949</v>
      </c>
      <c r="D28" s="1334">
        <v>456</v>
      </c>
      <c r="E28" s="1335" t="s">
        <v>2864</v>
      </c>
      <c r="F28" s="1419">
        <v>300</v>
      </c>
      <c r="G28" s="662">
        <f t="shared" si="0"/>
        <v>136800</v>
      </c>
      <c r="H28" s="1354"/>
      <c r="I28" s="1281">
        <v>138000</v>
      </c>
      <c r="J28" s="1354"/>
      <c r="K28" s="1160"/>
      <c r="L28" s="1354"/>
      <c r="M28" s="1160"/>
      <c r="N28" s="1354"/>
      <c r="O28" s="1160"/>
      <c r="P28" s="1354"/>
      <c r="Q28" s="1160"/>
      <c r="R28" s="1354"/>
      <c r="S28" s="1160"/>
    </row>
    <row r="29" spans="1:19">
      <c r="A29" s="1355"/>
      <c r="B29" s="644"/>
      <c r="C29" s="1336"/>
      <c r="D29" s="1334"/>
      <c r="E29" s="1335"/>
      <c r="F29" s="1419"/>
      <c r="G29" s="662">
        <f t="shared" si="0"/>
        <v>0</v>
      </c>
      <c r="H29" s="1354"/>
      <c r="I29" s="1160"/>
      <c r="J29" s="1354"/>
      <c r="K29" s="1160"/>
      <c r="L29" s="1354"/>
      <c r="M29" s="1160"/>
      <c r="N29" s="1354"/>
      <c r="O29" s="1160"/>
      <c r="P29" s="1354"/>
      <c r="Q29" s="1160"/>
      <c r="R29" s="1354"/>
      <c r="S29" s="1160"/>
    </row>
    <row r="30" spans="1:19">
      <c r="A30" s="1355"/>
      <c r="B30" s="644"/>
      <c r="C30" s="1336"/>
      <c r="D30" s="1334"/>
      <c r="E30" s="1335"/>
      <c r="F30" s="1419"/>
      <c r="G30" s="662">
        <f t="shared" si="0"/>
        <v>0</v>
      </c>
      <c r="H30" s="1354"/>
      <c r="I30" s="1160"/>
      <c r="J30" s="1354"/>
      <c r="K30" s="1160"/>
      <c r="L30" s="1354"/>
      <c r="M30" s="1160"/>
      <c r="N30" s="1354"/>
      <c r="O30" s="1160"/>
      <c r="P30" s="1354"/>
      <c r="Q30" s="1160"/>
      <c r="R30" s="1354"/>
      <c r="S30" s="1160"/>
    </row>
    <row r="31" spans="1:19">
      <c r="A31" s="1355"/>
      <c r="B31" s="1421"/>
      <c r="C31" s="1336"/>
      <c r="D31" s="1334"/>
      <c r="E31" s="1335"/>
      <c r="F31" s="1419"/>
      <c r="G31" s="662">
        <f t="shared" ref="G31:G36" si="1">ROUND(D31*F31,0)</f>
        <v>0</v>
      </c>
      <c r="H31" s="1354"/>
      <c r="I31" s="1160"/>
      <c r="J31" s="1354"/>
      <c r="K31" s="1160"/>
      <c r="L31" s="1354"/>
      <c r="M31" s="1160"/>
      <c r="N31" s="1354"/>
      <c r="O31" s="1160"/>
      <c r="P31" s="1354"/>
      <c r="Q31" s="1160"/>
      <c r="R31" s="1354"/>
      <c r="S31" s="1160"/>
    </row>
    <row r="32" spans="1:19">
      <c r="A32" s="1355"/>
      <c r="B32" s="1420" t="s">
        <v>3331</v>
      </c>
      <c r="C32" s="1336"/>
      <c r="D32" s="1334"/>
      <c r="E32" s="1335"/>
      <c r="F32" s="1419"/>
      <c r="G32" s="662">
        <f t="shared" si="1"/>
        <v>0</v>
      </c>
      <c r="H32" s="1354"/>
      <c r="I32" s="1166">
        <f>SUBTOTAL(9,I33:I35)</f>
        <v>0</v>
      </c>
      <c r="J32" s="1354"/>
      <c r="K32" s="1166">
        <f>SUBTOTAL(9,K33:K35)</f>
        <v>0</v>
      </c>
      <c r="L32" s="1354"/>
      <c r="M32" s="1166">
        <f>SUBTOTAL(9,M33:M35)</f>
        <v>0</v>
      </c>
      <c r="N32" s="1354"/>
      <c r="O32" s="1166">
        <f>SUBTOTAL(9,O33:O35)</f>
        <v>0</v>
      </c>
      <c r="P32" s="1354"/>
      <c r="Q32" s="1166">
        <f>SUBTOTAL(9,Q33:Q35)</f>
        <v>0</v>
      </c>
      <c r="R32" s="1354"/>
      <c r="S32" s="1166">
        <f>SUBTOTAL(9,S33:S35)</f>
        <v>0</v>
      </c>
    </row>
    <row r="33" spans="1:19">
      <c r="A33" s="1355"/>
      <c r="B33" s="679"/>
      <c r="C33" s="1336"/>
      <c r="D33" s="1334"/>
      <c r="E33" s="1335"/>
      <c r="F33" s="1419"/>
      <c r="G33" s="662">
        <f t="shared" si="1"/>
        <v>0</v>
      </c>
      <c r="H33" s="1354"/>
      <c r="I33" s="1160"/>
      <c r="J33" s="1354"/>
      <c r="K33" s="1160"/>
      <c r="L33" s="1354"/>
      <c r="M33" s="1160"/>
      <c r="N33" s="1354"/>
      <c r="O33" s="1160"/>
      <c r="P33" s="1354"/>
      <c r="Q33" s="1160"/>
      <c r="R33" s="1354"/>
      <c r="S33" s="1160"/>
    </row>
    <row r="34" spans="1:19">
      <c r="A34" s="1355"/>
      <c r="B34" s="679"/>
      <c r="C34" s="1336"/>
      <c r="D34" s="1334"/>
      <c r="E34" s="1335"/>
      <c r="F34" s="1419"/>
      <c r="G34" s="662">
        <f t="shared" si="1"/>
        <v>0</v>
      </c>
      <c r="H34" s="1354"/>
      <c r="I34" s="1160"/>
      <c r="J34" s="1354"/>
      <c r="K34" s="1160"/>
      <c r="L34" s="1354"/>
      <c r="M34" s="1160"/>
      <c r="N34" s="1354"/>
      <c r="O34" s="1160"/>
      <c r="P34" s="1354"/>
      <c r="Q34" s="1160"/>
      <c r="R34" s="1354"/>
      <c r="S34" s="1160"/>
    </row>
    <row r="35" spans="1:19">
      <c r="A35" s="1355"/>
      <c r="B35" s="644"/>
      <c r="C35" s="1336"/>
      <c r="D35" s="1334"/>
      <c r="E35" s="1335"/>
      <c r="F35" s="1419"/>
      <c r="G35" s="662">
        <f t="shared" si="1"/>
        <v>0</v>
      </c>
      <c r="H35" s="1354"/>
      <c r="I35" s="1160"/>
      <c r="J35" s="1354"/>
      <c r="K35" s="1160"/>
      <c r="L35" s="1354"/>
      <c r="M35" s="1160"/>
      <c r="N35" s="1354"/>
      <c r="O35" s="1160"/>
      <c r="P35" s="1354"/>
      <c r="Q35" s="1160"/>
      <c r="R35" s="1354"/>
      <c r="S35" s="1160"/>
    </row>
    <row r="36" spans="1:19">
      <c r="A36" s="1355"/>
      <c r="B36" s="666" t="s">
        <v>377</v>
      </c>
      <c r="C36" s="1336"/>
      <c r="D36" s="1334"/>
      <c r="E36" s="1335"/>
      <c r="F36" s="1419"/>
      <c r="G36" s="662">
        <f t="shared" si="1"/>
        <v>0</v>
      </c>
      <c r="H36" s="1354"/>
      <c r="I36" s="1166">
        <f>SUBTOTAL(9,I37:I50)</f>
        <v>0</v>
      </c>
      <c r="J36" s="1354"/>
      <c r="K36" s="1166">
        <f>SUBTOTAL(9,K37:K50)</f>
        <v>0</v>
      </c>
      <c r="L36" s="1354"/>
      <c r="M36" s="1166">
        <f>SUBTOTAL(9,M37:M50)</f>
        <v>0</v>
      </c>
      <c r="N36" s="1354"/>
      <c r="O36" s="1166">
        <f>SUBTOTAL(9,O37:O50)</f>
        <v>0</v>
      </c>
      <c r="P36" s="1354"/>
      <c r="Q36" s="1166">
        <f>SUBTOTAL(9,Q37:Q50)</f>
        <v>0</v>
      </c>
      <c r="R36" s="1354"/>
      <c r="S36" s="1166">
        <f>SUBTOTAL(9,S37:S50)</f>
        <v>0</v>
      </c>
    </row>
    <row r="37" spans="1:19">
      <c r="A37" s="1355"/>
      <c r="B37" s="644" t="s">
        <v>3596</v>
      </c>
      <c r="C37" s="1336"/>
      <c r="D37" s="1334"/>
      <c r="E37" s="1335"/>
      <c r="F37" s="1419"/>
      <c r="G37" s="662">
        <f t="shared" ref="G37:G49" si="2">ROUND(D37*F37,0)</f>
        <v>0</v>
      </c>
      <c r="H37" s="1354"/>
      <c r="I37" s="1160"/>
      <c r="J37" s="1354"/>
      <c r="K37" s="1161"/>
      <c r="L37" s="1354"/>
      <c r="M37" s="1161"/>
      <c r="N37" s="1354"/>
      <c r="O37" s="1161"/>
      <c r="P37" s="1354"/>
      <c r="Q37" s="1161"/>
      <c r="R37" s="1354"/>
      <c r="S37" s="1161"/>
    </row>
    <row r="38" spans="1:19">
      <c r="A38" s="1355"/>
      <c r="B38" s="644"/>
      <c r="C38" s="1336"/>
      <c r="D38" s="1334"/>
      <c r="E38" s="1335"/>
      <c r="F38" s="1419"/>
      <c r="G38" s="662">
        <f t="shared" ref="G38:G44" si="3">ROUND(D38*F38,0)</f>
        <v>0</v>
      </c>
      <c r="H38" s="1354"/>
      <c r="I38" s="1160"/>
      <c r="J38" s="1354"/>
      <c r="K38" s="1161"/>
      <c r="L38" s="1354"/>
      <c r="M38" s="1161"/>
      <c r="N38" s="1354"/>
      <c r="O38" s="1161"/>
      <c r="P38" s="1354"/>
      <c r="Q38" s="1161"/>
      <c r="R38" s="1354"/>
      <c r="S38" s="1161"/>
    </row>
    <row r="39" spans="1:19">
      <c r="A39" s="1355"/>
      <c r="B39" s="644"/>
      <c r="C39" s="1336"/>
      <c r="D39" s="1334"/>
      <c r="E39" s="1335"/>
      <c r="F39" s="1419"/>
      <c r="G39" s="662">
        <f t="shared" si="3"/>
        <v>0</v>
      </c>
      <c r="H39" s="1354"/>
      <c r="I39" s="1160"/>
      <c r="J39" s="1354"/>
      <c r="K39" s="1161"/>
      <c r="L39" s="1354"/>
      <c r="M39" s="1161"/>
      <c r="N39" s="1354"/>
      <c r="O39" s="1161"/>
      <c r="P39" s="1354"/>
      <c r="Q39" s="1161"/>
      <c r="R39" s="1354"/>
      <c r="S39" s="1161"/>
    </row>
    <row r="40" spans="1:19">
      <c r="A40" s="1355"/>
      <c r="B40" s="644"/>
      <c r="C40" s="1336"/>
      <c r="D40" s="1334"/>
      <c r="E40" s="1335"/>
      <c r="F40" s="1419"/>
      <c r="G40" s="662">
        <f t="shared" si="3"/>
        <v>0</v>
      </c>
      <c r="H40" s="1354"/>
      <c r="I40" s="1160"/>
      <c r="J40" s="1354"/>
      <c r="K40" s="1161"/>
      <c r="L40" s="1354"/>
      <c r="M40" s="1161"/>
      <c r="N40" s="1354"/>
      <c r="O40" s="1161"/>
      <c r="P40" s="1354"/>
      <c r="Q40" s="1161"/>
      <c r="R40" s="1354"/>
      <c r="S40" s="1161"/>
    </row>
    <row r="41" spans="1:19">
      <c r="A41" s="1355"/>
      <c r="B41" s="644"/>
      <c r="C41" s="1336"/>
      <c r="D41" s="1334"/>
      <c r="E41" s="1335"/>
      <c r="F41" s="1419"/>
      <c r="G41" s="662">
        <f t="shared" si="3"/>
        <v>0</v>
      </c>
      <c r="H41" s="1354"/>
      <c r="I41" s="1160"/>
      <c r="J41" s="1354"/>
      <c r="K41" s="1161"/>
      <c r="L41" s="1354"/>
      <c r="M41" s="1161"/>
      <c r="N41" s="1354"/>
      <c r="O41" s="1161"/>
      <c r="P41" s="1354"/>
      <c r="Q41" s="1161"/>
      <c r="R41" s="1354"/>
      <c r="S41" s="1161"/>
    </row>
    <row r="42" spans="1:19">
      <c r="A42" s="1355"/>
      <c r="B42" s="644"/>
      <c r="C42" s="1336"/>
      <c r="D42" s="1334"/>
      <c r="E42" s="1335"/>
      <c r="F42" s="1419"/>
      <c r="G42" s="662">
        <f t="shared" si="3"/>
        <v>0</v>
      </c>
      <c r="H42" s="1354"/>
      <c r="I42" s="1160"/>
      <c r="J42" s="1354"/>
      <c r="K42" s="1161"/>
      <c r="L42" s="1354"/>
      <c r="M42" s="1161"/>
      <c r="N42" s="1354"/>
      <c r="O42" s="1161"/>
      <c r="P42" s="1354"/>
      <c r="Q42" s="1161"/>
      <c r="R42" s="1354"/>
      <c r="S42" s="1161"/>
    </row>
    <row r="43" spans="1:19">
      <c r="A43" s="1355"/>
      <c r="B43" s="644"/>
      <c r="C43" s="1336"/>
      <c r="D43" s="1334"/>
      <c r="E43" s="1335"/>
      <c r="F43" s="1419"/>
      <c r="G43" s="662">
        <f t="shared" si="3"/>
        <v>0</v>
      </c>
      <c r="H43" s="1354"/>
      <c r="I43" s="1160"/>
      <c r="J43" s="1354"/>
      <c r="K43" s="1161"/>
      <c r="L43" s="1354"/>
      <c r="M43" s="1161"/>
      <c r="N43" s="1354"/>
      <c r="O43" s="1161"/>
      <c r="P43" s="1354"/>
      <c r="Q43" s="1161"/>
      <c r="R43" s="1354"/>
      <c r="S43" s="1161"/>
    </row>
    <row r="44" spans="1:19">
      <c r="A44" s="1355"/>
      <c r="B44" s="644"/>
      <c r="C44" s="1336"/>
      <c r="D44" s="1334"/>
      <c r="E44" s="1335"/>
      <c r="F44" s="1419"/>
      <c r="G44" s="662">
        <f t="shared" si="3"/>
        <v>0</v>
      </c>
      <c r="H44" s="1354"/>
      <c r="I44" s="1160"/>
      <c r="J44" s="1354"/>
      <c r="K44" s="1161"/>
      <c r="L44" s="1354"/>
      <c r="M44" s="1161"/>
      <c r="N44" s="1354"/>
      <c r="O44" s="1161"/>
      <c r="P44" s="1354"/>
      <c r="Q44" s="1161"/>
      <c r="R44" s="1354"/>
      <c r="S44" s="1161"/>
    </row>
    <row r="45" spans="1:19">
      <c r="A45" s="1355"/>
      <c r="B45" s="644"/>
      <c r="C45" s="1336"/>
      <c r="D45" s="1334"/>
      <c r="E45" s="1335"/>
      <c r="F45" s="1419"/>
      <c r="G45" s="662">
        <f t="shared" si="2"/>
        <v>0</v>
      </c>
      <c r="H45" s="1354"/>
      <c r="I45" s="1160"/>
      <c r="J45" s="1354"/>
      <c r="K45" s="1161"/>
      <c r="L45" s="1354"/>
      <c r="M45" s="1161"/>
      <c r="N45" s="1354"/>
      <c r="O45" s="1161"/>
      <c r="P45" s="1354"/>
      <c r="Q45" s="1161"/>
      <c r="R45" s="1354"/>
      <c r="S45" s="1161"/>
    </row>
    <row r="46" spans="1:19">
      <c r="A46" s="1355"/>
      <c r="B46" s="644"/>
      <c r="C46" s="1336"/>
      <c r="D46" s="1334"/>
      <c r="E46" s="1335"/>
      <c r="F46" s="1419"/>
      <c r="G46" s="662">
        <f t="shared" si="2"/>
        <v>0</v>
      </c>
      <c r="H46" s="1354"/>
      <c r="I46" s="1160"/>
      <c r="J46" s="1354"/>
      <c r="K46" s="1161"/>
      <c r="L46" s="1354"/>
      <c r="M46" s="1161"/>
      <c r="N46" s="1354"/>
      <c r="O46" s="1161"/>
      <c r="P46" s="1354"/>
      <c r="Q46" s="1161"/>
      <c r="R46" s="1354"/>
      <c r="S46" s="1161"/>
    </row>
    <row r="47" spans="1:19">
      <c r="A47" s="1355"/>
      <c r="B47" s="644"/>
      <c r="C47" s="1336"/>
      <c r="D47" s="1334"/>
      <c r="E47" s="1335"/>
      <c r="F47" s="1419"/>
      <c r="G47" s="662">
        <f t="shared" si="2"/>
        <v>0</v>
      </c>
      <c r="H47" s="1354"/>
      <c r="I47" s="1160"/>
      <c r="J47" s="1354"/>
      <c r="K47" s="1161"/>
      <c r="L47" s="1354"/>
      <c r="M47" s="1161"/>
      <c r="N47" s="1354"/>
      <c r="O47" s="1161"/>
      <c r="P47" s="1354"/>
      <c r="Q47" s="1161"/>
      <c r="R47" s="1354"/>
      <c r="S47" s="1161"/>
    </row>
    <row r="48" spans="1:19">
      <c r="A48" s="1355"/>
      <c r="B48" s="644"/>
      <c r="C48" s="1336"/>
      <c r="D48" s="1334"/>
      <c r="E48" s="1335"/>
      <c r="F48" s="1419"/>
      <c r="G48" s="662">
        <f t="shared" si="2"/>
        <v>0</v>
      </c>
      <c r="H48" s="1354"/>
      <c r="I48" s="1160"/>
      <c r="J48" s="1354"/>
      <c r="K48" s="1161"/>
      <c r="L48" s="1354"/>
      <c r="M48" s="1161"/>
      <c r="N48" s="1354"/>
      <c r="O48" s="1161"/>
      <c r="P48" s="1354"/>
      <c r="Q48" s="1161"/>
      <c r="R48" s="1354"/>
      <c r="S48" s="1161"/>
    </row>
    <row r="49" spans="1:34">
      <c r="A49" s="1355"/>
      <c r="B49" s="644"/>
      <c r="C49" s="1336"/>
      <c r="D49" s="1334"/>
      <c r="E49" s="1335"/>
      <c r="F49" s="1419"/>
      <c r="G49" s="662">
        <f t="shared" si="2"/>
        <v>0</v>
      </c>
      <c r="H49" s="1354"/>
      <c r="I49" s="1160"/>
      <c r="J49" s="1354"/>
      <c r="K49" s="1161"/>
      <c r="L49" s="1354"/>
      <c r="M49" s="1161"/>
      <c r="N49" s="1354"/>
      <c r="O49" s="1161"/>
      <c r="P49" s="1354"/>
      <c r="Q49" s="1161"/>
      <c r="R49" s="1354"/>
      <c r="S49" s="1161"/>
    </row>
    <row r="50" spans="1:34" ht="15.75" thickBot="1">
      <c r="A50" s="1355"/>
      <c r="B50" s="644"/>
      <c r="C50" s="1336"/>
      <c r="D50" s="1334"/>
      <c r="E50" s="1335"/>
      <c r="F50" s="1419"/>
      <c r="G50" s="662"/>
      <c r="H50" s="1354"/>
      <c r="I50" s="1160"/>
      <c r="J50" s="1354"/>
      <c r="K50" s="1161"/>
      <c r="L50" s="1354"/>
      <c r="M50" s="1161"/>
      <c r="N50" s="1354"/>
      <c r="O50" s="1161"/>
      <c r="P50" s="1354"/>
      <c r="Q50" s="1161"/>
      <c r="R50" s="1354"/>
      <c r="S50" s="1161"/>
    </row>
    <row r="51" spans="1:34" ht="15.75" thickTop="1">
      <c r="A51" s="13"/>
      <c r="B51" s="226" t="s">
        <v>3265</v>
      </c>
      <c r="C51" s="15"/>
      <c r="D51" s="233"/>
      <c r="E51" s="176"/>
      <c r="F51" s="17"/>
      <c r="G51" s="227">
        <f>SUBTOTAL(9,G22:G50)</f>
        <v>136800</v>
      </c>
      <c r="H51" s="19"/>
      <c r="I51" s="225">
        <f>SUBTOTAL(9,I22:I50)</f>
        <v>138000</v>
      </c>
      <c r="J51" s="19"/>
      <c r="K51" s="164">
        <f>SUM(K19:K50)</f>
        <v>0</v>
      </c>
      <c r="L51" s="19"/>
      <c r="M51" s="164">
        <f>SUM(M19:M50)</f>
        <v>0</v>
      </c>
      <c r="N51" s="19"/>
      <c r="O51" s="164">
        <f>SUM(O19:O50)</f>
        <v>0</v>
      </c>
      <c r="P51" s="19"/>
      <c r="Q51" s="164">
        <f>SUM(Q19:Q50)</f>
        <v>0</v>
      </c>
      <c r="R51" s="19"/>
      <c r="S51" s="164">
        <f>SUM(S19:S50)</f>
        <v>0</v>
      </c>
    </row>
    <row r="52" spans="1:34">
      <c r="A52" s="1422"/>
      <c r="B52" s="1423" t="s">
        <v>2976</v>
      </c>
      <c r="C52" s="1424"/>
      <c r="D52" s="1425"/>
      <c r="E52" s="1426"/>
      <c r="F52" s="1427"/>
      <c r="G52" s="654"/>
      <c r="H52" s="1428">
        <v>0</v>
      </c>
      <c r="I52" s="645"/>
      <c r="J52" s="1428">
        <v>0</v>
      </c>
      <c r="K52" s="645"/>
      <c r="L52" s="1428">
        <v>0</v>
      </c>
      <c r="M52" s="645"/>
      <c r="N52" s="1428">
        <v>0</v>
      </c>
      <c r="O52" s="645"/>
      <c r="P52" s="1428">
        <v>0</v>
      </c>
      <c r="Q52" s="645"/>
      <c r="R52" s="1428">
        <v>0</v>
      </c>
      <c r="S52" s="645"/>
    </row>
    <row r="53" spans="1:34">
      <c r="A53" s="1422"/>
      <c r="B53" s="1423" t="s">
        <v>2977</v>
      </c>
      <c r="C53" s="1424"/>
      <c r="D53" s="1425"/>
      <c r="E53" s="1426"/>
      <c r="F53" s="1427"/>
      <c r="G53" s="654">
        <f>F52*G51</f>
        <v>0</v>
      </c>
      <c r="H53" s="1429"/>
      <c r="I53" s="1430">
        <f>H52*I51</f>
        <v>0</v>
      </c>
      <c r="J53" s="1429"/>
      <c r="K53" s="1430">
        <f>J52*K51</f>
        <v>0</v>
      </c>
      <c r="L53" s="1429"/>
      <c r="M53" s="1430">
        <f>L52*M51</f>
        <v>0</v>
      </c>
      <c r="N53" s="1429"/>
      <c r="O53" s="1430">
        <f>N52*O51</f>
        <v>0</v>
      </c>
      <c r="P53" s="1429"/>
      <c r="Q53" s="1430">
        <f>P52*Q51</f>
        <v>0</v>
      </c>
      <c r="R53" s="1429"/>
      <c r="S53" s="1430">
        <f>R52*S51</f>
        <v>0</v>
      </c>
    </row>
    <row r="54" spans="1:34">
      <c r="A54" s="1422"/>
      <c r="B54" s="1423"/>
      <c r="C54" s="1424"/>
      <c r="D54" s="1425"/>
      <c r="E54" s="1426"/>
      <c r="F54" s="1427"/>
      <c r="G54" s="654"/>
      <c r="H54" s="1429"/>
      <c r="I54" s="1430"/>
      <c r="J54" s="1429"/>
      <c r="K54" s="1430"/>
      <c r="L54" s="1429"/>
      <c r="M54" s="1430"/>
      <c r="N54" s="1429"/>
      <c r="O54" s="1430"/>
      <c r="P54" s="1429"/>
      <c r="Q54" s="1430"/>
      <c r="R54" s="1429"/>
      <c r="S54" s="1430"/>
    </row>
    <row r="55" spans="1:34">
      <c r="A55" s="1422"/>
      <c r="B55" s="1423" t="s">
        <v>2978</v>
      </c>
      <c r="C55" s="1424"/>
      <c r="D55" s="1425"/>
      <c r="E55" s="1426"/>
      <c r="F55" s="1427"/>
      <c r="G55" s="654">
        <f>SUM(G51:G53)</f>
        <v>136800</v>
      </c>
      <c r="H55" s="1431"/>
      <c r="I55" s="1430">
        <f>SUM(I51:I53)</f>
        <v>138000</v>
      </c>
      <c r="J55" s="1431"/>
      <c r="K55" s="1430">
        <f>SUM(K51:K53)</f>
        <v>0</v>
      </c>
      <c r="L55" s="1431"/>
      <c r="M55" s="1430">
        <f>SUM(M51:M53)</f>
        <v>0</v>
      </c>
      <c r="N55" s="1431"/>
      <c r="O55" s="1430">
        <f>SUM(O51:O53)</f>
        <v>0</v>
      </c>
      <c r="P55" s="1431"/>
      <c r="Q55" s="1430">
        <f>SUM(Q51:Q53)</f>
        <v>0</v>
      </c>
      <c r="R55" s="1431"/>
      <c r="S55" s="1430">
        <f>SUM(S51:S53)</f>
        <v>0</v>
      </c>
    </row>
    <row r="56" spans="1:34">
      <c r="A56" s="1422"/>
      <c r="B56" s="1432" t="s">
        <v>2979</v>
      </c>
      <c r="C56" s="1424"/>
      <c r="D56" s="1425"/>
      <c r="E56" s="1426"/>
      <c r="F56" s="1432"/>
      <c r="G56" s="655">
        <f>G55/'Area Calculations'!$F$5</f>
        <v>1.5427643450018045</v>
      </c>
      <c r="H56" s="1433"/>
      <c r="I56" s="1434">
        <f>I55/'Area Calculations'!$F$5</f>
        <v>1.5562973655719956</v>
      </c>
      <c r="J56" s="1433"/>
      <c r="K56" s="1434">
        <f>K55/'Area Calculations'!$F$5</f>
        <v>0</v>
      </c>
      <c r="L56" s="1433"/>
      <c r="M56" s="1434">
        <f>M55/'Area Calculations'!$F$5</f>
        <v>0</v>
      </c>
      <c r="N56" s="1433"/>
      <c r="O56" s="1434">
        <f>O55/'Area Calculations'!$F$5</f>
        <v>0</v>
      </c>
      <c r="P56" s="1433"/>
      <c r="Q56" s="1434">
        <f>Q55/'Area Calculations'!$F$5</f>
        <v>0</v>
      </c>
      <c r="R56" s="1435"/>
      <c r="S56" s="1434">
        <f>S55/'Area Calculations'!$F$5</f>
        <v>0</v>
      </c>
    </row>
    <row r="57" spans="1:34">
      <c r="A57" s="1422"/>
      <c r="B57" s="1436"/>
      <c r="C57" s="1424"/>
      <c r="D57" s="1425"/>
      <c r="E57" s="1426"/>
      <c r="F57" s="1427"/>
      <c r="G57" s="656"/>
      <c r="H57" s="1437"/>
      <c r="I57" s="1438"/>
      <c r="J57" s="1437"/>
      <c r="K57" s="1437"/>
      <c r="L57" s="1437"/>
      <c r="M57" s="1437"/>
      <c r="N57" s="1437"/>
      <c r="O57" s="1437"/>
      <c r="P57" s="1437"/>
      <c r="Q57" s="1437"/>
      <c r="R57" s="1437"/>
      <c r="S57" s="1437"/>
    </row>
    <row r="58" spans="1:34" ht="16.5" hidden="1" thickTop="1" thickBot="1">
      <c r="A58" s="830" t="s">
        <v>2980</v>
      </c>
      <c r="B58" s="831"/>
      <c r="C58" s="12"/>
      <c r="D58" s="234"/>
      <c r="E58" s="177"/>
      <c r="F58" s="12"/>
      <c r="G58" s="228"/>
      <c r="H58" s="20"/>
      <c r="I58" s="20"/>
      <c r="J58" s="20"/>
      <c r="K58" s="20"/>
      <c r="L58" s="20"/>
      <c r="M58" s="20"/>
      <c r="N58" s="20"/>
      <c r="O58" s="20"/>
      <c r="P58" s="20"/>
      <c r="Q58" s="20"/>
      <c r="R58" s="20"/>
      <c r="S58" s="20"/>
    </row>
    <row r="59" spans="1:34" ht="15.75" hidden="1" thickTop="1">
      <c r="A59" s="823"/>
      <c r="B59" s="1330"/>
      <c r="C59" s="824"/>
      <c r="D59" s="1193"/>
      <c r="E59" s="1271"/>
      <c r="F59" s="824"/>
      <c r="G59" s="1194"/>
      <c r="H59" s="825"/>
      <c r="I59" s="825"/>
      <c r="J59" s="825"/>
      <c r="K59" s="825"/>
      <c r="L59" s="825"/>
      <c r="M59" s="825"/>
      <c r="N59" s="825"/>
      <c r="O59" s="825"/>
      <c r="P59" s="825"/>
      <c r="Q59" s="825"/>
      <c r="R59" s="825"/>
      <c r="S59" s="825"/>
    </row>
    <row r="60" spans="1:34" hidden="1">
      <c r="A60" s="823"/>
      <c r="B60" s="1330"/>
      <c r="C60" s="824"/>
      <c r="D60" s="1193"/>
      <c r="E60" s="1271"/>
      <c r="F60" s="824"/>
      <c r="G60" s="1194"/>
      <c r="H60" s="825"/>
      <c r="I60" s="825"/>
      <c r="J60" s="825"/>
      <c r="K60" s="825"/>
      <c r="L60" s="825"/>
      <c r="M60" s="825"/>
      <c r="N60" s="825"/>
      <c r="O60" s="825"/>
      <c r="P60" s="825"/>
      <c r="Q60" s="825"/>
      <c r="R60" s="825"/>
      <c r="S60" s="825"/>
    </row>
    <row r="61" spans="1:34" ht="15.75" hidden="1" thickBot="1">
      <c r="A61" s="823"/>
      <c r="B61" s="1330"/>
      <c r="C61" s="824"/>
      <c r="D61" s="1193"/>
      <c r="E61" s="1271"/>
      <c r="F61" s="824"/>
      <c r="G61" s="1194"/>
      <c r="H61" s="825"/>
      <c r="I61" s="825"/>
      <c r="J61" s="825"/>
      <c r="K61" s="825"/>
      <c r="L61" s="825"/>
      <c r="M61" s="825"/>
      <c r="N61" s="825"/>
      <c r="O61" s="825"/>
      <c r="P61" s="825"/>
      <c r="Q61" s="825"/>
      <c r="R61" s="825"/>
      <c r="S61" s="825"/>
    </row>
    <row r="62" spans="1:34" s="2" customFormat="1" ht="16.5" hidden="1" thickTop="1" thickBot="1">
      <c r="A62" s="830" t="s">
        <v>2981</v>
      </c>
      <c r="B62" s="831"/>
      <c r="C62" s="12"/>
      <c r="D62" s="234"/>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823"/>
      <c r="B63" s="1330"/>
      <c r="C63" s="824"/>
      <c r="D63" s="1193"/>
      <c r="E63" s="1271"/>
      <c r="F63" s="824"/>
      <c r="G63" s="1194"/>
      <c r="H63" s="825"/>
      <c r="I63" s="825"/>
      <c r="J63" s="825"/>
      <c r="K63" s="825"/>
      <c r="L63" s="825"/>
      <c r="M63" s="825"/>
      <c r="N63" s="825"/>
      <c r="O63" s="825"/>
      <c r="P63" s="825"/>
      <c r="Q63" s="825"/>
      <c r="R63" s="825"/>
      <c r="S63" s="825"/>
      <c r="T63"/>
      <c r="U63"/>
      <c r="V63"/>
      <c r="W63"/>
      <c r="X63"/>
      <c r="Y63"/>
      <c r="Z63"/>
      <c r="AA63"/>
      <c r="AB63"/>
      <c r="AC63"/>
      <c r="AD63"/>
      <c r="AE63"/>
      <c r="AF63"/>
      <c r="AG63"/>
      <c r="AH63"/>
    </row>
    <row r="64" spans="1:34" s="2" customFormat="1" hidden="1">
      <c r="A64" s="823"/>
      <c r="B64" s="1330"/>
      <c r="C64" s="824"/>
      <c r="D64" s="1193"/>
      <c r="E64" s="1271"/>
      <c r="F64" s="824"/>
      <c r="G64" s="1194"/>
      <c r="H64" s="825"/>
      <c r="I64" s="825"/>
      <c r="J64" s="825"/>
      <c r="K64" s="825"/>
      <c r="L64" s="825"/>
      <c r="M64" s="825"/>
      <c r="N64" s="825"/>
      <c r="O64" s="825"/>
      <c r="P64" s="825"/>
      <c r="Q64" s="825"/>
      <c r="R64" s="825"/>
      <c r="S64" s="825"/>
      <c r="T64"/>
      <c r="U64"/>
      <c r="V64"/>
      <c r="W64"/>
      <c r="X64"/>
      <c r="Y64"/>
      <c r="Z64"/>
      <c r="AA64"/>
      <c r="AB64"/>
      <c r="AC64"/>
      <c r="AD64"/>
      <c r="AE64"/>
      <c r="AF64"/>
      <c r="AG64"/>
      <c r="AH64"/>
    </row>
    <row r="65" spans="1:34" ht="15.75" hidden="1" thickBot="1">
      <c r="A65" s="823"/>
      <c r="B65" s="1330"/>
      <c r="C65" s="824"/>
      <c r="D65" s="1193"/>
      <c r="E65" s="1271"/>
      <c r="F65" s="824"/>
      <c r="G65" s="1194"/>
      <c r="H65" s="825"/>
      <c r="I65" s="825"/>
      <c r="J65" s="825"/>
      <c r="K65" s="825"/>
      <c r="L65" s="825"/>
      <c r="M65" s="825"/>
      <c r="N65" s="825"/>
      <c r="O65" s="825"/>
      <c r="P65" s="825"/>
      <c r="Q65" s="825"/>
      <c r="R65" s="825"/>
      <c r="S65" s="825"/>
    </row>
    <row r="66" spans="1:34" s="2" customFormat="1" ht="16.5" hidden="1" thickTop="1" thickBot="1">
      <c r="A66" s="830" t="s">
        <v>2982</v>
      </c>
      <c r="B66" s="831"/>
      <c r="C66" s="12"/>
      <c r="D66" s="234"/>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823"/>
      <c r="B67" s="1330"/>
      <c r="C67" s="824"/>
      <c r="D67" s="1193"/>
      <c r="E67" s="1271"/>
      <c r="F67" s="824"/>
      <c r="G67" s="1194"/>
      <c r="H67" s="825"/>
      <c r="I67" s="825"/>
      <c r="J67" s="825"/>
      <c r="K67" s="825"/>
      <c r="L67" s="825"/>
      <c r="M67" s="825"/>
      <c r="N67" s="825"/>
      <c r="O67" s="825"/>
      <c r="P67" s="825"/>
      <c r="Q67" s="825"/>
      <c r="R67" s="825"/>
      <c r="S67" s="825"/>
      <c r="T67"/>
      <c r="U67"/>
      <c r="V67"/>
      <c r="W67"/>
      <c r="X67"/>
      <c r="Y67"/>
      <c r="Z67"/>
      <c r="AA67"/>
      <c r="AB67"/>
      <c r="AC67"/>
      <c r="AD67"/>
      <c r="AE67"/>
      <c r="AF67"/>
      <c r="AG67"/>
      <c r="AH67"/>
    </row>
    <row r="68" spans="1:34" s="2" customFormat="1" hidden="1">
      <c r="A68" s="1439"/>
      <c r="B68" s="1330"/>
      <c r="C68" s="1336"/>
      <c r="D68" s="1334"/>
      <c r="E68" s="1335"/>
      <c r="F68" s="1336"/>
      <c r="G68" s="1440"/>
      <c r="H68" s="1441"/>
      <c r="I68" s="1441"/>
      <c r="J68" s="1441"/>
      <c r="K68" s="1441"/>
      <c r="L68" s="1441"/>
      <c r="M68" s="1441"/>
      <c r="N68" s="1441"/>
      <c r="O68" s="1441"/>
      <c r="P68" s="1441"/>
      <c r="Q68" s="1441"/>
      <c r="R68" s="1441"/>
      <c r="S68" s="1441"/>
      <c r="T68"/>
      <c r="U68"/>
      <c r="V68"/>
      <c r="W68"/>
      <c r="X68"/>
      <c r="Y68"/>
      <c r="Z68"/>
      <c r="AA68"/>
      <c r="AB68"/>
      <c r="AC68"/>
      <c r="AD68"/>
      <c r="AE68"/>
      <c r="AF68"/>
      <c r="AG68"/>
      <c r="AH68"/>
    </row>
    <row r="69" spans="1:34" s="2" customFormat="1" ht="15.75" hidden="1" thickBot="1">
      <c r="A69" s="1442"/>
      <c r="B69" s="1443"/>
      <c r="C69" s="1336"/>
      <c r="D69" s="1334"/>
      <c r="E69" s="1335"/>
      <c r="F69" s="1336"/>
      <c r="G69" s="1440"/>
      <c r="H69" s="1444"/>
      <c r="I69" s="1444"/>
      <c r="J69" s="1444"/>
      <c r="K69" s="1444"/>
      <c r="L69" s="1444"/>
      <c r="M69" s="1444"/>
      <c r="N69" s="1444"/>
      <c r="O69" s="1444"/>
      <c r="P69" s="1444"/>
      <c r="Q69" s="1444"/>
      <c r="R69" s="1444"/>
      <c r="S69" s="1444"/>
    </row>
    <row r="70" spans="1:34" s="2" customFormat="1" ht="16.5" hidden="1" thickTop="1" thickBot="1">
      <c r="A70" s="830" t="s">
        <v>2983</v>
      </c>
      <c r="B70" s="831"/>
      <c r="C70" s="12"/>
      <c r="D70" s="234"/>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826"/>
      <c r="B71" s="827"/>
      <c r="C71" s="824"/>
      <c r="D71" s="1193"/>
      <c r="E71" s="1271"/>
      <c r="F71" s="824"/>
      <c r="G71" s="1194"/>
      <c r="H71" s="825"/>
      <c r="I71" s="825"/>
      <c r="J71" s="825"/>
      <c r="K71" s="825"/>
      <c r="L71" s="825"/>
      <c r="M71" s="825"/>
      <c r="N71" s="825"/>
      <c r="O71" s="825"/>
      <c r="P71" s="825"/>
      <c r="Q71" s="825"/>
      <c r="R71" s="825"/>
      <c r="S71" s="825"/>
      <c r="T71" s="2"/>
      <c r="U71" s="2"/>
      <c r="V71" s="2"/>
      <c r="W71" s="2"/>
      <c r="X71" s="2"/>
      <c r="Y71" s="2"/>
      <c r="Z71" s="2"/>
      <c r="AA71" s="2"/>
      <c r="AB71" s="2"/>
      <c r="AC71" s="2"/>
      <c r="AD71" s="2"/>
      <c r="AE71" s="2"/>
      <c r="AF71" s="2"/>
      <c r="AG71" s="2"/>
      <c r="AH71" s="2"/>
    </row>
    <row r="72" spans="1:34" hidden="1">
      <c r="A72" s="1442"/>
      <c r="B72" s="1443"/>
      <c r="C72" s="1336"/>
      <c r="D72" s="1334"/>
      <c r="E72" s="1335"/>
      <c r="F72" s="1336"/>
      <c r="G72" s="1440"/>
      <c r="H72" s="1445"/>
      <c r="I72" s="1445"/>
      <c r="J72" s="1445"/>
      <c r="K72" s="1445"/>
      <c r="L72" s="1445"/>
      <c r="M72" s="1445"/>
      <c r="N72" s="1445"/>
      <c r="O72" s="1445"/>
      <c r="P72" s="1445"/>
      <c r="Q72" s="1445"/>
      <c r="R72" s="1445"/>
      <c r="S72" s="1445"/>
      <c r="T72" s="2"/>
      <c r="U72" s="2"/>
      <c r="V72" s="2"/>
      <c r="W72" s="2"/>
      <c r="X72" s="2"/>
      <c r="Y72" s="2"/>
      <c r="Z72" s="2"/>
      <c r="AA72" s="2"/>
      <c r="AB72" s="2"/>
      <c r="AC72" s="2"/>
      <c r="AD72" s="2"/>
      <c r="AE72" s="2"/>
      <c r="AF72" s="2"/>
      <c r="AG72" s="2"/>
      <c r="AH72" s="2"/>
    </row>
    <row r="73" spans="1:34" ht="15.75" hidden="1" thickBot="1">
      <c r="A73" s="1442"/>
      <c r="B73" s="1443"/>
      <c r="C73" s="1336"/>
      <c r="D73" s="1334"/>
      <c r="E73" s="1335"/>
      <c r="F73" s="1336"/>
      <c r="G73" s="1440"/>
      <c r="H73" s="1445"/>
      <c r="I73" s="1445"/>
      <c r="J73" s="1445"/>
      <c r="K73" s="1445"/>
      <c r="L73" s="1445"/>
      <c r="M73" s="1445"/>
      <c r="N73" s="1445"/>
      <c r="O73" s="1445"/>
      <c r="P73" s="1445"/>
      <c r="Q73" s="1445"/>
      <c r="R73" s="1445"/>
      <c r="S73" s="1445"/>
      <c r="T73" s="2"/>
      <c r="U73" s="2"/>
      <c r="V73" s="2"/>
      <c r="W73" s="2"/>
      <c r="X73" s="2"/>
      <c r="Y73" s="2"/>
      <c r="Z73" s="2"/>
      <c r="AA73" s="2"/>
      <c r="AB73" s="2"/>
      <c r="AC73" s="2"/>
      <c r="AD73" s="2"/>
      <c r="AE73" s="2"/>
      <c r="AF73" s="2"/>
      <c r="AG73" s="2"/>
      <c r="AH73" s="2"/>
    </row>
    <row r="74" spans="1:34" ht="16.5" hidden="1" thickTop="1" thickBot="1">
      <c r="A74" s="830" t="s">
        <v>2984</v>
      </c>
      <c r="B74" s="831"/>
      <c r="C74" s="12"/>
      <c r="D74" s="234"/>
      <c r="E74" s="177"/>
      <c r="F74" s="12"/>
      <c r="G74" s="228"/>
      <c r="H74" s="20"/>
      <c r="I74" s="20"/>
      <c r="J74" s="20"/>
      <c r="K74" s="20"/>
      <c r="L74" s="20"/>
      <c r="M74" s="20"/>
      <c r="N74" s="20"/>
      <c r="O74" s="20"/>
      <c r="P74" s="20"/>
      <c r="Q74" s="20"/>
      <c r="R74" s="20"/>
      <c r="S74" s="20"/>
    </row>
    <row r="75" spans="1:34" ht="15.75" hidden="1" thickTop="1">
      <c r="A75" s="1439"/>
      <c r="B75" s="1330" t="s">
        <v>2985</v>
      </c>
      <c r="C75" s="1336"/>
      <c r="D75" s="1334"/>
      <c r="E75" s="1335"/>
      <c r="F75" s="1336"/>
      <c r="G75" s="1440"/>
      <c r="H75" s="1445"/>
      <c r="I75" s="1445"/>
      <c r="J75" s="1445"/>
      <c r="K75" s="1445"/>
      <c r="L75" s="1445"/>
      <c r="M75" s="1445"/>
      <c r="N75" s="1445"/>
      <c r="O75" s="1445"/>
      <c r="P75" s="1445"/>
      <c r="Q75" s="1445"/>
      <c r="R75" s="1445"/>
      <c r="S75" s="1445"/>
    </row>
    <row r="76" spans="1:34" hidden="1">
      <c r="A76" s="1439"/>
      <c r="B76" s="1330" t="s">
        <v>2986</v>
      </c>
      <c r="C76" s="1336"/>
      <c r="D76" s="1334"/>
      <c r="E76" s="1335"/>
      <c r="F76" s="1336"/>
      <c r="G76" s="1440"/>
      <c r="H76" s="1445"/>
      <c r="I76" s="1445"/>
      <c r="J76" s="1445"/>
      <c r="K76" s="1445"/>
      <c r="L76" s="1445"/>
      <c r="M76" s="1445"/>
      <c r="N76" s="1445"/>
      <c r="O76" s="1445"/>
      <c r="P76" s="1445"/>
      <c r="Q76" s="1445"/>
      <c r="R76" s="1445"/>
      <c r="S76" s="1445"/>
    </row>
    <row r="77" spans="1:34" hidden="1">
      <c r="A77" s="1439"/>
      <c r="B77" s="1330" t="s">
        <v>2987</v>
      </c>
      <c r="C77" s="1336"/>
      <c r="D77" s="1334"/>
      <c r="E77" s="1335"/>
      <c r="F77" s="1336"/>
      <c r="G77" s="1440"/>
      <c r="H77" s="1445"/>
      <c r="I77" s="1445"/>
      <c r="J77" s="1445"/>
      <c r="K77" s="1445"/>
      <c r="L77" s="1445"/>
      <c r="M77" s="1445"/>
      <c r="N77" s="1445"/>
      <c r="O77" s="1445"/>
      <c r="P77" s="1445"/>
      <c r="Q77" s="1445"/>
      <c r="R77" s="1445"/>
      <c r="S77" s="1445"/>
    </row>
    <row r="78" spans="1:34" hidden="1">
      <c r="A78" s="1439"/>
      <c r="B78" s="1330" t="s">
        <v>2988</v>
      </c>
      <c r="C78" s="1336"/>
      <c r="D78" s="1334"/>
      <c r="E78" s="1335"/>
      <c r="F78" s="1336"/>
      <c r="G78" s="1440"/>
      <c r="H78" s="1445"/>
      <c r="I78" s="1445"/>
      <c r="J78" s="1445"/>
      <c r="K78" s="1445"/>
      <c r="L78" s="1445"/>
      <c r="M78" s="1445"/>
      <c r="N78" s="1445"/>
      <c r="O78" s="1445"/>
      <c r="P78" s="1445"/>
      <c r="Q78" s="1445"/>
      <c r="R78" s="1445"/>
      <c r="S78" s="1445"/>
    </row>
    <row r="79" spans="1:34" ht="15.75" hidden="1" thickBot="1">
      <c r="A79" s="646"/>
      <c r="B79" s="619"/>
      <c r="C79" s="616"/>
      <c r="D79" s="617"/>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234"/>
      <c r="E80" s="177"/>
      <c r="F80" s="12"/>
      <c r="G80" s="228"/>
      <c r="H80" s="20"/>
      <c r="I80" s="20"/>
      <c r="J80" s="20"/>
      <c r="K80" s="20"/>
      <c r="L80" s="20"/>
      <c r="M80" s="20"/>
      <c r="N80" s="20"/>
      <c r="O80" s="20"/>
      <c r="P80" s="20"/>
      <c r="Q80" s="20"/>
      <c r="R80" s="20"/>
      <c r="S80" s="20"/>
    </row>
    <row r="81" spans="1:19" ht="15.75" hidden="1" thickTop="1">
      <c r="A81" s="823"/>
      <c r="B81" s="828" t="s">
        <v>2990</v>
      </c>
      <c r="C81" s="824"/>
      <c r="D81" s="1193"/>
      <c r="E81" s="1271"/>
      <c r="F81" s="824"/>
      <c r="G81" s="1194"/>
      <c r="H81" s="829"/>
      <c r="I81" s="829"/>
      <c r="J81" s="829"/>
      <c r="K81" s="829"/>
      <c r="L81" s="829"/>
      <c r="M81" s="829"/>
      <c r="N81" s="829"/>
      <c r="O81" s="829"/>
      <c r="P81" s="829"/>
      <c r="Q81" s="829"/>
      <c r="R81" s="829"/>
      <c r="S81" s="829"/>
    </row>
    <row r="82" spans="1:19" hidden="1">
      <c r="A82" s="1439"/>
      <c r="B82" s="1330" t="s">
        <v>2991</v>
      </c>
      <c r="C82" s="1336"/>
      <c r="D82" s="1334"/>
      <c r="E82" s="1335"/>
      <c r="F82" s="1336"/>
      <c r="G82" s="1440"/>
      <c r="H82" s="1446"/>
      <c r="I82" s="1446"/>
      <c r="J82" s="1446"/>
      <c r="K82" s="1446"/>
      <c r="L82" s="1446"/>
      <c r="M82" s="1446"/>
      <c r="N82" s="1446"/>
      <c r="O82" s="1446"/>
      <c r="P82" s="1446"/>
      <c r="Q82" s="1446"/>
      <c r="R82" s="1446"/>
      <c r="S82" s="1446"/>
    </row>
    <row r="83" spans="1:19" ht="15.75" hidden="1" thickBot="1">
      <c r="A83" s="1447"/>
      <c r="B83" s="1347" t="s">
        <v>2992</v>
      </c>
      <c r="C83" s="1348"/>
      <c r="D83" s="1448"/>
      <c r="E83" s="1449"/>
      <c r="F83" s="1348"/>
      <c r="G83" s="1450"/>
      <c r="H83" s="1451"/>
      <c r="I83" s="1451"/>
      <c r="J83" s="1451"/>
      <c r="K83" s="1451"/>
      <c r="L83" s="1451"/>
      <c r="M83" s="1451"/>
      <c r="N83" s="1451"/>
      <c r="O83" s="1451"/>
      <c r="P83" s="1451"/>
      <c r="Q83" s="1451"/>
      <c r="R83" s="1451"/>
      <c r="S83" s="1451"/>
    </row>
    <row r="84" spans="1:19" ht="15.75" thickBot="1"/>
    <row r="85" spans="1:19" ht="16.5" thickTop="1" thickBot="1">
      <c r="A85" s="59" t="s">
        <v>2993</v>
      </c>
      <c r="B85" s="61"/>
    </row>
    <row r="86" spans="1:19" ht="15.75" thickTop="1">
      <c r="A86" s="60" t="s">
        <v>2936</v>
      </c>
      <c r="B86" s="1452"/>
    </row>
    <row r="87" spans="1:19">
      <c r="A87" s="1453" t="s">
        <v>2939</v>
      </c>
      <c r="B87" s="1452"/>
    </row>
    <row r="88" spans="1:19">
      <c r="A88" s="1454" t="s">
        <v>2941</v>
      </c>
      <c r="B88" s="1455"/>
    </row>
    <row r="89" spans="1:19">
      <c r="A89" s="1454" t="s">
        <v>2943</v>
      </c>
      <c r="B89" s="1456"/>
    </row>
    <row r="90" spans="1:19" ht="15.75" thickBot="1">
      <c r="A90" s="1457" t="s">
        <v>2994</v>
      </c>
      <c r="B90" s="1458">
        <f>$I$55</f>
        <v>138000</v>
      </c>
    </row>
    <row r="91" spans="1:19" ht="15.75" thickTop="1"/>
    <row r="92" spans="1:19">
      <c r="A92" s="62"/>
      <c r="B92" s="1" t="s">
        <v>2995</v>
      </c>
    </row>
    <row r="93" spans="1:19">
      <c r="A93" s="63"/>
      <c r="B93" s="1" t="s">
        <v>2996</v>
      </c>
    </row>
  </sheetData>
  <mergeCells count="35">
    <mergeCell ref="R5:S5"/>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 ref="A58:B58"/>
    <mergeCell ref="A62:B62"/>
    <mergeCell ref="A66:B66"/>
    <mergeCell ref="A70:B70"/>
    <mergeCell ref="A74:B74"/>
  </mergeCells>
  <phoneticPr fontId="27" type="noConversion"/>
  <conditionalFormatting sqref="H11:H18 J11:J18 L11:L18 N11:N18 P11:P18 R11:R18">
    <cfRule type="cellIs" dxfId="295" priority="11" operator="equal">
      <formula>"X"</formula>
    </cfRule>
    <cfRule type="cellIs" dxfId="294" priority="12" operator="equal">
      <formula>"I"</formula>
    </cfRule>
  </conditionalFormatting>
  <conditionalFormatting sqref="H20:H50">
    <cfRule type="cellIs" dxfId="293" priority="5" operator="equal">
      <formula>"X"</formula>
    </cfRule>
    <cfRule type="cellIs" dxfId="292" priority="6" operator="equal">
      <formula>"I"</formula>
    </cfRule>
  </conditionalFormatting>
  <conditionalFormatting sqref="J20:J50 L20:L50 N20:N50 P20:P50 R20:R50">
    <cfRule type="cellIs" dxfId="291" priority="1" operator="equal">
      <formula>"X"</formula>
    </cfRule>
    <cfRule type="cellIs" dxfId="290" priority="2" operator="equal">
      <formula>"I"</formula>
    </cfRule>
  </conditionalFormatting>
  <hyperlinks>
    <hyperlink ref="B4" location="'Cost Summary'!A1" display="BACK TO SUMMARY SHEET" xr:uid="{0A83A501-15D2-4D51-806E-A1D7462187AF}"/>
  </hyperlinks>
  <pageMargins left="0.2" right="0.2" top="0.5" bottom="0.75" header="0.3" footer="0.3"/>
  <pageSetup paperSize="3" scale="77"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00B050"/>
    <pageSetUpPr fitToPage="1"/>
  </sheetPr>
  <dimension ref="A1:AH115"/>
  <sheetViews>
    <sheetView zoomScale="90" zoomScaleNormal="90" workbookViewId="0">
      <pane ySplit="10" topLeftCell="A40" activePane="bottomLeft" state="frozen"/>
      <selection pane="bottomLeft" activeCell="K57" sqref="K57"/>
      <selection activeCell="B4" sqref="B4"/>
    </sheetView>
  </sheetViews>
  <sheetFormatPr defaultColWidth="8.85546875" defaultRowHeight="15"/>
  <cols>
    <col min="1" max="1" width="10.7109375" customWidth="1"/>
    <col min="2" max="2" width="67.7109375" style="1" bestFit="1" customWidth="1"/>
    <col min="3" max="3" width="28" style="2" bestFit="1" customWidth="1"/>
    <col min="4" max="4" width="10" style="231" bestFit="1" customWidth="1"/>
    <col min="5" max="5" width="4.85546875" style="79" bestFit="1"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2"/>
      <c r="F1" s="178"/>
      <c r="G1" s="56" t="s">
        <v>2928</v>
      </c>
    </row>
    <row r="2" spans="1:19">
      <c r="E2" s="2"/>
      <c r="F2" s="179" t="s">
        <v>2929</v>
      </c>
      <c r="G2" s="56" t="s">
        <v>2930</v>
      </c>
    </row>
    <row r="3" spans="1:19">
      <c r="E3" s="2"/>
      <c r="F3" s="180" t="s">
        <v>2931</v>
      </c>
      <c r="G3" s="56" t="s">
        <v>2932</v>
      </c>
    </row>
    <row r="4" spans="1:19">
      <c r="B4" s="181" t="s">
        <v>2933</v>
      </c>
      <c r="E4" s="2"/>
      <c r="F4" s="170"/>
      <c r="G4" s="2" t="s">
        <v>2934</v>
      </c>
    </row>
    <row r="5" spans="1:19">
      <c r="A5" s="3" t="s">
        <v>2935</v>
      </c>
      <c r="B5" s="4" t="str">
        <f>'Area Calculations'!B4</f>
        <v>Atlantic Fields Club Core / Dock Bar / Spa Pods / Water Features</v>
      </c>
      <c r="C5" s="5"/>
      <c r="D5" s="232"/>
      <c r="E5" s="5"/>
      <c r="F5" s="5"/>
      <c r="G5" s="6" t="s">
        <v>2936</v>
      </c>
      <c r="H5" s="837" t="s">
        <v>3332</v>
      </c>
      <c r="I5" s="838"/>
      <c r="J5" s="837"/>
      <c r="K5" s="838"/>
      <c r="L5" s="841"/>
      <c r="M5" s="842"/>
      <c r="N5" s="841"/>
      <c r="O5" s="842"/>
      <c r="P5" s="841"/>
      <c r="Q5" s="842"/>
      <c r="R5" s="841"/>
      <c r="S5" s="842"/>
    </row>
    <row r="6" spans="1:19">
      <c r="A6" s="1459" t="s">
        <v>2938</v>
      </c>
      <c r="B6" s="1460" t="s">
        <v>2556</v>
      </c>
      <c r="C6" s="1461"/>
      <c r="D6" s="1462"/>
      <c r="E6" s="1461"/>
      <c r="F6" s="1461"/>
      <c r="G6" s="657" t="s">
        <v>2939</v>
      </c>
      <c r="H6" s="1463" t="s">
        <v>3335</v>
      </c>
      <c r="I6" s="839"/>
      <c r="J6" s="1463"/>
      <c r="K6" s="839"/>
      <c r="L6" s="1464"/>
      <c r="M6" s="843"/>
      <c r="N6" s="1464"/>
      <c r="O6" s="843"/>
      <c r="P6" s="1464"/>
      <c r="Q6" s="843"/>
      <c r="R6" s="1464"/>
      <c r="S6" s="843"/>
    </row>
    <row r="7" spans="1:19">
      <c r="A7" s="1459" t="s">
        <v>2940</v>
      </c>
      <c r="B7" s="1465" t="s">
        <v>2629</v>
      </c>
      <c r="C7" s="1461"/>
      <c r="D7" s="1462"/>
      <c r="E7" s="1461"/>
      <c r="F7" s="1461"/>
      <c r="G7" s="1466" t="s">
        <v>2941</v>
      </c>
      <c r="H7" s="1467" t="s">
        <v>3338</v>
      </c>
      <c r="I7" s="840"/>
      <c r="J7" s="1467"/>
      <c r="K7" s="840"/>
      <c r="L7" s="1468"/>
      <c r="M7" s="844"/>
      <c r="N7" s="1468"/>
      <c r="O7" s="844"/>
      <c r="P7" s="1468"/>
      <c r="Q7" s="844"/>
      <c r="R7" s="1468"/>
      <c r="S7" s="844"/>
    </row>
    <row r="8" spans="1:19">
      <c r="A8" s="1459" t="s">
        <v>2942</v>
      </c>
      <c r="B8" s="1469"/>
      <c r="C8" s="1461"/>
      <c r="D8" s="1462"/>
      <c r="E8" s="1461"/>
      <c r="F8" s="1461"/>
      <c r="G8" s="1466" t="s">
        <v>2943</v>
      </c>
      <c r="H8" s="1470" t="s">
        <v>3341</v>
      </c>
      <c r="I8" s="836"/>
      <c r="J8" s="1470"/>
      <c r="K8" s="836"/>
      <c r="L8" s="1471"/>
      <c r="M8" s="845"/>
      <c r="N8" s="1471"/>
      <c r="O8" s="845"/>
      <c r="P8" s="1471"/>
      <c r="Q8" s="845"/>
      <c r="R8" s="1471"/>
      <c r="S8" s="845"/>
    </row>
    <row r="9" spans="1:19">
      <c r="A9" s="1472"/>
      <c r="B9" s="1473"/>
      <c r="C9" s="616"/>
      <c r="D9" s="617"/>
      <c r="E9" s="616"/>
      <c r="F9" s="1474"/>
      <c r="G9" s="1475" t="s">
        <v>2944</v>
      </c>
      <c r="H9" s="1476">
        <f>I$77</f>
        <v>1358334</v>
      </c>
      <c r="I9" s="1476"/>
      <c r="J9" s="1477">
        <f t="shared" ref="J9" si="0">K$85</f>
        <v>0</v>
      </c>
      <c r="K9" s="1478"/>
      <c r="L9" s="1477">
        <f t="shared" ref="L9" si="1">M$85</f>
        <v>0</v>
      </c>
      <c r="M9" s="1478"/>
      <c r="N9" s="1477">
        <f t="shared" ref="N9" si="2">O$85</f>
        <v>0</v>
      </c>
      <c r="O9" s="1478"/>
      <c r="P9" s="1477">
        <f t="shared" ref="P9" si="3">Q$85</f>
        <v>0</v>
      </c>
      <c r="Q9" s="1478"/>
      <c r="R9" s="1477">
        <f t="shared" ref="R9" si="4">S$85</f>
        <v>0</v>
      </c>
      <c r="S9" s="1478"/>
    </row>
    <row r="10" spans="1:19" s="175" customForma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c r="A11" s="1147"/>
      <c r="B11" s="794" t="s">
        <v>2953</v>
      </c>
      <c r="C11" s="659"/>
      <c r="D11" s="1462"/>
      <c r="E11" s="1461"/>
      <c r="F11" s="1461"/>
      <c r="G11" s="660"/>
      <c r="H11" s="1479"/>
      <c r="I11" s="1148"/>
      <c r="J11" s="1479"/>
      <c r="K11" s="182"/>
      <c r="L11" s="1479"/>
      <c r="M11" s="1149"/>
      <c r="N11" s="1479"/>
      <c r="O11" s="1149"/>
      <c r="P11" s="1479"/>
      <c r="Q11" s="1149"/>
      <c r="R11" s="1479"/>
      <c r="S11" s="1149"/>
    </row>
    <row r="12" spans="1:19">
      <c r="A12" s="1150"/>
      <c r="B12" s="1151" t="s">
        <v>2954</v>
      </c>
      <c r="C12" s="1461"/>
      <c r="D12" s="1462"/>
      <c r="E12" s="1461"/>
      <c r="F12" s="1461"/>
      <c r="G12" s="660"/>
      <c r="H12" s="1479"/>
      <c r="I12" s="1148"/>
      <c r="J12" s="1479"/>
      <c r="K12" s="1149"/>
      <c r="L12" s="1479"/>
      <c r="M12" s="1149"/>
      <c r="N12" s="1479"/>
      <c r="O12" s="1149"/>
      <c r="P12" s="1479"/>
      <c r="Q12" s="1149"/>
      <c r="R12" s="1479"/>
      <c r="S12" s="1149"/>
    </row>
    <row r="13" spans="1:19">
      <c r="A13" s="1480"/>
      <c r="B13" s="1152" t="s">
        <v>2955</v>
      </c>
      <c r="C13" s="1461"/>
      <c r="D13" s="1462"/>
      <c r="E13" s="1461"/>
      <c r="F13" s="1461"/>
      <c r="G13" s="660"/>
      <c r="H13" s="1479"/>
      <c r="I13" s="1148"/>
      <c r="J13" s="1479"/>
      <c r="K13" s="1149"/>
      <c r="L13" s="1479"/>
      <c r="M13" s="1149"/>
      <c r="N13" s="1479"/>
      <c r="O13" s="1149"/>
      <c r="P13" s="1479"/>
      <c r="Q13" s="1149"/>
      <c r="R13" s="1479"/>
      <c r="S13" s="1149"/>
    </row>
    <row r="14" spans="1:19">
      <c r="A14" s="1480"/>
      <c r="B14" s="1153" t="s">
        <v>2956</v>
      </c>
      <c r="C14" s="1461"/>
      <c r="D14" s="1462"/>
      <c r="E14" s="1461"/>
      <c r="F14" s="1461"/>
      <c r="G14" s="660"/>
      <c r="H14" s="1479"/>
      <c r="I14" s="1148"/>
      <c r="J14" s="1479"/>
      <c r="K14" s="1149"/>
      <c r="L14" s="1479"/>
      <c r="M14" s="1149"/>
      <c r="N14" s="1479"/>
      <c r="O14" s="1149"/>
      <c r="P14" s="1479"/>
      <c r="Q14" s="1149"/>
      <c r="R14" s="1479"/>
      <c r="S14" s="1149"/>
    </row>
    <row r="15" spans="1:19">
      <c r="A15" s="1480"/>
      <c r="B15" s="1153" t="s">
        <v>2957</v>
      </c>
      <c r="C15" s="1461"/>
      <c r="D15" s="1462"/>
      <c r="E15" s="1461"/>
      <c r="F15" s="1461"/>
      <c r="G15" s="660"/>
      <c r="H15" s="1479"/>
      <c r="I15" s="1148"/>
      <c r="J15" s="1479"/>
      <c r="K15" s="1148"/>
      <c r="L15" s="1479"/>
      <c r="M15" s="1148"/>
      <c r="N15" s="1479"/>
      <c r="O15" s="1148"/>
      <c r="P15" s="1479"/>
      <c r="Q15" s="1148"/>
      <c r="R15" s="1479"/>
      <c r="S15" s="1148"/>
    </row>
    <row r="16" spans="1:19">
      <c r="A16" s="1480"/>
      <c r="B16" s="1153" t="s">
        <v>2958</v>
      </c>
      <c r="C16" s="1461"/>
      <c r="D16" s="1462"/>
      <c r="E16" s="1461"/>
      <c r="F16" s="1461"/>
      <c r="G16" s="660"/>
      <c r="H16" s="1479"/>
      <c r="I16" s="1148"/>
      <c r="J16" s="1479"/>
      <c r="K16" s="1149"/>
      <c r="L16" s="1479"/>
      <c r="M16" s="1149"/>
      <c r="N16" s="1479"/>
      <c r="O16" s="1149"/>
      <c r="P16" s="1479"/>
      <c r="Q16" s="1149"/>
      <c r="R16" s="1479"/>
      <c r="S16" s="1149"/>
    </row>
    <row r="17" spans="1:19">
      <c r="A17" s="1480"/>
      <c r="B17" s="1153" t="s">
        <v>2959</v>
      </c>
      <c r="C17" s="1461"/>
      <c r="D17" s="1462"/>
      <c r="E17" s="1461"/>
      <c r="F17" s="1461"/>
      <c r="G17" s="660"/>
      <c r="H17" s="1479"/>
      <c r="I17" s="1148"/>
      <c r="J17" s="1479"/>
      <c r="K17" s="1149"/>
      <c r="L17" s="1479"/>
      <c r="M17" s="1149"/>
      <c r="N17" s="1479"/>
      <c r="O17" s="1149"/>
      <c r="P17" s="1479"/>
      <c r="Q17" s="1149"/>
      <c r="R17" s="1479"/>
      <c r="S17" s="1149"/>
    </row>
    <row r="18" spans="1:19">
      <c r="A18" s="1480"/>
      <c r="B18" s="1154" t="s">
        <v>2960</v>
      </c>
      <c r="C18" s="1461"/>
      <c r="D18" s="1462"/>
      <c r="E18" s="1461"/>
      <c r="F18" s="1461"/>
      <c r="G18" s="660"/>
      <c r="H18" s="1479"/>
      <c r="I18" s="1148"/>
      <c r="J18" s="1479"/>
      <c r="K18" s="1149"/>
      <c r="L18" s="1479"/>
      <c r="M18" s="1149"/>
      <c r="N18" s="1479"/>
      <c r="O18" s="1149"/>
      <c r="P18" s="1479"/>
      <c r="Q18" s="1149"/>
      <c r="R18" s="1479"/>
      <c r="S18" s="1149"/>
    </row>
    <row r="19" spans="1:19">
      <c r="A19" s="1480"/>
      <c r="B19" s="1155" t="s">
        <v>2961</v>
      </c>
      <c r="C19" s="1481"/>
      <c r="D19" s="1482"/>
      <c r="E19" s="1481"/>
      <c r="F19" s="1483"/>
      <c r="G19" s="661"/>
      <c r="H19" s="1484"/>
      <c r="I19" s="1157"/>
      <c r="J19" s="1484"/>
      <c r="K19" s="1158"/>
      <c r="L19" s="1484"/>
      <c r="M19" s="1158"/>
      <c r="N19" s="1484"/>
      <c r="O19" s="1158"/>
      <c r="P19" s="1484"/>
      <c r="Q19" s="1158"/>
      <c r="R19" s="1484"/>
      <c r="S19" s="1158"/>
    </row>
    <row r="20" spans="1:19">
      <c r="A20" s="1480"/>
      <c r="B20" s="1159"/>
      <c r="C20" s="1461"/>
      <c r="D20" s="1462"/>
      <c r="E20" s="1485"/>
      <c r="F20" s="1486"/>
      <c r="G20" s="660"/>
      <c r="H20" s="1479"/>
      <c r="I20" s="1160"/>
      <c r="J20" s="1479"/>
      <c r="K20" s="1161"/>
      <c r="L20" s="1479"/>
      <c r="M20" s="1161"/>
      <c r="N20" s="1479"/>
      <c r="O20" s="1161"/>
      <c r="P20" s="1479"/>
      <c r="Q20" s="1161"/>
      <c r="R20" s="1479"/>
      <c r="S20" s="1161"/>
    </row>
    <row r="21" spans="1:19">
      <c r="A21" s="1487"/>
      <c r="B21" s="1488" t="s">
        <v>2695</v>
      </c>
      <c r="C21" s="1461"/>
      <c r="D21" s="1489"/>
      <c r="E21" s="1485"/>
      <c r="F21" s="1490"/>
      <c r="G21" s="662"/>
      <c r="H21" s="1479"/>
      <c r="I21" s="1166">
        <f>SUBTOTAL(9,I22:I61)</f>
        <v>1247804</v>
      </c>
      <c r="J21" s="1479"/>
      <c r="K21" s="1166">
        <f>SUBTOTAL(9,K22:K61)</f>
        <v>0</v>
      </c>
      <c r="L21" s="1479"/>
      <c r="M21" s="1166">
        <f>SUBTOTAL(9,M22:M61)</f>
        <v>0</v>
      </c>
      <c r="N21" s="1479"/>
      <c r="O21" s="1166">
        <f>SUBTOTAL(9,O22:O61)</f>
        <v>0</v>
      </c>
      <c r="P21" s="1479"/>
      <c r="Q21" s="1166">
        <f>SUBTOTAL(9,Q22:Q61)</f>
        <v>0</v>
      </c>
      <c r="R21" s="1479"/>
      <c r="S21" s="1166">
        <f>SUBTOTAL(9,S22:S61)</f>
        <v>0</v>
      </c>
    </row>
    <row r="22" spans="1:19">
      <c r="A22" s="1480"/>
      <c r="B22" s="644" t="s">
        <v>3597</v>
      </c>
      <c r="C22" s="1461"/>
      <c r="D22" s="1462"/>
      <c r="E22" s="1485"/>
      <c r="F22" s="1490"/>
      <c r="G22" s="662">
        <f t="shared" ref="G22:G71" si="5">ROUND(D22*F22,0)</f>
        <v>0</v>
      </c>
      <c r="H22" s="1479"/>
      <c r="I22" s="1160"/>
      <c r="J22" s="1479"/>
      <c r="K22" s="1161"/>
      <c r="L22" s="1479"/>
      <c r="M22" s="1161"/>
      <c r="N22" s="1479"/>
      <c r="O22" s="1161"/>
      <c r="P22" s="1479"/>
      <c r="Q22" s="1161"/>
      <c r="R22" s="1479"/>
      <c r="S22" s="1161"/>
    </row>
    <row r="23" spans="1:19" s="175" customFormat="1" ht="30">
      <c r="A23" s="1491" t="s">
        <v>2587</v>
      </c>
      <c r="B23" s="680" t="s">
        <v>2630</v>
      </c>
      <c r="C23" s="1492" t="s">
        <v>337</v>
      </c>
      <c r="D23" s="1493">
        <v>1086</v>
      </c>
      <c r="E23" s="1494" t="s">
        <v>2845</v>
      </c>
      <c r="F23" s="1495">
        <v>30</v>
      </c>
      <c r="G23" s="653">
        <f t="shared" si="5"/>
        <v>32580</v>
      </c>
      <c r="H23" s="1496"/>
      <c r="I23" s="1262">
        <f>$G23</f>
        <v>32580</v>
      </c>
      <c r="J23" s="1496"/>
      <c r="K23" s="1235"/>
      <c r="L23" s="1496"/>
      <c r="M23" s="1235"/>
      <c r="N23" s="1496"/>
      <c r="O23" s="1235"/>
      <c r="P23" s="1496"/>
      <c r="Q23" s="1235"/>
      <c r="R23" s="1496"/>
      <c r="S23" s="1235"/>
    </row>
    <row r="24" spans="1:19">
      <c r="A24" s="1480"/>
      <c r="B24" s="644"/>
      <c r="C24" s="1461"/>
      <c r="D24" s="1462"/>
      <c r="E24" s="1485"/>
      <c r="F24" s="1490"/>
      <c r="G24" s="662">
        <f t="shared" si="5"/>
        <v>0</v>
      </c>
      <c r="H24" s="1479"/>
      <c r="I24" s="1160"/>
      <c r="J24" s="1479"/>
      <c r="K24" s="1161"/>
      <c r="L24" s="1479"/>
      <c r="M24" s="1161"/>
      <c r="N24" s="1479"/>
      <c r="O24" s="1161"/>
      <c r="P24" s="1479"/>
      <c r="Q24" s="1161"/>
      <c r="R24" s="1479"/>
      <c r="S24" s="1161"/>
    </row>
    <row r="25" spans="1:19">
      <c r="A25" s="1491" t="s">
        <v>2587</v>
      </c>
      <c r="B25" s="644" t="s">
        <v>2631</v>
      </c>
      <c r="C25" s="1461"/>
      <c r="D25" s="1462">
        <f>SUM(D26:D40)</f>
        <v>5762</v>
      </c>
      <c r="E25" s="1485" t="s">
        <v>2845</v>
      </c>
      <c r="F25" s="1490">
        <v>50</v>
      </c>
      <c r="G25" s="670">
        <f t="shared" si="5"/>
        <v>288100</v>
      </c>
      <c r="H25" s="1479"/>
      <c r="I25" s="1378">
        <f>$G25</f>
        <v>288100</v>
      </c>
      <c r="J25" s="1479"/>
      <c r="K25" s="1161"/>
      <c r="L25" s="1479"/>
      <c r="M25" s="1161"/>
      <c r="N25" s="1479"/>
      <c r="O25" s="1161"/>
      <c r="P25" s="1479"/>
      <c r="Q25" s="1161"/>
      <c r="R25" s="1479"/>
      <c r="S25" s="1161"/>
    </row>
    <row r="26" spans="1:19">
      <c r="A26" s="1480"/>
      <c r="B26" s="1421" t="s">
        <v>3598</v>
      </c>
      <c r="C26" s="1461" t="s">
        <v>3291</v>
      </c>
      <c r="D26" s="1462">
        <f>245+147</f>
        <v>392</v>
      </c>
      <c r="E26" s="1485" t="s">
        <v>2845</v>
      </c>
      <c r="F26" s="1490"/>
      <c r="G26" s="662">
        <f t="shared" ref="G26:G36" si="6">ROUND(D26*F26,0)</f>
        <v>0</v>
      </c>
      <c r="H26" s="1479"/>
      <c r="I26" s="1160"/>
      <c r="J26" s="1479"/>
      <c r="K26" s="1161"/>
      <c r="L26" s="1479"/>
      <c r="M26" s="1161"/>
      <c r="N26" s="1479"/>
      <c r="O26" s="1161"/>
      <c r="P26" s="1479"/>
      <c r="Q26" s="1161"/>
      <c r="R26" s="1479"/>
      <c r="S26" s="1161"/>
    </row>
    <row r="27" spans="1:19">
      <c r="A27" s="1480"/>
      <c r="B27" s="1421" t="s">
        <v>3599</v>
      </c>
      <c r="C27" s="1461" t="s">
        <v>3291</v>
      </c>
      <c r="D27" s="1462">
        <v>327</v>
      </c>
      <c r="E27" s="1485" t="s">
        <v>2845</v>
      </c>
      <c r="F27" s="1490"/>
      <c r="G27" s="662">
        <f t="shared" si="6"/>
        <v>0</v>
      </c>
      <c r="H27" s="1479"/>
      <c r="I27" s="1160"/>
      <c r="J27" s="1479"/>
      <c r="K27" s="1161"/>
      <c r="L27" s="1479"/>
      <c r="M27" s="1161"/>
      <c r="N27" s="1479"/>
      <c r="O27" s="1161"/>
      <c r="P27" s="1479"/>
      <c r="Q27" s="1161"/>
      <c r="R27" s="1479"/>
      <c r="S27" s="1161"/>
    </row>
    <row r="28" spans="1:19">
      <c r="A28" s="1480"/>
      <c r="B28" s="1421" t="s">
        <v>3600</v>
      </c>
      <c r="C28" s="1461" t="s">
        <v>3291</v>
      </c>
      <c r="D28" s="1462">
        <f>336+402</f>
        <v>738</v>
      </c>
      <c r="E28" s="1485" t="s">
        <v>2845</v>
      </c>
      <c r="F28" s="1490"/>
      <c r="G28" s="662">
        <f t="shared" si="6"/>
        <v>0</v>
      </c>
      <c r="H28" s="1479"/>
      <c r="I28" s="1160"/>
      <c r="J28" s="1479"/>
      <c r="K28" s="1161"/>
      <c r="L28" s="1479"/>
      <c r="M28" s="1161"/>
      <c r="N28" s="1479"/>
      <c r="O28" s="1161"/>
      <c r="P28" s="1479"/>
      <c r="Q28" s="1161"/>
      <c r="R28" s="1479"/>
      <c r="S28" s="1161"/>
    </row>
    <row r="29" spans="1:19">
      <c r="A29" s="1480"/>
      <c r="B29" s="1421" t="s">
        <v>3601</v>
      </c>
      <c r="C29" s="1461" t="s">
        <v>3297</v>
      </c>
      <c r="D29" s="1462">
        <f>340+401</f>
        <v>741</v>
      </c>
      <c r="E29" s="1485" t="s">
        <v>2845</v>
      </c>
      <c r="F29" s="1490"/>
      <c r="G29" s="662">
        <f t="shared" si="6"/>
        <v>0</v>
      </c>
      <c r="H29" s="1479"/>
      <c r="I29" s="1160"/>
      <c r="J29" s="1479"/>
      <c r="K29" s="1161"/>
      <c r="L29" s="1479"/>
      <c r="M29" s="1161"/>
      <c r="N29" s="1479"/>
      <c r="O29" s="1161"/>
      <c r="P29" s="1479"/>
      <c r="Q29" s="1161"/>
      <c r="R29" s="1479"/>
      <c r="S29" s="1161"/>
    </row>
    <row r="30" spans="1:19">
      <c r="A30" s="1480"/>
      <c r="B30" s="1421" t="s">
        <v>3602</v>
      </c>
      <c r="C30" s="1461" t="s">
        <v>3603</v>
      </c>
      <c r="D30" s="1462">
        <f>260+104</f>
        <v>364</v>
      </c>
      <c r="E30" s="1485" t="s">
        <v>2845</v>
      </c>
      <c r="F30" s="1490"/>
      <c r="G30" s="662">
        <f t="shared" si="6"/>
        <v>0</v>
      </c>
      <c r="H30" s="1479"/>
      <c r="I30" s="1160"/>
      <c r="J30" s="1479"/>
      <c r="K30" s="1161"/>
      <c r="L30" s="1479"/>
      <c r="M30" s="1161"/>
      <c r="N30" s="1479"/>
      <c r="O30" s="1161"/>
      <c r="P30" s="1479"/>
      <c r="Q30" s="1161"/>
      <c r="R30" s="1479"/>
      <c r="S30" s="1161"/>
    </row>
    <row r="31" spans="1:19">
      <c r="A31" s="1480"/>
      <c r="B31" s="652" t="s">
        <v>3604</v>
      </c>
      <c r="C31" s="1461" t="s">
        <v>3301</v>
      </c>
      <c r="D31" s="1462">
        <v>24</v>
      </c>
      <c r="E31" s="1485" t="s">
        <v>2845</v>
      </c>
      <c r="F31" s="1490"/>
      <c r="G31" s="662">
        <f t="shared" si="6"/>
        <v>0</v>
      </c>
      <c r="H31" s="1479"/>
      <c r="I31" s="1160"/>
      <c r="J31" s="1479"/>
      <c r="K31" s="1161"/>
      <c r="L31" s="1479"/>
      <c r="M31" s="1161"/>
      <c r="N31" s="1479"/>
      <c r="O31" s="1161"/>
      <c r="P31" s="1479"/>
      <c r="Q31" s="1161"/>
      <c r="R31" s="1479"/>
      <c r="S31" s="1161"/>
    </row>
    <row r="32" spans="1:19">
      <c r="A32" s="1480"/>
      <c r="B32" s="652" t="s">
        <v>3605</v>
      </c>
      <c r="C32" s="1461" t="s">
        <v>3301</v>
      </c>
      <c r="D32" s="1462">
        <v>296</v>
      </c>
      <c r="E32" s="1485" t="s">
        <v>2845</v>
      </c>
      <c r="F32" s="1490"/>
      <c r="G32" s="662">
        <f t="shared" si="6"/>
        <v>0</v>
      </c>
      <c r="H32" s="1479"/>
      <c r="I32" s="1160"/>
      <c r="J32" s="1479"/>
      <c r="K32" s="1161"/>
      <c r="L32" s="1479"/>
      <c r="M32" s="1161"/>
      <c r="N32" s="1479"/>
      <c r="O32" s="1161"/>
      <c r="P32" s="1479"/>
      <c r="Q32" s="1161"/>
      <c r="R32" s="1479"/>
      <c r="S32" s="1161"/>
    </row>
    <row r="33" spans="1:19">
      <c r="A33" s="1480"/>
      <c r="B33" s="652" t="s">
        <v>3606</v>
      </c>
      <c r="C33" s="1461" t="s">
        <v>3303</v>
      </c>
      <c r="D33" s="1462">
        <v>192</v>
      </c>
      <c r="E33" s="1485" t="s">
        <v>2845</v>
      </c>
      <c r="F33" s="1490"/>
      <c r="G33" s="662">
        <f t="shared" si="6"/>
        <v>0</v>
      </c>
      <c r="H33" s="1479"/>
      <c r="I33" s="1160"/>
      <c r="J33" s="1479"/>
      <c r="K33" s="1161"/>
      <c r="L33" s="1479"/>
      <c r="M33" s="1161"/>
      <c r="N33" s="1479"/>
      <c r="O33" s="1161"/>
      <c r="P33" s="1479"/>
      <c r="Q33" s="1161"/>
      <c r="R33" s="1479"/>
      <c r="S33" s="1161"/>
    </row>
    <row r="34" spans="1:19">
      <c r="A34" s="1480"/>
      <c r="B34" s="652" t="s">
        <v>3607</v>
      </c>
      <c r="C34" s="1461" t="s">
        <v>3608</v>
      </c>
      <c r="D34" s="1462">
        <v>347</v>
      </c>
      <c r="E34" s="1485" t="s">
        <v>2845</v>
      </c>
      <c r="F34" s="1490"/>
      <c r="G34" s="662">
        <f t="shared" si="6"/>
        <v>0</v>
      </c>
      <c r="H34" s="1479"/>
      <c r="I34" s="1160"/>
      <c r="J34" s="1479"/>
      <c r="K34" s="1161"/>
      <c r="L34" s="1479"/>
      <c r="M34" s="1161"/>
      <c r="N34" s="1479"/>
      <c r="O34" s="1161"/>
      <c r="P34" s="1479"/>
      <c r="Q34" s="1161"/>
      <c r="R34" s="1479"/>
      <c r="S34" s="1161"/>
    </row>
    <row r="35" spans="1:19">
      <c r="A35" s="1480"/>
      <c r="B35" s="652" t="s">
        <v>3609</v>
      </c>
      <c r="C35" s="1461" t="s">
        <v>3610</v>
      </c>
      <c r="D35" s="1462">
        <v>30</v>
      </c>
      <c r="E35" s="1485" t="s">
        <v>2845</v>
      </c>
      <c r="F35" s="1490"/>
      <c r="G35" s="662">
        <f t="shared" si="6"/>
        <v>0</v>
      </c>
      <c r="H35" s="1479"/>
      <c r="I35" s="1160"/>
      <c r="J35" s="1479"/>
      <c r="K35" s="1161"/>
      <c r="L35" s="1479"/>
      <c r="M35" s="1161"/>
      <c r="N35" s="1479"/>
      <c r="O35" s="1161"/>
      <c r="P35" s="1479"/>
      <c r="Q35" s="1161"/>
      <c r="R35" s="1479"/>
      <c r="S35" s="1161"/>
    </row>
    <row r="36" spans="1:19">
      <c r="A36" s="1480"/>
      <c r="B36" s="652" t="s">
        <v>3611</v>
      </c>
      <c r="C36" s="1461" t="s">
        <v>3610</v>
      </c>
      <c r="D36" s="1462">
        <v>117</v>
      </c>
      <c r="E36" s="1485" t="s">
        <v>2845</v>
      </c>
      <c r="F36" s="1490"/>
      <c r="G36" s="662">
        <f t="shared" si="6"/>
        <v>0</v>
      </c>
      <c r="H36" s="1479"/>
      <c r="I36" s="1160"/>
      <c r="J36" s="1479"/>
      <c r="K36" s="1161"/>
      <c r="L36" s="1479"/>
      <c r="M36" s="1161"/>
      <c r="N36" s="1479"/>
      <c r="O36" s="1161"/>
      <c r="P36" s="1479"/>
      <c r="Q36" s="1161"/>
      <c r="R36" s="1479"/>
      <c r="S36" s="1161"/>
    </row>
    <row r="37" spans="1:19">
      <c r="A37" s="1480"/>
      <c r="B37" s="652" t="s">
        <v>3612</v>
      </c>
      <c r="C37" s="1461" t="s">
        <v>3309</v>
      </c>
      <c r="D37" s="1462">
        <f>390+25+53</f>
        <v>468</v>
      </c>
      <c r="E37" s="1485" t="s">
        <v>2845</v>
      </c>
      <c r="F37" s="1490"/>
      <c r="G37" s="662">
        <f t="shared" ref="G37:G38" si="7">ROUND(D37*F37,0)</f>
        <v>0</v>
      </c>
      <c r="H37" s="1479"/>
      <c r="I37" s="1160"/>
      <c r="J37" s="1479"/>
      <c r="K37" s="1161"/>
      <c r="L37" s="1479"/>
      <c r="M37" s="1161"/>
      <c r="N37" s="1479"/>
      <c r="O37" s="1161"/>
      <c r="P37" s="1479"/>
      <c r="Q37" s="1161"/>
      <c r="R37" s="1479"/>
      <c r="S37" s="1161"/>
    </row>
    <row r="38" spans="1:19">
      <c r="A38" s="1480"/>
      <c r="B38" s="652" t="s">
        <v>3613</v>
      </c>
      <c r="C38" s="1461" t="s">
        <v>3311</v>
      </c>
      <c r="D38" s="1462">
        <f>227+274</f>
        <v>501</v>
      </c>
      <c r="E38" s="1485" t="s">
        <v>2845</v>
      </c>
      <c r="F38" s="1490"/>
      <c r="G38" s="662">
        <f t="shared" si="7"/>
        <v>0</v>
      </c>
      <c r="H38" s="1479"/>
      <c r="I38" s="1160"/>
      <c r="J38" s="1479"/>
      <c r="K38" s="1161"/>
      <c r="L38" s="1479"/>
      <c r="M38" s="1161"/>
      <c r="N38" s="1479"/>
      <c r="O38" s="1161"/>
      <c r="P38" s="1479"/>
      <c r="Q38" s="1161"/>
      <c r="R38" s="1479"/>
      <c r="S38" s="1161"/>
    </row>
    <row r="39" spans="1:19">
      <c r="A39" s="1480"/>
      <c r="B39" s="652" t="s">
        <v>3614</v>
      </c>
      <c r="C39" s="1461" t="s">
        <v>3313</v>
      </c>
      <c r="D39" s="1462">
        <f>362+406</f>
        <v>768</v>
      </c>
      <c r="E39" s="1485" t="s">
        <v>2845</v>
      </c>
      <c r="F39" s="1490"/>
      <c r="G39" s="662">
        <f t="shared" ref="G39" si="8">ROUND(D39*F39,0)</f>
        <v>0</v>
      </c>
      <c r="H39" s="1479"/>
      <c r="I39" s="1160"/>
      <c r="J39" s="1479"/>
      <c r="K39" s="1161"/>
      <c r="L39" s="1479"/>
      <c r="M39" s="1161"/>
      <c r="N39" s="1479"/>
      <c r="O39" s="1161"/>
      <c r="P39" s="1479"/>
      <c r="Q39" s="1161"/>
      <c r="R39" s="1479"/>
      <c r="S39" s="1161"/>
    </row>
    <row r="40" spans="1:19">
      <c r="A40" s="1480"/>
      <c r="B40" s="652" t="s">
        <v>3613</v>
      </c>
      <c r="C40" s="1461" t="s">
        <v>3315</v>
      </c>
      <c r="D40" s="1462">
        <f>290+167</f>
        <v>457</v>
      </c>
      <c r="E40" s="1485" t="s">
        <v>2845</v>
      </c>
      <c r="F40" s="1490"/>
      <c r="G40" s="662">
        <f t="shared" ref="G40:G41" si="9">ROUND(D40*F40,0)</f>
        <v>0</v>
      </c>
      <c r="H40" s="1479"/>
      <c r="I40" s="1160"/>
      <c r="J40" s="1479"/>
      <c r="K40" s="1161"/>
      <c r="L40" s="1479"/>
      <c r="M40" s="1161"/>
      <c r="N40" s="1479"/>
      <c r="O40" s="1161"/>
      <c r="P40" s="1479"/>
      <c r="Q40" s="1161"/>
      <c r="R40" s="1479"/>
      <c r="S40" s="1161"/>
    </row>
    <row r="41" spans="1:19">
      <c r="A41" s="1480"/>
      <c r="B41" s="667"/>
      <c r="C41" s="1461"/>
      <c r="D41" s="1462"/>
      <c r="E41" s="1485"/>
      <c r="F41" s="1490"/>
      <c r="G41" s="662">
        <f t="shared" si="9"/>
        <v>0</v>
      </c>
      <c r="H41" s="1479"/>
      <c r="I41" s="1160"/>
      <c r="J41" s="1479"/>
      <c r="K41" s="1161"/>
      <c r="L41" s="1479"/>
      <c r="M41" s="1161"/>
      <c r="N41" s="1479"/>
      <c r="O41" s="1161"/>
      <c r="P41" s="1479"/>
      <c r="Q41" s="1161"/>
      <c r="R41" s="1479"/>
      <c r="S41" s="1161"/>
    </row>
    <row r="42" spans="1:19" s="175" customFormat="1" ht="30">
      <c r="A42" s="1491" t="s">
        <v>2587</v>
      </c>
      <c r="B42" s="681" t="s">
        <v>2632</v>
      </c>
      <c r="C42" s="1492"/>
      <c r="D42" s="1493">
        <f>SUM(D43:D52)</f>
        <v>3095.17</v>
      </c>
      <c r="E42" s="1494" t="s">
        <v>2845</v>
      </c>
      <c r="F42" s="1495">
        <v>50</v>
      </c>
      <c r="G42" s="653">
        <f t="shared" ref="G42:G50" si="10">ROUND(D42*F42,0)</f>
        <v>154759</v>
      </c>
      <c r="H42" s="1496"/>
      <c r="I42" s="1262">
        <f>$G42</f>
        <v>154759</v>
      </c>
      <c r="J42" s="1496"/>
      <c r="K42" s="1235"/>
      <c r="L42" s="1496"/>
      <c r="M42" s="1235"/>
      <c r="N42" s="1496"/>
      <c r="O42" s="1235"/>
      <c r="P42" s="1496"/>
      <c r="Q42" s="1235"/>
      <c r="R42" s="1496"/>
      <c r="S42" s="1235"/>
    </row>
    <row r="43" spans="1:19">
      <c r="A43" s="1480"/>
      <c r="B43" s="652" t="s">
        <v>3073</v>
      </c>
      <c r="C43" s="1461"/>
      <c r="D43" s="1462"/>
      <c r="E43" s="1485"/>
      <c r="F43" s="1490"/>
      <c r="G43" s="662">
        <f t="shared" si="10"/>
        <v>0</v>
      </c>
      <c r="H43" s="1479"/>
      <c r="I43" s="1160"/>
      <c r="J43" s="1479"/>
      <c r="K43" s="1161"/>
      <c r="L43" s="1479"/>
      <c r="M43" s="1161"/>
      <c r="N43" s="1479"/>
      <c r="O43" s="1161"/>
      <c r="P43" s="1479"/>
      <c r="Q43" s="1161"/>
      <c r="R43" s="1479"/>
      <c r="S43" s="1161"/>
    </row>
    <row r="44" spans="1:19">
      <c r="A44" s="1480"/>
      <c r="B44" s="1497" t="s">
        <v>3615</v>
      </c>
      <c r="C44" s="1461" t="s">
        <v>3616</v>
      </c>
      <c r="D44" s="1462">
        <v>85</v>
      </c>
      <c r="E44" s="1485" t="s">
        <v>2845</v>
      </c>
      <c r="F44" s="1490"/>
      <c r="G44" s="662">
        <f t="shared" si="10"/>
        <v>0</v>
      </c>
      <c r="H44" s="1479"/>
      <c r="I44" s="1160"/>
      <c r="J44" s="1479"/>
      <c r="K44" s="1161"/>
      <c r="L44" s="1479"/>
      <c r="M44" s="1161"/>
      <c r="N44" s="1479"/>
      <c r="O44" s="1161"/>
      <c r="P44" s="1479"/>
      <c r="Q44" s="1161"/>
      <c r="R44" s="1479"/>
      <c r="S44" s="1161"/>
    </row>
    <row r="45" spans="1:19">
      <c r="A45" s="1480"/>
      <c r="B45" s="1497" t="s">
        <v>3615</v>
      </c>
      <c r="C45" s="1461" t="s">
        <v>3617</v>
      </c>
      <c r="D45" s="1462">
        <v>79</v>
      </c>
      <c r="E45" s="1485" t="s">
        <v>2845</v>
      </c>
      <c r="F45" s="1490"/>
      <c r="G45" s="662">
        <f t="shared" si="10"/>
        <v>0</v>
      </c>
      <c r="H45" s="1479"/>
      <c r="I45" s="1160"/>
      <c r="J45" s="1479"/>
      <c r="K45" s="1161"/>
      <c r="L45" s="1479"/>
      <c r="M45" s="1161"/>
      <c r="N45" s="1479"/>
      <c r="O45" s="1161"/>
      <c r="P45" s="1479"/>
      <c r="Q45" s="1161"/>
      <c r="R45" s="1479"/>
      <c r="S45" s="1161"/>
    </row>
    <row r="46" spans="1:19">
      <c r="A46" s="1480"/>
      <c r="B46" s="667" t="s">
        <v>3618</v>
      </c>
      <c r="C46" s="1461" t="s">
        <v>3619</v>
      </c>
      <c r="D46" s="1462">
        <f>49*0.33</f>
        <v>16.170000000000002</v>
      </c>
      <c r="E46" s="1485" t="s">
        <v>2845</v>
      </c>
      <c r="F46" s="1490"/>
      <c r="G46" s="662">
        <f t="shared" si="10"/>
        <v>0</v>
      </c>
      <c r="H46" s="1479"/>
      <c r="I46" s="1160"/>
      <c r="J46" s="1479"/>
      <c r="K46" s="1161"/>
      <c r="L46" s="1479"/>
      <c r="M46" s="1161"/>
      <c r="N46" s="1479"/>
      <c r="O46" s="1161"/>
      <c r="P46" s="1479"/>
      <c r="Q46" s="1161"/>
      <c r="R46" s="1479"/>
      <c r="S46" s="1161"/>
    </row>
    <row r="47" spans="1:19">
      <c r="A47" s="1480"/>
      <c r="B47" s="652" t="s">
        <v>3076</v>
      </c>
      <c r="C47" s="1461"/>
      <c r="D47" s="1462"/>
      <c r="E47" s="1485"/>
      <c r="F47" s="1490"/>
      <c r="G47" s="662">
        <f t="shared" si="10"/>
        <v>0</v>
      </c>
      <c r="H47" s="1479"/>
      <c r="I47" s="1160"/>
      <c r="J47" s="1479"/>
      <c r="K47" s="1161"/>
      <c r="L47" s="1479"/>
      <c r="M47" s="1161"/>
      <c r="N47" s="1479"/>
      <c r="O47" s="1161"/>
      <c r="P47" s="1479"/>
      <c r="Q47" s="1161"/>
      <c r="R47" s="1479"/>
      <c r="S47" s="1161"/>
    </row>
    <row r="48" spans="1:19">
      <c r="A48" s="1480">
        <f>2.75+0.56</f>
        <v>3.31</v>
      </c>
      <c r="B48" s="667" t="s">
        <v>3620</v>
      </c>
      <c r="C48" s="1461" t="s">
        <v>3621</v>
      </c>
      <c r="D48" s="1462">
        <v>743</v>
      </c>
      <c r="E48" s="1485" t="s">
        <v>2845</v>
      </c>
      <c r="F48" s="1490"/>
      <c r="G48" s="662">
        <f t="shared" si="10"/>
        <v>0</v>
      </c>
      <c r="H48" s="1479"/>
      <c r="I48" s="1160"/>
      <c r="J48" s="1479"/>
      <c r="K48" s="1161"/>
      <c r="L48" s="1479"/>
      <c r="M48" s="1161"/>
      <c r="N48" s="1479"/>
      <c r="O48" s="1161"/>
      <c r="P48" s="1479"/>
      <c r="Q48" s="1161"/>
      <c r="R48" s="1479"/>
      <c r="S48" s="1161"/>
    </row>
    <row r="49" spans="1:19">
      <c r="A49" s="1480">
        <f>2.75+0.42</f>
        <v>3.17</v>
      </c>
      <c r="B49" s="667" t="s">
        <v>3622</v>
      </c>
      <c r="C49" s="1461" t="s">
        <v>3621</v>
      </c>
      <c r="D49" s="1462">
        <v>736</v>
      </c>
      <c r="E49" s="1485" t="s">
        <v>2845</v>
      </c>
      <c r="F49" s="1490"/>
      <c r="G49" s="662">
        <f t="shared" si="10"/>
        <v>0</v>
      </c>
      <c r="H49" s="1479"/>
      <c r="I49" s="1160"/>
      <c r="J49" s="1479"/>
      <c r="K49" s="1161"/>
      <c r="L49" s="1479"/>
      <c r="M49" s="1161"/>
      <c r="N49" s="1479"/>
      <c r="O49" s="1161"/>
      <c r="P49" s="1479"/>
      <c r="Q49" s="1161"/>
      <c r="R49" s="1479"/>
      <c r="S49" s="1161"/>
    </row>
    <row r="50" spans="1:19">
      <c r="A50" s="1480">
        <v>3.67</v>
      </c>
      <c r="B50" s="667" t="s">
        <v>3623</v>
      </c>
      <c r="C50" s="1461" t="s">
        <v>3624</v>
      </c>
      <c r="D50" s="1462">
        <v>250</v>
      </c>
      <c r="E50" s="1485" t="s">
        <v>2845</v>
      </c>
      <c r="F50" s="1490"/>
      <c r="G50" s="662">
        <f t="shared" si="10"/>
        <v>0</v>
      </c>
      <c r="H50" s="1479"/>
      <c r="I50" s="1160"/>
      <c r="J50" s="1479"/>
      <c r="K50" s="1161"/>
      <c r="L50" s="1479"/>
      <c r="M50" s="1161"/>
      <c r="N50" s="1479"/>
      <c r="O50" s="1161"/>
      <c r="P50" s="1479"/>
      <c r="Q50" s="1161"/>
      <c r="R50" s="1479"/>
      <c r="S50" s="1161"/>
    </row>
    <row r="51" spans="1:19">
      <c r="A51" s="1480"/>
      <c r="B51" s="652" t="s">
        <v>3163</v>
      </c>
      <c r="C51" s="1461"/>
      <c r="D51" s="1462"/>
      <c r="E51" s="1485"/>
      <c r="F51" s="1490"/>
      <c r="G51" s="662">
        <f t="shared" ref="G51:G54" si="11">ROUND(D51*F51,0)</f>
        <v>0</v>
      </c>
      <c r="H51" s="1479"/>
      <c r="I51" s="1160"/>
      <c r="J51" s="1479"/>
      <c r="K51" s="1161"/>
      <c r="L51" s="1479"/>
      <c r="M51" s="1161"/>
      <c r="N51" s="1479"/>
      <c r="O51" s="1161"/>
      <c r="P51" s="1479"/>
      <c r="Q51" s="1161"/>
      <c r="R51" s="1479"/>
      <c r="S51" s="1161"/>
    </row>
    <row r="52" spans="1:19">
      <c r="A52" s="1480">
        <v>2.67</v>
      </c>
      <c r="B52" s="667" t="s">
        <v>3623</v>
      </c>
      <c r="C52" s="1461" t="s">
        <v>3625</v>
      </c>
      <c r="D52" s="1462">
        <v>1186</v>
      </c>
      <c r="E52" s="1485" t="s">
        <v>2845</v>
      </c>
      <c r="F52" s="1490"/>
      <c r="G52" s="662">
        <f t="shared" si="11"/>
        <v>0</v>
      </c>
      <c r="H52" s="1479"/>
      <c r="I52" s="1160"/>
      <c r="J52" s="1479"/>
      <c r="K52" s="1161"/>
      <c r="L52" s="1479"/>
      <c r="M52" s="1161"/>
      <c r="N52" s="1479"/>
      <c r="O52" s="1161"/>
      <c r="P52" s="1479"/>
      <c r="Q52" s="1161"/>
      <c r="R52" s="1479"/>
      <c r="S52" s="1161"/>
    </row>
    <row r="53" spans="1:19">
      <c r="A53" s="1480"/>
      <c r="B53" s="667" t="s">
        <v>3626</v>
      </c>
      <c r="C53" s="1461" t="s">
        <v>3627</v>
      </c>
      <c r="D53" s="1462"/>
      <c r="E53" s="1485" t="s">
        <v>2864</v>
      </c>
      <c r="F53" s="1490"/>
      <c r="G53" s="662">
        <f t="shared" si="11"/>
        <v>0</v>
      </c>
      <c r="H53" s="1479"/>
      <c r="I53" s="1160"/>
      <c r="J53" s="1479"/>
      <c r="K53" s="1161"/>
      <c r="L53" s="1479"/>
      <c r="M53" s="1161"/>
      <c r="N53" s="1479"/>
      <c r="O53" s="1161"/>
      <c r="P53" s="1479"/>
      <c r="Q53" s="1161"/>
      <c r="R53" s="1479"/>
      <c r="S53" s="1161"/>
    </row>
    <row r="54" spans="1:19">
      <c r="A54" s="1480"/>
      <c r="B54" s="667"/>
      <c r="C54" s="1461"/>
      <c r="D54" s="1462"/>
      <c r="E54" s="1485"/>
      <c r="F54" s="1490"/>
      <c r="G54" s="662">
        <f t="shared" si="11"/>
        <v>0</v>
      </c>
      <c r="H54" s="1479"/>
      <c r="I54" s="1160"/>
      <c r="J54" s="1479"/>
      <c r="K54" s="1161"/>
      <c r="L54" s="1479"/>
      <c r="M54" s="1161"/>
      <c r="N54" s="1479"/>
      <c r="O54" s="1161"/>
      <c r="P54" s="1479"/>
      <c r="Q54" s="1161"/>
      <c r="R54" s="1479"/>
      <c r="S54" s="1161"/>
    </row>
    <row r="55" spans="1:19">
      <c r="A55" s="1491" t="s">
        <v>2587</v>
      </c>
      <c r="B55" s="644" t="s">
        <v>2633</v>
      </c>
      <c r="C55" s="1461"/>
      <c r="D55" s="1462">
        <f>SUM(D56:D57)</f>
        <v>298.20000000000005</v>
      </c>
      <c r="E55" s="1485" t="s">
        <v>2845</v>
      </c>
      <c r="F55" s="1490">
        <v>75</v>
      </c>
      <c r="G55" s="670">
        <f t="shared" ref="G55:G70" si="12">ROUND(D55*F55,0)</f>
        <v>22365</v>
      </c>
      <c r="H55" s="1479"/>
      <c r="I55" s="1378">
        <f>$G55</f>
        <v>22365</v>
      </c>
      <c r="J55" s="1479"/>
      <c r="K55" s="1161"/>
      <c r="L55" s="1479"/>
      <c r="M55" s="1161"/>
      <c r="N55" s="1479"/>
      <c r="O55" s="1161"/>
      <c r="P55" s="1479"/>
      <c r="Q55" s="1161"/>
      <c r="R55" s="1479"/>
      <c r="S55" s="1161"/>
    </row>
    <row r="56" spans="1:19" s="175" customFormat="1">
      <c r="A56" s="1480">
        <v>6</v>
      </c>
      <c r="B56" s="1498" t="s">
        <v>3628</v>
      </c>
      <c r="C56" s="1492" t="s">
        <v>3629</v>
      </c>
      <c r="D56" s="1493">
        <f>A56*15*(1+1+0.25+0.25)</f>
        <v>225</v>
      </c>
      <c r="E56" s="1494" t="s">
        <v>2845</v>
      </c>
      <c r="F56" s="1495"/>
      <c r="G56" s="668">
        <f t="shared" si="12"/>
        <v>0</v>
      </c>
      <c r="H56" s="1496"/>
      <c r="I56" s="1236"/>
      <c r="J56" s="1496"/>
      <c r="K56" s="1235"/>
      <c r="L56" s="1496"/>
      <c r="M56" s="1235"/>
      <c r="N56" s="1496"/>
      <c r="O56" s="1235"/>
      <c r="P56" s="1496"/>
      <c r="Q56" s="1235"/>
      <c r="R56" s="1496"/>
      <c r="S56" s="1235"/>
    </row>
    <row r="57" spans="1:19">
      <c r="A57" s="1480">
        <v>4</v>
      </c>
      <c r="B57" s="1497" t="s">
        <v>3630</v>
      </c>
      <c r="C57" s="1461" t="s">
        <v>3631</v>
      </c>
      <c r="D57" s="1493">
        <f>A57*15*(0.33+0.33+0.56)</f>
        <v>73.200000000000017</v>
      </c>
      <c r="E57" s="1485" t="s">
        <v>2845</v>
      </c>
      <c r="F57" s="1490"/>
      <c r="G57" s="668">
        <f t="shared" ref="G57:G68" si="13">ROUND(D57*F57,0)</f>
        <v>0</v>
      </c>
      <c r="H57" s="1496"/>
      <c r="I57" s="1236"/>
      <c r="J57" s="1479"/>
      <c r="K57" s="1161"/>
      <c r="L57" s="1479"/>
      <c r="M57" s="1161"/>
      <c r="N57" s="1479"/>
      <c r="O57" s="1161"/>
      <c r="P57" s="1479"/>
      <c r="Q57" s="1161"/>
      <c r="R57" s="1479"/>
      <c r="S57" s="1161"/>
    </row>
    <row r="58" spans="1:19">
      <c r="A58" s="1480"/>
      <c r="B58" s="667"/>
      <c r="C58" s="1461"/>
      <c r="D58" s="1493"/>
      <c r="E58" s="1485"/>
      <c r="F58" s="1490"/>
      <c r="G58" s="668">
        <f t="shared" ref="G58" si="14">ROUND(D58*F58,0)</f>
        <v>0</v>
      </c>
      <c r="H58" s="1496"/>
      <c r="I58" s="1499" t="s">
        <v>3632</v>
      </c>
      <c r="J58" s="1479"/>
      <c r="K58" s="1161"/>
      <c r="L58" s="1479"/>
      <c r="M58" s="1161"/>
      <c r="N58" s="1479"/>
      <c r="O58" s="1161"/>
      <c r="P58" s="1479"/>
      <c r="Q58" s="1161"/>
      <c r="R58" s="1479"/>
      <c r="S58" s="1161"/>
    </row>
    <row r="59" spans="1:19">
      <c r="A59" s="1480"/>
      <c r="B59" s="644" t="s">
        <v>3633</v>
      </c>
      <c r="C59" s="1461" t="s">
        <v>3634</v>
      </c>
      <c r="D59" s="1462">
        <v>1</v>
      </c>
      <c r="E59" s="1485" t="s">
        <v>2818</v>
      </c>
      <c r="F59" s="1490">
        <v>750000</v>
      </c>
      <c r="G59" s="662">
        <f>ROUND(D59*F59,0)</f>
        <v>750000</v>
      </c>
      <c r="H59" s="1479"/>
      <c r="I59" s="1256">
        <f>G59</f>
        <v>750000</v>
      </c>
      <c r="J59" s="1479"/>
      <c r="K59" s="1161"/>
      <c r="L59" s="1479"/>
      <c r="M59" s="1161"/>
      <c r="N59" s="1479"/>
      <c r="O59" s="1161"/>
      <c r="P59" s="1479"/>
      <c r="Q59" s="1161"/>
      <c r="R59" s="1479"/>
      <c r="S59" s="1161"/>
    </row>
    <row r="60" spans="1:19">
      <c r="A60" s="1480"/>
      <c r="B60" s="644"/>
      <c r="C60" s="1461"/>
      <c r="D60" s="1462"/>
      <c r="E60" s="1485"/>
      <c r="F60" s="1490"/>
      <c r="G60" s="662">
        <f>ROUND(D60*F60,0)</f>
        <v>0</v>
      </c>
      <c r="H60" s="1479"/>
      <c r="I60" s="1160"/>
      <c r="J60" s="1479"/>
      <c r="K60" s="1161"/>
      <c r="L60" s="1479"/>
      <c r="M60" s="1161"/>
      <c r="N60" s="1479"/>
      <c r="O60" s="1161"/>
      <c r="P60" s="1479"/>
      <c r="Q60" s="1161"/>
      <c r="R60" s="1479"/>
      <c r="S60" s="1161"/>
    </row>
    <row r="61" spans="1:19">
      <c r="A61" s="1480"/>
      <c r="B61" s="1420" t="s">
        <v>3235</v>
      </c>
      <c r="C61" s="1461"/>
      <c r="D61" s="1489"/>
      <c r="E61" s="1485"/>
      <c r="F61" s="1490"/>
      <c r="G61" s="662">
        <f t="shared" ref="G61" si="15">ROUND(D61*F61,0)</f>
        <v>0</v>
      </c>
      <c r="H61" s="1479"/>
      <c r="I61" s="1166">
        <f>SUBTOTAL(9,I62:I68)</f>
        <v>47180</v>
      </c>
      <c r="J61" s="1479"/>
      <c r="K61" s="1166">
        <f>SUBTOTAL(9,K62:K70)</f>
        <v>0</v>
      </c>
      <c r="L61" s="1479"/>
      <c r="M61" s="1166">
        <f>SUBTOTAL(9,M62:M70)</f>
        <v>0</v>
      </c>
      <c r="N61" s="1479"/>
      <c r="O61" s="1166">
        <f>SUBTOTAL(9,O62:O70)</f>
        <v>0</v>
      </c>
      <c r="P61" s="1479"/>
      <c r="Q61" s="1166">
        <f>SUBTOTAL(9,Q62:Q70)</f>
        <v>0</v>
      </c>
      <c r="R61" s="1479"/>
      <c r="S61" s="1166">
        <f>SUBTOTAL(9,S62:S70)</f>
        <v>0</v>
      </c>
    </row>
    <row r="62" spans="1:19">
      <c r="A62" s="1491" t="s">
        <v>2587</v>
      </c>
      <c r="B62" s="1500" t="s">
        <v>2634</v>
      </c>
      <c r="C62" s="1461"/>
      <c r="D62" s="1462">
        <f>SUM(D63:D66)</f>
        <v>629.07219999999995</v>
      </c>
      <c r="E62" s="1485" t="s">
        <v>2845</v>
      </c>
      <c r="F62" s="1490">
        <v>75</v>
      </c>
      <c r="G62" s="653">
        <f t="shared" si="13"/>
        <v>47180</v>
      </c>
      <c r="H62" s="1496"/>
      <c r="I62" s="1378">
        <f>$G62</f>
        <v>47180</v>
      </c>
      <c r="J62" s="1479"/>
      <c r="K62" s="1161"/>
      <c r="L62" s="1479"/>
      <c r="M62" s="1161"/>
      <c r="N62" s="1479"/>
      <c r="O62" s="1161"/>
      <c r="P62" s="1479"/>
      <c r="Q62" s="1161"/>
      <c r="R62" s="1479"/>
      <c r="S62" s="1161"/>
    </row>
    <row r="63" spans="1:19">
      <c r="A63" s="1480"/>
      <c r="B63" s="1501" t="s">
        <v>3635</v>
      </c>
      <c r="C63" s="1461" t="s">
        <v>3636</v>
      </c>
      <c r="D63" s="1462">
        <f>255*2</f>
        <v>510</v>
      </c>
      <c r="E63" s="1485" t="s">
        <v>2845</v>
      </c>
      <c r="F63" s="1490"/>
      <c r="G63" s="668">
        <f t="shared" si="13"/>
        <v>0</v>
      </c>
      <c r="H63" s="1496"/>
      <c r="I63" s="1236"/>
      <c r="J63" s="1479"/>
      <c r="K63" s="1161"/>
      <c r="L63" s="1479"/>
      <c r="M63" s="1161"/>
      <c r="N63" s="1479"/>
      <c r="O63" s="1161"/>
      <c r="P63" s="1479"/>
      <c r="Q63" s="1161"/>
      <c r="R63" s="1479"/>
      <c r="S63" s="1161"/>
    </row>
    <row r="64" spans="1:19">
      <c r="A64" s="1480">
        <v>11.17</v>
      </c>
      <c r="B64" s="1421" t="s">
        <v>3637</v>
      </c>
      <c r="C64" s="1461" t="s">
        <v>3629</v>
      </c>
      <c r="D64" s="1462">
        <f>2*A64*2</f>
        <v>44.68</v>
      </c>
      <c r="E64" s="1485" t="s">
        <v>2845</v>
      </c>
      <c r="F64" s="1490"/>
      <c r="G64" s="668">
        <f t="shared" si="13"/>
        <v>0</v>
      </c>
      <c r="H64" s="1496"/>
      <c r="I64" s="1236"/>
      <c r="J64" s="1479"/>
      <c r="K64" s="1161"/>
      <c r="L64" s="1479"/>
      <c r="M64" s="1161"/>
      <c r="N64" s="1479"/>
      <c r="O64" s="1161"/>
      <c r="P64" s="1479"/>
      <c r="Q64" s="1161"/>
      <c r="R64" s="1479"/>
      <c r="S64" s="1161"/>
    </row>
    <row r="65" spans="1:19">
      <c r="A65" s="1480">
        <v>11.17</v>
      </c>
      <c r="B65" s="1421" t="s">
        <v>3638</v>
      </c>
      <c r="C65" s="1461" t="s">
        <v>3639</v>
      </c>
      <c r="D65" s="1462">
        <f>1*A65*2</f>
        <v>22.34</v>
      </c>
      <c r="E65" s="1485" t="s">
        <v>2845</v>
      </c>
      <c r="F65" s="1490"/>
      <c r="G65" s="668">
        <f t="shared" si="13"/>
        <v>0</v>
      </c>
      <c r="H65" s="1496"/>
      <c r="I65" s="1236"/>
      <c r="J65" s="1479"/>
      <c r="K65" s="1161"/>
      <c r="L65" s="1479"/>
      <c r="M65" s="1161"/>
      <c r="N65" s="1479"/>
      <c r="O65" s="1161"/>
      <c r="P65" s="1479"/>
      <c r="Q65" s="1161"/>
      <c r="R65" s="1479"/>
      <c r="S65" s="1161"/>
    </row>
    <row r="66" spans="1:19">
      <c r="A66" s="1480">
        <v>11.17</v>
      </c>
      <c r="B66" s="1421" t="s">
        <v>3640</v>
      </c>
      <c r="C66" s="1461" t="s">
        <v>3639</v>
      </c>
      <c r="D66" s="1462">
        <f>2.33*A66*2</f>
        <v>52.052199999999999</v>
      </c>
      <c r="E66" s="1485" t="s">
        <v>2845</v>
      </c>
      <c r="F66" s="1490"/>
      <c r="G66" s="668">
        <f t="shared" si="13"/>
        <v>0</v>
      </c>
      <c r="H66" s="1496"/>
      <c r="I66" s="1236"/>
      <c r="J66" s="1479"/>
      <c r="K66" s="1161"/>
      <c r="L66" s="1479"/>
      <c r="M66" s="1161"/>
      <c r="N66" s="1479"/>
      <c r="O66" s="1161"/>
      <c r="P66" s="1479"/>
      <c r="Q66" s="1161"/>
      <c r="R66" s="1479"/>
      <c r="S66" s="1161"/>
    </row>
    <row r="67" spans="1:19">
      <c r="A67" s="1480"/>
      <c r="B67" s="1421"/>
      <c r="C67" s="1461"/>
      <c r="D67" s="1462"/>
      <c r="E67" s="1485"/>
      <c r="F67" s="1490"/>
      <c r="G67" s="668">
        <f t="shared" si="13"/>
        <v>0</v>
      </c>
      <c r="H67" s="1496"/>
      <c r="I67" s="1236"/>
      <c r="J67" s="1479"/>
      <c r="K67" s="1161"/>
      <c r="L67" s="1479"/>
      <c r="M67" s="1161"/>
      <c r="N67" s="1479"/>
      <c r="O67" s="1161"/>
      <c r="P67" s="1479"/>
      <c r="Q67" s="1161"/>
      <c r="R67" s="1479"/>
      <c r="S67" s="1161"/>
    </row>
    <row r="68" spans="1:19">
      <c r="A68" s="1480"/>
      <c r="B68" s="1420" t="s">
        <v>2697</v>
      </c>
      <c r="C68" s="1461"/>
      <c r="D68" s="1489"/>
      <c r="E68" s="1485"/>
      <c r="F68" s="1490"/>
      <c r="G68" s="662">
        <f t="shared" si="13"/>
        <v>0</v>
      </c>
      <c r="H68" s="1479"/>
      <c r="I68" s="1166">
        <f>SUBTOTAL(9,I69:I72)</f>
        <v>63350</v>
      </c>
      <c r="J68" s="1479"/>
      <c r="K68" s="1166">
        <f>SUBTOTAL(9,K69:K72)</f>
        <v>0</v>
      </c>
      <c r="L68" s="1479"/>
      <c r="M68" s="1166">
        <f>SUBTOTAL(9,M69:M72)</f>
        <v>0</v>
      </c>
      <c r="N68" s="1479"/>
      <c r="O68" s="1166">
        <f>SUBTOTAL(9,O69:O72)</f>
        <v>0</v>
      </c>
      <c r="P68" s="1479"/>
      <c r="Q68" s="1166">
        <f>SUBTOTAL(9,Q69:Q72)</f>
        <v>0</v>
      </c>
      <c r="R68" s="1479"/>
      <c r="S68" s="1166">
        <f>SUBTOTAL(9,S69:S72)</f>
        <v>0</v>
      </c>
    </row>
    <row r="69" spans="1:19">
      <c r="A69" s="1491" t="s">
        <v>2587</v>
      </c>
      <c r="B69" s="1500" t="s">
        <v>2635</v>
      </c>
      <c r="C69" s="1461"/>
      <c r="D69" s="1489"/>
      <c r="E69" s="1485"/>
      <c r="F69" s="1490"/>
      <c r="G69" s="670">
        <f>SUM(G70:G71)</f>
        <v>63350</v>
      </c>
      <c r="H69" s="1479"/>
      <c r="I69" s="1378">
        <f>$G69</f>
        <v>63350</v>
      </c>
      <c r="J69" s="1479"/>
      <c r="K69" s="1166"/>
      <c r="L69" s="1479"/>
      <c r="M69" s="1166"/>
      <c r="N69" s="1479"/>
      <c r="O69" s="1166"/>
      <c r="P69" s="1479"/>
      <c r="Q69" s="1166"/>
      <c r="R69" s="1479"/>
      <c r="S69" s="1166"/>
    </row>
    <row r="70" spans="1:19">
      <c r="A70" s="1480"/>
      <c r="B70" s="644" t="s">
        <v>3641</v>
      </c>
      <c r="C70" s="1461" t="s">
        <v>3642</v>
      </c>
      <c r="D70" s="1462">
        <v>630</v>
      </c>
      <c r="E70" s="1485" t="s">
        <v>2864</v>
      </c>
      <c r="F70" s="1490">
        <v>80</v>
      </c>
      <c r="G70" s="669">
        <f t="shared" si="12"/>
        <v>50400</v>
      </c>
      <c r="H70" s="1479"/>
      <c r="I70" s="1161"/>
      <c r="J70" s="1479"/>
      <c r="K70" s="1161"/>
      <c r="L70" s="1479"/>
      <c r="M70" s="1161"/>
      <c r="N70" s="1479"/>
      <c r="O70" s="1161"/>
      <c r="P70" s="1479"/>
      <c r="Q70" s="1161"/>
      <c r="R70" s="1479"/>
      <c r="S70" s="1161"/>
    </row>
    <row r="71" spans="1:19">
      <c r="A71" s="1480"/>
      <c r="B71" s="644" t="s">
        <v>3643</v>
      </c>
      <c r="C71" s="1461" t="s">
        <v>2456</v>
      </c>
      <c r="D71" s="1462">
        <v>185</v>
      </c>
      <c r="E71" s="1485" t="s">
        <v>2864</v>
      </c>
      <c r="F71" s="1490">
        <v>70</v>
      </c>
      <c r="G71" s="669">
        <f t="shared" si="5"/>
        <v>12950</v>
      </c>
      <c r="H71" s="1479"/>
      <c r="I71" s="1161"/>
      <c r="J71" s="1479"/>
      <c r="K71" s="1161"/>
      <c r="L71" s="1479"/>
      <c r="M71" s="1161"/>
      <c r="N71" s="1479"/>
      <c r="O71" s="1161"/>
      <c r="P71" s="1479"/>
      <c r="Q71" s="1161"/>
      <c r="R71" s="1479"/>
      <c r="S71" s="1161"/>
    </row>
    <row r="72" spans="1:19">
      <c r="A72" s="1480"/>
      <c r="B72" s="1502"/>
      <c r="C72" s="1503"/>
      <c r="D72" s="1504"/>
      <c r="E72" s="1485"/>
      <c r="F72" s="1490"/>
      <c r="G72" s="662"/>
      <c r="H72" s="1479"/>
      <c r="I72" s="1160"/>
      <c r="J72" s="1479"/>
      <c r="K72" s="1161"/>
      <c r="L72" s="1479"/>
      <c r="M72" s="1161"/>
      <c r="N72" s="1479"/>
      <c r="O72" s="1161"/>
      <c r="P72" s="1479"/>
      <c r="Q72" s="1161"/>
      <c r="R72" s="1479"/>
      <c r="S72" s="1161"/>
    </row>
    <row r="73" spans="1:19">
      <c r="A73" s="13"/>
      <c r="B73" s="226" t="s">
        <v>3265</v>
      </c>
      <c r="C73" s="15"/>
      <c r="D73" s="233"/>
      <c r="E73" s="176"/>
      <c r="F73" s="17"/>
      <c r="G73" s="227">
        <f>SUBTOTAL(9,G22:G72)</f>
        <v>1421684</v>
      </c>
      <c r="H73" s="19"/>
      <c r="I73" s="225">
        <f>SUBTOTAL(9,I21:I72)</f>
        <v>1358334</v>
      </c>
      <c r="J73" s="19"/>
      <c r="K73" s="164">
        <f>SUM(K19:K72)</f>
        <v>0</v>
      </c>
      <c r="L73" s="19"/>
      <c r="M73" s="164">
        <f>SUM(M19:M72)</f>
        <v>0</v>
      </c>
      <c r="N73" s="19"/>
      <c r="O73" s="164">
        <f>SUM(O19:O72)</f>
        <v>0</v>
      </c>
      <c r="P73" s="19"/>
      <c r="Q73" s="164">
        <f>SUM(Q19:Q72)</f>
        <v>0</v>
      </c>
      <c r="R73" s="19"/>
      <c r="S73" s="164">
        <f>SUM(S19:S72)</f>
        <v>0</v>
      </c>
    </row>
    <row r="74" spans="1:19">
      <c r="A74" s="1422"/>
      <c r="B74" s="1423" t="s">
        <v>2976</v>
      </c>
      <c r="C74" s="1424"/>
      <c r="D74" s="1425"/>
      <c r="E74" s="1426"/>
      <c r="F74" s="1427"/>
      <c r="G74" s="654"/>
      <c r="H74" s="1428">
        <v>0</v>
      </c>
      <c r="I74" s="645"/>
      <c r="J74" s="1428">
        <v>0</v>
      </c>
      <c r="K74" s="645"/>
      <c r="L74" s="1428">
        <v>0</v>
      </c>
      <c r="M74" s="645"/>
      <c r="N74" s="1428">
        <v>0</v>
      </c>
      <c r="O74" s="645"/>
      <c r="P74" s="1428">
        <v>0</v>
      </c>
      <c r="Q74" s="645"/>
      <c r="R74" s="1428">
        <v>0</v>
      </c>
      <c r="S74" s="645"/>
    </row>
    <row r="75" spans="1:19">
      <c r="A75" s="1422"/>
      <c r="B75" s="1423" t="s">
        <v>2977</v>
      </c>
      <c r="C75" s="1424"/>
      <c r="D75" s="1425"/>
      <c r="E75" s="1426"/>
      <c r="F75" s="1427"/>
      <c r="G75" s="654">
        <f>F74*G73</f>
        <v>0</v>
      </c>
      <c r="H75" s="1429"/>
      <c r="I75" s="1430">
        <f>H74*I73</f>
        <v>0</v>
      </c>
      <c r="J75" s="1429"/>
      <c r="K75" s="1430">
        <f>J74*K73</f>
        <v>0</v>
      </c>
      <c r="L75" s="1429"/>
      <c r="M75" s="1430">
        <f>L74*M73</f>
        <v>0</v>
      </c>
      <c r="N75" s="1429"/>
      <c r="O75" s="1430">
        <f>N74*O73</f>
        <v>0</v>
      </c>
      <c r="P75" s="1429"/>
      <c r="Q75" s="1430">
        <f>P74*Q73</f>
        <v>0</v>
      </c>
      <c r="R75" s="1429"/>
      <c r="S75" s="1430">
        <f>R74*S73</f>
        <v>0</v>
      </c>
    </row>
    <row r="76" spans="1:19">
      <c r="A76" s="1422"/>
      <c r="B76" s="1423"/>
      <c r="C76" s="1424"/>
      <c r="D76" s="1425"/>
      <c r="E76" s="1426"/>
      <c r="F76" s="1427"/>
      <c r="G76" s="654"/>
      <c r="H76" s="1429"/>
      <c r="I76" s="1430"/>
      <c r="J76" s="1429"/>
      <c r="K76" s="1430"/>
      <c r="L76" s="1429"/>
      <c r="M76" s="1430"/>
      <c r="N76" s="1429"/>
      <c r="O76" s="1430"/>
      <c r="P76" s="1429"/>
      <c r="Q76" s="1430"/>
      <c r="R76" s="1429"/>
      <c r="S76" s="1430"/>
    </row>
    <row r="77" spans="1:19">
      <c r="A77" s="1422"/>
      <c r="B77" s="1423" t="s">
        <v>2978</v>
      </c>
      <c r="C77" s="1424"/>
      <c r="D77" s="1425"/>
      <c r="E77" s="1426"/>
      <c r="F77" s="1427"/>
      <c r="G77" s="654">
        <f>SUM(G73:G75)</f>
        <v>1421684</v>
      </c>
      <c r="H77" s="1431"/>
      <c r="I77" s="1430">
        <f>SUM(I73:I75)</f>
        <v>1358334</v>
      </c>
      <c r="J77" s="1431"/>
      <c r="K77" s="1430">
        <f>SUM(K73:K75)</f>
        <v>0</v>
      </c>
      <c r="L77" s="1431"/>
      <c r="M77" s="1430">
        <f>SUM(M73:M75)</f>
        <v>0</v>
      </c>
      <c r="N77" s="1431"/>
      <c r="O77" s="1430">
        <f>SUM(O73:O75)</f>
        <v>0</v>
      </c>
      <c r="P77" s="1431"/>
      <c r="Q77" s="1430">
        <f>SUM(Q73:Q75)</f>
        <v>0</v>
      </c>
      <c r="R77" s="1431"/>
      <c r="S77" s="1430">
        <f>SUM(S73:S75)</f>
        <v>0</v>
      </c>
    </row>
    <row r="78" spans="1:19">
      <c r="A78" s="1422"/>
      <c r="B78" s="1432" t="s">
        <v>2979</v>
      </c>
      <c r="C78" s="1424"/>
      <c r="D78" s="1425"/>
      <c r="E78" s="1426"/>
      <c r="F78" s="1432"/>
      <c r="G78" s="655">
        <f>G77/'Area Calculations'!$F$5</f>
        <v>16.033065680259835</v>
      </c>
      <c r="H78" s="1433"/>
      <c r="I78" s="1434">
        <f>I77/'Area Calculations'!$F$5</f>
        <v>15.318634969325153</v>
      </c>
      <c r="J78" s="1433"/>
      <c r="K78" s="1434">
        <f>K77/'Area Calculations'!$F$5</f>
        <v>0</v>
      </c>
      <c r="L78" s="1433"/>
      <c r="M78" s="1434">
        <f>M77/'Area Calculations'!$F$5</f>
        <v>0</v>
      </c>
      <c r="N78" s="1433"/>
      <c r="O78" s="1434">
        <f>O77/'Area Calculations'!$F$5</f>
        <v>0</v>
      </c>
      <c r="P78" s="1433"/>
      <c r="Q78" s="1434">
        <f>Q77/'Area Calculations'!$F$5</f>
        <v>0</v>
      </c>
      <c r="R78" s="1435"/>
      <c r="S78" s="1434">
        <f>S77/'Area Calculations'!$F$5</f>
        <v>0</v>
      </c>
    </row>
    <row r="79" spans="1:19">
      <c r="A79" s="1422"/>
      <c r="B79" s="1436"/>
      <c r="C79" s="1424"/>
      <c r="D79" s="1425"/>
      <c r="E79" s="1426"/>
      <c r="F79" s="1427"/>
      <c r="G79" s="656"/>
      <c r="H79" s="1437"/>
      <c r="I79" s="1438"/>
      <c r="J79" s="1437"/>
      <c r="K79" s="1437"/>
      <c r="L79" s="1437"/>
      <c r="M79" s="1437"/>
      <c r="N79" s="1437"/>
      <c r="O79" s="1437"/>
      <c r="P79" s="1437"/>
      <c r="Q79" s="1437"/>
      <c r="R79" s="1437"/>
      <c r="S79" s="1437"/>
    </row>
    <row r="80" spans="1:19" hidden="1">
      <c r="A80" s="830" t="s">
        <v>2980</v>
      </c>
      <c r="B80" s="831"/>
      <c r="C80" s="12"/>
      <c r="D80" s="234"/>
      <c r="E80" s="177"/>
      <c r="F80" s="12"/>
      <c r="G80" s="228"/>
      <c r="H80" s="20"/>
      <c r="I80" s="20"/>
      <c r="J80" s="20"/>
      <c r="K80" s="20"/>
      <c r="L80" s="20"/>
      <c r="M80" s="20"/>
      <c r="N80" s="20"/>
      <c r="O80" s="20"/>
      <c r="P80" s="20"/>
      <c r="Q80" s="20"/>
      <c r="R80" s="20"/>
      <c r="S80" s="20"/>
    </row>
    <row r="81" spans="1:34" hidden="1">
      <c r="A81" s="823"/>
      <c r="B81" s="1460"/>
      <c r="C81" s="824"/>
      <c r="D81" s="1193"/>
      <c r="E81" s="1271"/>
      <c r="F81" s="824"/>
      <c r="G81" s="1194"/>
      <c r="H81" s="825"/>
      <c r="I81" s="825"/>
      <c r="J81" s="825"/>
      <c r="K81" s="825"/>
      <c r="L81" s="825"/>
      <c r="M81" s="825"/>
      <c r="N81" s="825"/>
      <c r="O81" s="825"/>
      <c r="P81" s="825"/>
      <c r="Q81" s="825"/>
      <c r="R81" s="825"/>
      <c r="S81" s="825"/>
    </row>
    <row r="82" spans="1:34" hidden="1">
      <c r="A82" s="823"/>
      <c r="B82" s="1460"/>
      <c r="C82" s="824"/>
      <c r="D82" s="1193"/>
      <c r="E82" s="1271"/>
      <c r="F82" s="824"/>
      <c r="G82" s="1194"/>
      <c r="H82" s="825"/>
      <c r="I82" s="825"/>
      <c r="J82" s="825"/>
      <c r="K82" s="825"/>
      <c r="L82" s="825"/>
      <c r="M82" s="825"/>
      <c r="N82" s="825"/>
      <c r="O82" s="825"/>
      <c r="P82" s="825"/>
      <c r="Q82" s="825"/>
      <c r="R82" s="825"/>
      <c r="S82" s="825"/>
    </row>
    <row r="83" spans="1:34" hidden="1">
      <c r="A83" s="823"/>
      <c r="B83" s="1460"/>
      <c r="C83" s="824"/>
      <c r="D83" s="1193"/>
      <c r="E83" s="1271"/>
      <c r="F83" s="824"/>
      <c r="G83" s="1194"/>
      <c r="H83" s="825"/>
      <c r="I83" s="825"/>
      <c r="J83" s="825"/>
      <c r="K83" s="825"/>
      <c r="L83" s="825"/>
      <c r="M83" s="825"/>
      <c r="N83" s="825"/>
      <c r="O83" s="825"/>
      <c r="P83" s="825"/>
      <c r="Q83" s="825"/>
      <c r="R83" s="825"/>
      <c r="S83" s="825"/>
    </row>
    <row r="84" spans="1:34" s="2" customFormat="1" hidden="1">
      <c r="A84" s="830" t="s">
        <v>2981</v>
      </c>
      <c r="B84" s="831"/>
      <c r="C84" s="12"/>
      <c r="D84" s="234"/>
      <c r="E84" s="177"/>
      <c r="F84" s="12"/>
      <c r="G84" s="228"/>
      <c r="H84" s="20"/>
      <c r="I84" s="20"/>
      <c r="J84" s="20"/>
      <c r="K84" s="20"/>
      <c r="L84" s="20"/>
      <c r="M84" s="20"/>
      <c r="N84" s="20"/>
      <c r="O84" s="20"/>
      <c r="P84" s="20"/>
      <c r="Q84" s="20"/>
      <c r="R84" s="20"/>
      <c r="S84" s="20"/>
      <c r="T84"/>
      <c r="U84"/>
      <c r="V84"/>
      <c r="W84"/>
      <c r="X84"/>
      <c r="Y84"/>
      <c r="Z84"/>
      <c r="AA84"/>
      <c r="AB84"/>
      <c r="AC84"/>
      <c r="AD84"/>
      <c r="AE84"/>
      <c r="AF84"/>
      <c r="AG84"/>
      <c r="AH84"/>
    </row>
    <row r="85" spans="1:34" s="2" customFormat="1" hidden="1">
      <c r="A85" s="823"/>
      <c r="B85" s="1460"/>
      <c r="C85" s="824"/>
      <c r="D85" s="1193"/>
      <c r="E85" s="1271"/>
      <c r="F85" s="824"/>
      <c r="G85" s="1194"/>
      <c r="H85" s="825"/>
      <c r="I85" s="825"/>
      <c r="J85" s="825"/>
      <c r="K85" s="825"/>
      <c r="L85" s="825"/>
      <c r="M85" s="825"/>
      <c r="N85" s="825"/>
      <c r="O85" s="825"/>
      <c r="P85" s="825"/>
      <c r="Q85" s="825"/>
      <c r="R85" s="825"/>
      <c r="S85" s="825"/>
      <c r="T85"/>
      <c r="U85"/>
      <c r="V85"/>
      <c r="W85"/>
      <c r="X85"/>
      <c r="Y85"/>
      <c r="Z85"/>
      <c r="AA85"/>
      <c r="AB85"/>
      <c r="AC85"/>
      <c r="AD85"/>
      <c r="AE85"/>
      <c r="AF85"/>
      <c r="AG85"/>
      <c r="AH85"/>
    </row>
    <row r="86" spans="1:34" s="2" customFormat="1" hidden="1">
      <c r="A86" s="823"/>
      <c r="B86" s="1460"/>
      <c r="C86" s="824"/>
      <c r="D86" s="1193"/>
      <c r="E86" s="1271"/>
      <c r="F86" s="824"/>
      <c r="G86" s="1194"/>
      <c r="H86" s="825"/>
      <c r="I86" s="825"/>
      <c r="J86" s="825"/>
      <c r="K86" s="825"/>
      <c r="L86" s="825"/>
      <c r="M86" s="825"/>
      <c r="N86" s="825"/>
      <c r="O86" s="825"/>
      <c r="P86" s="825"/>
      <c r="Q86" s="825"/>
      <c r="R86" s="825"/>
      <c r="S86" s="825"/>
      <c r="T86"/>
      <c r="U86"/>
      <c r="V86"/>
      <c r="W86"/>
      <c r="X86"/>
      <c r="Y86"/>
      <c r="Z86"/>
      <c r="AA86"/>
      <c r="AB86"/>
      <c r="AC86"/>
      <c r="AD86"/>
      <c r="AE86"/>
      <c r="AF86"/>
      <c r="AG86"/>
      <c r="AH86"/>
    </row>
    <row r="87" spans="1:34" hidden="1">
      <c r="A87" s="823"/>
      <c r="B87" s="1460"/>
      <c r="C87" s="824"/>
      <c r="D87" s="1193"/>
      <c r="E87" s="1271"/>
      <c r="F87" s="824"/>
      <c r="G87" s="1194"/>
      <c r="H87" s="825"/>
      <c r="I87" s="825"/>
      <c r="J87" s="825"/>
      <c r="K87" s="825"/>
      <c r="L87" s="825"/>
      <c r="M87" s="825"/>
      <c r="N87" s="825"/>
      <c r="O87" s="825"/>
      <c r="P87" s="825"/>
      <c r="Q87" s="825"/>
      <c r="R87" s="825"/>
      <c r="S87" s="825"/>
    </row>
    <row r="88" spans="1:34" s="2" customFormat="1" hidden="1">
      <c r="A88" s="830" t="s">
        <v>2982</v>
      </c>
      <c r="B88" s="831"/>
      <c r="C88" s="12"/>
      <c r="D88" s="234"/>
      <c r="E88" s="177"/>
      <c r="F88" s="12"/>
      <c r="G88" s="228"/>
      <c r="H88" s="20"/>
      <c r="I88" s="20"/>
      <c r="J88" s="20"/>
      <c r="K88" s="20"/>
      <c r="L88" s="20"/>
      <c r="M88" s="20"/>
      <c r="N88" s="20"/>
      <c r="O88" s="20"/>
      <c r="P88" s="20"/>
      <c r="Q88" s="20"/>
      <c r="R88" s="20"/>
      <c r="S88" s="20"/>
      <c r="T88"/>
      <c r="U88"/>
      <c r="V88"/>
      <c r="W88"/>
      <c r="X88"/>
      <c r="Y88"/>
      <c r="Z88"/>
      <c r="AA88"/>
      <c r="AB88"/>
      <c r="AC88"/>
      <c r="AD88"/>
      <c r="AE88"/>
      <c r="AF88"/>
      <c r="AG88"/>
      <c r="AH88"/>
    </row>
    <row r="89" spans="1:34" s="2" customFormat="1" hidden="1">
      <c r="A89" s="823"/>
      <c r="B89" s="1460"/>
      <c r="C89" s="824"/>
      <c r="D89" s="1193"/>
      <c r="E89" s="1271"/>
      <c r="F89" s="824"/>
      <c r="G89" s="1194"/>
      <c r="H89" s="825"/>
      <c r="I89" s="825"/>
      <c r="J89" s="825"/>
      <c r="K89" s="825"/>
      <c r="L89" s="825"/>
      <c r="M89" s="825"/>
      <c r="N89" s="825"/>
      <c r="O89" s="825"/>
      <c r="P89" s="825"/>
      <c r="Q89" s="825"/>
      <c r="R89" s="825"/>
      <c r="S89" s="825"/>
      <c r="T89"/>
      <c r="U89"/>
      <c r="V89"/>
      <c r="W89"/>
      <c r="X89"/>
      <c r="Y89"/>
      <c r="Z89"/>
      <c r="AA89"/>
      <c r="AB89"/>
      <c r="AC89"/>
      <c r="AD89"/>
      <c r="AE89"/>
      <c r="AF89"/>
      <c r="AG89"/>
      <c r="AH89"/>
    </row>
    <row r="90" spans="1:34" s="2" customFormat="1" hidden="1">
      <c r="A90" s="1439"/>
      <c r="B90" s="1460"/>
      <c r="C90" s="1461"/>
      <c r="D90" s="1462"/>
      <c r="E90" s="1485"/>
      <c r="F90" s="1461"/>
      <c r="G90" s="1440"/>
      <c r="H90" s="1441"/>
      <c r="I90" s="1441"/>
      <c r="J90" s="1441"/>
      <c r="K90" s="1441"/>
      <c r="L90" s="1441"/>
      <c r="M90" s="1441"/>
      <c r="N90" s="1441"/>
      <c r="O90" s="1441"/>
      <c r="P90" s="1441"/>
      <c r="Q90" s="1441"/>
      <c r="R90" s="1441"/>
      <c r="S90" s="1441"/>
      <c r="T90"/>
      <c r="U90"/>
      <c r="V90"/>
      <c r="W90"/>
      <c r="X90"/>
      <c r="Y90"/>
      <c r="Z90"/>
      <c r="AA90"/>
      <c r="AB90"/>
      <c r="AC90"/>
      <c r="AD90"/>
      <c r="AE90"/>
      <c r="AF90"/>
      <c r="AG90"/>
      <c r="AH90"/>
    </row>
    <row r="91" spans="1:34" s="2" customFormat="1" hidden="1">
      <c r="A91" s="1442"/>
      <c r="B91" s="1443"/>
      <c r="C91" s="1461"/>
      <c r="D91" s="1462"/>
      <c r="E91" s="1485"/>
      <c r="F91" s="1461"/>
      <c r="G91" s="1440"/>
      <c r="H91" s="1444"/>
      <c r="I91" s="1444"/>
      <c r="J91" s="1444"/>
      <c r="K91" s="1444"/>
      <c r="L91" s="1444"/>
      <c r="M91" s="1444"/>
      <c r="N91" s="1444"/>
      <c r="O91" s="1444"/>
      <c r="P91" s="1444"/>
      <c r="Q91" s="1444"/>
      <c r="R91" s="1444"/>
      <c r="S91" s="1444"/>
    </row>
    <row r="92" spans="1:34" s="2" customFormat="1" hidden="1">
      <c r="A92" s="830" t="s">
        <v>2983</v>
      </c>
      <c r="B92" s="831"/>
      <c r="C92" s="12"/>
      <c r="D92" s="234"/>
      <c r="E92" s="177"/>
      <c r="F92" s="12"/>
      <c r="G92" s="228"/>
      <c r="H92" s="20"/>
      <c r="I92" s="20"/>
      <c r="J92" s="20"/>
      <c r="K92" s="20"/>
      <c r="L92" s="20"/>
      <c r="M92" s="20"/>
      <c r="N92" s="20"/>
      <c r="O92" s="20"/>
      <c r="P92" s="20"/>
      <c r="Q92" s="20"/>
      <c r="R92" s="20"/>
      <c r="S92" s="20"/>
      <c r="T92"/>
      <c r="U92"/>
      <c r="V92"/>
      <c r="W92"/>
      <c r="X92"/>
      <c r="Y92"/>
      <c r="Z92"/>
      <c r="AA92"/>
      <c r="AB92"/>
      <c r="AC92"/>
      <c r="AD92"/>
      <c r="AE92"/>
      <c r="AF92"/>
      <c r="AG92"/>
      <c r="AH92"/>
    </row>
    <row r="93" spans="1:34" hidden="1">
      <c r="A93" s="826"/>
      <c r="B93" s="827"/>
      <c r="C93" s="824"/>
      <c r="D93" s="1193"/>
      <c r="E93" s="1271"/>
      <c r="F93" s="824"/>
      <c r="G93" s="1194"/>
      <c r="H93" s="825"/>
      <c r="I93" s="825"/>
      <c r="J93" s="825"/>
      <c r="K93" s="825"/>
      <c r="L93" s="825"/>
      <c r="M93" s="825"/>
      <c r="N93" s="825"/>
      <c r="O93" s="825"/>
      <c r="P93" s="825"/>
      <c r="Q93" s="825"/>
      <c r="R93" s="825"/>
      <c r="S93" s="825"/>
      <c r="T93" s="2"/>
      <c r="U93" s="2"/>
      <c r="V93" s="2"/>
      <c r="W93" s="2"/>
      <c r="X93" s="2"/>
      <c r="Y93" s="2"/>
      <c r="Z93" s="2"/>
      <c r="AA93" s="2"/>
      <c r="AB93" s="2"/>
      <c r="AC93" s="2"/>
      <c r="AD93" s="2"/>
      <c r="AE93" s="2"/>
      <c r="AF93" s="2"/>
      <c r="AG93" s="2"/>
      <c r="AH93" s="2"/>
    </row>
    <row r="94" spans="1:34" hidden="1">
      <c r="A94" s="1442"/>
      <c r="B94" s="1443"/>
      <c r="C94" s="1461"/>
      <c r="D94" s="1462"/>
      <c r="E94" s="1485"/>
      <c r="F94" s="1461"/>
      <c r="G94" s="1440"/>
      <c r="H94" s="1445"/>
      <c r="I94" s="1445"/>
      <c r="J94" s="1445"/>
      <c r="K94" s="1445"/>
      <c r="L94" s="1445"/>
      <c r="M94" s="1445"/>
      <c r="N94" s="1445"/>
      <c r="O94" s="1445"/>
      <c r="P94" s="1445"/>
      <c r="Q94" s="1445"/>
      <c r="R94" s="1445"/>
      <c r="S94" s="1445"/>
      <c r="T94" s="2"/>
      <c r="U94" s="2"/>
      <c r="V94" s="2"/>
      <c r="W94" s="2"/>
      <c r="X94" s="2"/>
      <c r="Y94" s="2"/>
      <c r="Z94" s="2"/>
      <c r="AA94" s="2"/>
      <c r="AB94" s="2"/>
      <c r="AC94" s="2"/>
      <c r="AD94" s="2"/>
      <c r="AE94" s="2"/>
      <c r="AF94" s="2"/>
      <c r="AG94" s="2"/>
      <c r="AH94" s="2"/>
    </row>
    <row r="95" spans="1:34" hidden="1">
      <c r="A95" s="1442"/>
      <c r="B95" s="1443"/>
      <c r="C95" s="1461"/>
      <c r="D95" s="1462"/>
      <c r="E95" s="1485"/>
      <c r="F95" s="1461"/>
      <c r="G95" s="1440"/>
      <c r="H95" s="1445"/>
      <c r="I95" s="1445"/>
      <c r="J95" s="1445"/>
      <c r="K95" s="1445"/>
      <c r="L95" s="1445"/>
      <c r="M95" s="1445"/>
      <c r="N95" s="1445"/>
      <c r="O95" s="1445"/>
      <c r="P95" s="1445"/>
      <c r="Q95" s="1445"/>
      <c r="R95" s="1445"/>
      <c r="S95" s="1445"/>
      <c r="T95" s="2"/>
      <c r="U95" s="2"/>
      <c r="V95" s="2"/>
      <c r="W95" s="2"/>
      <c r="X95" s="2"/>
      <c r="Y95" s="2"/>
      <c r="Z95" s="2"/>
      <c r="AA95" s="2"/>
      <c r="AB95" s="2"/>
      <c r="AC95" s="2"/>
      <c r="AD95" s="2"/>
      <c r="AE95" s="2"/>
      <c r="AF95" s="2"/>
      <c r="AG95" s="2"/>
      <c r="AH95" s="2"/>
    </row>
    <row r="96" spans="1:34" hidden="1">
      <c r="A96" s="830" t="s">
        <v>2984</v>
      </c>
      <c r="B96" s="831"/>
      <c r="C96" s="12"/>
      <c r="D96" s="234"/>
      <c r="E96" s="177"/>
      <c r="F96" s="12"/>
      <c r="G96" s="228"/>
      <c r="H96" s="20"/>
      <c r="I96" s="20"/>
      <c r="J96" s="20"/>
      <c r="K96" s="20"/>
      <c r="L96" s="20"/>
      <c r="M96" s="20"/>
      <c r="N96" s="20"/>
      <c r="O96" s="20"/>
      <c r="P96" s="20"/>
      <c r="Q96" s="20"/>
      <c r="R96" s="20"/>
      <c r="S96" s="20"/>
    </row>
    <row r="97" spans="1:19" hidden="1">
      <c r="A97" s="1439"/>
      <c r="B97" s="1460" t="s">
        <v>2985</v>
      </c>
      <c r="C97" s="1461"/>
      <c r="D97" s="1462"/>
      <c r="E97" s="1485"/>
      <c r="F97" s="1461"/>
      <c r="G97" s="1440"/>
      <c r="H97" s="1445"/>
      <c r="I97" s="1445"/>
      <c r="J97" s="1445"/>
      <c r="K97" s="1445"/>
      <c r="L97" s="1445"/>
      <c r="M97" s="1445"/>
      <c r="N97" s="1445"/>
      <c r="O97" s="1445"/>
      <c r="P97" s="1445"/>
      <c r="Q97" s="1445"/>
      <c r="R97" s="1445"/>
      <c r="S97" s="1445"/>
    </row>
    <row r="98" spans="1:19" hidden="1">
      <c r="A98" s="1439"/>
      <c r="B98" s="1460" t="s">
        <v>2986</v>
      </c>
      <c r="C98" s="1461"/>
      <c r="D98" s="1462"/>
      <c r="E98" s="1485"/>
      <c r="F98" s="1461"/>
      <c r="G98" s="1440"/>
      <c r="H98" s="1445"/>
      <c r="I98" s="1445"/>
      <c r="J98" s="1445"/>
      <c r="K98" s="1445"/>
      <c r="L98" s="1445"/>
      <c r="M98" s="1445"/>
      <c r="N98" s="1445"/>
      <c r="O98" s="1445"/>
      <c r="P98" s="1445"/>
      <c r="Q98" s="1445"/>
      <c r="R98" s="1445"/>
      <c r="S98" s="1445"/>
    </row>
    <row r="99" spans="1:19" hidden="1">
      <c r="A99" s="1439"/>
      <c r="B99" s="1460" t="s">
        <v>2987</v>
      </c>
      <c r="C99" s="1461"/>
      <c r="D99" s="1462"/>
      <c r="E99" s="1485"/>
      <c r="F99" s="1461"/>
      <c r="G99" s="1440"/>
      <c r="H99" s="1445"/>
      <c r="I99" s="1445"/>
      <c r="J99" s="1445"/>
      <c r="K99" s="1445"/>
      <c r="L99" s="1445"/>
      <c r="M99" s="1445"/>
      <c r="N99" s="1445"/>
      <c r="O99" s="1445"/>
      <c r="P99" s="1445"/>
      <c r="Q99" s="1445"/>
      <c r="R99" s="1445"/>
      <c r="S99" s="1445"/>
    </row>
    <row r="100" spans="1:19" hidden="1">
      <c r="A100" s="1439"/>
      <c r="B100" s="1460" t="s">
        <v>2988</v>
      </c>
      <c r="C100" s="1461"/>
      <c r="D100" s="1462"/>
      <c r="E100" s="1485"/>
      <c r="F100" s="1461"/>
      <c r="G100" s="1440"/>
      <c r="H100" s="1445"/>
      <c r="I100" s="1445"/>
      <c r="J100" s="1445"/>
      <c r="K100" s="1445"/>
      <c r="L100" s="1445"/>
      <c r="M100" s="1445"/>
      <c r="N100" s="1445"/>
      <c r="O100" s="1445"/>
      <c r="P100" s="1445"/>
      <c r="Q100" s="1445"/>
      <c r="R100" s="1445"/>
      <c r="S100" s="1445"/>
    </row>
    <row r="101" spans="1:19" hidden="1">
      <c r="A101" s="646"/>
      <c r="B101" s="619"/>
      <c r="C101" s="616"/>
      <c r="D101" s="617"/>
      <c r="E101" s="622"/>
      <c r="F101" s="616"/>
      <c r="G101" s="620"/>
      <c r="H101" s="647"/>
      <c r="I101" s="647"/>
      <c r="J101" s="647"/>
      <c r="K101" s="647"/>
      <c r="L101" s="647"/>
      <c r="M101" s="647"/>
      <c r="N101" s="647"/>
      <c r="O101" s="647"/>
      <c r="P101" s="647"/>
      <c r="Q101" s="647"/>
      <c r="R101" s="647"/>
      <c r="S101" s="647"/>
    </row>
    <row r="102" spans="1:19" hidden="1">
      <c r="A102" s="7" t="s">
        <v>2989</v>
      </c>
      <c r="B102" s="8"/>
      <c r="C102" s="12"/>
      <c r="D102" s="234"/>
      <c r="E102" s="177"/>
      <c r="F102" s="12"/>
      <c r="G102" s="228"/>
      <c r="H102" s="20"/>
      <c r="I102" s="20"/>
      <c r="J102" s="20"/>
      <c r="K102" s="20"/>
      <c r="L102" s="20"/>
      <c r="M102" s="20"/>
      <c r="N102" s="20"/>
      <c r="O102" s="20"/>
      <c r="P102" s="20"/>
      <c r="Q102" s="20"/>
      <c r="R102" s="20"/>
      <c r="S102" s="20"/>
    </row>
    <row r="103" spans="1:19" hidden="1">
      <c r="A103" s="823"/>
      <c r="B103" s="828" t="s">
        <v>2990</v>
      </c>
      <c r="C103" s="824"/>
      <c r="D103" s="1193"/>
      <c r="E103" s="1271"/>
      <c r="F103" s="824"/>
      <c r="G103" s="1194"/>
      <c r="H103" s="829"/>
      <c r="I103" s="829"/>
      <c r="J103" s="829"/>
      <c r="K103" s="829"/>
      <c r="L103" s="829"/>
      <c r="M103" s="829"/>
      <c r="N103" s="829"/>
      <c r="O103" s="829"/>
      <c r="P103" s="829"/>
      <c r="Q103" s="829"/>
      <c r="R103" s="829"/>
      <c r="S103" s="829"/>
    </row>
    <row r="104" spans="1:19" hidden="1">
      <c r="A104" s="1439"/>
      <c r="B104" s="1460" t="s">
        <v>2991</v>
      </c>
      <c r="C104" s="1461"/>
      <c r="D104" s="1462"/>
      <c r="E104" s="1485"/>
      <c r="F104" s="1461"/>
      <c r="G104" s="1440"/>
      <c r="H104" s="1446"/>
      <c r="I104" s="1446"/>
      <c r="J104" s="1446"/>
      <c r="K104" s="1446"/>
      <c r="L104" s="1446"/>
      <c r="M104" s="1446"/>
      <c r="N104" s="1446"/>
      <c r="O104" s="1446"/>
      <c r="P104" s="1446"/>
      <c r="Q104" s="1446"/>
      <c r="R104" s="1446"/>
      <c r="S104" s="1446"/>
    </row>
    <row r="105" spans="1:19" hidden="1">
      <c r="A105" s="1447"/>
      <c r="B105" s="1473" t="s">
        <v>2992</v>
      </c>
      <c r="C105" s="1474"/>
      <c r="D105" s="1448"/>
      <c r="E105" s="1449"/>
      <c r="F105" s="1474"/>
      <c r="G105" s="1450"/>
      <c r="H105" s="1451"/>
      <c r="I105" s="1451"/>
      <c r="J105" s="1451"/>
      <c r="K105" s="1451"/>
      <c r="L105" s="1451"/>
      <c r="M105" s="1451"/>
      <c r="N105" s="1451"/>
      <c r="O105" s="1451"/>
      <c r="P105" s="1451"/>
      <c r="Q105" s="1451"/>
      <c r="R105" s="1451"/>
      <c r="S105" s="1451"/>
    </row>
    <row r="107" spans="1:19">
      <c r="A107" s="59" t="s">
        <v>2993</v>
      </c>
      <c r="B107" s="61"/>
    </row>
    <row r="108" spans="1:19">
      <c r="A108" s="60" t="s">
        <v>2936</v>
      </c>
      <c r="B108" s="1452"/>
    </row>
    <row r="109" spans="1:19">
      <c r="A109" s="1453" t="s">
        <v>2939</v>
      </c>
      <c r="B109" s="1452"/>
    </row>
    <row r="110" spans="1:19">
      <c r="A110" s="1454" t="s">
        <v>2941</v>
      </c>
      <c r="B110" s="1455"/>
    </row>
    <row r="111" spans="1:19">
      <c r="A111" s="1454" t="s">
        <v>2943</v>
      </c>
      <c r="B111" s="1456"/>
    </row>
    <row r="112" spans="1:19">
      <c r="A112" s="1457" t="s">
        <v>2994</v>
      </c>
      <c r="B112" s="1458">
        <f>$I$77</f>
        <v>1358334</v>
      </c>
    </row>
    <row r="114" spans="1:2">
      <c r="A114" s="62"/>
      <c r="B114" s="1" t="s">
        <v>2995</v>
      </c>
    </row>
    <row r="115" spans="1:2">
      <c r="A115" s="63"/>
      <c r="B115" s="1" t="s">
        <v>2996</v>
      </c>
    </row>
  </sheetData>
  <mergeCells count="35">
    <mergeCell ref="R9:S9"/>
    <mergeCell ref="H9:I9"/>
    <mergeCell ref="J9:K9"/>
    <mergeCell ref="L9:M9"/>
    <mergeCell ref="N9:O9"/>
    <mergeCell ref="P9:Q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A80:B80"/>
    <mergeCell ref="A84:B84"/>
    <mergeCell ref="A88:B88"/>
    <mergeCell ref="A92:B92"/>
    <mergeCell ref="A96:B96"/>
  </mergeCells>
  <phoneticPr fontId="27" type="noConversion"/>
  <conditionalFormatting sqref="H11:H18 J11:J18 L11:L18 N11:N18 P11:P18 R11:R18">
    <cfRule type="cellIs" dxfId="289" priority="7" operator="equal">
      <formula>"X"</formula>
    </cfRule>
    <cfRule type="cellIs" dxfId="288" priority="8" operator="equal">
      <formula>"I"</formula>
    </cfRule>
  </conditionalFormatting>
  <conditionalFormatting sqref="H20:H72 J20:J72 L20:L72 N20:N72 P20:P72 R20:R72">
    <cfRule type="cellIs" dxfId="287" priority="1" operator="equal">
      <formula>"X"</formula>
    </cfRule>
    <cfRule type="cellIs" dxfId="286" priority="2" operator="equal">
      <formula>"I"</formula>
    </cfRule>
  </conditionalFormatting>
  <hyperlinks>
    <hyperlink ref="B4" location="'Cost Summary'!A1" display="BACK TO SUMMARY SHEET" xr:uid="{E749A671-46B0-48A2-B8A8-ABE8318F219E}"/>
    <hyperlink ref="H8" r:id="rId1" xr:uid="{61B31ED0-2D77-4D34-98D8-E8B99725A1B7}"/>
  </hyperlinks>
  <pageMargins left="0.2" right="0.2" top="0.5" bottom="0.75" header="0.3" footer="0.3"/>
  <pageSetup scale="85" fitToHeight="0"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00B050"/>
    <pageSetUpPr fitToPage="1"/>
  </sheetPr>
  <dimension ref="A1:AH122"/>
  <sheetViews>
    <sheetView zoomScale="90" zoomScaleNormal="90" workbookViewId="0">
      <pane ySplit="10" topLeftCell="A16" activePane="bottomLeft" state="frozen"/>
      <selection pane="bottomLeft" activeCell="F72" sqref="F72"/>
      <selection activeCell="B4" sqref="B4"/>
    </sheetView>
  </sheetViews>
  <sheetFormatPr defaultColWidth="8.85546875" defaultRowHeight="15"/>
  <cols>
    <col min="1" max="1" width="10.7109375" customWidth="1"/>
    <col min="2" max="2" width="70.7109375" style="1" customWidth="1"/>
    <col min="3" max="3" width="19.7109375" style="2" customWidth="1"/>
    <col min="4" max="4" width="15.7109375" style="165" customWidth="1"/>
    <col min="5" max="5" width="7.42578125" style="79" customWidth="1"/>
    <col min="6" max="6" width="16.42578125" style="236"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370"/>
      <c r="G1" s="56" t="s">
        <v>2928</v>
      </c>
    </row>
    <row r="2" spans="1:19">
      <c r="F2" s="371" t="s">
        <v>2929</v>
      </c>
      <c r="G2" s="56" t="s">
        <v>2930</v>
      </c>
    </row>
    <row r="3" spans="1:19">
      <c r="F3" s="372" t="s">
        <v>2931</v>
      </c>
      <c r="G3" s="56" t="s">
        <v>2932</v>
      </c>
    </row>
    <row r="4" spans="1:19" ht="15.75" thickBot="1">
      <c r="B4" s="181" t="s">
        <v>2933</v>
      </c>
      <c r="F4" s="373"/>
      <c r="G4" s="2" t="s">
        <v>2934</v>
      </c>
    </row>
    <row r="5" spans="1:19" ht="15.75" thickTop="1">
      <c r="A5" s="3" t="s">
        <v>2935</v>
      </c>
      <c r="B5" s="4" t="str">
        <f>'Area Calculations'!B4</f>
        <v>Atlantic Fields Club Core / Dock Bar / Spa Pods / Water Features</v>
      </c>
      <c r="C5" s="5"/>
      <c r="D5" s="166"/>
      <c r="E5" s="171"/>
      <c r="F5" s="374"/>
      <c r="G5" s="6" t="s">
        <v>2936</v>
      </c>
      <c r="H5" s="837"/>
      <c r="I5" s="838"/>
      <c r="J5" s="837"/>
      <c r="K5" s="838"/>
      <c r="L5" s="837"/>
      <c r="M5" s="838"/>
      <c r="N5" s="837"/>
      <c r="O5" s="838"/>
      <c r="P5" s="837"/>
      <c r="Q5" s="838"/>
      <c r="R5" s="837"/>
      <c r="S5" s="838"/>
    </row>
    <row r="6" spans="1:19">
      <c r="A6" s="1459" t="s">
        <v>2938</v>
      </c>
      <c r="B6" s="1460" t="s">
        <v>2558</v>
      </c>
      <c r="C6" s="1461"/>
      <c r="D6" s="1418"/>
      <c r="E6" s="1485"/>
      <c r="F6" s="1419"/>
      <c r="G6" s="657" t="s">
        <v>2939</v>
      </c>
      <c r="H6" s="1463"/>
      <c r="I6" s="839"/>
      <c r="J6" s="1463"/>
      <c r="K6" s="839"/>
      <c r="L6" s="1463"/>
      <c r="M6" s="839"/>
      <c r="N6" s="1463"/>
      <c r="O6" s="839"/>
      <c r="P6" s="1463"/>
      <c r="Q6" s="839"/>
      <c r="R6" s="1463"/>
      <c r="S6" s="839"/>
    </row>
    <row r="7" spans="1:19">
      <c r="A7" s="1459" t="s">
        <v>2940</v>
      </c>
      <c r="B7" s="1465" t="s">
        <v>2705</v>
      </c>
      <c r="C7" s="1461"/>
      <c r="D7" s="1418"/>
      <c r="E7" s="1485"/>
      <c r="F7" s="1419"/>
      <c r="G7" s="1466" t="s">
        <v>2941</v>
      </c>
      <c r="H7" s="1467"/>
      <c r="I7" s="840"/>
      <c r="J7" s="1467"/>
      <c r="K7" s="840"/>
      <c r="L7" s="1467"/>
      <c r="M7" s="840"/>
      <c r="N7" s="1467"/>
      <c r="O7" s="840"/>
      <c r="P7" s="1467"/>
      <c r="Q7" s="840"/>
      <c r="R7" s="1467"/>
      <c r="S7" s="840"/>
    </row>
    <row r="8" spans="1:19">
      <c r="A8" s="1459" t="s">
        <v>2942</v>
      </c>
      <c r="B8" s="1469"/>
      <c r="C8" s="1461"/>
      <c r="D8" s="1418"/>
      <c r="E8" s="1485"/>
      <c r="F8" s="1419"/>
      <c r="G8" s="1466" t="s">
        <v>2943</v>
      </c>
      <c r="H8" s="1470"/>
      <c r="I8" s="836"/>
      <c r="J8" s="1470"/>
      <c r="K8" s="836"/>
      <c r="L8" s="1470"/>
      <c r="M8" s="836"/>
      <c r="N8" s="1470"/>
      <c r="O8" s="836"/>
      <c r="P8" s="1470"/>
      <c r="Q8" s="836"/>
      <c r="R8" s="1470"/>
      <c r="S8" s="836"/>
    </row>
    <row r="9" spans="1:19" ht="15.75" thickBot="1">
      <c r="A9" s="1472"/>
      <c r="B9" s="1473"/>
      <c r="C9" s="616"/>
      <c r="D9" s="621"/>
      <c r="E9" s="622"/>
      <c r="F9" s="1505"/>
      <c r="G9" s="1475" t="s">
        <v>2944</v>
      </c>
      <c r="H9" s="1477">
        <f>I$84</f>
        <v>293252.92</v>
      </c>
      <c r="I9" s="1478"/>
      <c r="J9" s="1506">
        <f>K$84</f>
        <v>146663.14000000001</v>
      </c>
      <c r="K9" s="1507"/>
      <c r="L9" s="1477">
        <f>M$84</f>
        <v>0</v>
      </c>
      <c r="M9" s="1478"/>
      <c r="N9" s="1477">
        <f t="shared" ref="N9" si="0">O$84</f>
        <v>0</v>
      </c>
      <c r="O9" s="1478"/>
      <c r="P9" s="1477">
        <f t="shared" ref="P9" si="1">Q$84</f>
        <v>0</v>
      </c>
      <c r="Q9" s="1478"/>
      <c r="R9" s="1477">
        <f t="shared" ref="R9" si="2">S$84</f>
        <v>0</v>
      </c>
      <c r="S9" s="1478"/>
    </row>
    <row r="10" spans="1:19" s="175" customFormat="1" ht="16.5" thickTop="1" thickBot="1">
      <c r="A10" s="160" t="s">
        <v>2945</v>
      </c>
      <c r="B10" s="172"/>
      <c r="C10" s="173" t="s">
        <v>2946</v>
      </c>
      <c r="D10" s="167" t="s">
        <v>2947</v>
      </c>
      <c r="E10" s="173" t="s">
        <v>2948</v>
      </c>
      <c r="F10" s="375"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147"/>
      <c r="B11" s="794" t="s">
        <v>2953</v>
      </c>
      <c r="C11" s="659"/>
      <c r="D11" s="1418"/>
      <c r="E11" s="1485"/>
      <c r="F11" s="1419"/>
      <c r="G11" s="660"/>
      <c r="H11" s="1479"/>
      <c r="I11" s="1149"/>
      <c r="J11" s="1479"/>
      <c r="K11" s="1148"/>
      <c r="L11" s="1479"/>
      <c r="M11" s="1149"/>
      <c r="N11" s="1479"/>
      <c r="O11" s="182"/>
      <c r="P11" s="1479"/>
      <c r="Q11" s="1149"/>
      <c r="R11" s="1479"/>
      <c r="S11" s="1149"/>
    </row>
    <row r="12" spans="1:19">
      <c r="A12" s="1150"/>
      <c r="B12" s="1151" t="s">
        <v>2954</v>
      </c>
      <c r="C12" s="1461"/>
      <c r="D12" s="1418"/>
      <c r="E12" s="1485"/>
      <c r="F12" s="1419"/>
      <c r="G12" s="660"/>
      <c r="H12" s="1479"/>
      <c r="I12" s="1149"/>
      <c r="J12" s="1479"/>
      <c r="K12" s="1148"/>
      <c r="L12" s="1479"/>
      <c r="M12" s="1149"/>
      <c r="N12" s="1479"/>
      <c r="O12" s="1149"/>
      <c r="P12" s="1479"/>
      <c r="Q12" s="1149"/>
      <c r="R12" s="1479"/>
      <c r="S12" s="1149"/>
    </row>
    <row r="13" spans="1:19">
      <c r="A13" s="1480"/>
      <c r="B13" s="1152" t="s">
        <v>2955</v>
      </c>
      <c r="C13" s="1461"/>
      <c r="D13" s="1418"/>
      <c r="E13" s="1485"/>
      <c r="F13" s="1419"/>
      <c r="G13" s="660"/>
      <c r="H13" s="1479"/>
      <c r="I13" s="1149"/>
      <c r="J13" s="1479"/>
      <c r="K13" s="1148"/>
      <c r="L13" s="1479"/>
      <c r="M13" s="1149"/>
      <c r="N13" s="1479"/>
      <c r="O13" s="1149"/>
      <c r="P13" s="1479"/>
      <c r="Q13" s="1149"/>
      <c r="R13" s="1479"/>
      <c r="S13" s="1149"/>
    </row>
    <row r="14" spans="1:19">
      <c r="A14" s="1480"/>
      <c r="B14" s="1153" t="s">
        <v>2956</v>
      </c>
      <c r="C14" s="1461"/>
      <c r="D14" s="1418"/>
      <c r="E14" s="1485"/>
      <c r="F14" s="1419"/>
      <c r="G14" s="660"/>
      <c r="H14" s="1479"/>
      <c r="I14" s="1149"/>
      <c r="J14" s="1479"/>
      <c r="K14" s="1148"/>
      <c r="L14" s="1479"/>
      <c r="M14" s="1149"/>
      <c r="N14" s="1479"/>
      <c r="O14" s="1149"/>
      <c r="P14" s="1479"/>
      <c r="Q14" s="1149"/>
      <c r="R14" s="1479"/>
      <c r="S14" s="1149"/>
    </row>
    <row r="15" spans="1:19">
      <c r="A15" s="1480"/>
      <c r="B15" s="1153" t="s">
        <v>2957</v>
      </c>
      <c r="C15" s="1461"/>
      <c r="D15" s="1418"/>
      <c r="E15" s="1485"/>
      <c r="F15" s="1419"/>
      <c r="G15" s="660"/>
      <c r="H15" s="1479"/>
      <c r="I15" s="1148"/>
      <c r="J15" s="1479"/>
      <c r="K15" s="1148"/>
      <c r="L15" s="1479"/>
      <c r="M15" s="1148"/>
      <c r="N15" s="1479"/>
      <c r="O15" s="1148"/>
      <c r="P15" s="1479"/>
      <c r="Q15" s="1148"/>
      <c r="R15" s="1479"/>
      <c r="S15" s="1148"/>
    </row>
    <row r="16" spans="1:19">
      <c r="A16" s="1480"/>
      <c r="B16" s="1153" t="s">
        <v>2958</v>
      </c>
      <c r="C16" s="1461"/>
      <c r="D16" s="1418"/>
      <c r="E16" s="1485"/>
      <c r="F16" s="1419"/>
      <c r="G16" s="660"/>
      <c r="H16" s="1479"/>
      <c r="I16" s="1149"/>
      <c r="J16" s="1479"/>
      <c r="K16" s="1148"/>
      <c r="L16" s="1479"/>
      <c r="M16" s="1149"/>
      <c r="N16" s="1479"/>
      <c r="O16" s="1149"/>
      <c r="P16" s="1479"/>
      <c r="Q16" s="1149"/>
      <c r="R16" s="1479"/>
      <c r="S16" s="1149"/>
    </row>
    <row r="17" spans="1:19">
      <c r="A17" s="1480"/>
      <c r="B17" s="1153" t="s">
        <v>2959</v>
      </c>
      <c r="C17" s="1461"/>
      <c r="D17" s="1418"/>
      <c r="E17" s="1485"/>
      <c r="F17" s="1419"/>
      <c r="G17" s="660"/>
      <c r="H17" s="1479"/>
      <c r="I17" s="1149"/>
      <c r="J17" s="1479"/>
      <c r="K17" s="1148"/>
      <c r="L17" s="1479"/>
      <c r="M17" s="1149"/>
      <c r="N17" s="1479"/>
      <c r="O17" s="1149"/>
      <c r="P17" s="1479"/>
      <c r="Q17" s="1149"/>
      <c r="R17" s="1479"/>
      <c r="S17" s="1149"/>
    </row>
    <row r="18" spans="1:19">
      <c r="A18" s="1480"/>
      <c r="B18" s="1154" t="s">
        <v>2960</v>
      </c>
      <c r="C18" s="1461"/>
      <c r="D18" s="1418"/>
      <c r="E18" s="1485"/>
      <c r="F18" s="1419"/>
      <c r="G18" s="660"/>
      <c r="H18" s="1479"/>
      <c r="I18" s="1149"/>
      <c r="J18" s="1479"/>
      <c r="K18" s="1148"/>
      <c r="L18" s="1479"/>
      <c r="M18" s="1149"/>
      <c r="N18" s="1479"/>
      <c r="O18" s="1149"/>
      <c r="P18" s="1479"/>
      <c r="Q18" s="1149"/>
      <c r="R18" s="1479"/>
      <c r="S18" s="1149"/>
    </row>
    <row r="19" spans="1:19">
      <c r="A19" s="1480"/>
      <c r="B19" s="1155" t="s">
        <v>2961</v>
      </c>
      <c r="C19" s="1481"/>
      <c r="D19" s="1508"/>
      <c r="E19" s="1509"/>
      <c r="F19" s="1510"/>
      <c r="G19" s="661"/>
      <c r="H19" s="1484"/>
      <c r="I19" s="1158"/>
      <c r="J19" s="1484"/>
      <c r="K19" s="1157"/>
      <c r="L19" s="1484"/>
      <c r="M19" s="1158"/>
      <c r="N19" s="1484"/>
      <c r="O19" s="1158"/>
      <c r="P19" s="1484"/>
      <c r="Q19" s="1158"/>
      <c r="R19" s="1484"/>
      <c r="S19" s="1158"/>
    </row>
    <row r="20" spans="1:19">
      <c r="A20" s="1480"/>
      <c r="B20" s="1159"/>
      <c r="C20" s="1461"/>
      <c r="D20" s="1418"/>
      <c r="E20" s="1485"/>
      <c r="F20" s="1419"/>
      <c r="G20" s="660"/>
      <c r="H20" s="1479"/>
      <c r="I20" s="1161"/>
      <c r="J20" s="1479"/>
      <c r="K20" s="1160"/>
      <c r="L20" s="1479"/>
      <c r="M20" s="1161"/>
      <c r="N20" s="1479"/>
      <c r="O20" s="1161"/>
      <c r="P20" s="1479"/>
      <c r="Q20" s="1161"/>
      <c r="R20" s="1479"/>
      <c r="S20" s="1161"/>
    </row>
    <row r="21" spans="1:19">
      <c r="A21" s="1487"/>
      <c r="B21" s="1488" t="s">
        <v>2695</v>
      </c>
      <c r="C21" s="1461"/>
      <c r="D21" s="1418"/>
      <c r="E21" s="1485"/>
      <c r="F21" s="1419"/>
      <c r="G21" s="662">
        <f ca="1">SUBTOTAL(9,G22:G219)</f>
        <v>527494.97440003604</v>
      </c>
      <c r="H21" s="1479"/>
      <c r="I21" s="1166">
        <f>SUBTOTAL(9,I22:I48)</f>
        <v>109293</v>
      </c>
      <c r="J21" s="1479"/>
      <c r="K21" s="1166">
        <f>SUBTOTAL(9,K22:K48)</f>
        <v>0</v>
      </c>
      <c r="L21" s="1479"/>
      <c r="M21" s="1166">
        <f>SUBTOTAL(9,M22:M48)</f>
        <v>0</v>
      </c>
      <c r="N21" s="1479"/>
      <c r="O21" s="1166">
        <f>SUBTOTAL(9,O22:O48)</f>
        <v>0</v>
      </c>
      <c r="P21" s="1479"/>
      <c r="Q21" s="1166">
        <f>SUBTOTAL(9,Q22:Q48)</f>
        <v>0</v>
      </c>
      <c r="R21" s="1479"/>
      <c r="S21" s="1166">
        <f>SUBTOTAL(9,S22:S48)</f>
        <v>0</v>
      </c>
    </row>
    <row r="22" spans="1:19">
      <c r="A22" s="1480"/>
      <c r="B22" s="1511" t="s">
        <v>3644</v>
      </c>
      <c r="C22" s="1461"/>
      <c r="D22" s="1418"/>
      <c r="E22" s="1485"/>
      <c r="F22" s="1419"/>
      <c r="G22" s="662">
        <f t="shared" ref="G22" si="3">ROUND(D22*F22,0)</f>
        <v>0</v>
      </c>
      <c r="H22" s="1479"/>
      <c r="I22" s="1160">
        <f t="shared" ref="I22" si="4">G22</f>
        <v>0</v>
      </c>
      <c r="J22" s="1479"/>
      <c r="K22" s="1160"/>
      <c r="L22" s="1479"/>
      <c r="M22" s="1161"/>
      <c r="N22" s="1479"/>
      <c r="O22" s="1161"/>
      <c r="P22" s="1479"/>
      <c r="Q22" s="1161"/>
      <c r="R22" s="1479"/>
      <c r="S22" s="1161"/>
    </row>
    <row r="23" spans="1:19">
      <c r="A23" s="1480"/>
      <c r="B23" s="1512" t="s">
        <v>3645</v>
      </c>
      <c r="C23" s="1513" t="s">
        <v>3646</v>
      </c>
      <c r="D23" s="1514">
        <v>128</v>
      </c>
      <c r="E23" s="1515" t="s">
        <v>2864</v>
      </c>
      <c r="F23" s="1516">
        <v>6.5</v>
      </c>
      <c r="G23" s="668">
        <f t="shared" ref="G23:G28" si="5">ROUND(D23*F23,0)</f>
        <v>832</v>
      </c>
      <c r="H23" s="1517"/>
      <c r="I23" s="1236">
        <f t="shared" ref="I23:I28" si="6">G23</f>
        <v>832</v>
      </c>
      <c r="J23" s="1479"/>
      <c r="K23" s="1160"/>
      <c r="L23" s="1479"/>
      <c r="M23" s="1161"/>
      <c r="N23" s="1479"/>
      <c r="O23" s="1161"/>
      <c r="P23" s="1479"/>
      <c r="Q23" s="1161"/>
      <c r="R23" s="1479"/>
      <c r="S23" s="1161"/>
    </row>
    <row r="24" spans="1:19">
      <c r="A24" s="1480"/>
      <c r="B24" s="1512" t="s">
        <v>3647</v>
      </c>
      <c r="C24" s="1461" t="s">
        <v>3648</v>
      </c>
      <c r="D24" s="1418">
        <v>441</v>
      </c>
      <c r="E24" s="1485" t="s">
        <v>2864</v>
      </c>
      <c r="F24" s="1516">
        <v>6.5</v>
      </c>
      <c r="G24" s="662">
        <f t="shared" si="5"/>
        <v>2867</v>
      </c>
      <c r="H24" s="1479"/>
      <c r="I24" s="1160">
        <f t="shared" si="6"/>
        <v>2867</v>
      </c>
      <c r="J24" s="1479"/>
      <c r="K24" s="1160"/>
      <c r="L24" s="1479"/>
      <c r="M24" s="1161"/>
      <c r="N24" s="1479"/>
      <c r="O24" s="1161"/>
      <c r="P24" s="1479"/>
      <c r="Q24" s="1161"/>
      <c r="R24" s="1479"/>
      <c r="S24" s="1161"/>
    </row>
    <row r="25" spans="1:19" s="175" customFormat="1">
      <c r="A25" s="1480"/>
      <c r="B25" s="1512" t="s">
        <v>3649</v>
      </c>
      <c r="C25" s="1518" t="s">
        <v>3650</v>
      </c>
      <c r="D25" s="1514">
        <v>160</v>
      </c>
      <c r="E25" s="1485" t="s">
        <v>2864</v>
      </c>
      <c r="F25" s="1516">
        <v>6.5</v>
      </c>
      <c r="G25" s="668">
        <f t="shared" ref="G25" si="7">ROUND(D25*F25,0)</f>
        <v>1040</v>
      </c>
      <c r="H25" s="1517"/>
      <c r="I25" s="1236">
        <f t="shared" ref="I25" si="8">G25</f>
        <v>1040</v>
      </c>
      <c r="J25" s="1517"/>
      <c r="K25" s="1236"/>
      <c r="L25" s="1517"/>
      <c r="M25" s="1235"/>
      <c r="N25" s="1517"/>
      <c r="O25" s="1235"/>
      <c r="P25" s="1517"/>
      <c r="Q25" s="1235"/>
      <c r="R25" s="1517"/>
      <c r="S25" s="1235"/>
    </row>
    <row r="26" spans="1:19" s="175" customFormat="1">
      <c r="A26" s="1480"/>
      <c r="B26" s="1512" t="s">
        <v>3651</v>
      </c>
      <c r="C26" s="1518" t="s">
        <v>3650</v>
      </c>
      <c r="D26" s="1514">
        <v>400</v>
      </c>
      <c r="E26" s="1515" t="s">
        <v>2864</v>
      </c>
      <c r="F26" s="1516">
        <v>6.5</v>
      </c>
      <c r="G26" s="668">
        <f t="shared" ref="G26" si="9">ROUND(D26*F26,0)</f>
        <v>2600</v>
      </c>
      <c r="H26" s="1517"/>
      <c r="I26" s="1236">
        <f t="shared" ref="I26" si="10">G26</f>
        <v>2600</v>
      </c>
      <c r="J26" s="1517"/>
      <c r="K26" s="1236"/>
      <c r="L26" s="1517"/>
      <c r="M26" s="1235"/>
      <c r="N26" s="1517"/>
      <c r="O26" s="1235"/>
      <c r="P26" s="1517"/>
      <c r="Q26" s="1235"/>
      <c r="R26" s="1517"/>
      <c r="S26" s="1235"/>
    </row>
    <row r="27" spans="1:19" s="175" customFormat="1">
      <c r="A27" s="1480"/>
      <c r="B27" s="1512" t="s">
        <v>3652</v>
      </c>
      <c r="C27" s="1518" t="s">
        <v>3653</v>
      </c>
      <c r="D27" s="1514">
        <v>542</v>
      </c>
      <c r="E27" s="1515" t="s">
        <v>2864</v>
      </c>
      <c r="F27" s="1516">
        <v>6.5</v>
      </c>
      <c r="G27" s="668">
        <f t="shared" ref="G27" si="11">ROUND(D27*F27,0)</f>
        <v>3523</v>
      </c>
      <c r="H27" s="1517"/>
      <c r="I27" s="1236">
        <f t="shared" ref="I27" si="12">G27</f>
        <v>3523</v>
      </c>
      <c r="J27" s="1517"/>
      <c r="K27" s="1236"/>
      <c r="L27" s="1517"/>
      <c r="M27" s="1235"/>
      <c r="N27" s="1517"/>
      <c r="O27" s="1235"/>
      <c r="P27" s="1517"/>
      <c r="Q27" s="1235"/>
      <c r="R27" s="1517"/>
      <c r="S27" s="1235"/>
    </row>
    <row r="28" spans="1:19">
      <c r="A28" s="1480"/>
      <c r="B28" s="1511"/>
      <c r="C28" s="1461"/>
      <c r="D28" s="1418"/>
      <c r="E28" s="1485"/>
      <c r="F28" s="1419"/>
      <c r="G28" s="662">
        <f t="shared" si="5"/>
        <v>0</v>
      </c>
      <c r="H28" s="1479"/>
      <c r="I28" s="1160">
        <f t="shared" si="6"/>
        <v>0</v>
      </c>
      <c r="J28" s="1479"/>
      <c r="K28" s="1160"/>
      <c r="L28" s="1479"/>
      <c r="M28" s="1161"/>
      <c r="N28" s="1479"/>
      <c r="O28" s="1161"/>
      <c r="P28" s="1479"/>
      <c r="Q28" s="1161"/>
      <c r="R28" s="1479"/>
      <c r="S28" s="1161"/>
    </row>
    <row r="29" spans="1:19">
      <c r="A29" s="1480"/>
      <c r="B29" s="1511" t="s">
        <v>3654</v>
      </c>
      <c r="C29" s="1461"/>
      <c r="D29" s="1418"/>
      <c r="E29" s="1485"/>
      <c r="F29" s="1419"/>
      <c r="G29" s="662">
        <f t="shared" ref="G29:G34" si="13">ROUND(D29*F29,0)</f>
        <v>0</v>
      </c>
      <c r="H29" s="1479"/>
      <c r="I29" s="1160">
        <f t="shared" ref="I29:I34" si="14">G29</f>
        <v>0</v>
      </c>
      <c r="J29" s="1479"/>
      <c r="K29" s="1160"/>
      <c r="L29" s="1479"/>
      <c r="M29" s="1161"/>
      <c r="N29" s="1479"/>
      <c r="O29" s="1161"/>
      <c r="P29" s="1479"/>
      <c r="Q29" s="1161"/>
      <c r="R29" s="1479"/>
      <c r="S29" s="1161"/>
    </row>
    <row r="30" spans="1:19" s="175" customFormat="1">
      <c r="A30" s="1480"/>
      <c r="B30" s="1512" t="s">
        <v>3655</v>
      </c>
      <c r="C30" s="1518" t="s">
        <v>3656</v>
      </c>
      <c r="D30" s="1514">
        <f>1058*2</f>
        <v>2116</v>
      </c>
      <c r="E30" s="1515" t="s">
        <v>2864</v>
      </c>
      <c r="F30" s="1516">
        <v>5</v>
      </c>
      <c r="G30" s="662">
        <f t="shared" si="13"/>
        <v>10580</v>
      </c>
      <c r="H30" s="1479"/>
      <c r="I30" s="1160">
        <f t="shared" si="14"/>
        <v>10580</v>
      </c>
      <c r="J30" s="1517"/>
      <c r="K30" s="1236"/>
      <c r="L30" s="1517"/>
      <c r="M30" s="1235"/>
      <c r="N30" s="1517"/>
      <c r="O30" s="1235"/>
      <c r="P30" s="1517"/>
      <c r="Q30" s="1235"/>
      <c r="R30" s="1517"/>
      <c r="S30" s="1235"/>
    </row>
    <row r="31" spans="1:19" s="175" customFormat="1">
      <c r="A31" s="1480"/>
      <c r="B31" s="1512" t="s">
        <v>3657</v>
      </c>
      <c r="C31" s="1518" t="s">
        <v>3656</v>
      </c>
      <c r="D31" s="1514">
        <f>1058*0.33</f>
        <v>349.14000000000004</v>
      </c>
      <c r="E31" s="1515" t="s">
        <v>2845</v>
      </c>
      <c r="F31" s="1516">
        <v>10</v>
      </c>
      <c r="G31" s="662">
        <f t="shared" ref="G31" si="15">ROUND(D31*F31,0)</f>
        <v>3491</v>
      </c>
      <c r="H31" s="1479"/>
      <c r="I31" s="1160">
        <f t="shared" ref="I31" si="16">G31</f>
        <v>3491</v>
      </c>
      <c r="J31" s="1517"/>
      <c r="K31" s="1236"/>
      <c r="L31" s="1517"/>
      <c r="M31" s="1235"/>
      <c r="N31" s="1517"/>
      <c r="O31" s="1235"/>
      <c r="P31" s="1517"/>
      <c r="Q31" s="1235"/>
      <c r="R31" s="1517"/>
      <c r="S31" s="1235"/>
    </row>
    <row r="32" spans="1:19" s="175" customFormat="1">
      <c r="A32" s="1480"/>
      <c r="B32" s="1512" t="s">
        <v>3658</v>
      </c>
      <c r="C32" s="1518" t="s">
        <v>3659</v>
      </c>
      <c r="D32" s="1514">
        <f>2*261</f>
        <v>522</v>
      </c>
      <c r="E32" s="1515" t="s">
        <v>2864</v>
      </c>
      <c r="F32" s="1516">
        <v>5</v>
      </c>
      <c r="G32" s="662">
        <f t="shared" si="13"/>
        <v>2610</v>
      </c>
      <c r="H32" s="1479"/>
      <c r="I32" s="1160">
        <f t="shared" si="14"/>
        <v>2610</v>
      </c>
      <c r="J32" s="1517"/>
      <c r="K32" s="1236"/>
      <c r="L32" s="1517"/>
      <c r="M32" s="1235"/>
      <c r="N32" s="1517"/>
      <c r="O32" s="1235"/>
      <c r="P32" s="1517"/>
      <c r="Q32" s="1235"/>
      <c r="R32" s="1517"/>
      <c r="S32" s="1235"/>
    </row>
    <row r="33" spans="1:19" s="175" customFormat="1">
      <c r="A33" s="1480"/>
      <c r="B33" s="1512" t="s">
        <v>3660</v>
      </c>
      <c r="C33" s="1519" t="s">
        <v>3661</v>
      </c>
      <c r="D33" s="1514">
        <f>412*2</f>
        <v>824</v>
      </c>
      <c r="E33" s="1515" t="s">
        <v>2864</v>
      </c>
      <c r="F33" s="1516">
        <v>5</v>
      </c>
      <c r="G33" s="662">
        <f t="shared" si="13"/>
        <v>4120</v>
      </c>
      <c r="H33" s="1479"/>
      <c r="I33" s="1160">
        <f t="shared" si="14"/>
        <v>4120</v>
      </c>
      <c r="J33" s="1517"/>
      <c r="K33" s="1236"/>
      <c r="L33" s="1517"/>
      <c r="M33" s="1235"/>
      <c r="N33" s="1517"/>
      <c r="O33" s="1235"/>
      <c r="P33" s="1517"/>
      <c r="Q33" s="1235"/>
      <c r="R33" s="1517"/>
      <c r="S33" s="1235"/>
    </row>
    <row r="34" spans="1:19" s="175" customFormat="1">
      <c r="A34" s="1480"/>
      <c r="B34" s="1512" t="s">
        <v>3662</v>
      </c>
      <c r="C34" s="1518" t="s">
        <v>3663</v>
      </c>
      <c r="D34" s="1514">
        <v>330</v>
      </c>
      <c r="E34" s="1515" t="s">
        <v>2864</v>
      </c>
      <c r="F34" s="1516">
        <v>5</v>
      </c>
      <c r="G34" s="668">
        <f t="shared" si="13"/>
        <v>1650</v>
      </c>
      <c r="H34" s="1517"/>
      <c r="I34" s="1236">
        <f t="shared" si="14"/>
        <v>1650</v>
      </c>
      <c r="J34" s="1517"/>
      <c r="K34" s="1236"/>
      <c r="L34" s="1517"/>
      <c r="M34" s="1235"/>
      <c r="N34" s="1517"/>
      <c r="O34" s="1235"/>
      <c r="P34" s="1517"/>
      <c r="Q34" s="1235"/>
      <c r="R34" s="1517"/>
      <c r="S34" s="1235"/>
    </row>
    <row r="35" spans="1:19" s="175" customFormat="1">
      <c r="A35" s="1480"/>
      <c r="B35" s="1512" t="s">
        <v>3664</v>
      </c>
      <c r="C35" s="1518" t="s">
        <v>3659</v>
      </c>
      <c r="D35" s="1514">
        <f>462*2</f>
        <v>924</v>
      </c>
      <c r="E35" s="1515" t="s">
        <v>2864</v>
      </c>
      <c r="F35" s="1516">
        <v>5</v>
      </c>
      <c r="G35" s="668">
        <f t="shared" ref="G35:G36" si="17">ROUND(D35*F35,0)</f>
        <v>4620</v>
      </c>
      <c r="H35" s="1517"/>
      <c r="I35" s="1236">
        <f t="shared" ref="I35:I36" si="18">G35</f>
        <v>4620</v>
      </c>
      <c r="J35" s="1517"/>
      <c r="K35" s="1236"/>
      <c r="L35" s="1517"/>
      <c r="M35" s="1235"/>
      <c r="N35" s="1517"/>
      <c r="O35" s="1235"/>
      <c r="P35" s="1517"/>
      <c r="Q35" s="1235"/>
      <c r="R35" s="1517"/>
      <c r="S35" s="1235"/>
    </row>
    <row r="36" spans="1:19" s="175" customFormat="1">
      <c r="A36" s="1480"/>
      <c r="B36" s="1512" t="s">
        <v>3665</v>
      </c>
      <c r="C36" s="1518" t="s">
        <v>3653</v>
      </c>
      <c r="D36" s="1514">
        <f>2*600</f>
        <v>1200</v>
      </c>
      <c r="E36" s="1515" t="s">
        <v>2864</v>
      </c>
      <c r="F36" s="1516">
        <v>5</v>
      </c>
      <c r="G36" s="662">
        <f t="shared" si="17"/>
        <v>6000</v>
      </c>
      <c r="H36" s="1479"/>
      <c r="I36" s="1160">
        <f t="shared" si="18"/>
        <v>6000</v>
      </c>
      <c r="J36" s="1517"/>
      <c r="K36" s="1236"/>
      <c r="L36" s="1517"/>
      <c r="M36" s="1235"/>
      <c r="N36" s="1517"/>
      <c r="O36" s="1235"/>
      <c r="P36" s="1517"/>
      <c r="Q36" s="1235"/>
      <c r="R36" s="1517"/>
      <c r="S36" s="1235"/>
    </row>
    <row r="37" spans="1:19" s="175" customFormat="1">
      <c r="A37" s="1480"/>
      <c r="B37" s="1512" t="s">
        <v>3666</v>
      </c>
      <c r="C37" s="1518"/>
      <c r="D37" s="1514">
        <v>4000</v>
      </c>
      <c r="E37" s="1515" t="s">
        <v>2864</v>
      </c>
      <c r="F37" s="1516">
        <v>5</v>
      </c>
      <c r="G37" s="662">
        <f t="shared" ref="G37" si="19">ROUND(D37*F37,0)</f>
        <v>20000</v>
      </c>
      <c r="H37" s="1479"/>
      <c r="I37" s="1160">
        <f t="shared" ref="I37" si="20">G37</f>
        <v>20000</v>
      </c>
      <c r="J37" s="1517"/>
      <c r="K37" s="1236"/>
      <c r="L37" s="1517"/>
      <c r="M37" s="1235"/>
      <c r="N37" s="1517"/>
      <c r="O37" s="1235"/>
      <c r="P37" s="1517"/>
      <c r="Q37" s="1235"/>
      <c r="R37" s="1517"/>
      <c r="S37" s="1235"/>
    </row>
    <row r="38" spans="1:19">
      <c r="A38" s="1480"/>
      <c r="B38" s="1520"/>
      <c r="C38" s="1461"/>
      <c r="D38" s="1418"/>
      <c r="E38" s="1485"/>
      <c r="F38" s="1419"/>
      <c r="G38" s="662">
        <f t="shared" ref="G38:G39" si="21">ROUND(D38*F38,0)</f>
        <v>0</v>
      </c>
      <c r="H38" s="1479"/>
      <c r="I38" s="1160">
        <f t="shared" ref="I38:I39" si="22">G38</f>
        <v>0</v>
      </c>
      <c r="J38" s="1479"/>
      <c r="K38" s="1160"/>
      <c r="L38" s="1479"/>
      <c r="M38" s="1161"/>
      <c r="N38" s="1479"/>
      <c r="O38" s="1161"/>
      <c r="P38" s="1479"/>
      <c r="Q38" s="1161"/>
      <c r="R38" s="1479"/>
      <c r="S38" s="1161"/>
    </row>
    <row r="39" spans="1:19">
      <c r="A39" s="1480"/>
      <c r="B39" s="1511" t="s">
        <v>3667</v>
      </c>
      <c r="C39" s="1461" t="s">
        <v>3668</v>
      </c>
      <c r="D39" s="1418">
        <v>363</v>
      </c>
      <c r="E39" s="1485" t="s">
        <v>2845</v>
      </c>
      <c r="F39" s="1419">
        <v>10</v>
      </c>
      <c r="G39" s="662">
        <f t="shared" si="21"/>
        <v>3630</v>
      </c>
      <c r="H39" s="1479"/>
      <c r="I39" s="1160">
        <f t="shared" si="22"/>
        <v>3630</v>
      </c>
      <c r="J39" s="1479"/>
      <c r="K39" s="1160"/>
      <c r="L39" s="1479"/>
      <c r="M39" s="1161"/>
      <c r="N39" s="1479"/>
      <c r="O39" s="1161"/>
      <c r="P39" s="1479"/>
      <c r="Q39" s="1161"/>
      <c r="R39" s="1479"/>
      <c r="S39" s="1161"/>
    </row>
    <row r="40" spans="1:19">
      <c r="A40" s="1480"/>
      <c r="B40" s="1511" t="s">
        <v>3669</v>
      </c>
      <c r="C40" s="1461" t="s">
        <v>3670</v>
      </c>
      <c r="D40" s="1418">
        <v>5</v>
      </c>
      <c r="E40" s="1485" t="s">
        <v>2864</v>
      </c>
      <c r="F40" s="1419">
        <v>10</v>
      </c>
      <c r="G40" s="662">
        <f t="shared" ref="G40:G43" si="23">ROUND(D40*F40,0)</f>
        <v>50</v>
      </c>
      <c r="H40" s="1479"/>
      <c r="I40" s="1160">
        <f t="shared" ref="I40:I43" si="24">G40</f>
        <v>50</v>
      </c>
      <c r="J40" s="1479"/>
      <c r="K40" s="1160"/>
      <c r="L40" s="1479"/>
      <c r="M40" s="1161"/>
      <c r="N40" s="1479"/>
      <c r="O40" s="1161"/>
      <c r="P40" s="1479"/>
      <c r="Q40" s="1161"/>
      <c r="R40" s="1479"/>
      <c r="S40" s="1161"/>
    </row>
    <row r="41" spans="1:19">
      <c r="A41" s="1480"/>
      <c r="B41" s="1511" t="s">
        <v>3671</v>
      </c>
      <c r="C41" s="1461" t="s">
        <v>3672</v>
      </c>
      <c r="D41" s="1418">
        <v>112</v>
      </c>
      <c r="E41" s="1485" t="s">
        <v>2845</v>
      </c>
      <c r="F41" s="1419">
        <v>10</v>
      </c>
      <c r="G41" s="662">
        <f t="shared" si="23"/>
        <v>1120</v>
      </c>
      <c r="H41" s="1479"/>
      <c r="I41" s="1160">
        <f t="shared" si="24"/>
        <v>1120</v>
      </c>
      <c r="J41" s="1479"/>
      <c r="K41" s="1160"/>
      <c r="L41" s="1479"/>
      <c r="M41" s="1161"/>
      <c r="N41" s="1479"/>
      <c r="O41" s="1161"/>
      <c r="P41" s="1479"/>
      <c r="Q41" s="1161"/>
      <c r="R41" s="1479"/>
      <c r="S41" s="1161"/>
    </row>
    <row r="42" spans="1:19">
      <c r="A42" s="1480">
        <v>18</v>
      </c>
      <c r="B42" s="1511" t="s">
        <v>3673</v>
      </c>
      <c r="C42" s="1461" t="s">
        <v>3639</v>
      </c>
      <c r="D42" s="1418">
        <f>18*4*15</f>
        <v>1080</v>
      </c>
      <c r="E42" s="1485" t="s">
        <v>2864</v>
      </c>
      <c r="F42" s="1419">
        <v>5.5</v>
      </c>
      <c r="G42" s="662">
        <f t="shared" si="23"/>
        <v>5940</v>
      </c>
      <c r="H42" s="1479"/>
      <c r="I42" s="1160">
        <f t="shared" si="24"/>
        <v>5940</v>
      </c>
      <c r="J42" s="1479"/>
      <c r="K42" s="1160"/>
      <c r="L42" s="1479"/>
      <c r="M42" s="1161"/>
      <c r="N42" s="1479"/>
      <c r="O42" s="1161"/>
      <c r="P42" s="1479"/>
      <c r="Q42" s="1161"/>
      <c r="R42" s="1479"/>
      <c r="S42" s="1161"/>
    </row>
    <row r="43" spans="1:19">
      <c r="A43" s="1480">
        <v>14</v>
      </c>
      <c r="B43" s="1511" t="s">
        <v>3674</v>
      </c>
      <c r="C43" s="1461" t="s">
        <v>3675</v>
      </c>
      <c r="D43" s="1418">
        <f>14*4*15</f>
        <v>840</v>
      </c>
      <c r="E43" s="1485" t="s">
        <v>2864</v>
      </c>
      <c r="F43" s="1419">
        <v>5.5</v>
      </c>
      <c r="G43" s="662">
        <f t="shared" si="23"/>
        <v>4620</v>
      </c>
      <c r="H43" s="1479"/>
      <c r="I43" s="1160">
        <f t="shared" si="24"/>
        <v>4620</v>
      </c>
      <c r="J43" s="1479"/>
      <c r="K43" s="1160"/>
      <c r="L43" s="1479"/>
      <c r="M43" s="1161"/>
      <c r="N43" s="1479"/>
      <c r="O43" s="1161"/>
      <c r="P43" s="1479"/>
      <c r="Q43" s="1161"/>
      <c r="R43" s="1479"/>
      <c r="S43" s="1161"/>
    </row>
    <row r="44" spans="1:19">
      <c r="A44" s="1480"/>
      <c r="B44" s="1511"/>
      <c r="C44" s="1461"/>
      <c r="D44" s="1418"/>
      <c r="E44" s="1485"/>
      <c r="F44" s="1419"/>
      <c r="G44" s="662">
        <f t="shared" ref="G44:G55" si="25">ROUND(D44*F44,0)</f>
        <v>0</v>
      </c>
      <c r="H44" s="1479"/>
      <c r="I44" s="1160">
        <f t="shared" ref="I44:I45" si="26">G44</f>
        <v>0</v>
      </c>
      <c r="J44" s="1479"/>
      <c r="K44" s="1160"/>
      <c r="L44" s="1479"/>
      <c r="M44" s="1161"/>
      <c r="N44" s="1479"/>
      <c r="O44" s="1161"/>
      <c r="P44" s="1479"/>
      <c r="Q44" s="1161"/>
      <c r="R44" s="1479"/>
      <c r="S44" s="1161"/>
    </row>
    <row r="45" spans="1:19">
      <c r="A45" s="1480"/>
      <c r="B45" s="1511" t="s">
        <v>3676</v>
      </c>
      <c r="C45" s="1461"/>
      <c r="D45" s="1418">
        <v>1</v>
      </c>
      <c r="E45" s="1485" t="s">
        <v>2818</v>
      </c>
      <c r="F45" s="1419">
        <v>15000</v>
      </c>
      <c r="G45" s="662">
        <f t="shared" si="25"/>
        <v>15000</v>
      </c>
      <c r="H45" s="1479"/>
      <c r="I45" s="1160">
        <f t="shared" si="26"/>
        <v>15000</v>
      </c>
      <c r="J45" s="1479"/>
      <c r="K45" s="1160"/>
      <c r="L45" s="1479"/>
      <c r="M45" s="1161"/>
      <c r="N45" s="1479"/>
      <c r="O45" s="1161"/>
      <c r="P45" s="1479"/>
      <c r="Q45" s="1161"/>
      <c r="R45" s="1479"/>
      <c r="S45" s="1161"/>
    </row>
    <row r="46" spans="1:19">
      <c r="A46" s="1480"/>
      <c r="B46" s="1511"/>
      <c r="C46" s="1461"/>
      <c r="D46" s="1418"/>
      <c r="E46" s="1485"/>
      <c r="F46" s="1419"/>
      <c r="G46" s="662">
        <f t="shared" ref="G46:G48" si="27">ROUND(D46*F46,0)</f>
        <v>0</v>
      </c>
      <c r="H46" s="1479"/>
      <c r="I46" s="1160">
        <f t="shared" ref="I46:I48" si="28">G46</f>
        <v>0</v>
      </c>
      <c r="J46" s="1479"/>
      <c r="K46" s="1160"/>
      <c r="L46" s="1479"/>
      <c r="M46" s="1161"/>
      <c r="N46" s="1479"/>
      <c r="O46" s="1161"/>
      <c r="P46" s="1479"/>
      <c r="Q46" s="1161"/>
      <c r="R46" s="1479"/>
      <c r="S46" s="1161"/>
    </row>
    <row r="47" spans="1:19">
      <c r="A47" s="1480"/>
      <c r="B47" s="1511" t="s">
        <v>3677</v>
      </c>
      <c r="C47" s="1461"/>
      <c r="D47" s="1418">
        <v>1</v>
      </c>
      <c r="E47" s="1485" t="s">
        <v>2818</v>
      </c>
      <c r="F47" s="1419">
        <v>15000</v>
      </c>
      <c r="G47" s="662">
        <f t="shared" si="27"/>
        <v>15000</v>
      </c>
      <c r="H47" s="1479"/>
      <c r="I47" s="1160">
        <f t="shared" si="28"/>
        <v>15000</v>
      </c>
      <c r="J47" s="1479"/>
      <c r="K47" s="1160"/>
      <c r="L47" s="1479"/>
      <c r="M47" s="1161"/>
      <c r="N47" s="1479"/>
      <c r="O47" s="1161"/>
      <c r="P47" s="1479"/>
      <c r="Q47" s="1161"/>
      <c r="R47" s="1479"/>
      <c r="S47" s="1161"/>
    </row>
    <row r="48" spans="1:19">
      <c r="A48" s="1480"/>
      <c r="B48" s="1511"/>
      <c r="C48" s="1461"/>
      <c r="D48" s="1418"/>
      <c r="E48" s="1485"/>
      <c r="F48" s="1419"/>
      <c r="G48" s="662">
        <f t="shared" si="27"/>
        <v>0</v>
      </c>
      <c r="H48" s="1479"/>
      <c r="I48" s="1160">
        <f t="shared" si="28"/>
        <v>0</v>
      </c>
      <c r="J48" s="1479"/>
      <c r="K48" s="1160"/>
      <c r="L48" s="1479"/>
      <c r="M48" s="1161"/>
      <c r="N48" s="1479"/>
      <c r="O48" s="1161"/>
      <c r="P48" s="1479"/>
      <c r="Q48" s="1161"/>
      <c r="R48" s="1479"/>
      <c r="S48" s="1161"/>
    </row>
    <row r="49" spans="1:19">
      <c r="A49" s="1480"/>
      <c r="B49" s="1521" t="s">
        <v>3235</v>
      </c>
      <c r="C49" s="1461"/>
      <c r="D49" s="1418"/>
      <c r="E49" s="1485"/>
      <c r="F49" s="1419"/>
      <c r="G49" s="662">
        <f t="shared" si="25"/>
        <v>0</v>
      </c>
      <c r="H49" s="1479"/>
      <c r="I49" s="1166">
        <f>SUBTOTAL(9,I50:I57)</f>
        <v>42397</v>
      </c>
      <c r="J49" s="1479"/>
      <c r="K49" s="1166">
        <f>SUBTOTAL(9,K50:K57)</f>
        <v>0</v>
      </c>
      <c r="L49" s="1479"/>
      <c r="M49" s="1166">
        <f>SUBTOTAL(9,M50:M57)</f>
        <v>0</v>
      </c>
      <c r="N49" s="1479"/>
      <c r="O49" s="1166">
        <f>SUBTOTAL(9,O50:O57)</f>
        <v>0</v>
      </c>
      <c r="P49" s="1479"/>
      <c r="Q49" s="1166">
        <f>SUBTOTAL(9,Q50:Q57)</f>
        <v>0</v>
      </c>
      <c r="R49" s="1479"/>
      <c r="S49" s="1166">
        <f>SUBTOTAL(9,S50:S57)</f>
        <v>0</v>
      </c>
    </row>
    <row r="50" spans="1:19">
      <c r="A50" s="1480">
        <v>2</v>
      </c>
      <c r="B50" s="652" t="s">
        <v>3678</v>
      </c>
      <c r="C50" s="1461" t="s">
        <v>3679</v>
      </c>
      <c r="D50" s="1418">
        <f>A50*10.25</f>
        <v>20.5</v>
      </c>
      <c r="E50" s="1485" t="s">
        <v>2864</v>
      </c>
      <c r="F50" s="1419">
        <v>5.5</v>
      </c>
      <c r="G50" s="662">
        <f t="shared" si="25"/>
        <v>113</v>
      </c>
      <c r="H50" s="1479"/>
      <c r="I50" s="1160">
        <f t="shared" ref="I50:I54" si="29">G50</f>
        <v>113</v>
      </c>
      <c r="J50" s="1479"/>
      <c r="K50" s="1160"/>
      <c r="L50" s="1479"/>
      <c r="M50" s="1161"/>
      <c r="N50" s="1479"/>
      <c r="O50" s="1161"/>
      <c r="P50" s="1479"/>
      <c r="Q50" s="1161"/>
      <c r="R50" s="1479"/>
      <c r="S50" s="1161"/>
    </row>
    <row r="51" spans="1:19">
      <c r="A51" s="1480">
        <v>2</v>
      </c>
      <c r="B51" s="652" t="s">
        <v>3680</v>
      </c>
      <c r="C51" s="1461" t="s">
        <v>3639</v>
      </c>
      <c r="D51" s="1418">
        <f>A51*10.25*2</f>
        <v>41</v>
      </c>
      <c r="E51" s="1485" t="s">
        <v>2864</v>
      </c>
      <c r="F51" s="1419">
        <v>5.5</v>
      </c>
      <c r="G51" s="662">
        <f t="shared" si="25"/>
        <v>226</v>
      </c>
      <c r="H51" s="1479"/>
      <c r="I51" s="1160">
        <f t="shared" si="29"/>
        <v>226</v>
      </c>
      <c r="J51" s="1479"/>
      <c r="K51" s="1160"/>
      <c r="L51" s="1479"/>
      <c r="M51" s="1161"/>
      <c r="N51" s="1479"/>
      <c r="O51" s="1161"/>
      <c r="P51" s="1479"/>
      <c r="Q51" s="1161"/>
      <c r="R51" s="1479"/>
      <c r="S51" s="1161"/>
    </row>
    <row r="52" spans="1:19">
      <c r="A52" s="1480">
        <v>2</v>
      </c>
      <c r="B52" s="652" t="s">
        <v>3681</v>
      </c>
      <c r="C52" s="1461" t="s">
        <v>3629</v>
      </c>
      <c r="D52" s="1418">
        <f>A52*10.25*5</f>
        <v>102.5</v>
      </c>
      <c r="E52" s="1485" t="s">
        <v>2864</v>
      </c>
      <c r="F52" s="1419">
        <v>5.5</v>
      </c>
      <c r="G52" s="662">
        <f t="shared" si="25"/>
        <v>564</v>
      </c>
      <c r="H52" s="1479"/>
      <c r="I52" s="1160">
        <f t="shared" si="29"/>
        <v>564</v>
      </c>
      <c r="J52" s="1479"/>
      <c r="K52" s="1160"/>
      <c r="L52" s="1479"/>
      <c r="M52" s="1161"/>
      <c r="N52" s="1479"/>
      <c r="O52" s="1161"/>
      <c r="P52" s="1479"/>
      <c r="Q52" s="1161"/>
      <c r="R52" s="1479"/>
      <c r="S52" s="1161"/>
    </row>
    <row r="53" spans="1:19">
      <c r="A53" s="1480">
        <v>4</v>
      </c>
      <c r="B53" s="652" t="s">
        <v>3682</v>
      </c>
      <c r="C53" s="1461" t="s">
        <v>3683</v>
      </c>
      <c r="D53" s="1418">
        <f>A53*10.25*2</f>
        <v>82</v>
      </c>
      <c r="E53" s="1485" t="s">
        <v>2864</v>
      </c>
      <c r="F53" s="1419">
        <v>5.5</v>
      </c>
      <c r="G53" s="662">
        <f t="shared" si="25"/>
        <v>451</v>
      </c>
      <c r="H53" s="1479"/>
      <c r="I53" s="1160">
        <f t="shared" si="29"/>
        <v>451</v>
      </c>
      <c r="J53" s="1479"/>
      <c r="K53" s="1160"/>
      <c r="L53" s="1479"/>
      <c r="M53" s="1161"/>
      <c r="N53" s="1479"/>
      <c r="O53" s="1161"/>
      <c r="P53" s="1479"/>
      <c r="Q53" s="1161"/>
      <c r="R53" s="1479"/>
      <c r="S53" s="1161"/>
    </row>
    <row r="54" spans="1:19">
      <c r="A54" s="1480">
        <v>2</v>
      </c>
      <c r="B54" s="652" t="s">
        <v>3684</v>
      </c>
      <c r="C54" s="1461" t="s">
        <v>3675</v>
      </c>
      <c r="D54" s="1418">
        <f t="shared" ref="D54" si="30">A54*10.25</f>
        <v>20.5</v>
      </c>
      <c r="E54" s="1485" t="s">
        <v>2864</v>
      </c>
      <c r="F54" s="1419">
        <v>5.5</v>
      </c>
      <c r="G54" s="662">
        <f t="shared" si="25"/>
        <v>113</v>
      </c>
      <c r="H54" s="1479"/>
      <c r="I54" s="1160">
        <f t="shared" si="29"/>
        <v>113</v>
      </c>
      <c r="J54" s="1479"/>
      <c r="K54" s="1160"/>
      <c r="L54" s="1479"/>
      <c r="M54" s="1161"/>
      <c r="N54" s="1479"/>
      <c r="O54" s="1161"/>
      <c r="P54" s="1479"/>
      <c r="Q54" s="1161"/>
      <c r="R54" s="1479"/>
      <c r="S54" s="1161"/>
    </row>
    <row r="55" spans="1:19">
      <c r="A55" s="1480"/>
      <c r="B55" s="1511" t="s">
        <v>3685</v>
      </c>
      <c r="C55" s="1522" t="s">
        <v>3686</v>
      </c>
      <c r="D55" s="1523">
        <v>4093</v>
      </c>
      <c r="E55" s="1485" t="s">
        <v>2845</v>
      </c>
      <c r="F55" s="1419">
        <v>10</v>
      </c>
      <c r="G55" s="668">
        <f t="shared" si="25"/>
        <v>40930</v>
      </c>
      <c r="H55" s="1479"/>
      <c r="I55" s="1281">
        <f>$G55</f>
        <v>40930</v>
      </c>
      <c r="J55" s="1524"/>
      <c r="K55" s="1281"/>
      <c r="L55" s="1479"/>
      <c r="M55" s="1161"/>
      <c r="N55" s="1479"/>
      <c r="O55" s="1160"/>
      <c r="P55" s="1479"/>
      <c r="Q55" s="1161"/>
      <c r="R55" s="1479"/>
      <c r="S55" s="1161"/>
    </row>
    <row r="56" spans="1:19">
      <c r="A56" s="1480"/>
      <c r="B56" s="1511" t="s">
        <v>3687</v>
      </c>
      <c r="C56" s="1522" t="s">
        <v>3686</v>
      </c>
      <c r="D56" s="1523">
        <v>4093</v>
      </c>
      <c r="E56" s="1485" t="s">
        <v>2845</v>
      </c>
      <c r="F56" s="1419">
        <v>10</v>
      </c>
      <c r="G56" s="662"/>
      <c r="H56" s="1479"/>
      <c r="I56" s="1160">
        <f t="shared" ref="I56" si="31">G56</f>
        <v>0</v>
      </c>
      <c r="J56" s="1479"/>
      <c r="K56" s="1160"/>
      <c r="L56" s="1479"/>
      <c r="M56" s="1161"/>
      <c r="N56" s="1479"/>
      <c r="O56" s="1161"/>
      <c r="P56" s="1479"/>
      <c r="Q56" s="1161"/>
      <c r="R56" s="1479"/>
      <c r="S56" s="1161"/>
    </row>
    <row r="57" spans="1:19">
      <c r="A57" s="1480"/>
      <c r="B57" s="1511"/>
      <c r="C57" s="1461"/>
      <c r="D57" s="1418"/>
      <c r="E57" s="1485"/>
      <c r="F57" s="1419"/>
      <c r="G57" s="662">
        <f t="shared" ref="G57:G79" si="32">ROUND(D57*F57,0)</f>
        <v>0</v>
      </c>
      <c r="H57" s="1479"/>
      <c r="I57" s="1160">
        <f t="shared" ref="I57:I79" si="33">G57</f>
        <v>0</v>
      </c>
      <c r="J57" s="1479"/>
      <c r="K57" s="1160"/>
      <c r="L57" s="1479"/>
      <c r="M57" s="1161"/>
      <c r="N57" s="1479"/>
      <c r="O57" s="1161"/>
      <c r="P57" s="1479"/>
      <c r="Q57" s="1161"/>
      <c r="R57" s="1479"/>
      <c r="S57" s="1161"/>
    </row>
    <row r="58" spans="1:19">
      <c r="A58" s="1480"/>
      <c r="B58" s="1521" t="s">
        <v>2697</v>
      </c>
      <c r="C58" s="1461"/>
      <c r="D58" s="1418"/>
      <c r="E58" s="1485"/>
      <c r="F58" s="1419"/>
      <c r="G58" s="662">
        <f t="shared" si="32"/>
        <v>0</v>
      </c>
      <c r="H58" s="1479"/>
      <c r="I58" s="1166">
        <f>SUBTOTAL(9,I59:I79)</f>
        <v>141562.91999999998</v>
      </c>
      <c r="J58" s="1479"/>
      <c r="K58" s="1166">
        <f>SUBTOTAL(9,K59:K79)</f>
        <v>146663.14000000001</v>
      </c>
      <c r="L58" s="1479"/>
      <c r="M58" s="1166">
        <f>SUBTOTAL(9,M59:M79)</f>
        <v>0</v>
      </c>
      <c r="N58" s="1479"/>
      <c r="O58" s="1166">
        <f>SUBTOTAL(9,O59:O79)</f>
        <v>0</v>
      </c>
      <c r="P58" s="1479"/>
      <c r="Q58" s="1166">
        <f>SUBTOTAL(9,Q59:Q79)</f>
        <v>0</v>
      </c>
      <c r="R58" s="1479"/>
      <c r="S58" s="1166">
        <f>SUBTOTAL(9,S59:S79)</f>
        <v>0</v>
      </c>
    </row>
    <row r="59" spans="1:19">
      <c r="A59" s="1480"/>
      <c r="B59" s="1159"/>
      <c r="C59" s="1461"/>
      <c r="D59" s="1418"/>
      <c r="E59" s="1485"/>
      <c r="F59" s="1419"/>
      <c r="G59" s="662">
        <f t="shared" ref="G59" si="34">ROUND(D59*F59,0)</f>
        <v>0</v>
      </c>
      <c r="H59" s="1479"/>
      <c r="I59" s="1160">
        <f t="shared" ref="I59" si="35">G59</f>
        <v>0</v>
      </c>
      <c r="J59" s="1479"/>
      <c r="K59" s="1160"/>
      <c r="L59" s="1479"/>
      <c r="M59" s="1161"/>
      <c r="N59" s="1479"/>
      <c r="O59" s="1161"/>
      <c r="P59" s="1479"/>
      <c r="Q59" s="1161"/>
      <c r="R59" s="1479"/>
      <c r="S59" s="1161"/>
    </row>
    <row r="60" spans="1:19">
      <c r="A60" s="1480"/>
      <c r="B60" s="1159" t="s">
        <v>3688</v>
      </c>
      <c r="C60" s="1461"/>
      <c r="D60" s="1418"/>
      <c r="E60" s="1485"/>
      <c r="F60" s="1419"/>
      <c r="G60" s="662">
        <f t="shared" si="32"/>
        <v>0</v>
      </c>
      <c r="H60" s="1479"/>
      <c r="I60" s="1160" t="s">
        <v>3689</v>
      </c>
      <c r="J60" s="1479"/>
      <c r="K60" s="1160" t="s">
        <v>3690</v>
      </c>
      <c r="L60" s="1479"/>
      <c r="M60" s="1161"/>
      <c r="N60" s="1479"/>
      <c r="O60" s="1161"/>
      <c r="P60" s="1479"/>
      <c r="Q60" s="1161"/>
      <c r="R60" s="1479"/>
      <c r="S60" s="1161"/>
    </row>
    <row r="61" spans="1:19">
      <c r="A61" s="1480"/>
      <c r="B61" s="1229" t="s">
        <v>3250</v>
      </c>
      <c r="C61" s="1461"/>
      <c r="D61" s="1418">
        <v>858</v>
      </c>
      <c r="E61" s="1485" t="s">
        <v>2845</v>
      </c>
      <c r="F61" s="1419"/>
      <c r="G61" s="662">
        <f t="shared" si="32"/>
        <v>0</v>
      </c>
      <c r="H61" s="1479"/>
      <c r="I61" s="1160">
        <v>3796.01</v>
      </c>
      <c r="J61" s="1479"/>
      <c r="K61" s="1160">
        <v>5643.62</v>
      </c>
      <c r="L61" s="1479"/>
      <c r="M61" s="1161"/>
      <c r="N61" s="1479"/>
      <c r="O61" s="1161"/>
      <c r="P61" s="1479"/>
      <c r="Q61" s="1161"/>
      <c r="R61" s="1479"/>
      <c r="S61" s="1161"/>
    </row>
    <row r="62" spans="1:19">
      <c r="A62" s="1480"/>
      <c r="B62" s="1229" t="s">
        <v>3251</v>
      </c>
      <c r="C62" s="1461"/>
      <c r="D62" s="1418">
        <v>1906</v>
      </c>
      <c r="E62" s="1485" t="s">
        <v>2845</v>
      </c>
      <c r="F62" s="1419"/>
      <c r="G62" s="662">
        <f t="shared" si="32"/>
        <v>0</v>
      </c>
      <c r="H62" s="1479"/>
      <c r="I62" s="1160">
        <v>7191.08</v>
      </c>
      <c r="J62" s="1479"/>
      <c r="K62" s="1160">
        <v>7783.76</v>
      </c>
      <c r="L62" s="1479"/>
      <c r="M62" s="1161"/>
      <c r="N62" s="1479"/>
      <c r="O62" s="1161"/>
      <c r="P62" s="1479"/>
      <c r="Q62" s="1161"/>
      <c r="R62" s="1479"/>
      <c r="S62" s="1161"/>
    </row>
    <row r="63" spans="1:19">
      <c r="A63" s="1480"/>
      <c r="B63" s="1229" t="s">
        <v>3252</v>
      </c>
      <c r="C63" s="1461"/>
      <c r="D63" s="1418">
        <v>471</v>
      </c>
      <c r="E63" s="1485" t="s">
        <v>2845</v>
      </c>
      <c r="F63" s="1419"/>
      <c r="G63" s="662">
        <f t="shared" si="32"/>
        <v>0</v>
      </c>
      <c r="H63" s="1479"/>
      <c r="I63" s="1160">
        <v>1483.63</v>
      </c>
      <c r="J63" s="1479"/>
      <c r="K63" s="1160">
        <v>3447.54</v>
      </c>
      <c r="L63" s="1479"/>
      <c r="M63" s="1161"/>
      <c r="N63" s="1479"/>
      <c r="O63" s="1161"/>
      <c r="P63" s="1479"/>
      <c r="Q63" s="1161"/>
      <c r="R63" s="1479"/>
      <c r="S63" s="1161"/>
    </row>
    <row r="64" spans="1:19">
      <c r="A64" s="1480"/>
      <c r="B64" s="1229" t="s">
        <v>3253</v>
      </c>
      <c r="C64" s="1461"/>
      <c r="D64" s="1418">
        <v>1163</v>
      </c>
      <c r="E64" s="1485" t="s">
        <v>2845</v>
      </c>
      <c r="F64" s="1419"/>
      <c r="G64" s="662">
        <f t="shared" si="32"/>
        <v>0</v>
      </c>
      <c r="H64" s="1479"/>
      <c r="I64" s="1160">
        <v>5814.29</v>
      </c>
      <c r="J64" s="1479"/>
      <c r="K64" s="1160">
        <v>6146.06</v>
      </c>
      <c r="L64" s="1479"/>
      <c r="M64" s="1161"/>
      <c r="N64" s="1479"/>
      <c r="O64" s="1161"/>
      <c r="P64" s="1479"/>
      <c r="Q64" s="1161"/>
      <c r="R64" s="1479"/>
      <c r="S64" s="1161"/>
    </row>
    <row r="65" spans="1:19">
      <c r="A65" s="1480"/>
      <c r="B65" s="1229" t="s">
        <v>3691</v>
      </c>
      <c r="C65" s="1461"/>
      <c r="D65" s="1418">
        <v>1163</v>
      </c>
      <c r="E65" s="1485" t="s">
        <v>2845</v>
      </c>
      <c r="F65" s="1419"/>
      <c r="G65" s="662">
        <f t="shared" ref="G65" si="36">ROUND(D65*F65,0)</f>
        <v>0</v>
      </c>
      <c r="H65" s="1479"/>
      <c r="I65" s="1160">
        <v>6566.05</v>
      </c>
      <c r="J65" s="1479"/>
      <c r="K65" s="1160">
        <v>6111.08</v>
      </c>
      <c r="L65" s="1479"/>
      <c r="M65" s="1161"/>
      <c r="N65" s="1479"/>
      <c r="O65" s="1161"/>
      <c r="P65" s="1479"/>
      <c r="Q65" s="1161"/>
      <c r="R65" s="1479"/>
      <c r="S65" s="1161"/>
    </row>
    <row r="66" spans="1:19">
      <c r="A66" s="1480"/>
      <c r="B66" s="1229" t="s">
        <v>3254</v>
      </c>
      <c r="C66" s="1461"/>
      <c r="D66" s="1418">
        <v>893</v>
      </c>
      <c r="E66" s="1485" t="s">
        <v>2845</v>
      </c>
      <c r="F66" s="1419"/>
      <c r="G66" s="662">
        <f t="shared" si="32"/>
        <v>0</v>
      </c>
      <c r="H66" s="1479"/>
      <c r="I66" s="1160">
        <v>4655.8599999999997</v>
      </c>
      <c r="J66" s="1479"/>
      <c r="K66" s="1160">
        <v>5475.08</v>
      </c>
      <c r="L66" s="1479"/>
      <c r="M66" s="1161"/>
      <c r="N66" s="1479"/>
      <c r="O66" s="1161"/>
      <c r="P66" s="1479"/>
      <c r="Q66" s="1161"/>
      <c r="R66" s="1479"/>
      <c r="S66" s="1161"/>
    </row>
    <row r="67" spans="1:19">
      <c r="A67" s="1480"/>
      <c r="B67" s="1525" t="s">
        <v>3692</v>
      </c>
      <c r="C67" s="1522"/>
      <c r="D67" s="1523"/>
      <c r="E67" s="1485"/>
      <c r="F67" s="1419"/>
      <c r="G67" s="668">
        <f t="shared" ref="G67:G72" si="37">ROUND(D67*F67,0)</f>
        <v>0</v>
      </c>
      <c r="H67" s="1479"/>
      <c r="I67" s="1160"/>
      <c r="J67" s="1479"/>
      <c r="K67" s="1161"/>
      <c r="L67" s="1479"/>
      <c r="M67" s="1161"/>
      <c r="N67" s="1479"/>
      <c r="O67" s="1160"/>
      <c r="P67" s="1479"/>
      <c r="Q67" s="1161"/>
      <c r="R67" s="1479"/>
      <c r="S67" s="1161"/>
    </row>
    <row r="68" spans="1:19">
      <c r="A68" s="1480"/>
      <c r="B68" s="1511" t="s">
        <v>3693</v>
      </c>
      <c r="C68" s="1522"/>
      <c r="D68" s="1523">
        <v>20</v>
      </c>
      <c r="E68" s="1485" t="s">
        <v>2803</v>
      </c>
      <c r="F68" s="1419">
        <v>250</v>
      </c>
      <c r="G68" s="668">
        <f t="shared" si="37"/>
        <v>5000</v>
      </c>
      <c r="H68" s="1479"/>
      <c r="I68" s="1160">
        <f>$G68</f>
        <v>5000</v>
      </c>
      <c r="J68" s="1479"/>
      <c r="K68" s="1160">
        <f>$G68</f>
        <v>5000</v>
      </c>
      <c r="L68" s="1479"/>
      <c r="M68" s="1161"/>
      <c r="N68" s="1479"/>
      <c r="O68" s="1160"/>
      <c r="P68" s="1479"/>
      <c r="Q68" s="1161"/>
      <c r="R68" s="1479"/>
      <c r="S68" s="1161"/>
    </row>
    <row r="69" spans="1:19">
      <c r="A69" s="1480"/>
      <c r="B69" s="1511" t="s">
        <v>3694</v>
      </c>
      <c r="C69" s="1522"/>
      <c r="D69" s="1523">
        <v>19</v>
      </c>
      <c r="E69" s="1485" t="s">
        <v>2864</v>
      </c>
      <c r="F69" s="1419">
        <v>200</v>
      </c>
      <c r="G69" s="668">
        <f t="shared" si="37"/>
        <v>3800</v>
      </c>
      <c r="H69" s="1479"/>
      <c r="I69" s="1160">
        <f t="shared" ref="I69:K72" si="38">$G69</f>
        <v>3800</v>
      </c>
      <c r="J69" s="1479"/>
      <c r="K69" s="1160">
        <f t="shared" si="38"/>
        <v>3800</v>
      </c>
      <c r="L69" s="1479"/>
      <c r="M69" s="1161"/>
      <c r="N69" s="1479"/>
      <c r="O69" s="1160"/>
      <c r="P69" s="1479"/>
      <c r="Q69" s="1161"/>
      <c r="R69" s="1479"/>
      <c r="S69" s="1161"/>
    </row>
    <row r="70" spans="1:19">
      <c r="A70" s="1480"/>
      <c r="B70" s="1511" t="s">
        <v>3695</v>
      </c>
      <c r="C70" s="1522"/>
      <c r="D70" s="1523">
        <v>40</v>
      </c>
      <c r="E70" s="1485" t="s">
        <v>2864</v>
      </c>
      <c r="F70" s="1419">
        <v>200</v>
      </c>
      <c r="G70" s="668">
        <f t="shared" si="37"/>
        <v>8000</v>
      </c>
      <c r="H70" s="1479"/>
      <c r="I70" s="1160">
        <f t="shared" si="38"/>
        <v>8000</v>
      </c>
      <c r="J70" s="1479"/>
      <c r="K70" s="1160">
        <f t="shared" si="38"/>
        <v>8000</v>
      </c>
      <c r="L70" s="1479"/>
      <c r="M70" s="1161"/>
      <c r="N70" s="1479"/>
      <c r="O70" s="1160"/>
      <c r="P70" s="1479"/>
      <c r="Q70" s="1161"/>
      <c r="R70" s="1479"/>
      <c r="S70" s="1161"/>
    </row>
    <row r="71" spans="1:19">
      <c r="A71" s="1480"/>
      <c r="B71" s="1511" t="s">
        <v>3696</v>
      </c>
      <c r="C71" s="1522"/>
      <c r="D71" s="1523">
        <v>5292</v>
      </c>
      <c r="E71" s="1485" t="s">
        <v>2845</v>
      </c>
      <c r="F71" s="1419">
        <v>6</v>
      </c>
      <c r="G71" s="668">
        <f t="shared" si="37"/>
        <v>31752</v>
      </c>
      <c r="H71" s="1479"/>
      <c r="I71" s="1160">
        <f t="shared" si="38"/>
        <v>31752</v>
      </c>
      <c r="J71" s="1479"/>
      <c r="K71" s="1160">
        <f t="shared" si="38"/>
        <v>31752</v>
      </c>
      <c r="L71" s="1479"/>
      <c r="M71" s="1161"/>
      <c r="N71" s="1479"/>
      <c r="O71" s="1160"/>
      <c r="P71" s="1479"/>
      <c r="Q71" s="1161"/>
      <c r="R71" s="1479"/>
      <c r="S71" s="1161"/>
    </row>
    <row r="72" spans="1:19">
      <c r="A72" s="1480"/>
      <c r="B72" s="1511" t="s">
        <v>3697</v>
      </c>
      <c r="C72" s="1522"/>
      <c r="D72" s="1523">
        <v>5292</v>
      </c>
      <c r="E72" s="1485" t="s">
        <v>2845</v>
      </c>
      <c r="F72" s="1419">
        <v>12</v>
      </c>
      <c r="G72" s="668">
        <f t="shared" si="37"/>
        <v>63504</v>
      </c>
      <c r="H72" s="1479"/>
      <c r="I72" s="1160">
        <f t="shared" si="38"/>
        <v>63504</v>
      </c>
      <c r="J72" s="1479"/>
      <c r="K72" s="1160">
        <f t="shared" si="38"/>
        <v>63504</v>
      </c>
      <c r="L72" s="1479"/>
      <c r="M72" s="1161"/>
      <c r="N72" s="1479"/>
      <c r="O72" s="1160"/>
      <c r="P72" s="1479"/>
      <c r="Q72" s="1161"/>
      <c r="R72" s="1479"/>
      <c r="S72" s="1161"/>
    </row>
    <row r="73" spans="1:19">
      <c r="A73" s="1480"/>
      <c r="B73" s="1159"/>
      <c r="C73" s="1461"/>
      <c r="D73" s="1418"/>
      <c r="E73" s="1485"/>
      <c r="F73" s="1419"/>
      <c r="G73" s="662">
        <f t="shared" si="32"/>
        <v>0</v>
      </c>
      <c r="H73" s="1479"/>
      <c r="I73" s="1160">
        <f t="shared" si="33"/>
        <v>0</v>
      </c>
      <c r="J73" s="1479"/>
      <c r="K73" s="1161"/>
      <c r="L73" s="1479"/>
      <c r="M73" s="1161"/>
      <c r="N73" s="1479"/>
      <c r="O73" s="1161"/>
      <c r="P73" s="1479"/>
      <c r="Q73" s="1161"/>
      <c r="R73" s="1479"/>
      <c r="S73" s="1161"/>
    </row>
    <row r="74" spans="1:19">
      <c r="A74" s="1480"/>
      <c r="B74" s="1511"/>
      <c r="C74" s="1522"/>
      <c r="D74" s="1523"/>
      <c r="E74" s="1485"/>
      <c r="F74" s="1419"/>
      <c r="G74" s="662">
        <f t="shared" ref="G74" si="39">ROUND(D74*F74,0)</f>
        <v>0</v>
      </c>
      <c r="H74" s="1479"/>
      <c r="I74" s="1160">
        <f t="shared" ref="I74" si="40">G74</f>
        <v>0</v>
      </c>
      <c r="J74" s="1524"/>
      <c r="K74" s="1281"/>
      <c r="L74" s="1479"/>
      <c r="M74" s="1161"/>
      <c r="N74" s="1479"/>
      <c r="O74" s="1160"/>
      <c r="P74" s="1479"/>
      <c r="Q74" s="1161"/>
      <c r="R74" s="1479"/>
      <c r="S74" s="1161"/>
    </row>
    <row r="75" spans="1:19">
      <c r="A75" s="1480"/>
      <c r="B75" s="1159"/>
      <c r="C75" s="1461"/>
      <c r="D75" s="1418"/>
      <c r="E75" s="1485"/>
      <c r="F75" s="1419"/>
      <c r="G75" s="662">
        <f t="shared" si="32"/>
        <v>0</v>
      </c>
      <c r="H75" s="1479"/>
      <c r="I75" s="1160">
        <f t="shared" si="33"/>
        <v>0</v>
      </c>
      <c r="J75" s="1479"/>
      <c r="K75" s="1160"/>
      <c r="L75" s="1479"/>
      <c r="M75" s="1161"/>
      <c r="N75" s="1479"/>
      <c r="O75" s="1161"/>
      <c r="P75" s="1479"/>
      <c r="Q75" s="1161"/>
      <c r="R75" s="1479"/>
      <c r="S75" s="1161"/>
    </row>
    <row r="76" spans="1:19">
      <c r="A76" s="1480"/>
      <c r="B76" s="1159"/>
      <c r="C76" s="1461"/>
      <c r="D76" s="1418"/>
      <c r="E76" s="1485"/>
      <c r="F76" s="1419"/>
      <c r="G76" s="662">
        <f t="shared" si="32"/>
        <v>0</v>
      </c>
      <c r="H76" s="1479"/>
      <c r="I76" s="1160">
        <f t="shared" si="33"/>
        <v>0</v>
      </c>
      <c r="J76" s="1479"/>
      <c r="K76" s="1160"/>
      <c r="L76" s="1479"/>
      <c r="M76" s="1161"/>
      <c r="N76" s="1479"/>
      <c r="O76" s="1161"/>
      <c r="P76" s="1479"/>
      <c r="Q76" s="1161"/>
      <c r="R76" s="1479"/>
      <c r="S76" s="1161"/>
    </row>
    <row r="77" spans="1:19">
      <c r="A77" s="1480"/>
      <c r="B77" s="1159"/>
      <c r="C77" s="1461"/>
      <c r="D77" s="1418"/>
      <c r="E77" s="1485"/>
      <c r="F77" s="1419"/>
      <c r="G77" s="662">
        <f t="shared" si="32"/>
        <v>0</v>
      </c>
      <c r="H77" s="1479"/>
      <c r="I77" s="1160">
        <f t="shared" si="33"/>
        <v>0</v>
      </c>
      <c r="J77" s="1479"/>
      <c r="K77" s="1160"/>
      <c r="L77" s="1479"/>
      <c r="M77" s="1161"/>
      <c r="N77" s="1479"/>
      <c r="O77" s="1161"/>
      <c r="P77" s="1479"/>
      <c r="Q77" s="1161"/>
      <c r="R77" s="1479"/>
      <c r="S77" s="1161"/>
    </row>
    <row r="78" spans="1:19">
      <c r="A78" s="1480"/>
      <c r="B78" s="1159"/>
      <c r="C78" s="1461"/>
      <c r="D78" s="1418"/>
      <c r="E78" s="1485"/>
      <c r="F78" s="1419"/>
      <c r="G78" s="662">
        <f t="shared" si="32"/>
        <v>0</v>
      </c>
      <c r="H78" s="1479"/>
      <c r="I78" s="1160">
        <f t="shared" si="33"/>
        <v>0</v>
      </c>
      <c r="J78" s="1479"/>
      <c r="K78" s="1160"/>
      <c r="L78" s="1479"/>
      <c r="M78" s="1161"/>
      <c r="N78" s="1479"/>
      <c r="O78" s="1161"/>
      <c r="P78" s="1479"/>
      <c r="Q78" s="1161"/>
      <c r="R78" s="1479"/>
      <c r="S78" s="1161"/>
    </row>
    <row r="79" spans="1:19" ht="15.75" thickBot="1">
      <c r="A79" s="1480"/>
      <c r="B79" s="1159"/>
      <c r="C79" s="1461"/>
      <c r="D79" s="1418"/>
      <c r="E79" s="1485"/>
      <c r="F79" s="1419"/>
      <c r="G79" s="662">
        <f t="shared" si="32"/>
        <v>0</v>
      </c>
      <c r="H79" s="1479"/>
      <c r="I79" s="1160">
        <f t="shared" si="33"/>
        <v>0</v>
      </c>
      <c r="J79" s="1479"/>
      <c r="K79" s="1160"/>
      <c r="L79" s="1479"/>
      <c r="M79" s="1161"/>
      <c r="N79" s="1479"/>
      <c r="O79" s="1161"/>
      <c r="P79" s="1479"/>
      <c r="Q79" s="1161"/>
      <c r="R79" s="1479"/>
      <c r="S79" s="1161"/>
    </row>
    <row r="80" spans="1:19" ht="15.75" thickTop="1">
      <c r="A80" s="13"/>
      <c r="B80" s="226" t="s">
        <v>3265</v>
      </c>
      <c r="C80" s="15"/>
      <c r="D80" s="168"/>
      <c r="E80" s="176"/>
      <c r="F80" s="376"/>
      <c r="G80" s="227">
        <f ca="1">SUBTOTAL(9,G21:G79)</f>
        <v>263746</v>
      </c>
      <c r="H80" s="19"/>
      <c r="I80" s="225">
        <f>SUBTOTAL(9,I20:I79)</f>
        <v>293252.92</v>
      </c>
      <c r="J80" s="19"/>
      <c r="K80" s="225">
        <f>SUBTOTAL(9,K20:K79)</f>
        <v>146663.14000000001</v>
      </c>
      <c r="L80" s="19"/>
      <c r="M80" s="225">
        <f>SUBTOTAL(9,M20:M79)</f>
        <v>0</v>
      </c>
      <c r="N80" s="19"/>
      <c r="O80" s="225">
        <f>SUBTOTAL(9,O20:O79)</f>
        <v>0</v>
      </c>
      <c r="P80" s="19"/>
      <c r="Q80" s="225">
        <f>SUBTOTAL(9,Q20:Q79)</f>
        <v>0</v>
      </c>
      <c r="R80" s="19"/>
      <c r="S80" s="225">
        <f>SUBTOTAL(9,S20:S79)</f>
        <v>0</v>
      </c>
    </row>
    <row r="81" spans="1:34">
      <c r="A81" s="1526"/>
      <c r="B81" s="1527" t="s">
        <v>2976</v>
      </c>
      <c r="C81" s="1528"/>
      <c r="D81" s="1529"/>
      <c r="E81" s="1530"/>
      <c r="F81" s="1531"/>
      <c r="G81" s="654"/>
      <c r="H81" s="1532">
        <v>0</v>
      </c>
      <c r="I81" s="645"/>
      <c r="J81" s="1532">
        <v>0</v>
      </c>
      <c r="K81" s="645"/>
      <c r="L81" s="1532">
        <v>0</v>
      </c>
      <c r="M81" s="645"/>
      <c r="N81" s="1532">
        <v>0</v>
      </c>
      <c r="O81" s="645"/>
      <c r="P81" s="1532">
        <v>0</v>
      </c>
      <c r="Q81" s="645"/>
      <c r="R81" s="1532">
        <v>0</v>
      </c>
      <c r="S81" s="645"/>
    </row>
    <row r="82" spans="1:34">
      <c r="A82" s="1526"/>
      <c r="B82" s="1527" t="s">
        <v>2977</v>
      </c>
      <c r="C82" s="1528"/>
      <c r="D82" s="1529"/>
      <c r="E82" s="1530"/>
      <c r="F82" s="1531"/>
      <c r="G82" s="654">
        <f ca="1">F81*G80</f>
        <v>0</v>
      </c>
      <c r="H82" s="1533"/>
      <c r="I82" s="1534">
        <f>H81*I80</f>
        <v>0</v>
      </c>
      <c r="J82" s="1533"/>
      <c r="K82" s="1534">
        <f>J81*K80</f>
        <v>0</v>
      </c>
      <c r="L82" s="1533"/>
      <c r="M82" s="1534">
        <f>L81*M80</f>
        <v>0</v>
      </c>
      <c r="N82" s="1533"/>
      <c r="O82" s="1534">
        <f>N81*O80</f>
        <v>0</v>
      </c>
      <c r="P82" s="1533"/>
      <c r="Q82" s="1534">
        <f>P81*Q80</f>
        <v>0</v>
      </c>
      <c r="R82" s="1533"/>
      <c r="S82" s="1534">
        <f>R81*S80</f>
        <v>0</v>
      </c>
    </row>
    <row r="83" spans="1:34">
      <c r="A83" s="1526"/>
      <c r="B83" s="1527"/>
      <c r="C83" s="1528"/>
      <c r="D83" s="1529"/>
      <c r="E83" s="1530"/>
      <c r="F83" s="1531"/>
      <c r="G83" s="654"/>
      <c r="H83" s="1533"/>
      <c r="I83" s="1534"/>
      <c r="J83" s="1533"/>
      <c r="K83" s="1534"/>
      <c r="L83" s="1533"/>
      <c r="M83" s="1534"/>
      <c r="N83" s="1533"/>
      <c r="O83" s="1534"/>
      <c r="P83" s="1533"/>
      <c r="Q83" s="1534"/>
      <c r="R83" s="1533"/>
      <c r="S83" s="1534"/>
    </row>
    <row r="84" spans="1:34">
      <c r="A84" s="1526"/>
      <c r="B84" s="1527" t="s">
        <v>2978</v>
      </c>
      <c r="C84" s="1528"/>
      <c r="D84" s="1529"/>
      <c r="E84" s="1530"/>
      <c r="F84" s="1531"/>
      <c r="G84" s="654">
        <f ca="1">SUM(G80:G82)</f>
        <v>263746</v>
      </c>
      <c r="H84" s="1535"/>
      <c r="I84" s="1534">
        <f>SUM(I80:I82)</f>
        <v>293252.92</v>
      </c>
      <c r="J84" s="1535"/>
      <c r="K84" s="1534">
        <f>SUM(K80:K82)</f>
        <v>146663.14000000001</v>
      </c>
      <c r="L84" s="1535"/>
      <c r="M84" s="1534">
        <f>SUM(M80:M82)</f>
        <v>0</v>
      </c>
      <c r="N84" s="1535"/>
      <c r="O84" s="1534">
        <f>SUM(O80:O82)</f>
        <v>0</v>
      </c>
      <c r="P84" s="1535"/>
      <c r="Q84" s="1534">
        <f>SUM(Q80:Q82)</f>
        <v>0</v>
      </c>
      <c r="R84" s="1535"/>
      <c r="S84" s="1534">
        <f>SUM(S80:S82)</f>
        <v>0</v>
      </c>
    </row>
    <row r="85" spans="1:34">
      <c r="A85" s="1526"/>
      <c r="B85" s="1536" t="s">
        <v>2979</v>
      </c>
      <c r="C85" s="1528"/>
      <c r="D85" s="1529"/>
      <c r="E85" s="1530"/>
      <c r="F85" s="1537"/>
      <c r="G85" s="655">
        <f ca="1">G84/'Area Calculations'!$F$5</f>
        <v>2.9744000360880549</v>
      </c>
      <c r="H85" s="1538"/>
      <c r="I85" s="1539">
        <f>I84/'Area Calculations'!$F$5</f>
        <v>3.3071648321905447</v>
      </c>
      <c r="J85" s="1538"/>
      <c r="K85" s="1539">
        <f>K84/'Area Calculations'!$F$5</f>
        <v>1.6539960754240348</v>
      </c>
      <c r="L85" s="1538"/>
      <c r="M85" s="1539">
        <f>M84/'Area Calculations'!$F$5</f>
        <v>0</v>
      </c>
      <c r="N85" s="1538"/>
      <c r="O85" s="1539">
        <f>O84/'Area Calculations'!$F$5</f>
        <v>0</v>
      </c>
      <c r="P85" s="1538"/>
      <c r="Q85" s="1539">
        <f>Q84/'Area Calculations'!$F$5</f>
        <v>0</v>
      </c>
      <c r="R85" s="1540"/>
      <c r="S85" s="1539">
        <f>S84/'Area Calculations'!$F$5</f>
        <v>0</v>
      </c>
    </row>
    <row r="86" spans="1:34">
      <c r="A86" s="1526"/>
      <c r="B86" s="1541"/>
      <c r="C86" s="1528"/>
      <c r="D86" s="1529"/>
      <c r="E86" s="1530"/>
      <c r="F86" s="1531"/>
      <c r="G86" s="656"/>
      <c r="H86" s="1542"/>
      <c r="I86" s="1542"/>
      <c r="J86" s="1542"/>
      <c r="K86" s="1543"/>
      <c r="L86" s="1542"/>
      <c r="M86" s="1542"/>
      <c r="N86" s="1542"/>
      <c r="O86" s="1542"/>
      <c r="P86" s="1542"/>
      <c r="Q86" s="1542"/>
      <c r="R86" s="1542"/>
      <c r="S86" s="1542"/>
    </row>
    <row r="87" spans="1:34" ht="16.5" hidden="1" thickTop="1" thickBot="1">
      <c r="A87" s="830" t="s">
        <v>2980</v>
      </c>
      <c r="B87" s="831"/>
      <c r="C87" s="12"/>
      <c r="D87" s="169"/>
      <c r="E87" s="177"/>
      <c r="F87" s="377"/>
      <c r="G87" s="228"/>
      <c r="H87" s="20"/>
      <c r="I87" s="20"/>
      <c r="J87" s="20"/>
      <c r="K87" s="20"/>
      <c r="L87" s="20"/>
      <c r="M87" s="20"/>
      <c r="N87" s="20"/>
      <c r="O87" s="20"/>
      <c r="P87" s="20"/>
      <c r="Q87" s="20"/>
      <c r="R87" s="20"/>
      <c r="S87" s="20"/>
    </row>
    <row r="88" spans="1:34" ht="15.75" hidden="1" thickTop="1">
      <c r="A88" s="823"/>
      <c r="B88" s="1460"/>
      <c r="C88" s="824"/>
      <c r="D88" s="1270"/>
      <c r="E88" s="1271"/>
      <c r="F88" s="1272"/>
      <c r="G88" s="1194"/>
      <c r="H88" s="825"/>
      <c r="I88" s="825"/>
      <c r="J88" s="825"/>
      <c r="K88" s="825"/>
      <c r="L88" s="825"/>
      <c r="M88" s="825"/>
      <c r="N88" s="825"/>
      <c r="O88" s="825"/>
      <c r="P88" s="825"/>
      <c r="Q88" s="825"/>
      <c r="R88" s="825"/>
      <c r="S88" s="825"/>
    </row>
    <row r="89" spans="1:34" hidden="1">
      <c r="A89" s="823"/>
      <c r="B89" s="1460"/>
      <c r="C89" s="824"/>
      <c r="D89" s="1270"/>
      <c r="E89" s="1271"/>
      <c r="F89" s="1272"/>
      <c r="G89" s="1194"/>
      <c r="H89" s="825"/>
      <c r="I89" s="825"/>
      <c r="J89" s="825"/>
      <c r="K89" s="825"/>
      <c r="L89" s="825"/>
      <c r="M89" s="825"/>
      <c r="N89" s="825"/>
      <c r="O89" s="825"/>
      <c r="P89" s="825"/>
      <c r="Q89" s="825"/>
      <c r="R89" s="825"/>
      <c r="S89" s="825"/>
    </row>
    <row r="90" spans="1:34" ht="15.75" hidden="1" thickBot="1">
      <c r="A90" s="823"/>
      <c r="B90" s="1460"/>
      <c r="C90" s="824"/>
      <c r="D90" s="1270"/>
      <c r="E90" s="1271"/>
      <c r="F90" s="1272"/>
      <c r="G90" s="1194"/>
      <c r="H90" s="825"/>
      <c r="I90" s="825"/>
      <c r="J90" s="825"/>
      <c r="K90" s="825"/>
      <c r="L90" s="825"/>
      <c r="M90" s="825"/>
      <c r="N90" s="825"/>
      <c r="O90" s="825"/>
      <c r="P90" s="825"/>
      <c r="Q90" s="825"/>
      <c r="R90" s="825"/>
      <c r="S90" s="825"/>
    </row>
    <row r="91" spans="1:34" s="2" customFormat="1" ht="16.5" hidden="1" thickTop="1" thickBot="1">
      <c r="A91" s="830" t="s">
        <v>2981</v>
      </c>
      <c r="B91" s="831"/>
      <c r="C91" s="12"/>
      <c r="D91" s="169"/>
      <c r="E91" s="177"/>
      <c r="F91" s="377"/>
      <c r="G91" s="228"/>
      <c r="H91" s="20"/>
      <c r="I91" s="20"/>
      <c r="J91" s="20"/>
      <c r="K91" s="20"/>
      <c r="L91" s="20"/>
      <c r="M91" s="20"/>
      <c r="N91" s="20"/>
      <c r="O91" s="20"/>
      <c r="P91" s="20"/>
      <c r="Q91" s="20"/>
      <c r="R91" s="20"/>
      <c r="S91" s="20"/>
      <c r="T91"/>
      <c r="U91"/>
      <c r="V91"/>
      <c r="W91"/>
      <c r="X91"/>
      <c r="Y91"/>
      <c r="Z91"/>
      <c r="AA91"/>
      <c r="AB91"/>
      <c r="AC91"/>
      <c r="AD91"/>
      <c r="AE91"/>
      <c r="AF91"/>
      <c r="AG91"/>
      <c r="AH91"/>
    </row>
    <row r="92" spans="1:34" s="2" customFormat="1" ht="15.75" hidden="1" thickTop="1">
      <c r="A92" s="823"/>
      <c r="B92" s="1460"/>
      <c r="C92" s="824"/>
      <c r="D92" s="1270"/>
      <c r="E92" s="1271"/>
      <c r="F92" s="1272"/>
      <c r="G92" s="1194"/>
      <c r="H92" s="825"/>
      <c r="I92" s="825"/>
      <c r="J92" s="825"/>
      <c r="K92" s="825"/>
      <c r="L92" s="825"/>
      <c r="M92" s="825"/>
      <c r="N92" s="825"/>
      <c r="O92" s="825"/>
      <c r="P92" s="825"/>
      <c r="Q92" s="825"/>
      <c r="R92" s="825"/>
      <c r="S92" s="825"/>
      <c r="T92"/>
      <c r="U92"/>
      <c r="V92"/>
      <c r="W92"/>
      <c r="X92"/>
      <c r="Y92"/>
      <c r="Z92"/>
      <c r="AA92"/>
      <c r="AB92"/>
      <c r="AC92"/>
      <c r="AD92"/>
      <c r="AE92"/>
      <c r="AF92"/>
      <c r="AG92"/>
      <c r="AH92"/>
    </row>
    <row r="93" spans="1:34" s="2" customFormat="1" hidden="1">
      <c r="A93" s="823"/>
      <c r="B93" s="1460"/>
      <c r="C93" s="824"/>
      <c r="D93" s="1270"/>
      <c r="E93" s="1271"/>
      <c r="F93" s="1272"/>
      <c r="G93" s="1194"/>
      <c r="H93" s="825"/>
      <c r="I93" s="825"/>
      <c r="J93" s="825"/>
      <c r="K93" s="825"/>
      <c r="L93" s="825"/>
      <c r="M93" s="825"/>
      <c r="N93" s="825"/>
      <c r="O93" s="825"/>
      <c r="P93" s="825"/>
      <c r="Q93" s="825"/>
      <c r="R93" s="825"/>
      <c r="S93" s="825"/>
      <c r="T93"/>
      <c r="U93"/>
      <c r="V93"/>
      <c r="W93"/>
      <c r="X93"/>
      <c r="Y93"/>
      <c r="Z93"/>
      <c r="AA93"/>
      <c r="AB93"/>
      <c r="AC93"/>
      <c r="AD93"/>
      <c r="AE93"/>
      <c r="AF93"/>
      <c r="AG93"/>
      <c r="AH93"/>
    </row>
    <row r="94" spans="1:34" ht="15.75" hidden="1" thickBot="1">
      <c r="A94" s="823"/>
      <c r="B94" s="1460"/>
      <c r="C94" s="824"/>
      <c r="D94" s="1270"/>
      <c r="E94" s="1271"/>
      <c r="F94" s="1272"/>
      <c r="G94" s="1194"/>
      <c r="H94" s="825"/>
      <c r="I94" s="825"/>
      <c r="J94" s="825"/>
      <c r="K94" s="825"/>
      <c r="L94" s="825"/>
      <c r="M94" s="825"/>
      <c r="N94" s="825"/>
      <c r="O94" s="825"/>
      <c r="P94" s="825"/>
      <c r="Q94" s="825"/>
      <c r="R94" s="825"/>
      <c r="S94" s="825"/>
    </row>
    <row r="95" spans="1:34" s="2" customFormat="1" ht="16.5" hidden="1" thickTop="1" thickBot="1">
      <c r="A95" s="830" t="s">
        <v>2982</v>
      </c>
      <c r="B95" s="831"/>
      <c r="C95" s="12"/>
      <c r="D95" s="169"/>
      <c r="E95" s="177"/>
      <c r="F95" s="377"/>
      <c r="G95" s="228"/>
      <c r="H95" s="20"/>
      <c r="I95" s="20"/>
      <c r="J95" s="20"/>
      <c r="K95" s="20"/>
      <c r="L95" s="20"/>
      <c r="M95" s="20"/>
      <c r="N95" s="20"/>
      <c r="O95" s="20"/>
      <c r="P95" s="20"/>
      <c r="Q95" s="20"/>
      <c r="R95" s="20"/>
      <c r="S95" s="20"/>
      <c r="T95"/>
      <c r="U95"/>
      <c r="V95"/>
      <c r="W95"/>
      <c r="X95"/>
      <c r="Y95"/>
      <c r="Z95"/>
      <c r="AA95"/>
      <c r="AB95"/>
      <c r="AC95"/>
      <c r="AD95"/>
      <c r="AE95"/>
      <c r="AF95"/>
      <c r="AG95"/>
      <c r="AH95"/>
    </row>
    <row r="96" spans="1:34" s="2" customFormat="1" ht="15.75" hidden="1" thickTop="1">
      <c r="A96" s="823"/>
      <c r="B96" s="1460"/>
      <c r="C96" s="824"/>
      <c r="D96" s="1270"/>
      <c r="E96" s="1271"/>
      <c r="F96" s="1272"/>
      <c r="G96" s="1194"/>
      <c r="H96" s="825"/>
      <c r="I96" s="825"/>
      <c r="J96" s="825"/>
      <c r="K96" s="825"/>
      <c r="L96" s="825"/>
      <c r="M96" s="825"/>
      <c r="N96" s="825"/>
      <c r="O96" s="825"/>
      <c r="P96" s="825"/>
      <c r="Q96" s="825"/>
      <c r="R96" s="825"/>
      <c r="S96" s="825"/>
      <c r="T96"/>
      <c r="U96"/>
      <c r="V96"/>
      <c r="W96"/>
      <c r="X96"/>
      <c r="Y96"/>
      <c r="Z96"/>
      <c r="AA96"/>
      <c r="AB96"/>
      <c r="AC96"/>
      <c r="AD96"/>
      <c r="AE96"/>
      <c r="AF96"/>
      <c r="AG96"/>
      <c r="AH96"/>
    </row>
    <row r="97" spans="1:34" s="2" customFormat="1" hidden="1">
      <c r="A97" s="1544"/>
      <c r="B97" s="1460"/>
      <c r="C97" s="1461"/>
      <c r="D97" s="1418"/>
      <c r="E97" s="1485"/>
      <c r="F97" s="1419"/>
      <c r="G97" s="1545"/>
      <c r="H97" s="1546"/>
      <c r="I97" s="1546"/>
      <c r="J97" s="1546"/>
      <c r="K97" s="1546"/>
      <c r="L97" s="1546"/>
      <c r="M97" s="1546"/>
      <c r="N97" s="1546"/>
      <c r="O97" s="1546"/>
      <c r="P97" s="1546"/>
      <c r="Q97" s="1546"/>
      <c r="R97" s="1546"/>
      <c r="S97" s="1546"/>
      <c r="T97"/>
      <c r="U97"/>
      <c r="V97"/>
      <c r="W97"/>
      <c r="X97"/>
      <c r="Y97"/>
      <c r="Z97"/>
      <c r="AA97"/>
      <c r="AB97"/>
      <c r="AC97"/>
      <c r="AD97"/>
      <c r="AE97"/>
      <c r="AF97"/>
      <c r="AG97"/>
      <c r="AH97"/>
    </row>
    <row r="98" spans="1:34" s="2" customFormat="1" ht="15.75" hidden="1" thickBot="1">
      <c r="A98" s="1547"/>
      <c r="B98" s="1513"/>
      <c r="C98" s="1461"/>
      <c r="D98" s="1418"/>
      <c r="E98" s="1485"/>
      <c r="F98" s="1419"/>
      <c r="G98" s="1545"/>
      <c r="H98" s="1548"/>
      <c r="I98" s="1548"/>
      <c r="J98" s="1548"/>
      <c r="K98" s="1548"/>
      <c r="L98" s="1548"/>
      <c r="M98" s="1548"/>
      <c r="N98" s="1548"/>
      <c r="O98" s="1548"/>
      <c r="P98" s="1548"/>
      <c r="Q98" s="1548"/>
      <c r="R98" s="1548"/>
      <c r="S98" s="1548"/>
    </row>
    <row r="99" spans="1:34" s="2" customFormat="1" ht="16.5" hidden="1" thickTop="1" thickBot="1">
      <c r="A99" s="830" t="s">
        <v>2983</v>
      </c>
      <c r="B99" s="831"/>
      <c r="C99" s="12"/>
      <c r="D99" s="169"/>
      <c r="E99" s="177"/>
      <c r="F99" s="377"/>
      <c r="G99" s="228"/>
      <c r="H99" s="20"/>
      <c r="I99" s="20"/>
      <c r="J99" s="20"/>
      <c r="K99" s="20"/>
      <c r="L99" s="20"/>
      <c r="M99" s="20"/>
      <c r="N99" s="20"/>
      <c r="O99" s="20"/>
      <c r="P99" s="20"/>
      <c r="Q99" s="20"/>
      <c r="R99" s="20"/>
      <c r="S99" s="20"/>
      <c r="T99"/>
      <c r="U99"/>
      <c r="V99"/>
      <c r="W99"/>
      <c r="X99"/>
      <c r="Y99"/>
      <c r="Z99"/>
      <c r="AA99"/>
      <c r="AB99"/>
      <c r="AC99"/>
      <c r="AD99"/>
      <c r="AE99"/>
      <c r="AF99"/>
      <c r="AG99"/>
      <c r="AH99"/>
    </row>
    <row r="100" spans="1:34" ht="15.75" hidden="1" thickTop="1">
      <c r="A100" s="826"/>
      <c r="B100" s="827"/>
      <c r="C100" s="824"/>
      <c r="D100" s="1270"/>
      <c r="E100" s="1271"/>
      <c r="F100" s="1272"/>
      <c r="G100" s="1194"/>
      <c r="H100" s="825"/>
      <c r="I100" s="825"/>
      <c r="J100" s="825"/>
      <c r="K100" s="825"/>
      <c r="L100" s="825"/>
      <c r="M100" s="825"/>
      <c r="N100" s="825"/>
      <c r="O100" s="825"/>
      <c r="P100" s="825"/>
      <c r="Q100" s="825"/>
      <c r="R100" s="825"/>
      <c r="S100" s="825"/>
      <c r="T100" s="2"/>
      <c r="U100" s="2"/>
      <c r="V100" s="2"/>
      <c r="W100" s="2"/>
      <c r="X100" s="2"/>
      <c r="Y100" s="2"/>
      <c r="Z100" s="2"/>
      <c r="AA100" s="2"/>
      <c r="AB100" s="2"/>
      <c r="AC100" s="2"/>
      <c r="AD100" s="2"/>
      <c r="AE100" s="2"/>
      <c r="AF100" s="2"/>
      <c r="AG100" s="2"/>
      <c r="AH100" s="2"/>
    </row>
    <row r="101" spans="1:34" hidden="1">
      <c r="A101" s="1547"/>
      <c r="B101" s="1513"/>
      <c r="C101" s="1461"/>
      <c r="D101" s="1418"/>
      <c r="E101" s="1485"/>
      <c r="F101" s="1419"/>
      <c r="G101" s="1545"/>
      <c r="H101" s="1549"/>
      <c r="I101" s="1549"/>
      <c r="J101" s="1549"/>
      <c r="K101" s="1549"/>
      <c r="L101" s="1549"/>
      <c r="M101" s="1549"/>
      <c r="N101" s="1549"/>
      <c r="O101" s="1549"/>
      <c r="P101" s="1549"/>
      <c r="Q101" s="1549"/>
      <c r="R101" s="1549"/>
      <c r="S101" s="1549"/>
      <c r="T101" s="2"/>
      <c r="U101" s="2"/>
      <c r="V101" s="2"/>
      <c r="W101" s="2"/>
      <c r="X101" s="2"/>
      <c r="Y101" s="2"/>
      <c r="Z101" s="2"/>
      <c r="AA101" s="2"/>
      <c r="AB101" s="2"/>
      <c r="AC101" s="2"/>
      <c r="AD101" s="2"/>
      <c r="AE101" s="2"/>
      <c r="AF101" s="2"/>
      <c r="AG101" s="2"/>
      <c r="AH101" s="2"/>
    </row>
    <row r="102" spans="1:34" ht="15.75" hidden="1" thickBot="1">
      <c r="A102" s="1547"/>
      <c r="B102" s="1513"/>
      <c r="C102" s="1461"/>
      <c r="D102" s="1418"/>
      <c r="E102" s="1485"/>
      <c r="F102" s="1419"/>
      <c r="G102" s="1545"/>
      <c r="H102" s="1549"/>
      <c r="I102" s="1549"/>
      <c r="J102" s="1549"/>
      <c r="K102" s="1549"/>
      <c r="L102" s="1549"/>
      <c r="M102" s="1549"/>
      <c r="N102" s="1549"/>
      <c r="O102" s="1549"/>
      <c r="P102" s="1549"/>
      <c r="Q102" s="1549"/>
      <c r="R102" s="1549"/>
      <c r="S102" s="1549"/>
      <c r="T102" s="2"/>
      <c r="U102" s="2"/>
      <c r="V102" s="2"/>
      <c r="W102" s="2"/>
      <c r="X102" s="2"/>
      <c r="Y102" s="2"/>
      <c r="Z102" s="2"/>
      <c r="AA102" s="2"/>
      <c r="AB102" s="2"/>
      <c r="AC102" s="2"/>
      <c r="AD102" s="2"/>
      <c r="AE102" s="2"/>
      <c r="AF102" s="2"/>
      <c r="AG102" s="2"/>
      <c r="AH102" s="2"/>
    </row>
    <row r="103" spans="1:34" ht="16.5" hidden="1" thickTop="1" thickBot="1">
      <c r="A103" s="830" t="s">
        <v>2984</v>
      </c>
      <c r="B103" s="831"/>
      <c r="C103" s="12"/>
      <c r="D103" s="169"/>
      <c r="E103" s="177"/>
      <c r="F103" s="377"/>
      <c r="G103" s="228"/>
      <c r="H103" s="20"/>
      <c r="I103" s="20"/>
      <c r="J103" s="20"/>
      <c r="K103" s="20"/>
      <c r="L103" s="20"/>
      <c r="M103" s="20"/>
      <c r="N103" s="20"/>
      <c r="O103" s="20"/>
      <c r="P103" s="20"/>
      <c r="Q103" s="20"/>
      <c r="R103" s="20"/>
      <c r="S103" s="20"/>
    </row>
    <row r="104" spans="1:34" ht="15.75" hidden="1" thickTop="1">
      <c r="A104" s="1544"/>
      <c r="B104" s="1460" t="s">
        <v>2985</v>
      </c>
      <c r="C104" s="1461"/>
      <c r="D104" s="1418"/>
      <c r="E104" s="1485"/>
      <c r="F104" s="1419"/>
      <c r="G104" s="1545"/>
      <c r="H104" s="1549"/>
      <c r="I104" s="1549"/>
      <c r="J104" s="1549"/>
      <c r="K104" s="1549"/>
      <c r="L104" s="1549"/>
      <c r="M104" s="1549"/>
      <c r="N104" s="1549"/>
      <c r="O104" s="1549"/>
      <c r="P104" s="1549"/>
      <c r="Q104" s="1549"/>
      <c r="R104" s="1549"/>
      <c r="S104" s="1549"/>
    </row>
    <row r="105" spans="1:34" hidden="1">
      <c r="A105" s="1544"/>
      <c r="B105" s="1460" t="s">
        <v>2986</v>
      </c>
      <c r="C105" s="1461"/>
      <c r="D105" s="1418"/>
      <c r="E105" s="1485"/>
      <c r="F105" s="1419"/>
      <c r="G105" s="1545"/>
      <c r="H105" s="1549"/>
      <c r="I105" s="1549"/>
      <c r="J105" s="1549"/>
      <c r="K105" s="1549"/>
      <c r="L105" s="1549"/>
      <c r="M105" s="1549"/>
      <c r="N105" s="1549"/>
      <c r="O105" s="1549"/>
      <c r="P105" s="1549"/>
      <c r="Q105" s="1549"/>
      <c r="R105" s="1549"/>
      <c r="S105" s="1549"/>
    </row>
    <row r="106" spans="1:34" hidden="1">
      <c r="A106" s="1544"/>
      <c r="B106" s="1460" t="s">
        <v>2987</v>
      </c>
      <c r="C106" s="1461"/>
      <c r="D106" s="1418"/>
      <c r="E106" s="1485"/>
      <c r="F106" s="1419"/>
      <c r="G106" s="1545"/>
      <c r="H106" s="1549"/>
      <c r="I106" s="1549"/>
      <c r="J106" s="1549"/>
      <c r="K106" s="1549"/>
      <c r="L106" s="1549"/>
      <c r="M106" s="1549"/>
      <c r="N106" s="1549"/>
      <c r="O106" s="1549"/>
      <c r="P106" s="1549"/>
      <c r="Q106" s="1549"/>
      <c r="R106" s="1549"/>
      <c r="S106" s="1549"/>
    </row>
    <row r="107" spans="1:34" hidden="1">
      <c r="A107" s="1544"/>
      <c r="B107" s="1460" t="s">
        <v>2988</v>
      </c>
      <c r="C107" s="1461"/>
      <c r="D107" s="1418"/>
      <c r="E107" s="1485"/>
      <c r="F107" s="1419"/>
      <c r="G107" s="1545"/>
      <c r="H107" s="1549"/>
      <c r="I107" s="1549"/>
      <c r="J107" s="1549"/>
      <c r="K107" s="1549"/>
      <c r="L107" s="1549"/>
      <c r="M107" s="1549"/>
      <c r="N107" s="1549"/>
      <c r="O107" s="1549"/>
      <c r="P107" s="1549"/>
      <c r="Q107" s="1549"/>
      <c r="R107" s="1549"/>
      <c r="S107" s="1549"/>
    </row>
    <row r="108" spans="1:34" ht="15.75" hidden="1" thickBot="1">
      <c r="A108" s="646"/>
      <c r="B108" s="619"/>
      <c r="C108" s="616"/>
      <c r="D108" s="621"/>
      <c r="E108" s="622"/>
      <c r="F108" s="623"/>
      <c r="G108" s="620"/>
      <c r="H108" s="647"/>
      <c r="I108" s="647"/>
      <c r="J108" s="647"/>
      <c r="K108" s="647"/>
      <c r="L108" s="647"/>
      <c r="M108" s="647"/>
      <c r="N108" s="647"/>
      <c r="O108" s="647"/>
      <c r="P108" s="647"/>
      <c r="Q108" s="647"/>
      <c r="R108" s="647"/>
      <c r="S108" s="647"/>
    </row>
    <row r="109" spans="1:34" ht="16.5" hidden="1" thickTop="1" thickBot="1">
      <c r="A109" s="7" t="s">
        <v>2989</v>
      </c>
      <c r="B109" s="8"/>
      <c r="C109" s="12"/>
      <c r="D109" s="169"/>
      <c r="E109" s="177"/>
      <c r="F109" s="377"/>
      <c r="G109" s="228"/>
      <c r="H109" s="20"/>
      <c r="I109" s="20"/>
      <c r="J109" s="20"/>
      <c r="K109" s="20"/>
      <c r="L109" s="20"/>
      <c r="M109" s="20"/>
      <c r="N109" s="20"/>
      <c r="O109" s="20"/>
      <c r="P109" s="20"/>
      <c r="Q109" s="20"/>
      <c r="R109" s="20"/>
      <c r="S109" s="20"/>
    </row>
    <row r="110" spans="1:34" ht="15.75" hidden="1" thickTop="1">
      <c r="A110" s="823"/>
      <c r="B110" s="828" t="s">
        <v>2990</v>
      </c>
      <c r="C110" s="824"/>
      <c r="D110" s="1270"/>
      <c r="E110" s="1271"/>
      <c r="F110" s="1272"/>
      <c r="G110" s="1194"/>
      <c r="H110" s="829"/>
      <c r="I110" s="829"/>
      <c r="J110" s="829"/>
      <c r="K110" s="829"/>
      <c r="L110" s="829"/>
      <c r="M110" s="829"/>
      <c r="N110" s="829"/>
      <c r="O110" s="829"/>
      <c r="P110" s="829"/>
      <c r="Q110" s="829"/>
      <c r="R110" s="829"/>
      <c r="S110" s="829"/>
    </row>
    <row r="111" spans="1:34" hidden="1">
      <c r="A111" s="1544"/>
      <c r="B111" s="1460" t="s">
        <v>2991</v>
      </c>
      <c r="C111" s="1461"/>
      <c r="D111" s="1418"/>
      <c r="E111" s="1485"/>
      <c r="F111" s="1419"/>
      <c r="G111" s="1545"/>
      <c r="H111" s="1550"/>
      <c r="I111" s="1550"/>
      <c r="J111" s="1550"/>
      <c r="K111" s="1550"/>
      <c r="L111" s="1550"/>
      <c r="M111" s="1550"/>
      <c r="N111" s="1550"/>
      <c r="O111" s="1550"/>
      <c r="P111" s="1550"/>
      <c r="Q111" s="1550"/>
      <c r="R111" s="1550"/>
      <c r="S111" s="1550"/>
    </row>
    <row r="112" spans="1:34" ht="15.75" hidden="1" thickBot="1">
      <c r="A112" s="1551"/>
      <c r="B112" s="1473" t="s">
        <v>2992</v>
      </c>
      <c r="C112" s="1552"/>
      <c r="D112" s="1553"/>
      <c r="E112" s="1554"/>
      <c r="F112" s="1505"/>
      <c r="G112" s="1555"/>
      <c r="H112" s="1556"/>
      <c r="I112" s="1556"/>
      <c r="J112" s="1556"/>
      <c r="K112" s="1556"/>
      <c r="L112" s="1556"/>
      <c r="M112" s="1556"/>
      <c r="N112" s="1556"/>
      <c r="O112" s="1556"/>
      <c r="P112" s="1556"/>
      <c r="Q112" s="1556"/>
      <c r="R112" s="1556"/>
      <c r="S112" s="1556"/>
    </row>
    <row r="113" spans="1:2" ht="15.75" thickBot="1"/>
    <row r="114" spans="1:2" ht="16.5" thickTop="1" thickBot="1">
      <c r="A114" s="59" t="s">
        <v>2993</v>
      </c>
      <c r="B114" s="61"/>
    </row>
    <row r="115" spans="1:2" ht="15.75" thickTop="1">
      <c r="A115" s="60" t="s">
        <v>2936</v>
      </c>
      <c r="B115" s="1557"/>
    </row>
    <row r="116" spans="1:2">
      <c r="A116" s="1558" t="s">
        <v>2939</v>
      </c>
      <c r="B116" s="1557"/>
    </row>
    <row r="117" spans="1:2">
      <c r="A117" s="1559" t="s">
        <v>2941</v>
      </c>
      <c r="B117" s="1560"/>
    </row>
    <row r="118" spans="1:2">
      <c r="A118" s="1559" t="s">
        <v>2943</v>
      </c>
      <c r="B118" s="1561"/>
    </row>
    <row r="119" spans="1:2" ht="15.75" thickBot="1">
      <c r="A119" s="1562" t="s">
        <v>2994</v>
      </c>
      <c r="B119" s="1563">
        <f>I$84</f>
        <v>293252.92</v>
      </c>
    </row>
    <row r="120" spans="1:2" ht="15.75" thickTop="1"/>
    <row r="121" spans="1:2">
      <c r="A121" s="62"/>
      <c r="B121" s="1" t="s">
        <v>2995</v>
      </c>
    </row>
    <row r="122" spans="1:2">
      <c r="A122" s="63"/>
      <c r="B122" s="1" t="s">
        <v>2996</v>
      </c>
    </row>
  </sheetData>
  <mergeCells count="35">
    <mergeCell ref="R9:S9"/>
    <mergeCell ref="A87:B87"/>
    <mergeCell ref="A91:B91"/>
    <mergeCell ref="A95:B95"/>
    <mergeCell ref="J9:K9"/>
    <mergeCell ref="N9:O9"/>
    <mergeCell ref="L9:M9"/>
    <mergeCell ref="H9:I9"/>
    <mergeCell ref="P9:Q9"/>
    <mergeCell ref="J8:K8"/>
    <mergeCell ref="N8:O8"/>
    <mergeCell ref="L8:M8"/>
    <mergeCell ref="H8:I8"/>
    <mergeCell ref="P8:Q8"/>
    <mergeCell ref="N7:O7"/>
    <mergeCell ref="L7:M7"/>
    <mergeCell ref="H7:I7"/>
    <mergeCell ref="P7:Q7"/>
    <mergeCell ref="R7:S7"/>
    <mergeCell ref="A99:B99"/>
    <mergeCell ref="A103:B103"/>
    <mergeCell ref="R6:S6"/>
    <mergeCell ref="J5:K5"/>
    <mergeCell ref="N5:O5"/>
    <mergeCell ref="L5:M5"/>
    <mergeCell ref="H5:I5"/>
    <mergeCell ref="P5:Q5"/>
    <mergeCell ref="R5:S5"/>
    <mergeCell ref="J6:K6"/>
    <mergeCell ref="N6:O6"/>
    <mergeCell ref="L6:M6"/>
    <mergeCell ref="H6:I6"/>
    <mergeCell ref="P6:Q6"/>
    <mergeCell ref="R8:S8"/>
    <mergeCell ref="J7:K7"/>
  </mergeCells>
  <conditionalFormatting sqref="H11:H18 J11:J18 L11:L18 N11:N18 P11:P18 R11:R18">
    <cfRule type="cellIs" dxfId="285" priority="15" operator="equal">
      <formula>"X"</formula>
    </cfRule>
    <cfRule type="cellIs" dxfId="284" priority="16" operator="equal">
      <formula>"I"</formula>
    </cfRule>
  </conditionalFormatting>
  <conditionalFormatting sqref="H20:H79 J20:J79 L20:L79 N20:N79 P20:P79 R20:R79">
    <cfRule type="cellIs" dxfId="283" priority="1" operator="equal">
      <formula>"X"</formula>
    </cfRule>
    <cfRule type="cellIs" dxfId="282" priority="2" operator="equal">
      <formula>"I"</formula>
    </cfRule>
  </conditionalFormatting>
  <hyperlinks>
    <hyperlink ref="B4" location="'Cost Summary'!A1" display="BACK TO SUMMARY SHEET" xr:uid="{6D37EAED-4E91-46F6-8FCD-5A654011D8CF}"/>
  </hyperlinks>
  <pageMargins left="0.2" right="0.2" top="0.5" bottom="0.75" header="0.3" footer="0.3"/>
  <pageSetup paperSize="3" scale="77"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59C-DF99-44F8-9B46-40F6D8D9FB95}">
  <sheetPr>
    <tabColor rgb="FF00B050"/>
    <pageSetUpPr fitToPage="1"/>
  </sheetPr>
  <dimension ref="A1:AH153"/>
  <sheetViews>
    <sheetView zoomScale="90" zoomScaleNormal="90" workbookViewId="0">
      <pane xSplit="6" ySplit="10" topLeftCell="G25" activePane="bottomRight" state="frozen"/>
      <selection pane="bottomRight" activeCell="D100" sqref="D100"/>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9.7109375" style="2" bestFit="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1" width="5.85546875" bestFit="1" customWidth="1"/>
    <col min="22" max="22" width="10" style="300" bestFit="1" customWidth="1"/>
    <col min="23" max="23" width="4.140625" bestFit="1" customWidth="1"/>
    <col min="24" max="24" width="9.28515625" style="58" bestFit="1" customWidth="1"/>
    <col min="25" max="25" width="12.140625" style="58" bestFit="1" customWidth="1"/>
  </cols>
  <sheetData>
    <row r="1" spans="1:25">
      <c r="F1" s="178"/>
      <c r="G1" s="56" t="s">
        <v>2928</v>
      </c>
    </row>
    <row r="2" spans="1:25">
      <c r="F2" s="179" t="s">
        <v>2929</v>
      </c>
      <c r="G2" s="56" t="s">
        <v>2930</v>
      </c>
    </row>
    <row r="3" spans="1:25">
      <c r="F3" s="180" t="s">
        <v>2931</v>
      </c>
      <c r="G3" s="56" t="s">
        <v>2932</v>
      </c>
    </row>
    <row r="4" spans="1:25" ht="15.75" thickBot="1">
      <c r="B4" s="181" t="s">
        <v>2933</v>
      </c>
      <c r="F4" s="170"/>
      <c r="G4" s="2" t="s">
        <v>2934</v>
      </c>
    </row>
    <row r="5" spans="1:25" ht="15.75" thickTop="1">
      <c r="A5" s="3" t="s">
        <v>2935</v>
      </c>
      <c r="B5" s="4" t="s">
        <v>84</v>
      </c>
      <c r="C5" s="5"/>
      <c r="D5" s="166"/>
      <c r="E5" s="171"/>
      <c r="F5" s="5"/>
      <c r="G5" s="6" t="s">
        <v>2936</v>
      </c>
      <c r="H5" s="837" t="s">
        <v>3698</v>
      </c>
      <c r="I5" s="838"/>
      <c r="J5" s="841"/>
      <c r="K5" s="842"/>
      <c r="L5" s="841"/>
      <c r="M5" s="842"/>
      <c r="N5" s="841"/>
      <c r="O5" s="842"/>
      <c r="P5" s="841"/>
      <c r="Q5" s="842"/>
      <c r="R5" s="841"/>
      <c r="S5" s="842"/>
    </row>
    <row r="6" spans="1:25">
      <c r="A6" s="1564" t="s">
        <v>2938</v>
      </c>
      <c r="B6" s="1565" t="s">
        <v>2560</v>
      </c>
      <c r="C6" s="1566"/>
      <c r="D6" s="1489"/>
      <c r="E6" s="1567"/>
      <c r="F6" s="1566"/>
      <c r="G6" s="657" t="s">
        <v>2939</v>
      </c>
      <c r="H6" s="1568" t="s">
        <v>3699</v>
      </c>
      <c r="I6" s="839"/>
      <c r="J6" s="1569"/>
      <c r="K6" s="843"/>
      <c r="L6" s="1569"/>
      <c r="M6" s="843"/>
      <c r="N6" s="1569"/>
      <c r="O6" s="843"/>
      <c r="P6" s="1569"/>
      <c r="Q6" s="843"/>
      <c r="R6" s="1569"/>
      <c r="S6" s="843"/>
    </row>
    <row r="7" spans="1:25">
      <c r="A7" s="1564" t="s">
        <v>2940</v>
      </c>
      <c r="B7" s="1570" t="s">
        <v>2636</v>
      </c>
      <c r="C7" s="1566"/>
      <c r="D7" s="1489"/>
      <c r="E7" s="1567"/>
      <c r="F7" s="1566"/>
      <c r="G7" s="1571" t="s">
        <v>2941</v>
      </c>
      <c r="H7" s="1572" t="s">
        <v>3700</v>
      </c>
      <c r="I7" s="840"/>
      <c r="J7" s="1573"/>
      <c r="K7" s="844"/>
      <c r="L7" s="1573"/>
      <c r="M7" s="844"/>
      <c r="N7" s="1573"/>
      <c r="O7" s="844"/>
      <c r="P7" s="1573"/>
      <c r="Q7" s="844"/>
      <c r="R7" s="1573"/>
      <c r="S7" s="844"/>
    </row>
    <row r="8" spans="1:25">
      <c r="A8" s="1564" t="s">
        <v>2942</v>
      </c>
      <c r="B8" s="1574"/>
      <c r="C8" s="1566"/>
      <c r="D8" s="1489"/>
      <c r="E8" s="1567"/>
      <c r="F8" s="1566"/>
      <c r="G8" s="1571" t="s">
        <v>2943</v>
      </c>
      <c r="H8" s="1575" t="s">
        <v>3701</v>
      </c>
      <c r="I8" s="836"/>
      <c r="J8" s="1576"/>
      <c r="K8" s="845"/>
      <c r="L8" s="1576"/>
      <c r="M8" s="845"/>
      <c r="N8" s="1576"/>
      <c r="O8" s="845"/>
      <c r="P8" s="1576"/>
      <c r="Q8" s="845"/>
      <c r="R8" s="1576"/>
      <c r="S8" s="845"/>
    </row>
    <row r="9" spans="1:25" ht="15.75" thickBot="1">
      <c r="A9" s="1577"/>
      <c r="B9" s="1578"/>
      <c r="C9" s="616"/>
      <c r="D9" s="621"/>
      <c r="E9" s="622"/>
      <c r="F9" s="1552"/>
      <c r="G9" s="1579" t="s">
        <v>2944</v>
      </c>
      <c r="H9" s="1580">
        <f>I$114</f>
        <v>4406552</v>
      </c>
      <c r="I9" s="1581"/>
      <c r="J9" s="1582">
        <f t="shared" ref="J9" si="0">K$114</f>
        <v>0</v>
      </c>
      <c r="K9" s="1583"/>
      <c r="L9" s="1582">
        <f t="shared" ref="L9" si="1">M$114</f>
        <v>0</v>
      </c>
      <c r="M9" s="1583"/>
      <c r="N9" s="1582">
        <f t="shared" ref="N9" si="2">O$114</f>
        <v>0</v>
      </c>
      <c r="O9" s="1583"/>
      <c r="P9" s="1582">
        <f t="shared" ref="P9" si="3">Q$114</f>
        <v>0</v>
      </c>
      <c r="Q9" s="1583"/>
      <c r="R9" s="1582">
        <f t="shared" ref="R9" si="4">S$114</f>
        <v>0</v>
      </c>
      <c r="S9" s="1583"/>
    </row>
    <row r="10" spans="1:25" s="175" customFormat="1" ht="16.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V10" s="301"/>
      <c r="X10" s="560"/>
      <c r="Y10" s="560"/>
    </row>
    <row r="11" spans="1:25" ht="16.5" thickTop="1" thickBot="1">
      <c r="A11" s="1147"/>
      <c r="B11" s="794" t="s">
        <v>2953</v>
      </c>
      <c r="C11" s="659"/>
      <c r="D11" s="1489"/>
      <c r="E11" s="1567"/>
      <c r="F11" s="1566"/>
      <c r="G11" s="660"/>
      <c r="H11" s="1584"/>
      <c r="I11" s="1148"/>
      <c r="J11" s="1584"/>
      <c r="K11" s="182"/>
      <c r="L11" s="1584"/>
      <c r="M11" s="1149"/>
      <c r="N11" s="1584"/>
      <c r="O11" s="1149"/>
      <c r="P11" s="1584"/>
      <c r="Q11" s="1149"/>
      <c r="R11" s="1584"/>
      <c r="S11" s="1149"/>
    </row>
    <row r="12" spans="1:25">
      <c r="A12" s="1150"/>
      <c r="B12" s="1151" t="s">
        <v>2954</v>
      </c>
      <c r="C12" s="1566"/>
      <c r="D12" s="1489"/>
      <c r="E12" s="1567"/>
      <c r="F12" s="1566"/>
      <c r="G12" s="660"/>
      <c r="H12" s="1584"/>
      <c r="I12" s="1148"/>
      <c r="J12" s="1584"/>
      <c r="K12" s="1149"/>
      <c r="L12" s="1584"/>
      <c r="M12" s="1149"/>
      <c r="N12" s="1584"/>
      <c r="O12" s="1149"/>
      <c r="P12" s="1584"/>
      <c r="Q12" s="1149"/>
      <c r="R12" s="1584"/>
      <c r="S12" s="1149"/>
    </row>
    <row r="13" spans="1:25">
      <c r="A13" s="1585"/>
      <c r="B13" s="1152" t="s">
        <v>2955</v>
      </c>
      <c r="C13" s="1566"/>
      <c r="D13" s="1489"/>
      <c r="E13" s="1567"/>
      <c r="F13" s="1566"/>
      <c r="G13" s="660"/>
      <c r="H13" s="1584"/>
      <c r="I13" s="1148"/>
      <c r="J13" s="1584"/>
      <c r="K13" s="1149"/>
      <c r="L13" s="1584"/>
      <c r="M13" s="1149"/>
      <c r="N13" s="1584"/>
      <c r="O13" s="1149"/>
      <c r="P13" s="1584"/>
      <c r="Q13" s="1149"/>
      <c r="R13" s="1584"/>
      <c r="S13" s="1149"/>
    </row>
    <row r="14" spans="1:25">
      <c r="A14" s="1585"/>
      <c r="B14" s="1153" t="s">
        <v>2956</v>
      </c>
      <c r="C14" s="1566"/>
      <c r="D14" s="1489"/>
      <c r="E14" s="1567"/>
      <c r="F14" s="1566"/>
      <c r="G14" s="660"/>
      <c r="H14" s="1584"/>
      <c r="I14" s="1148"/>
      <c r="J14" s="1584"/>
      <c r="K14" s="1149"/>
      <c r="L14" s="1584"/>
      <c r="M14" s="1149"/>
      <c r="N14" s="1584"/>
      <c r="O14" s="1149"/>
      <c r="P14" s="1584"/>
      <c r="Q14" s="1149"/>
      <c r="R14" s="1584"/>
      <c r="S14" s="1149"/>
    </row>
    <row r="15" spans="1:25">
      <c r="A15" s="1585"/>
      <c r="B15" s="1153" t="s">
        <v>2957</v>
      </c>
      <c r="C15" s="1566"/>
      <c r="D15" s="1489"/>
      <c r="E15" s="1567"/>
      <c r="F15" s="1566"/>
      <c r="G15" s="660"/>
      <c r="H15" s="1584"/>
      <c r="I15" s="1148"/>
      <c r="J15" s="1584"/>
      <c r="K15" s="1148"/>
      <c r="L15" s="1584"/>
      <c r="M15" s="1148"/>
      <c r="N15" s="1584"/>
      <c r="O15" s="1148"/>
      <c r="P15" s="1584"/>
      <c r="Q15" s="1148"/>
      <c r="R15" s="1584"/>
      <c r="S15" s="1148"/>
    </row>
    <row r="16" spans="1:25">
      <c r="A16" s="1585"/>
      <c r="B16" s="1153" t="s">
        <v>2958</v>
      </c>
      <c r="C16" s="1566"/>
      <c r="D16" s="1489"/>
      <c r="E16" s="1567"/>
      <c r="F16" s="1566"/>
      <c r="G16" s="660"/>
      <c r="H16" s="1584"/>
      <c r="I16" s="1148"/>
      <c r="J16" s="1584"/>
      <c r="K16" s="1149"/>
      <c r="L16" s="1584"/>
      <c r="M16" s="1149"/>
      <c r="N16" s="1584"/>
      <c r="O16" s="1149"/>
      <c r="P16" s="1584"/>
      <c r="Q16" s="1149"/>
      <c r="R16" s="1584"/>
      <c r="S16" s="1149"/>
    </row>
    <row r="17" spans="1:25">
      <c r="A17" s="1585"/>
      <c r="B17" s="1153" t="s">
        <v>2959</v>
      </c>
      <c r="C17" s="1566"/>
      <c r="D17" s="1489"/>
      <c r="E17" s="1567"/>
      <c r="F17" s="1566"/>
      <c r="G17" s="660"/>
      <c r="H17" s="1584"/>
      <c r="I17" s="1148"/>
      <c r="J17" s="1584"/>
      <c r="K17" s="1149"/>
      <c r="L17" s="1584"/>
      <c r="M17" s="1149"/>
      <c r="N17" s="1584"/>
      <c r="O17" s="1149"/>
      <c r="P17" s="1584"/>
      <c r="Q17" s="1149"/>
      <c r="R17" s="1584"/>
      <c r="S17" s="1149"/>
    </row>
    <row r="18" spans="1:25">
      <c r="A18" s="1585"/>
      <c r="B18" s="1154" t="s">
        <v>2960</v>
      </c>
      <c r="C18" s="1566"/>
      <c r="D18" s="1489"/>
      <c r="E18" s="1567"/>
      <c r="F18" s="1566"/>
      <c r="G18" s="660"/>
      <c r="H18" s="1584"/>
      <c r="I18" s="1148"/>
      <c r="J18" s="1584"/>
      <c r="K18" s="1149"/>
      <c r="L18" s="1584"/>
      <c r="M18" s="1149"/>
      <c r="N18" s="1584"/>
      <c r="O18" s="1149"/>
      <c r="P18" s="1584"/>
      <c r="Q18" s="1149"/>
      <c r="R18" s="1584"/>
      <c r="S18" s="1149"/>
    </row>
    <row r="19" spans="1:25" ht="15.75" thickBot="1">
      <c r="A19" s="1585"/>
      <c r="B19" s="465" t="s">
        <v>2961</v>
      </c>
      <c r="C19" s="1586"/>
      <c r="D19" s="1587"/>
      <c r="E19" s="1588"/>
      <c r="F19" s="1589"/>
      <c r="G19" s="661"/>
      <c r="H19" s="1590"/>
      <c r="I19" s="1157"/>
      <c r="J19" s="1590"/>
      <c r="K19" s="1158"/>
      <c r="L19" s="1590"/>
      <c r="M19" s="1158"/>
      <c r="N19" s="1590"/>
      <c r="O19" s="1158"/>
      <c r="P19" s="1590"/>
      <c r="Q19" s="1158"/>
      <c r="R19" s="1590"/>
      <c r="S19" s="1158"/>
    </row>
    <row r="20" spans="1:25">
      <c r="A20" s="1591"/>
      <c r="B20" s="1592"/>
      <c r="C20" s="659"/>
      <c r="D20" s="1489"/>
      <c r="E20" s="1567"/>
      <c r="F20" s="1593"/>
      <c r="G20" s="660"/>
      <c r="H20" s="1584"/>
      <c r="I20" s="1161"/>
      <c r="J20" s="1584"/>
      <c r="K20" s="1160"/>
      <c r="L20" s="1584"/>
      <c r="M20" s="1161"/>
      <c r="N20" s="1584"/>
      <c r="O20" s="1161"/>
      <c r="P20" s="1584"/>
      <c r="Q20" s="1161"/>
      <c r="R20" s="1584"/>
      <c r="S20" s="1161"/>
    </row>
    <row r="21" spans="1:25">
      <c r="A21" s="1585"/>
      <c r="B21" s="1282" t="s">
        <v>2695</v>
      </c>
      <c r="C21" s="1566"/>
      <c r="D21" s="1489"/>
      <c r="E21" s="1567"/>
      <c r="F21" s="1593"/>
      <c r="G21" s="660"/>
      <c r="H21" s="1584"/>
      <c r="I21" s="1166">
        <f>SUBTOTAL(9,I22:I71)</f>
        <v>3087156.7525252523</v>
      </c>
      <c r="J21" s="1584"/>
      <c r="K21" s="1166">
        <f>SUBTOTAL(9,K22:K71)</f>
        <v>0</v>
      </c>
      <c r="L21" s="1584"/>
      <c r="M21" s="1166">
        <f>SUBTOTAL(9,M22:M71)</f>
        <v>0</v>
      </c>
      <c r="N21" s="1584"/>
      <c r="O21" s="1166">
        <f>SUBTOTAL(9,O22:O71)</f>
        <v>0</v>
      </c>
      <c r="P21" s="1584"/>
      <c r="Q21" s="1166">
        <f>SUBTOTAL(9,Q22:Q71)</f>
        <v>0</v>
      </c>
      <c r="R21" s="1584"/>
      <c r="S21" s="1166">
        <f>SUBTOTAL(9,S22:S71)</f>
        <v>0</v>
      </c>
    </row>
    <row r="22" spans="1:25">
      <c r="A22" s="1591"/>
      <c r="B22" s="468" t="s">
        <v>3702</v>
      </c>
      <c r="C22" s="466"/>
      <c r="D22" s="467"/>
      <c r="E22" s="510"/>
      <c r="F22" s="1593"/>
      <c r="G22" s="662">
        <f t="shared" ref="G22:G97" si="5">ROUND(D22*F22,0)</f>
        <v>0</v>
      </c>
      <c r="H22" s="1584"/>
      <c r="I22" s="1160"/>
      <c r="J22" s="1584"/>
      <c r="K22" s="1160"/>
      <c r="L22" s="1584"/>
      <c r="M22" s="1161"/>
      <c r="N22" s="1584"/>
      <c r="O22" s="1161"/>
      <c r="P22" s="1584"/>
      <c r="Q22" s="1161"/>
      <c r="R22" s="1584"/>
      <c r="S22" s="1161"/>
    </row>
    <row r="23" spans="1:25">
      <c r="A23" s="1591"/>
      <c r="B23" s="469"/>
      <c r="C23" s="466"/>
      <c r="D23" s="467"/>
      <c r="E23" s="510"/>
      <c r="F23" s="1593"/>
      <c r="G23" s="662">
        <f t="shared" si="5"/>
        <v>0</v>
      </c>
      <c r="H23" s="1584"/>
      <c r="I23" s="1160"/>
      <c r="J23" s="1584"/>
      <c r="K23" s="1160"/>
      <c r="L23" s="1584"/>
      <c r="M23" s="1161"/>
      <c r="N23" s="1584"/>
      <c r="O23" s="1161"/>
      <c r="P23" s="1584"/>
      <c r="Q23" s="1161"/>
      <c r="R23" s="1584"/>
      <c r="S23" s="1161"/>
    </row>
    <row r="24" spans="1:25">
      <c r="A24" s="1591"/>
      <c r="B24" s="468" t="s">
        <v>3029</v>
      </c>
      <c r="C24" s="466"/>
      <c r="D24" s="467"/>
      <c r="E24" s="510"/>
      <c r="F24" s="1593"/>
      <c r="G24" s="662">
        <f t="shared" si="5"/>
        <v>0</v>
      </c>
      <c r="H24" s="1584"/>
      <c r="I24" s="1160"/>
      <c r="J24" s="1584"/>
      <c r="K24" s="1160"/>
      <c r="L24" s="1584"/>
      <c r="M24" s="1161"/>
      <c r="N24" s="1584"/>
      <c r="O24" s="1161"/>
      <c r="P24" s="1584"/>
      <c r="Q24" s="1161"/>
      <c r="R24" s="1584"/>
      <c r="S24" s="1161"/>
    </row>
    <row r="25" spans="1:25">
      <c r="A25" s="1591"/>
      <c r="B25" s="470" t="s">
        <v>3703</v>
      </c>
      <c r="C25" s="471" t="s">
        <v>303</v>
      </c>
      <c r="D25" s="467"/>
      <c r="E25" s="510"/>
      <c r="F25" s="1593"/>
      <c r="G25" s="662">
        <f t="shared" si="5"/>
        <v>0</v>
      </c>
      <c r="H25" s="1584"/>
      <c r="I25" s="1160">
        <v>494000</v>
      </c>
      <c r="J25" s="1584"/>
      <c r="K25" s="1160"/>
      <c r="L25" s="1584"/>
      <c r="M25" s="1161"/>
      <c r="N25" s="1584"/>
      <c r="O25" s="1161"/>
      <c r="P25" s="1584"/>
      <c r="Q25" s="1161"/>
      <c r="R25" s="1584"/>
      <c r="S25" s="1161"/>
    </row>
    <row r="26" spans="1:25" s="175" customFormat="1">
      <c r="A26" s="1591"/>
      <c r="B26" s="472" t="s">
        <v>3704</v>
      </c>
      <c r="C26" s="473" t="s">
        <v>3705</v>
      </c>
      <c r="D26" s="474">
        <v>12490</v>
      </c>
      <c r="E26" s="475" t="s">
        <v>2845</v>
      </c>
      <c r="F26" s="1594"/>
      <c r="G26" s="668">
        <f t="shared" si="5"/>
        <v>0</v>
      </c>
      <c r="H26" s="1517"/>
      <c r="I26" s="1236"/>
      <c r="J26" s="1517"/>
      <c r="K26" s="1236"/>
      <c r="L26" s="1517"/>
      <c r="M26" s="1235"/>
      <c r="N26" s="1517"/>
      <c r="O26" s="1235"/>
      <c r="P26" s="1517"/>
      <c r="Q26" s="1235"/>
      <c r="R26" s="1517"/>
      <c r="S26" s="1235"/>
      <c r="V26" s="301"/>
      <c r="X26" s="560"/>
      <c r="Y26" s="560"/>
    </row>
    <row r="27" spans="1:25">
      <c r="A27" s="1591"/>
      <c r="B27" s="472" t="s">
        <v>3706</v>
      </c>
      <c r="C27" s="471" t="s">
        <v>3707</v>
      </c>
      <c r="D27" s="467"/>
      <c r="E27" s="510"/>
      <c r="F27" s="1593"/>
      <c r="G27" s="662">
        <f t="shared" si="5"/>
        <v>0</v>
      </c>
      <c r="H27" s="1584"/>
      <c r="I27" s="1160"/>
      <c r="J27" s="1584"/>
      <c r="K27" s="1160"/>
      <c r="L27" s="1584"/>
      <c r="M27" s="1161"/>
      <c r="N27" s="1584"/>
      <c r="O27" s="1161"/>
      <c r="P27" s="1584"/>
      <c r="Q27" s="1161"/>
      <c r="R27" s="1584"/>
      <c r="S27" s="1161"/>
    </row>
    <row r="28" spans="1:25">
      <c r="A28" s="1591"/>
      <c r="B28" s="470" t="s">
        <v>3708</v>
      </c>
      <c r="C28" s="471" t="s">
        <v>303</v>
      </c>
      <c r="D28" s="467"/>
      <c r="E28" s="510"/>
      <c r="F28" s="1593"/>
      <c r="G28" s="662">
        <f t="shared" si="5"/>
        <v>0</v>
      </c>
      <c r="H28" s="1584"/>
      <c r="I28" s="1160">
        <v>257000</v>
      </c>
      <c r="J28" s="1584"/>
      <c r="K28" s="1160"/>
      <c r="L28" s="1584"/>
      <c r="M28" s="1161"/>
      <c r="N28" s="1584"/>
      <c r="O28" s="1161"/>
      <c r="P28" s="1584"/>
      <c r="Q28" s="1161"/>
      <c r="R28" s="1584"/>
      <c r="S28" s="1161"/>
    </row>
    <row r="29" spans="1:25">
      <c r="A29" s="1591"/>
      <c r="B29" s="472" t="s">
        <v>3709</v>
      </c>
      <c r="C29" s="471" t="s">
        <v>3710</v>
      </c>
      <c r="D29" s="474">
        <v>4276</v>
      </c>
      <c r="E29" s="475" t="s">
        <v>2845</v>
      </c>
      <c r="F29" s="1593"/>
      <c r="G29" s="662">
        <f t="shared" si="5"/>
        <v>0</v>
      </c>
      <c r="H29" s="1584"/>
      <c r="I29" s="1160"/>
      <c r="J29" s="1584"/>
      <c r="K29" s="1160"/>
      <c r="L29" s="1584"/>
      <c r="M29" s="1161"/>
      <c r="N29" s="1584"/>
      <c r="O29" s="1161"/>
      <c r="P29" s="1584"/>
      <c r="Q29" s="1161"/>
      <c r="R29" s="1584"/>
      <c r="S29" s="1161"/>
    </row>
    <row r="30" spans="1:25">
      <c r="A30" s="1591"/>
      <c r="B30" s="472" t="s">
        <v>3706</v>
      </c>
      <c r="C30" s="471" t="s">
        <v>3711</v>
      </c>
      <c r="D30" s="467"/>
      <c r="E30" s="510"/>
      <c r="F30" s="1593"/>
      <c r="G30" s="662">
        <f t="shared" si="5"/>
        <v>0</v>
      </c>
      <c r="H30" s="1584"/>
      <c r="I30" s="1160"/>
      <c r="J30" s="1584"/>
      <c r="K30" s="1160"/>
      <c r="L30" s="1584"/>
      <c r="M30" s="1161"/>
      <c r="N30" s="1584"/>
      <c r="O30" s="1161"/>
      <c r="P30" s="1584"/>
      <c r="Q30" s="1161"/>
      <c r="R30" s="1584"/>
      <c r="S30" s="1161"/>
    </row>
    <row r="31" spans="1:25">
      <c r="A31" s="1591"/>
      <c r="B31" s="472" t="s">
        <v>3712</v>
      </c>
      <c r="C31" s="471" t="s">
        <v>3713</v>
      </c>
      <c r="D31" s="476">
        <v>30</v>
      </c>
      <c r="E31" s="475" t="s">
        <v>2803</v>
      </c>
      <c r="F31" s="1593">
        <v>600</v>
      </c>
      <c r="G31" s="662">
        <f t="shared" si="5"/>
        <v>18000</v>
      </c>
      <c r="H31" s="1584"/>
      <c r="I31" s="1256">
        <f>$G31</f>
        <v>18000</v>
      </c>
      <c r="J31" s="1584"/>
      <c r="K31" s="1160"/>
      <c r="L31" s="1584"/>
      <c r="M31" s="1161"/>
      <c r="N31" s="1584"/>
      <c r="O31" s="1161"/>
      <c r="P31" s="1584"/>
      <c r="Q31" s="1161"/>
      <c r="R31" s="1584"/>
      <c r="S31" s="1161"/>
    </row>
    <row r="32" spans="1:25">
      <c r="A32" s="1591"/>
      <c r="B32" s="472" t="s">
        <v>3714</v>
      </c>
      <c r="C32" s="471" t="s">
        <v>286</v>
      </c>
      <c r="D32" s="476">
        <v>8</v>
      </c>
      <c r="E32" s="475" t="s">
        <v>2803</v>
      </c>
      <c r="F32" s="1593">
        <v>900</v>
      </c>
      <c r="G32" s="662">
        <f t="shared" si="5"/>
        <v>7200</v>
      </c>
      <c r="H32" s="1584"/>
      <c r="I32" s="1256">
        <f>$G32</f>
        <v>7200</v>
      </c>
      <c r="J32" s="1584"/>
      <c r="K32" s="1160"/>
      <c r="L32" s="1584"/>
      <c r="M32" s="1161"/>
      <c r="N32" s="1584"/>
      <c r="O32" s="1161"/>
      <c r="P32" s="1584"/>
      <c r="Q32" s="1161"/>
      <c r="R32" s="1584"/>
      <c r="S32" s="1161"/>
    </row>
    <row r="33" spans="1:19">
      <c r="A33" s="1591"/>
      <c r="B33" s="470" t="s">
        <v>3715</v>
      </c>
      <c r="C33" s="471" t="s">
        <v>303</v>
      </c>
      <c r="D33" s="467"/>
      <c r="E33" s="510"/>
      <c r="F33" s="1593"/>
      <c r="G33" s="662">
        <f t="shared" si="5"/>
        <v>0</v>
      </c>
      <c r="H33" s="1584"/>
      <c r="I33" s="1160"/>
      <c r="J33" s="1584"/>
      <c r="K33" s="1160"/>
      <c r="L33" s="1584"/>
      <c r="M33" s="1161"/>
      <c r="N33" s="1584"/>
      <c r="O33" s="1161"/>
      <c r="P33" s="1584"/>
      <c r="Q33" s="1161"/>
      <c r="R33" s="1584"/>
      <c r="S33" s="1161"/>
    </row>
    <row r="34" spans="1:19">
      <c r="A34" s="1595" t="s">
        <v>2587</v>
      </c>
      <c r="B34" s="472" t="s">
        <v>3716</v>
      </c>
      <c r="C34" s="471" t="s">
        <v>3717</v>
      </c>
      <c r="D34" s="476">
        <v>970</v>
      </c>
      <c r="E34" s="475" t="s">
        <v>2845</v>
      </c>
      <c r="F34" s="1593">
        <v>120</v>
      </c>
      <c r="G34" s="670">
        <f t="shared" si="5"/>
        <v>116400</v>
      </c>
      <c r="H34" s="1584"/>
      <c r="I34" s="1378">
        <f>$G34</f>
        <v>116400</v>
      </c>
      <c r="J34" s="1584"/>
      <c r="K34" s="1160"/>
      <c r="L34" s="1584"/>
      <c r="M34" s="1161"/>
      <c r="N34" s="1584"/>
      <c r="O34" s="1161"/>
      <c r="P34" s="1584"/>
      <c r="Q34" s="1161"/>
      <c r="R34" s="1584"/>
      <c r="S34" s="1161"/>
    </row>
    <row r="35" spans="1:19">
      <c r="A35" s="1591"/>
      <c r="B35" s="470" t="s">
        <v>3718</v>
      </c>
      <c r="C35" s="466"/>
      <c r="D35" s="467"/>
      <c r="E35" s="510"/>
      <c r="F35" s="1593"/>
      <c r="G35" s="662">
        <f t="shared" si="5"/>
        <v>0</v>
      </c>
      <c r="H35" s="1584"/>
      <c r="I35" s="1160"/>
      <c r="J35" s="1584"/>
      <c r="K35" s="1160"/>
      <c r="L35" s="1584"/>
      <c r="M35" s="1161"/>
      <c r="N35" s="1584"/>
      <c r="O35" s="1161"/>
      <c r="P35" s="1584"/>
      <c r="Q35" s="1161"/>
      <c r="R35" s="1584"/>
      <c r="S35" s="1161"/>
    </row>
    <row r="36" spans="1:19">
      <c r="A36" s="1595" t="s">
        <v>2587</v>
      </c>
      <c r="B36" s="472" t="s">
        <v>3719</v>
      </c>
      <c r="C36" s="471" t="s">
        <v>853</v>
      </c>
      <c r="D36" s="476">
        <v>486</v>
      </c>
      <c r="E36" s="475" t="s">
        <v>2845</v>
      </c>
      <c r="F36" s="1593">
        <v>45</v>
      </c>
      <c r="G36" s="670">
        <f t="shared" si="5"/>
        <v>21870</v>
      </c>
      <c r="H36" s="1584"/>
      <c r="I36" s="1378">
        <f>$G36</f>
        <v>21870</v>
      </c>
      <c r="J36" s="1584"/>
      <c r="K36" s="1160"/>
      <c r="L36" s="1584"/>
      <c r="M36" s="1161"/>
      <c r="N36" s="1584"/>
      <c r="O36" s="1161"/>
      <c r="P36" s="1584"/>
      <c r="Q36" s="1161"/>
      <c r="R36" s="1584"/>
      <c r="S36" s="1161"/>
    </row>
    <row r="37" spans="1:19">
      <c r="A37" s="1591"/>
      <c r="B37" s="472" t="s">
        <v>3706</v>
      </c>
      <c r="C37" s="471" t="s">
        <v>3720</v>
      </c>
      <c r="D37" s="467"/>
      <c r="E37" s="510"/>
      <c r="F37" s="1593"/>
      <c r="G37" s="662">
        <f t="shared" si="5"/>
        <v>0</v>
      </c>
      <c r="H37" s="1584"/>
      <c r="I37" s="1160"/>
      <c r="J37" s="1584"/>
      <c r="K37" s="1160"/>
      <c r="L37" s="1584"/>
      <c r="M37" s="1161"/>
      <c r="N37" s="1584"/>
      <c r="O37" s="1161"/>
      <c r="P37" s="1584"/>
      <c r="Q37" s="1161"/>
      <c r="R37" s="1584"/>
      <c r="S37" s="1161"/>
    </row>
    <row r="38" spans="1:19">
      <c r="A38" s="1591"/>
      <c r="B38" s="468" t="s">
        <v>3080</v>
      </c>
      <c r="C38" s="466"/>
      <c r="D38" s="467"/>
      <c r="E38" s="510"/>
      <c r="F38" s="1593"/>
      <c r="G38" s="662">
        <f t="shared" si="5"/>
        <v>0</v>
      </c>
      <c r="H38" s="1584"/>
      <c r="I38" s="1160"/>
      <c r="J38" s="1584"/>
      <c r="K38" s="1160"/>
      <c r="L38" s="1584"/>
      <c r="M38" s="1161"/>
      <c r="N38" s="1584"/>
      <c r="O38" s="1161"/>
      <c r="P38" s="1584"/>
      <c r="Q38" s="1161"/>
      <c r="R38" s="1584"/>
      <c r="S38" s="1161"/>
    </row>
    <row r="39" spans="1:19">
      <c r="A39" s="1591"/>
      <c r="B39" s="470" t="s">
        <v>3721</v>
      </c>
      <c r="C39" s="471" t="s">
        <v>303</v>
      </c>
      <c r="D39" s="467"/>
      <c r="E39" s="510"/>
      <c r="F39" s="1593"/>
      <c r="G39" s="662">
        <f t="shared" si="5"/>
        <v>0</v>
      </c>
      <c r="H39" s="1584"/>
      <c r="I39" s="1160"/>
      <c r="J39" s="1584"/>
      <c r="K39" s="1160"/>
      <c r="L39" s="1584"/>
      <c r="M39" s="1161"/>
      <c r="N39" s="1584"/>
      <c r="O39" s="1161"/>
      <c r="P39" s="1584"/>
      <c r="Q39" s="1161"/>
      <c r="R39" s="1584"/>
      <c r="S39" s="1161"/>
    </row>
    <row r="40" spans="1:19">
      <c r="A40" s="1595" t="s">
        <v>2587</v>
      </c>
      <c r="B40" s="472" t="s">
        <v>3722</v>
      </c>
      <c r="C40" s="471" t="s">
        <v>867</v>
      </c>
      <c r="D40" s="474">
        <f>147.33*18</f>
        <v>2651.94</v>
      </c>
      <c r="E40" s="475" t="s">
        <v>2864</v>
      </c>
      <c r="F40" s="1593">
        <v>20</v>
      </c>
      <c r="G40" s="670">
        <f t="shared" si="5"/>
        <v>53039</v>
      </c>
      <c r="H40" s="1584"/>
      <c r="I40" s="1378">
        <f>$G40</f>
        <v>53039</v>
      </c>
      <c r="J40" s="1584"/>
      <c r="K40" s="1160"/>
      <c r="L40" s="1584"/>
      <c r="M40" s="1161"/>
      <c r="N40" s="1584"/>
      <c r="O40" s="1161"/>
      <c r="P40" s="1584"/>
      <c r="Q40" s="1161"/>
      <c r="R40" s="1584"/>
      <c r="S40" s="1161"/>
    </row>
    <row r="41" spans="1:19">
      <c r="A41" s="1591"/>
      <c r="B41" s="472" t="s">
        <v>3706</v>
      </c>
      <c r="C41" s="471" t="s">
        <v>3723</v>
      </c>
      <c r="D41" s="467"/>
      <c r="E41" s="510"/>
      <c r="F41" s="1593"/>
      <c r="G41" s="662">
        <f t="shared" si="5"/>
        <v>0</v>
      </c>
      <c r="H41" s="1584"/>
      <c r="I41" s="1160"/>
      <c r="J41" s="1584"/>
      <c r="K41" s="1160"/>
      <c r="L41" s="1584"/>
      <c r="M41" s="1161"/>
      <c r="N41" s="1584"/>
      <c r="O41" s="1161"/>
      <c r="P41" s="1584"/>
      <c r="Q41" s="1161"/>
      <c r="R41" s="1584"/>
      <c r="S41" s="1161"/>
    </row>
    <row r="42" spans="1:19">
      <c r="A42" s="1591"/>
      <c r="B42" s="470" t="s">
        <v>3703</v>
      </c>
      <c r="C42" s="471" t="s">
        <v>303</v>
      </c>
      <c r="D42" s="467"/>
      <c r="E42" s="510"/>
      <c r="F42" s="1593"/>
      <c r="G42" s="662">
        <f t="shared" si="5"/>
        <v>0</v>
      </c>
      <c r="H42" s="1584"/>
      <c r="I42" s="1160">
        <v>199000</v>
      </c>
      <c r="J42" s="1584"/>
      <c r="K42" s="1160"/>
      <c r="L42" s="1584"/>
      <c r="M42" s="1161"/>
      <c r="N42" s="1584"/>
      <c r="O42" s="1161"/>
      <c r="P42" s="1584"/>
      <c r="Q42" s="1161"/>
      <c r="R42" s="1584"/>
      <c r="S42" s="1161"/>
    </row>
    <row r="43" spans="1:19">
      <c r="A43" s="1591"/>
      <c r="B43" s="472" t="s">
        <v>3724</v>
      </c>
      <c r="C43" s="471" t="s">
        <v>867</v>
      </c>
      <c r="D43" s="474">
        <v>3670</v>
      </c>
      <c r="E43" s="475" t="s">
        <v>2845</v>
      </c>
      <c r="F43" s="1593"/>
      <c r="G43" s="662">
        <f t="shared" si="5"/>
        <v>0</v>
      </c>
      <c r="H43" s="1584"/>
      <c r="I43" s="1160"/>
      <c r="J43" s="1584"/>
      <c r="K43" s="1160"/>
      <c r="L43" s="1584"/>
      <c r="M43" s="1161"/>
      <c r="N43" s="1584"/>
      <c r="O43" s="1161"/>
      <c r="P43" s="1584"/>
      <c r="Q43" s="1161"/>
      <c r="R43" s="1584"/>
      <c r="S43" s="1161"/>
    </row>
    <row r="44" spans="1:19">
      <c r="A44" s="1591"/>
      <c r="B44" s="472" t="s">
        <v>3706</v>
      </c>
      <c r="C44" s="471" t="s">
        <v>3661</v>
      </c>
      <c r="D44" s="467"/>
      <c r="E44" s="510"/>
      <c r="F44" s="1593"/>
      <c r="G44" s="662">
        <f t="shared" si="5"/>
        <v>0</v>
      </c>
      <c r="H44" s="1584"/>
      <c r="I44" s="1160"/>
      <c r="J44" s="1584"/>
      <c r="K44" s="1160"/>
      <c r="L44" s="1584"/>
      <c r="M44" s="1161"/>
      <c r="N44" s="1584"/>
      <c r="O44" s="1161"/>
      <c r="P44" s="1584"/>
      <c r="Q44" s="1161"/>
      <c r="R44" s="1584"/>
      <c r="S44" s="1161"/>
    </row>
    <row r="45" spans="1:19">
      <c r="A45" s="1591"/>
      <c r="B45" s="470" t="s">
        <v>3708</v>
      </c>
      <c r="C45" s="471" t="s">
        <v>303</v>
      </c>
      <c r="D45" s="467"/>
      <c r="E45" s="510"/>
      <c r="F45" s="1593"/>
      <c r="G45" s="662">
        <f t="shared" si="5"/>
        <v>0</v>
      </c>
      <c r="H45" s="1584"/>
      <c r="I45" s="1160"/>
      <c r="J45" s="1584"/>
      <c r="K45" s="1160"/>
      <c r="L45" s="1584"/>
      <c r="M45" s="1161"/>
      <c r="N45" s="1584"/>
      <c r="O45" s="1161"/>
      <c r="P45" s="1584"/>
      <c r="Q45" s="1161"/>
      <c r="R45" s="1584"/>
      <c r="S45" s="1161"/>
    </row>
    <row r="46" spans="1:19">
      <c r="A46" s="1591"/>
      <c r="B46" s="472" t="s">
        <v>3712</v>
      </c>
      <c r="C46" s="471" t="s">
        <v>3713</v>
      </c>
      <c r="D46" s="476">
        <v>12</v>
      </c>
      <c r="E46" s="475" t="s">
        <v>2803</v>
      </c>
      <c r="F46" s="1593">
        <v>600</v>
      </c>
      <c r="G46" s="662">
        <f t="shared" si="5"/>
        <v>7200</v>
      </c>
      <c r="H46" s="1584"/>
      <c r="I46" s="1256">
        <f>$G46</f>
        <v>7200</v>
      </c>
      <c r="J46" s="1584"/>
      <c r="K46" s="1160"/>
      <c r="L46" s="1584"/>
      <c r="M46" s="1161"/>
      <c r="N46" s="1584"/>
      <c r="O46" s="1161"/>
      <c r="P46" s="1584"/>
      <c r="Q46" s="1161"/>
      <c r="R46" s="1584"/>
      <c r="S46" s="1161"/>
    </row>
    <row r="47" spans="1:19">
      <c r="A47" s="1591"/>
      <c r="B47" s="470" t="s">
        <v>3725</v>
      </c>
      <c r="C47" s="466"/>
      <c r="D47" s="467"/>
      <c r="E47" s="510"/>
      <c r="F47" s="1593"/>
      <c r="G47" s="662">
        <f t="shared" si="5"/>
        <v>0</v>
      </c>
      <c r="H47" s="1584"/>
      <c r="I47" s="1160"/>
      <c r="J47" s="1584"/>
      <c r="K47" s="1160"/>
      <c r="L47" s="1584"/>
      <c r="M47" s="1161"/>
      <c r="N47" s="1584"/>
      <c r="O47" s="1161"/>
      <c r="P47" s="1584"/>
      <c r="Q47" s="1161"/>
      <c r="R47" s="1584"/>
      <c r="S47" s="1161"/>
    </row>
    <row r="48" spans="1:19">
      <c r="A48" s="1595" t="s">
        <v>2587</v>
      </c>
      <c r="B48" s="472" t="s">
        <v>3726</v>
      </c>
      <c r="C48" s="471" t="s">
        <v>3720</v>
      </c>
      <c r="D48" s="474">
        <v>1113</v>
      </c>
      <c r="E48" s="475" t="s">
        <v>2845</v>
      </c>
      <c r="F48" s="1593">
        <v>50</v>
      </c>
      <c r="G48" s="670">
        <f t="shared" si="5"/>
        <v>55650</v>
      </c>
      <c r="H48" s="1584"/>
      <c r="I48" s="1378">
        <f>$G48</f>
        <v>55650</v>
      </c>
      <c r="J48" s="1584"/>
      <c r="K48" s="1160"/>
      <c r="L48" s="1584"/>
      <c r="M48" s="1161"/>
      <c r="N48" s="1584"/>
      <c r="O48" s="1161"/>
      <c r="P48" s="1584"/>
      <c r="Q48" s="1161"/>
      <c r="R48" s="1584"/>
      <c r="S48" s="1161"/>
    </row>
    <row r="49" spans="1:25">
      <c r="A49" s="1591"/>
      <c r="B49" s="469"/>
      <c r="C49" s="466"/>
      <c r="D49" s="467"/>
      <c r="E49" s="510"/>
      <c r="F49" s="1593"/>
      <c r="G49" s="662">
        <f t="shared" si="5"/>
        <v>0</v>
      </c>
      <c r="H49" s="1584"/>
      <c r="I49" s="1160"/>
      <c r="J49" s="1584"/>
      <c r="K49" s="1160"/>
      <c r="L49" s="1584"/>
      <c r="M49" s="1161"/>
      <c r="N49" s="1584"/>
      <c r="O49" s="1161"/>
      <c r="P49" s="1584"/>
      <c r="Q49" s="1161"/>
      <c r="R49" s="1584"/>
      <c r="S49" s="1161"/>
    </row>
    <row r="50" spans="1:25">
      <c r="A50" s="1591"/>
      <c r="B50" s="468" t="s">
        <v>3113</v>
      </c>
      <c r="C50" s="466"/>
      <c r="D50" s="467"/>
      <c r="E50" s="510"/>
      <c r="F50" s="1593"/>
      <c r="G50" s="662">
        <f t="shared" si="5"/>
        <v>0</v>
      </c>
      <c r="H50" s="1584"/>
      <c r="I50" s="1160"/>
      <c r="J50" s="1584"/>
      <c r="K50" s="1160"/>
      <c r="L50" s="1584"/>
      <c r="M50" s="1161"/>
      <c r="N50" s="1584"/>
      <c r="O50" s="1161"/>
      <c r="P50" s="1584"/>
      <c r="Q50" s="1161"/>
      <c r="R50" s="1584"/>
      <c r="S50" s="1161"/>
    </row>
    <row r="51" spans="1:25">
      <c r="A51" s="1591"/>
      <c r="B51" s="470" t="s">
        <v>3727</v>
      </c>
      <c r="C51" s="471" t="s">
        <v>303</v>
      </c>
      <c r="D51" s="467"/>
      <c r="E51" s="510"/>
      <c r="F51" s="1593"/>
      <c r="G51" s="662">
        <f t="shared" si="5"/>
        <v>0</v>
      </c>
      <c r="H51" s="1584"/>
      <c r="I51" s="1160"/>
      <c r="J51" s="1584"/>
      <c r="K51" s="1160"/>
      <c r="L51" s="1584"/>
      <c r="M51" s="1161"/>
      <c r="N51" s="1584"/>
      <c r="O51" s="1161"/>
      <c r="P51" s="1584"/>
      <c r="Q51" s="1161"/>
      <c r="R51" s="1584"/>
      <c r="S51" s="1161"/>
    </row>
    <row r="52" spans="1:25">
      <c r="A52" s="1595" t="s">
        <v>2587</v>
      </c>
      <c r="B52" s="472" t="s">
        <v>3728</v>
      </c>
      <c r="C52" s="471" t="s">
        <v>3729</v>
      </c>
      <c r="D52" s="474">
        <v>3840</v>
      </c>
      <c r="E52" s="475" t="s">
        <v>2864</v>
      </c>
      <c r="F52" s="1593">
        <v>20</v>
      </c>
      <c r="G52" s="670">
        <f t="shared" si="5"/>
        <v>76800</v>
      </c>
      <c r="H52" s="1584"/>
      <c r="I52" s="1378">
        <f t="shared" ref="I52:I53" si="6">$G52</f>
        <v>76800</v>
      </c>
      <c r="J52" s="1584"/>
      <c r="K52" s="1160"/>
      <c r="L52" s="1584"/>
      <c r="M52" s="1161"/>
      <c r="N52" s="1584"/>
      <c r="O52" s="1161"/>
      <c r="P52" s="1584"/>
      <c r="Q52" s="1161"/>
      <c r="R52" s="1584"/>
      <c r="S52" s="1161"/>
      <c r="U52" t="s">
        <v>3730</v>
      </c>
      <c r="V52" s="300">
        <v>3840</v>
      </c>
      <c r="W52" t="s">
        <v>2864</v>
      </c>
      <c r="X52" s="58">
        <v>6</v>
      </c>
      <c r="Y52" s="58">
        <f>V52*X52</f>
        <v>23040</v>
      </c>
    </row>
    <row r="53" spans="1:25">
      <c r="A53" s="1595" t="s">
        <v>2587</v>
      </c>
      <c r="B53" s="472" t="s">
        <v>3731</v>
      </c>
      <c r="C53" s="471" t="s">
        <v>3729</v>
      </c>
      <c r="D53" s="474">
        <v>2136</v>
      </c>
      <c r="E53" s="475" t="s">
        <v>2864</v>
      </c>
      <c r="F53" s="1593">
        <v>20</v>
      </c>
      <c r="G53" s="670">
        <f t="shared" si="5"/>
        <v>42720</v>
      </c>
      <c r="H53" s="1584"/>
      <c r="I53" s="1378">
        <f t="shared" si="6"/>
        <v>42720</v>
      </c>
      <c r="J53" s="1584"/>
      <c r="K53" s="1160"/>
      <c r="L53" s="1584"/>
      <c r="M53" s="1161"/>
      <c r="N53" s="1584"/>
      <c r="O53" s="1161"/>
      <c r="P53" s="1584"/>
      <c r="Q53" s="1161"/>
      <c r="R53" s="1584"/>
      <c r="S53" s="1161"/>
      <c r="U53" t="s">
        <v>3732</v>
      </c>
      <c r="V53" s="300">
        <f>24*15</f>
        <v>360</v>
      </c>
      <c r="W53" t="s">
        <v>3733</v>
      </c>
      <c r="X53" s="58">
        <v>85</v>
      </c>
      <c r="Y53" s="58">
        <f>V53*X53</f>
        <v>30600</v>
      </c>
    </row>
    <row r="54" spans="1:25">
      <c r="A54" s="1591"/>
      <c r="B54" s="472" t="s">
        <v>3706</v>
      </c>
      <c r="C54" s="471" t="s">
        <v>3734</v>
      </c>
      <c r="D54" s="467"/>
      <c r="E54" s="510"/>
      <c r="F54" s="1593"/>
      <c r="G54" s="662">
        <f t="shared" si="5"/>
        <v>0</v>
      </c>
      <c r="H54" s="1584"/>
      <c r="I54" s="1160"/>
      <c r="J54" s="1584"/>
      <c r="K54" s="1160"/>
      <c r="L54" s="1584"/>
      <c r="M54" s="1161"/>
      <c r="N54" s="1584"/>
      <c r="O54" s="1161"/>
      <c r="P54" s="1584"/>
      <c r="Q54" s="1161"/>
      <c r="R54" s="1584"/>
      <c r="S54" s="1161"/>
      <c r="U54" t="s">
        <v>3730</v>
      </c>
      <c r="V54" s="300">
        <v>2136</v>
      </c>
      <c r="W54" t="s">
        <v>2864</v>
      </c>
      <c r="X54" s="58">
        <v>6</v>
      </c>
      <c r="Y54" s="58">
        <f>V54*X54</f>
        <v>12816</v>
      </c>
    </row>
    <row r="55" spans="1:25">
      <c r="A55" s="1591"/>
      <c r="B55" s="470" t="s">
        <v>3703</v>
      </c>
      <c r="C55" s="471" t="s">
        <v>303</v>
      </c>
      <c r="D55" s="467"/>
      <c r="E55" s="510"/>
      <c r="F55" s="1593"/>
      <c r="G55" s="662">
        <f t="shared" si="5"/>
        <v>0</v>
      </c>
      <c r="H55" s="1584"/>
      <c r="I55" s="1160">
        <v>364000</v>
      </c>
      <c r="J55" s="1584"/>
      <c r="K55" s="1160"/>
      <c r="L55" s="1584"/>
      <c r="M55" s="1161"/>
      <c r="N55" s="1584"/>
      <c r="O55" s="1161"/>
      <c r="P55" s="1584"/>
      <c r="Q55" s="1161"/>
      <c r="R55" s="1584"/>
      <c r="S55" s="1161"/>
      <c r="U55" t="s">
        <v>3732</v>
      </c>
      <c r="V55" s="300">
        <f>28*12</f>
        <v>336</v>
      </c>
      <c r="W55" t="s">
        <v>3733</v>
      </c>
      <c r="X55" s="58">
        <v>85</v>
      </c>
      <c r="Y55" s="58">
        <f>V55*X55</f>
        <v>28560</v>
      </c>
    </row>
    <row r="56" spans="1:25">
      <c r="A56" s="1591"/>
      <c r="B56" s="477" t="s">
        <v>3724</v>
      </c>
      <c r="C56" s="471" t="s">
        <v>3729</v>
      </c>
      <c r="D56" s="474">
        <v>8763</v>
      </c>
      <c r="E56" s="475" t="s">
        <v>2845</v>
      </c>
      <c r="F56" s="1593"/>
      <c r="G56" s="662">
        <f t="shared" si="5"/>
        <v>0</v>
      </c>
      <c r="H56" s="1584"/>
      <c r="I56" s="1160"/>
      <c r="J56" s="1584"/>
      <c r="K56" s="1160"/>
      <c r="L56" s="1584"/>
      <c r="M56" s="1161"/>
      <c r="N56" s="1584"/>
      <c r="O56" s="1161"/>
      <c r="P56" s="1584"/>
      <c r="Q56" s="1161"/>
      <c r="R56" s="1584"/>
      <c r="S56" s="1161"/>
      <c r="V56" s="300">
        <f>V52+V54</f>
        <v>5976</v>
      </c>
      <c r="W56" t="s">
        <v>2864</v>
      </c>
      <c r="X56" s="58">
        <f>Y56/V56</f>
        <v>15.899598393574298</v>
      </c>
      <c r="Y56" s="58">
        <f>SUM(Y52:Y55)</f>
        <v>95016</v>
      </c>
    </row>
    <row r="57" spans="1:25">
      <c r="A57" s="1591"/>
      <c r="B57" s="472" t="s">
        <v>3706</v>
      </c>
      <c r="C57" s="471" t="s">
        <v>3735</v>
      </c>
      <c r="D57" s="467"/>
      <c r="E57" s="510"/>
      <c r="F57" s="1593"/>
      <c r="G57" s="662">
        <f t="shared" si="5"/>
        <v>0</v>
      </c>
      <c r="H57" s="1584"/>
      <c r="I57" s="1160"/>
      <c r="J57" s="1584"/>
      <c r="K57" s="1160"/>
      <c r="L57" s="1584"/>
      <c r="M57" s="1161"/>
      <c r="N57" s="1584"/>
      <c r="O57" s="1161"/>
      <c r="P57" s="1584"/>
      <c r="Q57" s="1161"/>
      <c r="R57" s="1584"/>
      <c r="S57" s="1161"/>
    </row>
    <row r="58" spans="1:25">
      <c r="A58" s="1591"/>
      <c r="B58" s="559" t="s">
        <v>3708</v>
      </c>
      <c r="C58" s="471" t="s">
        <v>303</v>
      </c>
      <c r="D58" s="467"/>
      <c r="E58" s="510"/>
      <c r="F58" s="1593"/>
      <c r="G58" s="662">
        <f t="shared" si="5"/>
        <v>0</v>
      </c>
      <c r="H58" s="1584"/>
      <c r="I58" s="1160">
        <v>292000</v>
      </c>
      <c r="J58" s="1584"/>
      <c r="K58" s="1160"/>
      <c r="L58" s="1584"/>
      <c r="M58" s="1161"/>
      <c r="N58" s="1584"/>
      <c r="O58" s="1161"/>
      <c r="P58" s="1584"/>
      <c r="Q58" s="1161"/>
      <c r="R58" s="1584"/>
      <c r="S58" s="1161"/>
      <c r="V58" s="300">
        <f>V54+V52</f>
        <v>5976</v>
      </c>
      <c r="W58" t="s">
        <v>2864</v>
      </c>
      <c r="X58" s="58">
        <f>5*1.07</f>
        <v>5.3500000000000005</v>
      </c>
      <c r="Y58" s="58">
        <f>V58*X58</f>
        <v>31971.600000000002</v>
      </c>
    </row>
    <row r="59" spans="1:25">
      <c r="A59" s="1591"/>
      <c r="B59" s="472" t="s">
        <v>3709</v>
      </c>
      <c r="C59" s="471" t="s">
        <v>3736</v>
      </c>
      <c r="D59" s="474">
        <v>3878</v>
      </c>
      <c r="E59" s="475" t="s">
        <v>2845</v>
      </c>
      <c r="F59" s="1593"/>
      <c r="G59" s="662">
        <f t="shared" si="5"/>
        <v>0</v>
      </c>
      <c r="H59" s="1584"/>
      <c r="I59" s="1160"/>
      <c r="J59" s="1584"/>
      <c r="K59" s="1160"/>
      <c r="L59" s="1584"/>
      <c r="M59" s="1161"/>
      <c r="N59" s="1584"/>
      <c r="O59" s="1161"/>
      <c r="P59" s="1584"/>
      <c r="Q59" s="1161"/>
      <c r="R59" s="1584"/>
      <c r="S59" s="1161"/>
      <c r="V59" s="300" t="s">
        <v>3737</v>
      </c>
      <c r="Y59" s="58">
        <v>1500</v>
      </c>
    </row>
    <row r="60" spans="1:25">
      <c r="A60" s="1591"/>
      <c r="B60" s="472" t="s">
        <v>3706</v>
      </c>
      <c r="C60" s="471" t="s">
        <v>3735</v>
      </c>
      <c r="D60" s="467"/>
      <c r="E60" s="510"/>
      <c r="F60" s="1593"/>
      <c r="G60" s="662">
        <f t="shared" si="5"/>
        <v>0</v>
      </c>
      <c r="H60" s="1584"/>
      <c r="I60" s="1160"/>
      <c r="J60" s="1584"/>
      <c r="K60" s="1160"/>
      <c r="L60" s="1584"/>
      <c r="M60" s="1161"/>
      <c r="N60" s="1584"/>
      <c r="O60" s="1161"/>
      <c r="P60" s="1584"/>
      <c r="Q60" s="1161"/>
      <c r="R60" s="1584"/>
      <c r="S60" s="1161"/>
      <c r="V60" s="300">
        <f>V58</f>
        <v>5976</v>
      </c>
      <c r="W60" t="s">
        <v>2864</v>
      </c>
      <c r="X60" s="58">
        <f>Y60/V60</f>
        <v>5.601004016064258</v>
      </c>
      <c r="Y60" s="58">
        <f>SUM(Y58:Y59)</f>
        <v>33471.600000000006</v>
      </c>
    </row>
    <row r="61" spans="1:25">
      <c r="A61" s="1591"/>
      <c r="B61" s="562" t="s">
        <v>3712</v>
      </c>
      <c r="C61" s="471" t="s">
        <v>3713</v>
      </c>
      <c r="D61" s="476">
        <v>10</v>
      </c>
      <c r="E61" s="475" t="s">
        <v>2803</v>
      </c>
      <c r="F61" s="1593">
        <v>600</v>
      </c>
      <c r="G61" s="662">
        <f t="shared" si="5"/>
        <v>6000</v>
      </c>
      <c r="H61" s="1584"/>
      <c r="I61" s="1256">
        <f>$G61</f>
        <v>6000</v>
      </c>
      <c r="J61" s="1584"/>
      <c r="K61" s="1160"/>
      <c r="L61" s="1584"/>
      <c r="M61" s="1161"/>
      <c r="N61" s="1584"/>
      <c r="O61" s="1161"/>
      <c r="P61" s="1584"/>
      <c r="Q61" s="1161"/>
      <c r="R61" s="1584"/>
      <c r="S61" s="1161"/>
    </row>
    <row r="62" spans="1:25">
      <c r="A62" s="1591"/>
      <c r="B62" s="469"/>
      <c r="C62" s="466"/>
      <c r="D62" s="467"/>
      <c r="E62" s="510"/>
      <c r="F62" s="1593"/>
      <c r="G62" s="662">
        <f t="shared" si="5"/>
        <v>0</v>
      </c>
      <c r="H62" s="1584"/>
      <c r="I62" s="1160"/>
      <c r="J62" s="1584"/>
      <c r="K62" s="1160"/>
      <c r="L62" s="1584"/>
      <c r="M62" s="1161"/>
      <c r="N62" s="1584"/>
      <c r="O62" s="1161"/>
      <c r="P62" s="1584"/>
      <c r="Q62" s="1161"/>
      <c r="R62" s="1584"/>
      <c r="S62" s="1161"/>
      <c r="V62" s="561" t="s">
        <v>3738</v>
      </c>
      <c r="W62" t="s">
        <v>3739</v>
      </c>
      <c r="X62" s="58">
        <v>60</v>
      </c>
    </row>
    <row r="63" spans="1:25">
      <c r="A63" s="1591"/>
      <c r="B63" s="468" t="s">
        <v>3597</v>
      </c>
      <c r="C63" s="466"/>
      <c r="D63" s="467"/>
      <c r="E63" s="510"/>
      <c r="F63" s="1593"/>
      <c r="G63" s="662">
        <f t="shared" si="5"/>
        <v>0</v>
      </c>
      <c r="H63" s="1584"/>
      <c r="I63" s="1160"/>
      <c r="J63" s="1584"/>
      <c r="K63" s="1160"/>
      <c r="L63" s="1584"/>
      <c r="M63" s="1161"/>
      <c r="N63" s="1584"/>
      <c r="O63" s="1161"/>
      <c r="P63" s="1584"/>
      <c r="Q63" s="1161"/>
      <c r="R63" s="1584"/>
      <c r="S63" s="1161"/>
      <c r="V63" s="561" t="s">
        <v>3740</v>
      </c>
      <c r="W63" t="s">
        <v>3739</v>
      </c>
      <c r="X63" s="58">
        <v>100</v>
      </c>
    </row>
    <row r="64" spans="1:25">
      <c r="A64" s="1591"/>
      <c r="B64" s="470" t="s">
        <v>3741</v>
      </c>
      <c r="C64" s="466"/>
      <c r="D64" s="467"/>
      <c r="E64" s="510"/>
      <c r="F64" s="1593"/>
      <c r="G64" s="662">
        <f t="shared" si="5"/>
        <v>0</v>
      </c>
      <c r="H64" s="1584"/>
      <c r="I64" s="1160"/>
      <c r="J64" s="1584"/>
      <c r="K64" s="1160"/>
      <c r="L64" s="1584"/>
      <c r="M64" s="1161"/>
      <c r="N64" s="1584"/>
      <c r="O64" s="1161"/>
      <c r="P64" s="1584"/>
      <c r="Q64" s="1161"/>
      <c r="R64" s="1584"/>
      <c r="S64" s="1161"/>
      <c r="V64" s="561"/>
      <c r="X64" s="58">
        <f>SUM(X62:X63)</f>
        <v>160</v>
      </c>
    </row>
    <row r="65" spans="1:25">
      <c r="A65" s="1591"/>
      <c r="B65" s="472" t="s">
        <v>3742</v>
      </c>
      <c r="C65" s="471" t="s">
        <v>3743</v>
      </c>
      <c r="D65" s="474">
        <v>3134</v>
      </c>
      <c r="E65" s="475" t="s">
        <v>2845</v>
      </c>
      <c r="F65" s="1593"/>
      <c r="G65" s="662">
        <f t="shared" si="5"/>
        <v>0</v>
      </c>
      <c r="H65" s="1584"/>
      <c r="I65" s="1160">
        <v>144000</v>
      </c>
      <c r="J65" s="1584"/>
      <c r="K65" s="1160"/>
      <c r="L65" s="1584"/>
      <c r="M65" s="1161"/>
      <c r="N65" s="1584"/>
      <c r="O65" s="1161"/>
      <c r="P65" s="1584"/>
      <c r="Q65" s="1161"/>
      <c r="R65" s="1584"/>
      <c r="S65" s="1161"/>
      <c r="V65" s="561"/>
    </row>
    <row r="66" spans="1:25">
      <c r="A66" s="1591"/>
      <c r="B66" s="472"/>
      <c r="C66" s="471"/>
      <c r="D66" s="474"/>
      <c r="E66" s="475"/>
      <c r="F66" s="1593"/>
      <c r="G66" s="662"/>
      <c r="H66" s="1584"/>
      <c r="I66" s="1160"/>
      <c r="J66" s="1584"/>
      <c r="K66" s="1160"/>
      <c r="L66" s="1584"/>
      <c r="M66" s="1161"/>
      <c r="N66" s="1584"/>
      <c r="O66" s="1161"/>
      <c r="P66" s="1584"/>
      <c r="Q66" s="1161"/>
      <c r="R66" s="1584"/>
      <c r="S66" s="1161"/>
      <c r="V66" s="561" t="s">
        <v>3744</v>
      </c>
      <c r="X66" s="300">
        <f>8/15</f>
        <v>0.53333333333333333</v>
      </c>
      <c r="Y66" s="58" t="s">
        <v>3745</v>
      </c>
    </row>
    <row r="67" spans="1:25">
      <c r="A67" s="1591"/>
      <c r="B67" s="558" t="s">
        <v>3746</v>
      </c>
      <c r="C67" s="471"/>
      <c r="D67" s="474"/>
      <c r="E67" s="475"/>
      <c r="F67" s="1593"/>
      <c r="G67" s="662"/>
      <c r="H67" s="1584"/>
      <c r="I67" s="1367">
        <f>(I25+I42+I55+I65)*0.35290404040404</f>
        <v>423837.75252525206</v>
      </c>
      <c r="J67" s="1584"/>
      <c r="K67" s="1160"/>
      <c r="L67" s="1584"/>
      <c r="M67" s="1161"/>
      <c r="N67" s="1584"/>
      <c r="O67" s="1161"/>
      <c r="P67" s="1584"/>
      <c r="Q67" s="1161"/>
      <c r="R67" s="1584"/>
      <c r="S67" s="1161"/>
      <c r="X67" s="58">
        <f>X64*X66</f>
        <v>85.333333333333329</v>
      </c>
      <c r="Y67" s="58" t="s">
        <v>3747</v>
      </c>
    </row>
    <row r="68" spans="1:25">
      <c r="A68" s="1591"/>
      <c r="B68" s="558"/>
      <c r="C68" s="471"/>
      <c r="D68" s="474"/>
      <c r="E68" s="475"/>
      <c r="F68" s="1593"/>
      <c r="G68" s="662"/>
      <c r="H68" s="1584"/>
      <c r="I68" s="1160"/>
      <c r="J68" s="1584"/>
      <c r="K68" s="1160"/>
      <c r="L68" s="1584"/>
      <c r="M68" s="1161"/>
      <c r="N68" s="1584"/>
      <c r="O68" s="1161"/>
      <c r="P68" s="1584"/>
      <c r="Q68" s="1161"/>
      <c r="R68" s="1584"/>
      <c r="S68" s="1161"/>
    </row>
    <row r="69" spans="1:25">
      <c r="A69" s="1595" t="s">
        <v>2587</v>
      </c>
      <c r="B69" s="558" t="s">
        <v>2642</v>
      </c>
      <c r="C69" s="471"/>
      <c r="D69" s="474"/>
      <c r="E69" s="475"/>
      <c r="F69" s="1593"/>
      <c r="G69" s="662">
        <f>SUM(G70:G71)</f>
        <v>508440</v>
      </c>
      <c r="H69" s="1584"/>
      <c r="I69" s="1378">
        <f t="shared" ref="I69" si="7">$G69</f>
        <v>508440</v>
      </c>
      <c r="J69" s="1584"/>
      <c r="K69" s="1160"/>
      <c r="L69" s="1584"/>
      <c r="M69" s="1161"/>
      <c r="N69" s="1584"/>
      <c r="O69" s="1161"/>
      <c r="P69" s="1584"/>
      <c r="Q69" s="1161"/>
      <c r="R69" s="1584"/>
      <c r="S69" s="1161"/>
    </row>
    <row r="70" spans="1:25">
      <c r="A70" s="1591"/>
      <c r="B70" s="470" t="s">
        <v>3748</v>
      </c>
      <c r="C70" s="471"/>
      <c r="D70" s="474">
        <f>36*13.25*10</f>
        <v>4770</v>
      </c>
      <c r="E70" s="475" t="s">
        <v>2803</v>
      </c>
      <c r="F70" s="1593">
        <v>72</v>
      </c>
      <c r="G70" s="662">
        <f t="shared" si="5"/>
        <v>343440</v>
      </c>
      <c r="H70" s="1584"/>
      <c r="I70" s="1160"/>
      <c r="J70" s="1584"/>
      <c r="K70" s="1160"/>
      <c r="L70" s="1584"/>
      <c r="M70" s="1161"/>
      <c r="N70" s="1584"/>
      <c r="O70" s="1161"/>
      <c r="P70" s="1584"/>
      <c r="Q70" s="1161"/>
      <c r="R70" s="1584"/>
      <c r="S70" s="1161"/>
    </row>
    <row r="71" spans="1:25">
      <c r="A71" s="1591"/>
      <c r="B71" s="597" t="s">
        <v>3749</v>
      </c>
      <c r="C71" s="466"/>
      <c r="D71" s="598">
        <v>10</v>
      </c>
      <c r="E71" s="510" t="s">
        <v>2803</v>
      </c>
      <c r="F71" s="1593">
        <v>16500</v>
      </c>
      <c r="G71" s="662">
        <f t="shared" si="5"/>
        <v>165000</v>
      </c>
      <c r="H71" s="1584"/>
      <c r="I71" s="1160"/>
      <c r="J71" s="1584"/>
      <c r="K71" s="1160"/>
      <c r="L71" s="1584"/>
      <c r="M71" s="1161"/>
      <c r="N71" s="1584"/>
      <c r="O71" s="1161"/>
      <c r="P71" s="1584"/>
      <c r="Q71" s="1161"/>
      <c r="R71" s="1584"/>
      <c r="S71" s="1161"/>
    </row>
    <row r="72" spans="1:25">
      <c r="A72" s="1591"/>
      <c r="B72" s="558"/>
      <c r="C72" s="1566"/>
      <c r="D72" s="1489"/>
      <c r="E72" s="1567"/>
      <c r="F72" s="1593"/>
      <c r="G72" s="662"/>
      <c r="H72" s="1584"/>
      <c r="I72" s="1160"/>
      <c r="J72" s="1584"/>
      <c r="K72" s="1160"/>
      <c r="L72" s="1584"/>
      <c r="M72" s="1161"/>
      <c r="N72" s="1584"/>
      <c r="O72" s="1161"/>
      <c r="P72" s="1584"/>
      <c r="Q72" s="1161"/>
      <c r="R72" s="1584"/>
      <c r="S72" s="1161"/>
    </row>
    <row r="73" spans="1:25">
      <c r="A73" s="1585"/>
      <c r="B73" s="1282" t="s">
        <v>3235</v>
      </c>
      <c r="C73" s="1566"/>
      <c r="D73" s="1489"/>
      <c r="E73" s="1567"/>
      <c r="F73" s="1593"/>
      <c r="G73" s="660"/>
      <c r="H73" s="1584"/>
      <c r="I73" s="1166">
        <f>SUBTOTAL(9,I74:I91)</f>
        <v>611228.58080808073</v>
      </c>
      <c r="J73" s="1584"/>
      <c r="K73" s="1166">
        <f>SUBTOTAL(9,K74:K91)</f>
        <v>0</v>
      </c>
      <c r="L73" s="1584"/>
      <c r="M73" s="1166">
        <f>SUBTOTAL(9,M74:M91)</f>
        <v>0</v>
      </c>
      <c r="N73" s="1584"/>
      <c r="O73" s="1166">
        <f>SUBTOTAL(9,O74:O91)</f>
        <v>0</v>
      </c>
      <c r="P73" s="1584"/>
      <c r="Q73" s="1166">
        <f>SUBTOTAL(9,Q74:Q91)</f>
        <v>0</v>
      </c>
      <c r="R73" s="1584"/>
      <c r="S73" s="1166">
        <f>SUBTOTAL(9,S74:S91)</f>
        <v>0</v>
      </c>
    </row>
    <row r="74" spans="1:25">
      <c r="A74" s="1591"/>
      <c r="B74" s="470" t="s">
        <v>3718</v>
      </c>
      <c r="C74" s="466"/>
      <c r="D74" s="467"/>
      <c r="E74" s="510"/>
      <c r="F74" s="1593"/>
      <c r="G74" s="662">
        <f t="shared" si="5"/>
        <v>0</v>
      </c>
      <c r="H74" s="1584"/>
      <c r="I74" s="1160"/>
      <c r="J74" s="1584"/>
      <c r="K74" s="1160"/>
      <c r="L74" s="1584"/>
      <c r="M74" s="1161"/>
      <c r="N74" s="1584"/>
      <c r="O74" s="1161"/>
      <c r="P74" s="1584"/>
      <c r="Q74" s="1161"/>
      <c r="R74" s="1584"/>
      <c r="S74" s="1161"/>
    </row>
    <row r="75" spans="1:25">
      <c r="A75" s="1591"/>
      <c r="B75" s="472" t="s">
        <v>3750</v>
      </c>
      <c r="C75" s="471" t="s">
        <v>2370</v>
      </c>
      <c r="D75" s="474">
        <v>2805</v>
      </c>
      <c r="E75" s="475" t="s">
        <v>2845</v>
      </c>
      <c r="F75" s="1593"/>
      <c r="G75" s="662">
        <f t="shared" si="5"/>
        <v>0</v>
      </c>
      <c r="H75" s="1584"/>
      <c r="I75" s="1160">
        <v>119000</v>
      </c>
      <c r="J75" s="1584"/>
      <c r="K75" s="1160"/>
      <c r="L75" s="1584"/>
      <c r="M75" s="1161"/>
      <c r="N75" s="1584"/>
      <c r="O75" s="1161"/>
      <c r="P75" s="1584"/>
      <c r="Q75" s="1161"/>
      <c r="R75" s="1584"/>
      <c r="S75" s="1161"/>
    </row>
    <row r="76" spans="1:25">
      <c r="A76" s="1591"/>
      <c r="B76" s="559" t="s">
        <v>3708</v>
      </c>
      <c r="C76" s="471" t="s">
        <v>3751</v>
      </c>
      <c r="D76" s="467"/>
      <c r="E76" s="510"/>
      <c r="F76" s="1593"/>
      <c r="G76" s="662">
        <f t="shared" si="5"/>
        <v>0</v>
      </c>
      <c r="H76" s="1584"/>
      <c r="I76" s="1160"/>
      <c r="J76" s="1584"/>
      <c r="K76" s="1160"/>
      <c r="L76" s="1584"/>
      <c r="M76" s="1161"/>
      <c r="N76" s="1584"/>
      <c r="O76" s="1161"/>
      <c r="P76" s="1584"/>
      <c r="Q76" s="1161"/>
      <c r="R76" s="1584"/>
      <c r="S76" s="1161"/>
    </row>
    <row r="77" spans="1:25">
      <c r="A77" s="1591"/>
      <c r="B77" s="472" t="s">
        <v>3709</v>
      </c>
      <c r="C77" s="471" t="s">
        <v>796</v>
      </c>
      <c r="D77" s="474">
        <v>1602</v>
      </c>
      <c r="E77" s="475" t="s">
        <v>2845</v>
      </c>
      <c r="F77" s="1593"/>
      <c r="G77" s="662">
        <f t="shared" si="5"/>
        <v>0</v>
      </c>
      <c r="H77" s="1584"/>
      <c r="I77" s="1160">
        <v>105000</v>
      </c>
      <c r="J77" s="1584"/>
      <c r="K77" s="1160"/>
      <c r="L77" s="1584"/>
      <c r="M77" s="1161"/>
      <c r="N77" s="1584"/>
      <c r="O77" s="1161"/>
      <c r="P77" s="1584"/>
      <c r="Q77" s="1161"/>
      <c r="R77" s="1584"/>
      <c r="S77" s="1161"/>
    </row>
    <row r="78" spans="1:25">
      <c r="A78" s="1591"/>
      <c r="B78" s="472" t="s">
        <v>3706</v>
      </c>
      <c r="C78" s="471" t="s">
        <v>947</v>
      </c>
      <c r="D78" s="467"/>
      <c r="E78" s="510"/>
      <c r="F78" s="1593"/>
      <c r="G78" s="662">
        <f t="shared" si="5"/>
        <v>0</v>
      </c>
      <c r="H78" s="1584"/>
      <c r="I78" s="1160"/>
      <c r="J78" s="1584"/>
      <c r="K78" s="1160"/>
      <c r="L78" s="1584"/>
      <c r="M78" s="1161"/>
      <c r="N78" s="1584"/>
      <c r="O78" s="1161"/>
      <c r="P78" s="1584"/>
      <c r="Q78" s="1161"/>
      <c r="R78" s="1584"/>
      <c r="S78" s="1161"/>
    </row>
    <row r="79" spans="1:25">
      <c r="A79" s="1591"/>
      <c r="B79" s="472" t="s">
        <v>3752</v>
      </c>
      <c r="C79" s="471" t="s">
        <v>3753</v>
      </c>
      <c r="D79" s="476">
        <v>16</v>
      </c>
      <c r="E79" s="475" t="s">
        <v>2803</v>
      </c>
      <c r="F79" s="1593">
        <v>520</v>
      </c>
      <c r="G79" s="662">
        <f t="shared" si="5"/>
        <v>8320</v>
      </c>
      <c r="H79" s="1584"/>
      <c r="I79" s="1256">
        <f>$G79</f>
        <v>8320</v>
      </c>
      <c r="J79" s="1584"/>
      <c r="K79" s="1160"/>
      <c r="L79" s="1584"/>
      <c r="M79" s="1161"/>
      <c r="N79" s="1584"/>
      <c r="O79" s="1161"/>
      <c r="P79" s="1584"/>
      <c r="Q79" s="1161"/>
      <c r="R79" s="1584"/>
      <c r="S79" s="1161"/>
    </row>
    <row r="80" spans="1:25">
      <c r="A80" s="1591"/>
      <c r="B80" s="472"/>
      <c r="C80" s="471"/>
      <c r="D80" s="474"/>
      <c r="E80" s="475"/>
      <c r="F80" s="1593"/>
      <c r="G80" s="662">
        <f>ROUND(D80*F80,0)</f>
        <v>0</v>
      </c>
      <c r="H80" s="1584"/>
      <c r="I80" s="1160"/>
      <c r="J80" s="1584"/>
      <c r="K80" s="1160"/>
      <c r="L80" s="1584"/>
      <c r="M80" s="1161"/>
      <c r="N80" s="1584"/>
      <c r="O80" s="1161"/>
      <c r="P80" s="1584"/>
      <c r="Q80" s="1161"/>
      <c r="R80" s="1584"/>
      <c r="S80" s="1161"/>
    </row>
    <row r="81" spans="1:19">
      <c r="A81" s="1591"/>
      <c r="B81" s="558" t="s">
        <v>3746</v>
      </c>
      <c r="C81" s="471"/>
      <c r="D81" s="474"/>
      <c r="E81" s="475"/>
      <c r="F81" s="1593"/>
      <c r="G81" s="662">
        <f>ROUND(D81*F81,0)</f>
        <v>0</v>
      </c>
      <c r="H81" s="1584"/>
      <c r="I81" s="1367">
        <f>I75*0.35290404040404</f>
        <v>41995.580808080762</v>
      </c>
      <c r="J81" s="1584"/>
      <c r="K81" s="1160"/>
      <c r="L81" s="1584"/>
      <c r="M81" s="1161"/>
      <c r="N81" s="1584"/>
      <c r="O81" s="1161"/>
      <c r="P81" s="1584"/>
      <c r="Q81" s="1161"/>
      <c r="R81" s="1584"/>
      <c r="S81" s="1161"/>
    </row>
    <row r="82" spans="1:19">
      <c r="A82" s="1591"/>
      <c r="B82" s="472"/>
      <c r="C82" s="471"/>
      <c r="D82" s="476"/>
      <c r="E82" s="475"/>
      <c r="F82" s="1593"/>
      <c r="G82" s="662"/>
      <c r="H82" s="1584"/>
      <c r="I82" s="1160"/>
      <c r="J82" s="1584"/>
      <c r="K82" s="1160"/>
      <c r="L82" s="1584"/>
      <c r="M82" s="1161"/>
      <c r="N82" s="1584"/>
      <c r="O82" s="1161"/>
      <c r="P82" s="1584"/>
      <c r="Q82" s="1161"/>
      <c r="R82" s="1584"/>
      <c r="S82" s="1161"/>
    </row>
    <row r="83" spans="1:19">
      <c r="A83" s="1591"/>
      <c r="B83" s="472"/>
      <c r="C83" s="471"/>
      <c r="D83" s="476"/>
      <c r="E83" s="475"/>
      <c r="F83" s="1593"/>
      <c r="G83" s="662"/>
      <c r="H83" s="1584"/>
      <c r="I83" s="1390" t="s">
        <v>3754</v>
      </c>
      <c r="J83" s="1584"/>
      <c r="K83" s="1160"/>
      <c r="L83" s="1584"/>
      <c r="M83" s="1161"/>
      <c r="N83" s="1584"/>
      <c r="O83" s="1161"/>
      <c r="P83" s="1584"/>
      <c r="Q83" s="1161"/>
      <c r="R83" s="1584"/>
      <c r="S83" s="1161"/>
    </row>
    <row r="84" spans="1:19">
      <c r="A84" s="1591"/>
      <c r="B84" s="470" t="s">
        <v>3755</v>
      </c>
      <c r="C84" s="471"/>
      <c r="D84" s="476"/>
      <c r="E84" s="475"/>
      <c r="F84" s="1593">
        <f>I84/3643</f>
        <v>71.095251166620912</v>
      </c>
      <c r="G84" s="662"/>
      <c r="H84" s="1584"/>
      <c r="I84" s="1160">
        <v>259000</v>
      </c>
      <c r="J84" s="1584"/>
      <c r="K84" s="1160"/>
      <c r="L84" s="1584"/>
      <c r="M84" s="1161"/>
      <c r="N84" s="1584"/>
      <c r="O84" s="1161"/>
      <c r="P84" s="1584"/>
      <c r="Q84" s="1161"/>
      <c r="R84" s="1584"/>
      <c r="S84" s="1161"/>
    </row>
    <row r="85" spans="1:19">
      <c r="A85" s="1591"/>
      <c r="B85" s="569" t="s">
        <v>3756</v>
      </c>
      <c r="C85" s="466"/>
      <c r="D85" s="474">
        <v>2805</v>
      </c>
      <c r="E85" s="475" t="s">
        <v>2845</v>
      </c>
      <c r="F85" s="1593"/>
      <c r="G85" s="662">
        <f t="shared" si="5"/>
        <v>0</v>
      </c>
      <c r="H85" s="1584" t="s">
        <v>2931</v>
      </c>
      <c r="I85" s="1160"/>
      <c r="J85" s="1584"/>
      <c r="K85" s="1160"/>
      <c r="L85" s="1584"/>
      <c r="M85" s="1161"/>
      <c r="N85" s="1584"/>
      <c r="O85" s="1161"/>
      <c r="P85" s="1584"/>
      <c r="Q85" s="1161"/>
      <c r="R85" s="1584"/>
      <c r="S85" s="1161"/>
    </row>
    <row r="86" spans="1:19">
      <c r="A86" s="1591"/>
      <c r="B86" s="569" t="s">
        <v>3757</v>
      </c>
      <c r="C86" s="466"/>
      <c r="D86" s="476">
        <v>829</v>
      </c>
      <c r="E86" s="475" t="s">
        <v>2845</v>
      </c>
      <c r="F86" s="1593"/>
      <c r="G86" s="662">
        <f t="shared" si="5"/>
        <v>0</v>
      </c>
      <c r="H86" s="1584" t="s">
        <v>2931</v>
      </c>
      <c r="I86" s="1160"/>
      <c r="J86" s="1584"/>
      <c r="K86" s="1160"/>
      <c r="L86" s="1584"/>
      <c r="M86" s="1161"/>
      <c r="N86" s="1584"/>
      <c r="O86" s="1161"/>
      <c r="P86" s="1584"/>
      <c r="Q86" s="1161"/>
      <c r="R86" s="1584"/>
      <c r="S86" s="1161"/>
    </row>
    <row r="87" spans="1:19">
      <c r="A87" s="1591"/>
      <c r="B87" s="569" t="s">
        <v>3758</v>
      </c>
      <c r="C87" s="471" t="s">
        <v>3759</v>
      </c>
      <c r="D87" s="476">
        <v>532</v>
      </c>
      <c r="E87" s="475" t="s">
        <v>2845</v>
      </c>
      <c r="F87" s="1593">
        <v>65</v>
      </c>
      <c r="G87" s="662">
        <f t="shared" si="5"/>
        <v>34580</v>
      </c>
      <c r="H87" s="1584"/>
      <c r="I87" s="1256">
        <f>$G87</f>
        <v>34580</v>
      </c>
      <c r="J87" s="1584"/>
      <c r="K87" s="1160"/>
      <c r="L87" s="1584"/>
      <c r="M87" s="1161"/>
      <c r="N87" s="1584"/>
      <c r="O87" s="1161"/>
      <c r="P87" s="1584"/>
      <c r="Q87" s="1161"/>
      <c r="R87" s="1584"/>
      <c r="S87" s="1161"/>
    </row>
    <row r="88" spans="1:19">
      <c r="A88" s="1591"/>
      <c r="B88" s="569" t="s">
        <v>3760</v>
      </c>
      <c r="C88" s="471" t="s">
        <v>3759</v>
      </c>
      <c r="D88" s="476">
        <v>456</v>
      </c>
      <c r="E88" s="475" t="s">
        <v>2864</v>
      </c>
      <c r="F88" s="1593">
        <v>65</v>
      </c>
      <c r="G88" s="662">
        <f t="shared" si="5"/>
        <v>29640</v>
      </c>
      <c r="H88" s="1584"/>
      <c r="I88" s="1256">
        <f>$G88</f>
        <v>29640</v>
      </c>
      <c r="J88" s="1584"/>
      <c r="K88" s="1160"/>
      <c r="L88" s="1584"/>
      <c r="M88" s="1161"/>
      <c r="N88" s="1584"/>
      <c r="O88" s="1161"/>
      <c r="P88" s="1584"/>
      <c r="Q88" s="1161"/>
      <c r="R88" s="1584"/>
      <c r="S88" s="1161"/>
    </row>
    <row r="89" spans="1:19">
      <c r="A89" s="1591"/>
      <c r="B89" s="569" t="s">
        <v>3761</v>
      </c>
      <c r="C89" s="471" t="s">
        <v>3762</v>
      </c>
      <c r="D89" s="476">
        <v>115</v>
      </c>
      <c r="E89" s="475" t="s">
        <v>2803</v>
      </c>
      <c r="F89" s="1593">
        <v>65</v>
      </c>
      <c r="G89" s="662">
        <f t="shared" si="5"/>
        <v>7475</v>
      </c>
      <c r="H89" s="1584"/>
      <c r="I89" s="1256">
        <f>$G89</f>
        <v>7475</v>
      </c>
      <c r="J89" s="1584"/>
      <c r="K89" s="1160"/>
      <c r="L89" s="1584"/>
      <c r="M89" s="1161"/>
      <c r="N89" s="1584"/>
      <c r="O89" s="1161"/>
      <c r="P89" s="1584"/>
      <c r="Q89" s="1161"/>
      <c r="R89" s="1584"/>
      <c r="S89" s="1161"/>
    </row>
    <row r="90" spans="1:19">
      <c r="A90" s="1591"/>
      <c r="B90" s="569" t="s">
        <v>3763</v>
      </c>
      <c r="C90" s="471"/>
      <c r="D90" s="476">
        <f>D86</f>
        <v>829</v>
      </c>
      <c r="E90" s="475" t="s">
        <v>2845</v>
      </c>
      <c r="F90" s="1593">
        <v>7.5</v>
      </c>
      <c r="G90" s="662">
        <f t="shared" ref="G90" si="8">ROUND(D90*F90,0)</f>
        <v>6218</v>
      </c>
      <c r="H90" s="1584"/>
      <c r="I90" s="1256">
        <f>$G90</f>
        <v>6218</v>
      </c>
      <c r="J90" s="1584"/>
      <c r="K90" s="1160"/>
      <c r="L90" s="1584"/>
      <c r="M90" s="1161"/>
      <c r="N90" s="1584"/>
      <c r="O90" s="1161"/>
      <c r="P90" s="1584"/>
      <c r="Q90" s="1161"/>
      <c r="R90" s="1584"/>
      <c r="S90" s="1161"/>
    </row>
    <row r="91" spans="1:19">
      <c r="A91" s="1591"/>
      <c r="B91" s="469"/>
      <c r="C91" s="466"/>
      <c r="D91" s="467"/>
      <c r="E91" s="510"/>
      <c r="F91" s="1593"/>
      <c r="G91" s="662">
        <f t="shared" si="5"/>
        <v>0</v>
      </c>
      <c r="H91" s="1584"/>
      <c r="I91" s="1160"/>
      <c r="J91" s="1584"/>
      <c r="K91" s="1160"/>
      <c r="L91" s="1584"/>
      <c r="M91" s="1161"/>
      <c r="N91" s="1584"/>
      <c r="O91" s="1161"/>
      <c r="P91" s="1584"/>
      <c r="Q91" s="1161"/>
      <c r="R91" s="1584"/>
      <c r="S91" s="1161"/>
    </row>
    <row r="92" spans="1:19">
      <c r="A92" s="1585"/>
      <c r="B92" s="1282" t="s">
        <v>2697</v>
      </c>
      <c r="C92" s="1566"/>
      <c r="D92" s="1489"/>
      <c r="E92" s="1567"/>
      <c r="F92" s="1593"/>
      <c r="G92" s="662">
        <f t="shared" si="5"/>
        <v>0</v>
      </c>
      <c r="H92" s="1584"/>
      <c r="I92" s="1166">
        <f>SUBTOTAL(9,I93:I108)</f>
        <v>708166.66666666651</v>
      </c>
      <c r="J92" s="1584"/>
      <c r="K92" s="1166">
        <f>SUBTOTAL(9,K93:K108)</f>
        <v>0</v>
      </c>
      <c r="L92" s="1584"/>
      <c r="M92" s="1166">
        <f>SUBTOTAL(9,M93:M108)</f>
        <v>0</v>
      </c>
      <c r="N92" s="1584"/>
      <c r="O92" s="1166">
        <f>SUBTOTAL(9,O93:O108)</f>
        <v>0</v>
      </c>
      <c r="P92" s="1584"/>
      <c r="Q92" s="1166">
        <f>SUBTOTAL(9,Q93:Q108)</f>
        <v>0</v>
      </c>
      <c r="R92" s="1584"/>
      <c r="S92" s="1166">
        <f>SUBTOTAL(9,S93:S108)</f>
        <v>0</v>
      </c>
    </row>
    <row r="93" spans="1:19">
      <c r="A93" s="1591"/>
      <c r="B93" s="470" t="s">
        <v>3703</v>
      </c>
      <c r="C93" s="471" t="s">
        <v>3751</v>
      </c>
      <c r="D93" s="467"/>
      <c r="E93" s="510"/>
      <c r="F93" s="1593"/>
      <c r="G93" s="662">
        <f t="shared" si="5"/>
        <v>0</v>
      </c>
      <c r="H93" s="1584"/>
      <c r="I93" s="1160">
        <v>264000</v>
      </c>
      <c r="J93" s="1584"/>
      <c r="K93" s="1160"/>
      <c r="L93" s="1584"/>
      <c r="M93" s="1161"/>
      <c r="N93" s="1584"/>
      <c r="O93" s="1161"/>
      <c r="P93" s="1584"/>
      <c r="Q93" s="1161"/>
      <c r="R93" s="1584"/>
      <c r="S93" s="1161"/>
    </row>
    <row r="94" spans="1:19">
      <c r="A94" s="1591"/>
      <c r="B94" s="472" t="s">
        <v>3724</v>
      </c>
      <c r="C94" s="471" t="s">
        <v>3764</v>
      </c>
      <c r="D94" s="474">
        <v>3738</v>
      </c>
      <c r="E94" s="475" t="s">
        <v>2845</v>
      </c>
      <c r="F94" s="1593"/>
      <c r="G94" s="662">
        <f t="shared" si="5"/>
        <v>0</v>
      </c>
      <c r="H94" s="1584"/>
      <c r="I94" s="1160"/>
      <c r="J94" s="1584"/>
      <c r="K94" s="1160"/>
      <c r="L94" s="1584"/>
      <c r="M94" s="1161"/>
      <c r="N94" s="1584"/>
      <c r="O94" s="1161"/>
      <c r="P94" s="1584"/>
      <c r="Q94" s="1161"/>
      <c r="R94" s="1584"/>
      <c r="S94" s="1161"/>
    </row>
    <row r="95" spans="1:19">
      <c r="A95" s="1591"/>
      <c r="B95" s="472" t="s">
        <v>3765</v>
      </c>
      <c r="C95" s="471" t="s">
        <v>3766</v>
      </c>
      <c r="D95" s="467"/>
      <c r="E95" s="510"/>
      <c r="F95" s="1593"/>
      <c r="G95" s="662">
        <f t="shared" si="5"/>
        <v>0</v>
      </c>
      <c r="H95" s="1584"/>
      <c r="I95" s="1160"/>
      <c r="J95" s="1584"/>
      <c r="K95" s="1160"/>
      <c r="L95" s="1584"/>
      <c r="M95" s="1161"/>
      <c r="N95" s="1584"/>
      <c r="O95" s="1161"/>
      <c r="P95" s="1584"/>
      <c r="Q95" s="1161"/>
      <c r="R95" s="1584"/>
      <c r="S95" s="1161"/>
    </row>
    <row r="96" spans="1:19">
      <c r="A96" s="1591"/>
      <c r="B96" s="559" t="s">
        <v>3708</v>
      </c>
      <c r="C96" s="471" t="s">
        <v>3751</v>
      </c>
      <c r="D96" s="467"/>
      <c r="E96" s="510"/>
      <c r="F96" s="1593"/>
      <c r="G96" s="662">
        <f t="shared" si="5"/>
        <v>0</v>
      </c>
      <c r="H96" s="1584"/>
      <c r="I96" s="1160">
        <v>267000</v>
      </c>
      <c r="J96" s="1584"/>
      <c r="K96" s="1160"/>
      <c r="L96" s="1584"/>
      <c r="M96" s="1161"/>
      <c r="N96" s="1584"/>
      <c r="O96" s="1161"/>
      <c r="P96" s="1584"/>
      <c r="Q96" s="1161"/>
      <c r="R96" s="1584"/>
      <c r="S96" s="1161"/>
    </row>
    <row r="97" spans="1:19">
      <c r="A97" s="1591"/>
      <c r="B97" s="472" t="s">
        <v>3709</v>
      </c>
      <c r="C97" s="471" t="s">
        <v>3710</v>
      </c>
      <c r="D97" s="474">
        <v>4833</v>
      </c>
      <c r="E97" s="475" t="s">
        <v>2845</v>
      </c>
      <c r="F97" s="1593"/>
      <c r="G97" s="662">
        <f t="shared" si="5"/>
        <v>0</v>
      </c>
      <c r="H97" s="1584"/>
      <c r="I97" s="1160"/>
      <c r="J97" s="1584"/>
      <c r="K97" s="1160"/>
      <c r="L97" s="1584"/>
      <c r="M97" s="1161"/>
      <c r="N97" s="1584"/>
      <c r="O97" s="1161"/>
      <c r="P97" s="1584"/>
      <c r="Q97" s="1161"/>
      <c r="R97" s="1584"/>
      <c r="S97" s="1161"/>
    </row>
    <row r="98" spans="1:19">
      <c r="A98" s="1591"/>
      <c r="B98" s="472" t="s">
        <v>3706</v>
      </c>
      <c r="C98" s="471" t="s">
        <v>3766</v>
      </c>
      <c r="D98" s="467"/>
      <c r="E98" s="510"/>
      <c r="F98" s="1593"/>
      <c r="G98" s="662">
        <f t="shared" ref="G98:G99" si="9">ROUND(D98*F98,0)</f>
        <v>0</v>
      </c>
      <c r="H98" s="1584"/>
      <c r="I98" s="1160"/>
      <c r="J98" s="1584"/>
      <c r="K98" s="1160"/>
      <c r="L98" s="1584"/>
      <c r="M98" s="1161"/>
      <c r="N98" s="1584"/>
      <c r="O98" s="1161"/>
      <c r="P98" s="1584"/>
      <c r="Q98" s="1161"/>
      <c r="R98" s="1584"/>
      <c r="S98" s="1161"/>
    </row>
    <row r="99" spans="1:19">
      <c r="A99" s="1591"/>
      <c r="B99" s="470" t="s">
        <v>3767</v>
      </c>
      <c r="C99" s="466"/>
      <c r="D99" s="467"/>
      <c r="E99" s="510"/>
      <c r="F99" s="1593"/>
      <c r="G99" s="662">
        <f t="shared" si="9"/>
        <v>0</v>
      </c>
      <c r="H99" s="1584"/>
      <c r="I99" s="1160"/>
      <c r="J99" s="1584"/>
      <c r="K99" s="1160"/>
      <c r="L99" s="1584"/>
      <c r="M99" s="1161"/>
      <c r="N99" s="1584"/>
      <c r="O99" s="1161"/>
      <c r="P99" s="1584"/>
      <c r="Q99" s="1161"/>
      <c r="R99" s="1584"/>
      <c r="S99" s="1161"/>
    </row>
    <row r="100" spans="1:19">
      <c r="A100" s="1591"/>
      <c r="B100" s="472" t="s">
        <v>3768</v>
      </c>
      <c r="C100" s="471" t="s">
        <v>2456</v>
      </c>
      <c r="D100" s="476">
        <v>1740</v>
      </c>
      <c r="E100" s="475" t="s">
        <v>2845</v>
      </c>
      <c r="F100" s="1593"/>
      <c r="G100" s="662">
        <f t="shared" ref="G100:G103" si="10">ROUND(D100*F100,0)</f>
        <v>0</v>
      </c>
      <c r="H100" s="1584"/>
      <c r="I100" s="1367">
        <v>84000</v>
      </c>
      <c r="J100" s="1584"/>
      <c r="K100" s="1160"/>
      <c r="L100" s="1584"/>
      <c r="M100" s="1161"/>
      <c r="N100" s="1584"/>
      <c r="O100" s="1161"/>
      <c r="P100" s="1584"/>
      <c r="Q100" s="1161"/>
      <c r="R100" s="1584"/>
      <c r="S100" s="1161"/>
    </row>
    <row r="101" spans="1:19">
      <c r="A101" s="1591"/>
      <c r="B101" s="472"/>
      <c r="C101" s="471"/>
      <c r="D101" s="474">
        <f>D100/9.5</f>
        <v>183.15789473684211</v>
      </c>
      <c r="E101" s="475" t="s">
        <v>2864</v>
      </c>
      <c r="F101" s="1593"/>
      <c r="G101" s="662">
        <f t="shared" si="10"/>
        <v>0</v>
      </c>
      <c r="H101" s="1584"/>
      <c r="I101" s="1160"/>
      <c r="J101" s="1584"/>
      <c r="K101" s="1160"/>
      <c r="L101" s="1584"/>
      <c r="M101" s="1161"/>
      <c r="N101" s="1584"/>
      <c r="O101" s="1161"/>
      <c r="P101" s="1584"/>
      <c r="Q101" s="1161"/>
      <c r="R101" s="1584"/>
      <c r="S101" s="1161"/>
    </row>
    <row r="102" spans="1:19">
      <c r="A102" s="1591"/>
      <c r="B102" s="558" t="s">
        <v>3746</v>
      </c>
      <c r="C102" s="471"/>
      <c r="D102" s="474"/>
      <c r="E102" s="475"/>
      <c r="F102" s="1593"/>
      <c r="G102" s="662">
        <f t="shared" si="10"/>
        <v>0</v>
      </c>
      <c r="H102" s="1584"/>
      <c r="I102" s="1367">
        <f>I93*0.35290404040404</f>
        <v>93166.666666666555</v>
      </c>
      <c r="J102" s="1584"/>
      <c r="K102" s="1160"/>
      <c r="L102" s="1584"/>
      <c r="M102" s="1161"/>
      <c r="N102" s="1584"/>
      <c r="O102" s="1161"/>
      <c r="P102" s="1584"/>
      <c r="Q102" s="1161"/>
      <c r="R102" s="1584"/>
      <c r="S102" s="1161"/>
    </row>
    <row r="103" spans="1:19">
      <c r="A103" s="1591"/>
      <c r="B103" s="469"/>
      <c r="C103" s="466"/>
      <c r="D103" s="467"/>
      <c r="E103" s="510"/>
      <c r="F103" s="1593"/>
      <c r="G103" s="662">
        <f t="shared" si="10"/>
        <v>0</v>
      </c>
      <c r="H103" s="1584"/>
      <c r="I103" s="1160"/>
      <c r="J103" s="1584"/>
      <c r="K103" s="1160"/>
      <c r="L103" s="1584"/>
      <c r="M103" s="1161"/>
      <c r="N103" s="1584"/>
      <c r="O103" s="1161"/>
      <c r="P103" s="1584"/>
      <c r="Q103" s="1161"/>
      <c r="R103" s="1584"/>
      <c r="S103" s="1161"/>
    </row>
    <row r="104" spans="1:19">
      <c r="A104" s="1591"/>
      <c r="B104" s="1596" t="s">
        <v>3769</v>
      </c>
      <c r="C104" s="659"/>
      <c r="D104" s="1489">
        <f>D26+D36+D43+D48+D56+D65+D75+D94</f>
        <v>36199</v>
      </c>
      <c r="E104" s="1567" t="s">
        <v>2845</v>
      </c>
      <c r="F104" s="1593">
        <f>1584000/D104</f>
        <v>43.758114865051517</v>
      </c>
      <c r="G104" s="662"/>
      <c r="H104" s="1584"/>
      <c r="I104" s="1160"/>
      <c r="J104" s="1584"/>
      <c r="K104" s="1160"/>
      <c r="L104" s="1584"/>
      <c r="M104" s="1161"/>
      <c r="N104" s="1584"/>
      <c r="O104" s="1161"/>
      <c r="P104" s="1584"/>
      <c r="Q104" s="1161"/>
      <c r="R104" s="1584"/>
      <c r="S104" s="1161"/>
    </row>
    <row r="105" spans="1:19">
      <c r="A105" s="1591"/>
      <c r="B105" s="1596" t="s">
        <v>3770</v>
      </c>
      <c r="C105" s="659"/>
      <c r="D105" s="1489">
        <f>D29+D40+D59+D77+D97</f>
        <v>17240.940000000002</v>
      </c>
      <c r="E105" s="1567" t="s">
        <v>2845</v>
      </c>
      <c r="F105" s="1593">
        <f>921000/15400</f>
        <v>59.805194805194802</v>
      </c>
      <c r="G105" s="662"/>
      <c r="H105" s="1584"/>
      <c r="I105" s="1160"/>
      <c r="J105" s="1584"/>
      <c r="K105" s="1160"/>
      <c r="L105" s="1584"/>
      <c r="M105" s="1161"/>
      <c r="N105" s="1584"/>
      <c r="O105" s="1161"/>
      <c r="P105" s="1584"/>
      <c r="Q105" s="1161"/>
      <c r="R105" s="1584"/>
      <c r="S105" s="1161"/>
    </row>
    <row r="106" spans="1:19">
      <c r="A106" s="1591"/>
      <c r="B106" s="469" t="s">
        <v>3771</v>
      </c>
      <c r="C106" s="659"/>
      <c r="D106" s="1489">
        <f>D40+D52+D53</f>
        <v>8627.94</v>
      </c>
      <c r="E106" s="1567" t="s">
        <v>2864</v>
      </c>
      <c r="F106" s="1593">
        <f>154000/D106</f>
        <v>17.848988286891192</v>
      </c>
      <c r="G106" s="662"/>
      <c r="H106" s="1584"/>
      <c r="I106" s="1160"/>
      <c r="J106" s="1584"/>
      <c r="K106" s="1160"/>
      <c r="L106" s="1584"/>
      <c r="M106" s="1161"/>
      <c r="N106" s="1584"/>
      <c r="O106" s="1161"/>
      <c r="P106" s="1584"/>
      <c r="Q106" s="1161"/>
      <c r="R106" s="1584"/>
      <c r="S106" s="1161"/>
    </row>
    <row r="107" spans="1:19">
      <c r="A107" s="1591"/>
      <c r="B107" s="469"/>
      <c r="C107" s="659"/>
      <c r="D107" s="1489"/>
      <c r="E107" s="1567"/>
      <c r="F107" s="1593"/>
      <c r="G107" s="662">
        <f t="shared" ref="G107:G108" si="11">ROUND(D107*F107,0)</f>
        <v>0</v>
      </c>
      <c r="H107" s="1584"/>
      <c r="I107" s="1160"/>
      <c r="J107" s="1584"/>
      <c r="K107" s="1160"/>
      <c r="L107" s="1584"/>
      <c r="M107" s="1161"/>
      <c r="N107" s="1584"/>
      <c r="O107" s="1161"/>
      <c r="P107" s="1584"/>
      <c r="Q107" s="1161"/>
      <c r="R107" s="1584"/>
      <c r="S107" s="1161"/>
    </row>
    <row r="108" spans="1:19">
      <c r="A108" s="1591"/>
      <c r="B108" s="469"/>
      <c r="C108" s="659"/>
      <c r="D108" s="1489"/>
      <c r="E108" s="1567"/>
      <c r="F108" s="1593"/>
      <c r="G108" s="662">
        <f t="shared" si="11"/>
        <v>0</v>
      </c>
      <c r="H108" s="1584"/>
      <c r="I108" s="1160"/>
      <c r="J108" s="1584"/>
      <c r="K108" s="1160"/>
      <c r="L108" s="1584"/>
      <c r="M108" s="1161"/>
      <c r="N108" s="1584"/>
      <c r="O108" s="1161"/>
      <c r="P108" s="1584"/>
      <c r="Q108" s="1161"/>
      <c r="R108" s="1584"/>
      <c r="S108" s="1161"/>
    </row>
    <row r="109" spans="1:19" ht="15.75" thickBot="1">
      <c r="A109" s="1591"/>
      <c r="B109" s="1597"/>
      <c r="C109" s="659"/>
      <c r="D109" s="1489"/>
      <c r="E109" s="1567"/>
      <c r="F109" s="1593"/>
      <c r="G109" s="662"/>
      <c r="H109" s="1584"/>
      <c r="I109" s="1160"/>
      <c r="J109" s="1584"/>
      <c r="K109" s="1160"/>
      <c r="L109" s="1584"/>
      <c r="M109" s="1161"/>
      <c r="N109" s="1584"/>
      <c r="O109" s="1161"/>
      <c r="P109" s="1584"/>
      <c r="Q109" s="1161"/>
      <c r="R109" s="1584"/>
      <c r="S109" s="1161"/>
    </row>
    <row r="110" spans="1:19" ht="15.75" thickTop="1">
      <c r="A110" s="13"/>
      <c r="B110" s="1598" t="s">
        <v>3265</v>
      </c>
      <c r="C110" s="15"/>
      <c r="D110" s="168"/>
      <c r="E110" s="176"/>
      <c r="F110" s="17"/>
      <c r="G110" s="227">
        <f>SUBTOTAL(9,G21:G109)</f>
        <v>1507992</v>
      </c>
      <c r="H110" s="19"/>
      <c r="I110" s="225">
        <f>SUBTOTAL(9,I21:I109)</f>
        <v>4406552</v>
      </c>
      <c r="J110" s="19"/>
      <c r="K110" s="164">
        <f>SUM(K19:K109)</f>
        <v>0</v>
      </c>
      <c r="L110" s="19"/>
      <c r="M110" s="164">
        <f>SUM(M19:M109)</f>
        <v>0</v>
      </c>
      <c r="N110" s="19"/>
      <c r="O110" s="164">
        <f>SUM(O19:O109)</f>
        <v>0</v>
      </c>
      <c r="P110" s="19"/>
      <c r="Q110" s="164">
        <f>SUM(Q19:Q109)</f>
        <v>0</v>
      </c>
      <c r="R110" s="19"/>
      <c r="S110" s="164">
        <f>SUM(S19:S109)</f>
        <v>0</v>
      </c>
    </row>
    <row r="111" spans="1:19">
      <c r="A111" s="1526"/>
      <c r="B111" s="1527" t="s">
        <v>2976</v>
      </c>
      <c r="C111" s="1528"/>
      <c r="D111" s="1529"/>
      <c r="E111" s="1530"/>
      <c r="F111" s="1599"/>
      <c r="G111" s="654"/>
      <c r="H111" s="1532">
        <v>0</v>
      </c>
      <c r="I111" s="645"/>
      <c r="J111" s="1532">
        <v>0</v>
      </c>
      <c r="K111" s="645"/>
      <c r="L111" s="1532">
        <v>0</v>
      </c>
      <c r="M111" s="645"/>
      <c r="N111" s="1532">
        <v>0</v>
      </c>
      <c r="O111" s="645"/>
      <c r="P111" s="1532">
        <v>0</v>
      </c>
      <c r="Q111" s="645"/>
      <c r="R111" s="1532">
        <v>0</v>
      </c>
      <c r="S111" s="645"/>
    </row>
    <row r="112" spans="1:19">
      <c r="A112" s="1526"/>
      <c r="B112" s="1527" t="s">
        <v>2977</v>
      </c>
      <c r="C112" s="1528"/>
      <c r="D112" s="1529"/>
      <c r="E112" s="1530"/>
      <c r="F112" s="1599"/>
      <c r="G112" s="654">
        <f>F111*G110</f>
        <v>0</v>
      </c>
      <c r="H112" s="1533"/>
      <c r="I112" s="1534">
        <f>H111*I110</f>
        <v>0</v>
      </c>
      <c r="J112" s="1533"/>
      <c r="K112" s="1534">
        <f>J111*K110</f>
        <v>0</v>
      </c>
      <c r="L112" s="1533"/>
      <c r="M112" s="1534">
        <f>L111*M110</f>
        <v>0</v>
      </c>
      <c r="N112" s="1533"/>
      <c r="O112" s="1534">
        <f>N111*O110</f>
        <v>0</v>
      </c>
      <c r="P112" s="1533"/>
      <c r="Q112" s="1534">
        <f>P111*Q110</f>
        <v>0</v>
      </c>
      <c r="R112" s="1533"/>
      <c r="S112" s="1534">
        <f>R111*S110</f>
        <v>0</v>
      </c>
    </row>
    <row r="113" spans="1:34">
      <c r="A113" s="1526"/>
      <c r="B113" s="1527"/>
      <c r="C113" s="1528"/>
      <c r="D113" s="1529"/>
      <c r="E113" s="1530"/>
      <c r="F113" s="1599"/>
      <c r="G113" s="654"/>
      <c r="H113" s="1533"/>
      <c r="I113" s="1534"/>
      <c r="J113" s="1533"/>
      <c r="K113" s="1534"/>
      <c r="L113" s="1533"/>
      <c r="M113" s="1534"/>
      <c r="N113" s="1533"/>
      <c r="O113" s="1534"/>
      <c r="P113" s="1533"/>
      <c r="Q113" s="1534"/>
      <c r="R113" s="1533"/>
      <c r="S113" s="1534"/>
    </row>
    <row r="114" spans="1:34">
      <c r="A114" s="1526"/>
      <c r="B114" s="1527" t="s">
        <v>2978</v>
      </c>
      <c r="C114" s="1528"/>
      <c r="D114" s="1529"/>
      <c r="E114" s="1530"/>
      <c r="F114" s="1599"/>
      <c r="G114" s="654">
        <f>SUM(G110:G112)</f>
        <v>1507992</v>
      </c>
      <c r="H114" s="1535"/>
      <c r="I114" s="1534">
        <f>SUM(I110:I112)</f>
        <v>4406552</v>
      </c>
      <c r="J114" s="1535"/>
      <c r="K114" s="1534">
        <f>SUM(K110:K112)</f>
        <v>0</v>
      </c>
      <c r="L114" s="1535"/>
      <c r="M114" s="1534">
        <f>SUM(M110:M112)</f>
        <v>0</v>
      </c>
      <c r="N114" s="1535"/>
      <c r="O114" s="1534">
        <f>SUM(O110:O112)</f>
        <v>0</v>
      </c>
      <c r="P114" s="1535"/>
      <c r="Q114" s="1534">
        <f>SUM(Q110:Q112)</f>
        <v>0</v>
      </c>
      <c r="R114" s="1535"/>
      <c r="S114" s="1534">
        <f>SUM(S110:S112)</f>
        <v>0</v>
      </c>
    </row>
    <row r="115" spans="1:34">
      <c r="A115" s="1526"/>
      <c r="B115" s="1536" t="s">
        <v>2979</v>
      </c>
      <c r="C115" s="1528"/>
      <c r="D115" s="1529"/>
      <c r="E115" s="1530"/>
      <c r="F115" s="1536"/>
      <c r="G115" s="655">
        <v>0</v>
      </c>
      <c r="H115" s="1538"/>
      <c r="I115" s="1539">
        <v>0</v>
      </c>
      <c r="J115" s="1538"/>
      <c r="K115" s="1539">
        <v>0</v>
      </c>
      <c r="L115" s="1538"/>
      <c r="M115" s="1539">
        <v>0</v>
      </c>
      <c r="N115" s="1538"/>
      <c r="O115" s="1539">
        <v>0</v>
      </c>
      <c r="P115" s="1538"/>
      <c r="Q115" s="1539">
        <v>0</v>
      </c>
      <c r="R115" s="1540"/>
      <c r="S115" s="1539">
        <v>0</v>
      </c>
    </row>
    <row r="116" spans="1:34">
      <c r="A116" s="1526"/>
      <c r="B116" s="1541"/>
      <c r="C116" s="1528"/>
      <c r="D116" s="1529"/>
      <c r="E116" s="1530"/>
      <c r="F116" s="1599"/>
      <c r="G116" s="656"/>
      <c r="H116" s="1542"/>
      <c r="I116" s="1543"/>
      <c r="J116" s="1542"/>
      <c r="K116" s="1542"/>
      <c r="L116" s="1542"/>
      <c r="M116" s="1542"/>
      <c r="N116" s="1542"/>
      <c r="O116" s="1542"/>
      <c r="P116" s="1542"/>
      <c r="Q116" s="1542"/>
      <c r="R116" s="1542"/>
      <c r="S116" s="1542"/>
    </row>
    <row r="117" spans="1:34" ht="16.5" hidden="1" thickTop="1" thickBot="1">
      <c r="A117" s="830" t="s">
        <v>2980</v>
      </c>
      <c r="B117" s="831"/>
      <c r="C117" s="12"/>
      <c r="D117" s="169"/>
      <c r="E117" s="177"/>
      <c r="F117" s="12"/>
      <c r="G117" s="228"/>
      <c r="H117" s="20"/>
      <c r="I117" s="20"/>
      <c r="J117" s="20"/>
      <c r="K117" s="20"/>
      <c r="L117" s="20"/>
      <c r="M117" s="20"/>
      <c r="N117" s="20"/>
      <c r="O117" s="20"/>
      <c r="P117" s="20"/>
      <c r="Q117" s="20"/>
      <c r="R117" s="20"/>
      <c r="S117" s="20"/>
    </row>
    <row r="118" spans="1:34" hidden="1">
      <c r="A118" s="1600"/>
      <c r="B118" s="1601"/>
      <c r="C118" s="1602"/>
      <c r="D118" s="1603"/>
      <c r="E118" s="1604"/>
      <c r="F118" s="1602"/>
      <c r="G118" s="1605"/>
      <c r="H118" s="1606"/>
      <c r="I118" s="1606"/>
      <c r="J118" s="1606"/>
      <c r="K118" s="1606"/>
      <c r="L118" s="1606"/>
      <c r="M118" s="1606"/>
      <c r="N118" s="1606"/>
      <c r="O118" s="1606"/>
      <c r="P118" s="1606"/>
      <c r="Q118" s="1606"/>
      <c r="R118" s="1606"/>
      <c r="S118" s="1606"/>
    </row>
    <row r="119" spans="1:34" hidden="1">
      <c r="A119" s="1600"/>
      <c r="B119" s="1601"/>
      <c r="C119" s="1602"/>
      <c r="D119" s="1603"/>
      <c r="E119" s="1604"/>
      <c r="F119" s="1602"/>
      <c r="G119" s="1605"/>
      <c r="H119" s="1606"/>
      <c r="I119" s="1606"/>
      <c r="J119" s="1606"/>
      <c r="K119" s="1606"/>
      <c r="L119" s="1606"/>
      <c r="M119" s="1606"/>
      <c r="N119" s="1606"/>
      <c r="O119" s="1606"/>
      <c r="P119" s="1606"/>
      <c r="Q119" s="1606"/>
      <c r="R119" s="1606"/>
      <c r="S119" s="1606"/>
    </row>
    <row r="120" spans="1:34" hidden="1">
      <c r="A120" s="1600"/>
      <c r="B120" s="1601"/>
      <c r="C120" s="1602"/>
      <c r="D120" s="1603"/>
      <c r="E120" s="1604"/>
      <c r="F120" s="1602"/>
      <c r="G120" s="1605"/>
      <c r="H120" s="1606"/>
      <c r="I120" s="1606"/>
      <c r="J120" s="1606"/>
      <c r="K120" s="1606"/>
      <c r="L120" s="1606"/>
      <c r="M120" s="1606"/>
      <c r="N120" s="1606"/>
      <c r="O120" s="1606"/>
      <c r="P120" s="1606"/>
      <c r="Q120" s="1606"/>
      <c r="R120" s="1606"/>
      <c r="S120" s="1606"/>
    </row>
    <row r="121" spans="1:34" s="2" customFormat="1" ht="16.5" hidden="1" thickTop="1" thickBot="1">
      <c r="A121" s="830" t="s">
        <v>2981</v>
      </c>
      <c r="B121" s="831"/>
      <c r="C121" s="12"/>
      <c r="D121" s="169"/>
      <c r="E121" s="177"/>
      <c r="F121" s="12"/>
      <c r="G121" s="228"/>
      <c r="H121" s="20"/>
      <c r="I121" s="20"/>
      <c r="J121" s="20"/>
      <c r="K121" s="20"/>
      <c r="L121" s="20"/>
      <c r="M121" s="20"/>
      <c r="N121" s="20"/>
      <c r="O121" s="20"/>
      <c r="P121" s="20"/>
      <c r="Q121" s="20"/>
      <c r="R121" s="20"/>
      <c r="S121" s="20"/>
      <c r="T121"/>
      <c r="U121"/>
      <c r="V121" s="300"/>
      <c r="W121"/>
      <c r="X121" s="58"/>
      <c r="Y121" s="58"/>
      <c r="Z121"/>
      <c r="AA121"/>
      <c r="AB121"/>
      <c r="AC121"/>
      <c r="AD121"/>
      <c r="AE121"/>
      <c r="AF121"/>
      <c r="AG121"/>
      <c r="AH121"/>
    </row>
    <row r="122" spans="1:34" s="2" customFormat="1" hidden="1">
      <c r="A122" s="1600"/>
      <c r="B122" s="1601"/>
      <c r="C122" s="1602"/>
      <c r="D122" s="1603"/>
      <c r="E122" s="1604"/>
      <c r="F122" s="1602"/>
      <c r="G122" s="1605"/>
      <c r="H122" s="1606"/>
      <c r="I122" s="1606"/>
      <c r="J122" s="1606"/>
      <c r="K122" s="1606"/>
      <c r="L122" s="1606"/>
      <c r="M122" s="1606"/>
      <c r="N122" s="1606"/>
      <c r="O122" s="1606"/>
      <c r="P122" s="1606"/>
      <c r="Q122" s="1606"/>
      <c r="R122" s="1606"/>
      <c r="S122" s="1606"/>
      <c r="T122"/>
      <c r="U122"/>
      <c r="V122" s="300"/>
      <c r="W122"/>
      <c r="X122" s="58"/>
      <c r="Y122" s="58"/>
      <c r="Z122"/>
      <c r="AA122"/>
      <c r="AB122"/>
      <c r="AC122"/>
      <c r="AD122"/>
      <c r="AE122"/>
      <c r="AF122"/>
      <c r="AG122"/>
      <c r="AH122"/>
    </row>
    <row r="123" spans="1:34" s="2" customFormat="1" hidden="1">
      <c r="A123" s="1600"/>
      <c r="B123" s="1601"/>
      <c r="C123" s="1602"/>
      <c r="D123" s="1603"/>
      <c r="E123" s="1604"/>
      <c r="F123" s="1602"/>
      <c r="G123" s="1605"/>
      <c r="H123" s="1606"/>
      <c r="I123" s="1606"/>
      <c r="J123" s="1606"/>
      <c r="K123" s="1606"/>
      <c r="L123" s="1606"/>
      <c r="M123" s="1606"/>
      <c r="N123" s="1606"/>
      <c r="O123" s="1606"/>
      <c r="P123" s="1606"/>
      <c r="Q123" s="1606"/>
      <c r="R123" s="1606"/>
      <c r="S123" s="1606"/>
      <c r="T123"/>
      <c r="U123"/>
      <c r="V123" s="300"/>
      <c r="W123"/>
      <c r="X123" s="58"/>
      <c r="Y123" s="58"/>
      <c r="Z123"/>
      <c r="AA123"/>
      <c r="AB123"/>
      <c r="AC123"/>
      <c r="AD123"/>
      <c r="AE123"/>
      <c r="AF123"/>
      <c r="AG123"/>
      <c r="AH123"/>
    </row>
    <row r="124" spans="1:34" hidden="1">
      <c r="A124" s="1600"/>
      <c r="B124" s="1601"/>
      <c r="C124" s="1602"/>
      <c r="D124" s="1603"/>
      <c r="E124" s="1604"/>
      <c r="F124" s="1602"/>
      <c r="G124" s="1605"/>
      <c r="H124" s="1606"/>
      <c r="I124" s="1606"/>
      <c r="J124" s="1606"/>
      <c r="K124" s="1606"/>
      <c r="L124" s="1606"/>
      <c r="M124" s="1606"/>
      <c r="N124" s="1606"/>
      <c r="O124" s="1606"/>
      <c r="P124" s="1606"/>
      <c r="Q124" s="1606"/>
      <c r="R124" s="1606"/>
      <c r="S124" s="1606"/>
    </row>
    <row r="125" spans="1:34" s="2" customFormat="1" ht="16.5" hidden="1" thickTop="1" thickBot="1">
      <c r="A125" s="830" t="s">
        <v>2982</v>
      </c>
      <c r="B125" s="831"/>
      <c r="C125" s="12"/>
      <c r="D125" s="169"/>
      <c r="E125" s="177"/>
      <c r="F125" s="12"/>
      <c r="G125" s="228"/>
      <c r="H125" s="20"/>
      <c r="I125" s="20"/>
      <c r="J125" s="20"/>
      <c r="K125" s="20"/>
      <c r="L125" s="20"/>
      <c r="M125" s="20"/>
      <c r="N125" s="20"/>
      <c r="O125" s="20"/>
      <c r="P125" s="20"/>
      <c r="Q125" s="20"/>
      <c r="R125" s="20"/>
      <c r="S125" s="20"/>
      <c r="T125"/>
      <c r="U125"/>
      <c r="V125" s="300"/>
      <c r="W125"/>
      <c r="X125" s="58"/>
      <c r="Y125" s="58"/>
      <c r="Z125"/>
      <c r="AA125"/>
      <c r="AB125"/>
      <c r="AC125"/>
      <c r="AD125"/>
      <c r="AE125"/>
      <c r="AF125"/>
      <c r="AG125"/>
      <c r="AH125"/>
    </row>
    <row r="126" spans="1:34" s="2" customFormat="1" hidden="1">
      <c r="A126" s="1600"/>
      <c r="B126" s="1601"/>
      <c r="C126" s="1602"/>
      <c r="D126" s="1603"/>
      <c r="E126" s="1604"/>
      <c r="F126" s="1602"/>
      <c r="G126" s="1605"/>
      <c r="H126" s="1606"/>
      <c r="I126" s="1606"/>
      <c r="J126" s="1606"/>
      <c r="K126" s="1606"/>
      <c r="L126" s="1606"/>
      <c r="M126" s="1606"/>
      <c r="N126" s="1606"/>
      <c r="O126" s="1606"/>
      <c r="P126" s="1606"/>
      <c r="Q126" s="1606"/>
      <c r="R126" s="1606"/>
      <c r="S126" s="1606"/>
      <c r="T126"/>
      <c r="U126"/>
      <c r="V126" s="300"/>
      <c r="W126"/>
      <c r="X126" s="58"/>
      <c r="Y126" s="58"/>
      <c r="Z126"/>
      <c r="AA126"/>
      <c r="AB126"/>
      <c r="AC126"/>
      <c r="AD126"/>
      <c r="AE126"/>
      <c r="AF126"/>
      <c r="AG126"/>
      <c r="AH126"/>
    </row>
    <row r="127" spans="1:34" s="2" customFormat="1" hidden="1">
      <c r="A127" s="1544"/>
      <c r="B127" s="1601"/>
      <c r="C127" s="1566"/>
      <c r="D127" s="1489"/>
      <c r="E127" s="1567"/>
      <c r="F127" s="1566"/>
      <c r="G127" s="1545"/>
      <c r="H127" s="1546"/>
      <c r="I127" s="1546"/>
      <c r="J127" s="1546"/>
      <c r="K127" s="1546"/>
      <c r="L127" s="1546"/>
      <c r="M127" s="1546"/>
      <c r="N127" s="1546"/>
      <c r="O127" s="1546"/>
      <c r="P127" s="1546"/>
      <c r="Q127" s="1546"/>
      <c r="R127" s="1546"/>
      <c r="S127" s="1546"/>
      <c r="T127"/>
      <c r="U127"/>
      <c r="V127" s="300"/>
      <c r="W127"/>
      <c r="X127" s="58"/>
      <c r="Y127" s="58"/>
      <c r="Z127"/>
      <c r="AA127"/>
      <c r="AB127"/>
      <c r="AC127"/>
      <c r="AD127"/>
      <c r="AE127"/>
      <c r="AF127"/>
      <c r="AG127"/>
      <c r="AH127"/>
    </row>
    <row r="128" spans="1:34" s="2" customFormat="1" hidden="1">
      <c r="A128" s="1547"/>
      <c r="B128" s="1513"/>
      <c r="C128" s="1566"/>
      <c r="D128" s="1489"/>
      <c r="E128" s="1567"/>
      <c r="F128" s="1566"/>
      <c r="G128" s="1545"/>
      <c r="H128" s="1548"/>
      <c r="I128" s="1548"/>
      <c r="J128" s="1548"/>
      <c r="K128" s="1548"/>
      <c r="L128" s="1548"/>
      <c r="M128" s="1548"/>
      <c r="N128" s="1548"/>
      <c r="O128" s="1548"/>
      <c r="P128" s="1548"/>
      <c r="Q128" s="1548"/>
      <c r="R128" s="1548"/>
      <c r="S128" s="1548"/>
      <c r="V128" s="165"/>
      <c r="X128" s="236"/>
      <c r="Y128" s="236"/>
    </row>
    <row r="129" spans="1:34" s="2" customFormat="1" ht="16.5" hidden="1" thickTop="1" thickBot="1">
      <c r="A129" s="830" t="s">
        <v>2983</v>
      </c>
      <c r="B129" s="831"/>
      <c r="C129" s="12"/>
      <c r="D129" s="169"/>
      <c r="E129" s="177"/>
      <c r="F129" s="12"/>
      <c r="G129" s="228"/>
      <c r="H129" s="20"/>
      <c r="I129" s="20"/>
      <c r="J129" s="20"/>
      <c r="K129" s="20"/>
      <c r="L129" s="20"/>
      <c r="M129" s="20"/>
      <c r="N129" s="20"/>
      <c r="O129" s="20"/>
      <c r="P129" s="20"/>
      <c r="Q129" s="20"/>
      <c r="R129" s="20"/>
      <c r="S129" s="20"/>
      <c r="T129"/>
      <c r="U129"/>
      <c r="V129" s="300"/>
      <c r="W129"/>
      <c r="X129" s="58"/>
      <c r="Y129" s="58"/>
      <c r="Z129"/>
      <c r="AA129"/>
      <c r="AB129"/>
      <c r="AC129"/>
      <c r="AD129"/>
      <c r="AE129"/>
      <c r="AF129"/>
      <c r="AG129"/>
      <c r="AH129"/>
    </row>
    <row r="130" spans="1:34" hidden="1">
      <c r="A130" s="1607"/>
      <c r="B130" s="1608"/>
      <c r="C130" s="1602"/>
      <c r="D130" s="1603"/>
      <c r="E130" s="1604"/>
      <c r="F130" s="1602"/>
      <c r="G130" s="1605"/>
      <c r="H130" s="1606"/>
      <c r="I130" s="1606"/>
      <c r="J130" s="1606"/>
      <c r="K130" s="1606"/>
      <c r="L130" s="1606"/>
      <c r="M130" s="1606"/>
      <c r="N130" s="1606"/>
      <c r="O130" s="1606"/>
      <c r="P130" s="1606"/>
      <c r="Q130" s="1606"/>
      <c r="R130" s="1606"/>
      <c r="S130" s="1606"/>
      <c r="T130" s="2"/>
      <c r="U130" s="2"/>
      <c r="V130" s="165"/>
      <c r="W130" s="2"/>
      <c r="X130" s="236"/>
      <c r="Y130" s="236"/>
      <c r="Z130" s="2"/>
      <c r="AA130" s="2"/>
      <c r="AB130" s="2"/>
      <c r="AC130" s="2"/>
      <c r="AD130" s="2"/>
      <c r="AE130" s="2"/>
      <c r="AF130" s="2"/>
      <c r="AG130" s="2"/>
      <c r="AH130" s="2"/>
    </row>
    <row r="131" spans="1:34" hidden="1">
      <c r="A131" s="1547"/>
      <c r="B131" s="1513"/>
      <c r="C131" s="1566"/>
      <c r="D131" s="1489"/>
      <c r="E131" s="1567"/>
      <c r="F131" s="1566"/>
      <c r="G131" s="1545"/>
      <c r="H131" s="1549"/>
      <c r="I131" s="1549"/>
      <c r="J131" s="1549"/>
      <c r="K131" s="1549"/>
      <c r="L131" s="1549"/>
      <c r="M131" s="1549"/>
      <c r="N131" s="1549"/>
      <c r="O131" s="1549"/>
      <c r="P131" s="1549"/>
      <c r="Q131" s="1549"/>
      <c r="R131" s="1549"/>
      <c r="S131" s="1549"/>
      <c r="T131" s="2"/>
      <c r="U131" s="2"/>
      <c r="V131" s="165"/>
      <c r="W131" s="2"/>
      <c r="X131" s="236"/>
      <c r="Y131" s="236"/>
      <c r="Z131" s="2"/>
      <c r="AA131" s="2"/>
      <c r="AB131" s="2"/>
      <c r="AC131" s="2"/>
      <c r="AD131" s="2"/>
      <c r="AE131" s="2"/>
      <c r="AF131" s="2"/>
      <c r="AG131" s="2"/>
      <c r="AH131" s="2"/>
    </row>
    <row r="132" spans="1:34" hidden="1">
      <c r="A132" s="1547"/>
      <c r="B132" s="1513"/>
      <c r="C132" s="1566"/>
      <c r="D132" s="1489"/>
      <c r="E132" s="1567"/>
      <c r="F132" s="1566"/>
      <c r="G132" s="1545"/>
      <c r="H132" s="1549"/>
      <c r="I132" s="1549"/>
      <c r="J132" s="1549"/>
      <c r="K132" s="1549"/>
      <c r="L132" s="1549"/>
      <c r="M132" s="1549"/>
      <c r="N132" s="1549"/>
      <c r="O132" s="1549"/>
      <c r="P132" s="1549"/>
      <c r="Q132" s="1549"/>
      <c r="R132" s="1549"/>
      <c r="S132" s="1549"/>
      <c r="T132" s="2"/>
      <c r="U132" s="2"/>
      <c r="V132" s="165"/>
      <c r="W132" s="2"/>
      <c r="X132" s="236"/>
      <c r="Y132" s="236"/>
      <c r="Z132" s="2"/>
      <c r="AA132" s="2"/>
      <c r="AB132" s="2"/>
      <c r="AC132" s="2"/>
      <c r="AD132" s="2"/>
      <c r="AE132" s="2"/>
      <c r="AF132" s="2"/>
      <c r="AG132" s="2"/>
      <c r="AH132" s="2"/>
    </row>
    <row r="133" spans="1:34" ht="16.5" hidden="1" thickTop="1" thickBot="1">
      <c r="A133" s="830" t="s">
        <v>2984</v>
      </c>
      <c r="B133" s="831"/>
      <c r="C133" s="12"/>
      <c r="D133" s="169"/>
      <c r="E133" s="177"/>
      <c r="F133" s="12"/>
      <c r="G133" s="228"/>
      <c r="H133" s="20"/>
      <c r="I133" s="20"/>
      <c r="J133" s="20"/>
      <c r="K133" s="20"/>
      <c r="L133" s="20"/>
      <c r="M133" s="20"/>
      <c r="N133" s="20"/>
      <c r="O133" s="20"/>
      <c r="P133" s="20"/>
      <c r="Q133" s="20"/>
      <c r="R133" s="20"/>
      <c r="S133" s="20"/>
    </row>
    <row r="134" spans="1:34" hidden="1">
      <c r="A134" s="1544"/>
      <c r="B134" s="1601" t="s">
        <v>2985</v>
      </c>
      <c r="C134" s="1566"/>
      <c r="D134" s="1489"/>
      <c r="E134" s="1567"/>
      <c r="F134" s="1566"/>
      <c r="G134" s="1545"/>
      <c r="H134" s="1549"/>
      <c r="I134" s="1549"/>
      <c r="J134" s="1549"/>
      <c r="K134" s="1549"/>
      <c r="L134" s="1549"/>
      <c r="M134" s="1549"/>
      <c r="N134" s="1549"/>
      <c r="O134" s="1549"/>
      <c r="P134" s="1549"/>
      <c r="Q134" s="1549"/>
      <c r="R134" s="1549"/>
      <c r="S134" s="1549"/>
    </row>
    <row r="135" spans="1:34" hidden="1">
      <c r="A135" s="1544"/>
      <c r="B135" s="1601" t="s">
        <v>2986</v>
      </c>
      <c r="C135" s="1566"/>
      <c r="D135" s="1489"/>
      <c r="E135" s="1567"/>
      <c r="F135" s="1566"/>
      <c r="G135" s="1545"/>
      <c r="H135" s="1549"/>
      <c r="I135" s="1549"/>
      <c r="J135" s="1549"/>
      <c r="K135" s="1549"/>
      <c r="L135" s="1549"/>
      <c r="M135" s="1549"/>
      <c r="N135" s="1549"/>
      <c r="O135" s="1549"/>
      <c r="P135" s="1549"/>
      <c r="Q135" s="1549"/>
      <c r="R135" s="1549"/>
      <c r="S135" s="1549"/>
    </row>
    <row r="136" spans="1:34" hidden="1">
      <c r="A136" s="1544"/>
      <c r="B136" s="1601" t="s">
        <v>2987</v>
      </c>
      <c r="C136" s="1566"/>
      <c r="D136" s="1489"/>
      <c r="E136" s="1567"/>
      <c r="F136" s="1566"/>
      <c r="G136" s="1545"/>
      <c r="H136" s="1549"/>
      <c r="I136" s="1549"/>
      <c r="J136" s="1549"/>
      <c r="K136" s="1549"/>
      <c r="L136" s="1549"/>
      <c r="M136" s="1549"/>
      <c r="N136" s="1549"/>
      <c r="O136" s="1549"/>
      <c r="P136" s="1549"/>
      <c r="Q136" s="1549"/>
      <c r="R136" s="1549"/>
      <c r="S136" s="1549"/>
    </row>
    <row r="137" spans="1:34" hidden="1">
      <c r="A137" s="1544"/>
      <c r="B137" s="1601" t="s">
        <v>2988</v>
      </c>
      <c r="C137" s="1566"/>
      <c r="D137" s="1489"/>
      <c r="E137" s="1567"/>
      <c r="F137" s="1566"/>
      <c r="G137" s="1545"/>
      <c r="H137" s="1549"/>
      <c r="I137" s="1549"/>
      <c r="J137" s="1549"/>
      <c r="K137" s="1549"/>
      <c r="L137" s="1549"/>
      <c r="M137" s="1549"/>
      <c r="N137" s="1549"/>
      <c r="O137" s="1549"/>
      <c r="P137" s="1549"/>
      <c r="Q137" s="1549"/>
      <c r="R137" s="1549"/>
      <c r="S137" s="1549"/>
    </row>
    <row r="138" spans="1:34" hidden="1">
      <c r="A138" s="646"/>
      <c r="B138" s="619"/>
      <c r="C138" s="616"/>
      <c r="D138" s="621"/>
      <c r="E138" s="622"/>
      <c r="F138" s="616"/>
      <c r="G138" s="620"/>
      <c r="H138" s="647"/>
      <c r="I138" s="647"/>
      <c r="J138" s="647"/>
      <c r="K138" s="647"/>
      <c r="L138" s="647"/>
      <c r="M138" s="647"/>
      <c r="N138" s="647"/>
      <c r="O138" s="647"/>
      <c r="P138" s="647"/>
      <c r="Q138" s="647"/>
      <c r="R138" s="647"/>
      <c r="S138" s="647"/>
    </row>
    <row r="139" spans="1:34" ht="16.5" hidden="1" thickTop="1" thickBot="1">
      <c r="A139" s="7" t="s">
        <v>2989</v>
      </c>
      <c r="B139" s="8"/>
      <c r="C139" s="12"/>
      <c r="D139" s="169"/>
      <c r="E139" s="177"/>
      <c r="F139" s="12"/>
      <c r="G139" s="228"/>
      <c r="H139" s="20"/>
      <c r="I139" s="20"/>
      <c r="J139" s="20"/>
      <c r="K139" s="20"/>
      <c r="L139" s="20"/>
      <c r="M139" s="20"/>
      <c r="N139" s="20"/>
      <c r="O139" s="20"/>
      <c r="P139" s="20"/>
      <c r="Q139" s="20"/>
      <c r="R139" s="20"/>
      <c r="S139" s="20"/>
    </row>
    <row r="140" spans="1:34" hidden="1">
      <c r="A140" s="1600"/>
      <c r="B140" s="1609" t="s">
        <v>2990</v>
      </c>
      <c r="C140" s="1602"/>
      <c r="D140" s="1603"/>
      <c r="E140" s="1604"/>
      <c r="F140" s="1602"/>
      <c r="G140" s="1605"/>
      <c r="H140" s="1610"/>
      <c r="I140" s="1610"/>
      <c r="J140" s="1610"/>
      <c r="K140" s="1610"/>
      <c r="L140" s="1610"/>
      <c r="M140" s="1610"/>
      <c r="N140" s="1610"/>
      <c r="O140" s="1610"/>
      <c r="P140" s="1610"/>
      <c r="Q140" s="1610"/>
      <c r="R140" s="1610"/>
      <c r="S140" s="1610"/>
    </row>
    <row r="141" spans="1:34" hidden="1">
      <c r="A141" s="1544"/>
      <c r="B141" s="1601" t="s">
        <v>2991</v>
      </c>
      <c r="C141" s="1566"/>
      <c r="D141" s="1489"/>
      <c r="E141" s="1567"/>
      <c r="F141" s="1566"/>
      <c r="G141" s="1545"/>
      <c r="H141" s="1550"/>
      <c r="I141" s="1550"/>
      <c r="J141" s="1550"/>
      <c r="K141" s="1550"/>
      <c r="L141" s="1550"/>
      <c r="M141" s="1550"/>
      <c r="N141" s="1550"/>
      <c r="O141" s="1550"/>
      <c r="P141" s="1550"/>
      <c r="Q141" s="1550"/>
      <c r="R141" s="1550"/>
      <c r="S141" s="1550"/>
    </row>
    <row r="142" spans="1:34" ht="15.75" hidden="1" thickBot="1">
      <c r="A142" s="1551"/>
      <c r="B142" s="1578" t="s">
        <v>2992</v>
      </c>
      <c r="C142" s="1552"/>
      <c r="D142" s="1553"/>
      <c r="E142" s="1554"/>
      <c r="F142" s="1552"/>
      <c r="G142" s="1555"/>
      <c r="H142" s="1556"/>
      <c r="I142" s="1556"/>
      <c r="J142" s="1556"/>
      <c r="K142" s="1556"/>
      <c r="L142" s="1556"/>
      <c r="M142" s="1556"/>
      <c r="N142" s="1556"/>
      <c r="O142" s="1556"/>
      <c r="P142" s="1556"/>
      <c r="Q142" s="1556"/>
      <c r="R142" s="1556"/>
      <c r="S142" s="1556"/>
    </row>
    <row r="143" spans="1:34" ht="15.75" thickBot="1"/>
    <row r="144" spans="1:34" ht="16.5" thickTop="1" thickBot="1">
      <c r="A144" s="59" t="s">
        <v>2993</v>
      </c>
      <c r="B144" s="61"/>
      <c r="G144" s="2" t="s">
        <v>3584</v>
      </c>
      <c r="H144" s="236"/>
      <c r="I144" s="511">
        <v>1584000</v>
      </c>
    </row>
    <row r="145" spans="1:9" ht="15.75" thickTop="1">
      <c r="A145" s="60" t="s">
        <v>2936</v>
      </c>
      <c r="B145" s="1557"/>
      <c r="G145" s="2" t="s">
        <v>3584</v>
      </c>
      <c r="I145" s="511">
        <v>921000</v>
      </c>
    </row>
    <row r="146" spans="1:9">
      <c r="A146" s="1611"/>
      <c r="B146" s="1557"/>
      <c r="G146" s="2" t="s">
        <v>3772</v>
      </c>
      <c r="I146" s="511">
        <v>259000</v>
      </c>
    </row>
    <row r="147" spans="1:9">
      <c r="A147" s="1558" t="s">
        <v>2939</v>
      </c>
      <c r="B147" s="1557"/>
      <c r="G147" s="2" t="s">
        <v>3585</v>
      </c>
      <c r="H147" s="236"/>
      <c r="I147" s="549">
        <f>I34+I36+I40+I48+I52+I53</f>
        <v>366479</v>
      </c>
    </row>
    <row r="148" spans="1:9">
      <c r="A148" s="1559" t="s">
        <v>2941</v>
      </c>
      <c r="B148" s="1560"/>
      <c r="G148" s="2" t="s">
        <v>3586</v>
      </c>
      <c r="H148" s="236"/>
      <c r="I148" s="550">
        <f>I31+I32+I46+I61+I79+I85+I86+I87+I88+I89</f>
        <v>118415</v>
      </c>
    </row>
    <row r="149" spans="1:9">
      <c r="A149" s="1559" t="s">
        <v>2943</v>
      </c>
      <c r="B149" s="1561"/>
      <c r="G149" s="2" t="s">
        <v>3587</v>
      </c>
      <c r="H149" s="236"/>
      <c r="I149" s="551"/>
    </row>
    <row r="150" spans="1:9" ht="15.75" thickBot="1">
      <c r="A150" s="1562" t="s">
        <v>2994</v>
      </c>
      <c r="B150" s="1563">
        <f>$I$114</f>
        <v>4406552</v>
      </c>
      <c r="G150" s="2" t="s">
        <v>3588</v>
      </c>
      <c r="H150" s="236"/>
      <c r="I150" s="1612">
        <f>I67+I81+I100+I102</f>
        <v>642999.9999999993</v>
      </c>
    </row>
    <row r="151" spans="1:9" ht="15.75" thickTop="1">
      <c r="G151" s="2" t="s">
        <v>3589</v>
      </c>
      <c r="H151" s="236"/>
      <c r="I151" s="511">
        <f>SUM(I144:I150)</f>
        <v>3891893.9999999991</v>
      </c>
    </row>
    <row r="152" spans="1:9">
      <c r="A152" s="62"/>
      <c r="B152" s="1" t="s">
        <v>2995</v>
      </c>
      <c r="G152" s="2" t="s">
        <v>3590</v>
      </c>
      <c r="H152" s="236"/>
      <c r="I152" s="1613">
        <f>I110</f>
        <v>4406552</v>
      </c>
    </row>
    <row r="153" spans="1:9">
      <c r="A153" s="63"/>
      <c r="B153" s="1" t="s">
        <v>2996</v>
      </c>
      <c r="G153" s="2" t="s">
        <v>3591</v>
      </c>
      <c r="H153" s="236"/>
      <c r="I153" s="511">
        <f>I152-I151</f>
        <v>514658.00000000093</v>
      </c>
    </row>
  </sheetData>
  <mergeCells count="35">
    <mergeCell ref="H5:I5"/>
    <mergeCell ref="J5:K5"/>
    <mergeCell ref="H6:I6"/>
    <mergeCell ref="J6:K6"/>
    <mergeCell ref="L6:M6"/>
    <mergeCell ref="L5:M5"/>
    <mergeCell ref="R8:S8"/>
    <mergeCell ref="H7:I7"/>
    <mergeCell ref="N7:O7"/>
    <mergeCell ref="P7:Q7"/>
    <mergeCell ref="R7:S7"/>
    <mergeCell ref="J7:K7"/>
    <mergeCell ref="H8:I8"/>
    <mergeCell ref="J8:K8"/>
    <mergeCell ref="L8:M8"/>
    <mergeCell ref="N8:O8"/>
    <mergeCell ref="P8:Q8"/>
    <mergeCell ref="N5:O5"/>
    <mergeCell ref="P5:Q5"/>
    <mergeCell ref="L7:M7"/>
    <mergeCell ref="R6:S6"/>
    <mergeCell ref="R5:S5"/>
    <mergeCell ref="N6:O6"/>
    <mergeCell ref="P6:Q6"/>
    <mergeCell ref="A125:B125"/>
    <mergeCell ref="A129:B129"/>
    <mergeCell ref="A133:B133"/>
    <mergeCell ref="R9:S9"/>
    <mergeCell ref="H9:I9"/>
    <mergeCell ref="J9:K9"/>
    <mergeCell ref="L9:M9"/>
    <mergeCell ref="N9:O9"/>
    <mergeCell ref="P9:Q9"/>
    <mergeCell ref="A117:B117"/>
    <mergeCell ref="A121:B121"/>
  </mergeCells>
  <conditionalFormatting sqref="H11:H18 J11:J18 L11:L18 N11:N18 P11:P18 R11:R18 H20:H109 J20:J109 L20:L109 N20:N109 P20:P109 R20:R109">
    <cfRule type="cellIs" dxfId="281" priority="7" operator="equal">
      <formula>"X"</formula>
    </cfRule>
    <cfRule type="cellIs" dxfId="280" priority="8" operator="equal">
      <formula>"I"</formula>
    </cfRule>
  </conditionalFormatting>
  <hyperlinks>
    <hyperlink ref="B4" location="'Cost Summary'!A1" display="BACK TO SUMMARY SHEET" xr:uid="{95BFF023-20A1-47E8-9FDC-77B85A9B8A34}"/>
  </hyperlinks>
  <pageMargins left="0.2" right="0.2" top="0.5" bottom="0.75" header="0.3" footer="0.3"/>
  <pageSetup paperSize="3" scale="77" fitToHeight="0" orientation="landscape" r:id="rId1"/>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F04F9-EF73-4087-88D6-34037737A2B6}">
  <sheetPr>
    <tabColor rgb="FF00B050"/>
    <pageSetUpPr fitToPage="1"/>
  </sheetPr>
  <dimension ref="A1:AD696"/>
  <sheetViews>
    <sheetView zoomScale="90" zoomScaleNormal="90" workbookViewId="0">
      <pane ySplit="10" topLeftCell="A641" activePane="bottomLeft" state="frozen"/>
      <selection pane="bottomLeft" activeCell="G169" sqref="G169"/>
    </sheetView>
  </sheetViews>
  <sheetFormatPr defaultColWidth="8.85546875" defaultRowHeight="15"/>
  <cols>
    <col min="1" max="1" width="11.42578125" customWidth="1"/>
    <col min="2" max="2" width="70.7109375" style="1" customWidth="1"/>
    <col min="3" max="3" width="18.42578125" style="2" customWidth="1"/>
    <col min="4" max="4" width="4.85546875" style="165" bestFit="1" customWidth="1"/>
    <col min="5" max="5" width="7.42578125" style="79" customWidth="1"/>
    <col min="6" max="6" width="16.42578125" style="2" bestFit="1" customWidth="1"/>
    <col min="7" max="7" width="15.28515625" style="2" bestFit="1" customWidth="1"/>
    <col min="8" max="8" width="8.7109375" style="2" customWidth="1"/>
    <col min="9" max="9" width="15.7109375" style="2" bestFit="1" customWidth="1"/>
    <col min="10" max="10" width="9.140625" customWidth="1"/>
    <col min="11" max="11" width="16.140625" customWidth="1"/>
    <col min="12" max="12" width="7.42578125" style="2" customWidth="1"/>
    <col min="13" max="13" width="14.85546875" style="2" customWidth="1"/>
    <col min="14" max="14" width="7.42578125" bestFit="1" customWidth="1"/>
    <col min="15" max="15" width="15.42578125" customWidth="1"/>
    <col min="16" max="16" width="7.42578125" style="2" bestFit="1" customWidth="1"/>
    <col min="17" max="17" width="14.85546875" style="2" customWidth="1"/>
    <col min="18" max="18" width="7.42578125" style="2" bestFit="1" customWidth="1"/>
    <col min="19" max="19" width="14.85546875" style="2" customWidth="1"/>
    <col min="20" max="20" width="7.42578125" style="2" bestFit="1" customWidth="1"/>
    <col min="21" max="21" width="14.85546875" style="2" customWidth="1"/>
    <col min="22" max="22" width="7.42578125" style="2" bestFit="1" customWidth="1"/>
    <col min="23" max="23" width="14.85546875" style="2" customWidth="1"/>
  </cols>
  <sheetData>
    <row r="1" spans="1:25">
      <c r="F1" s="178"/>
      <c r="G1" s="56" t="s">
        <v>2928</v>
      </c>
      <c r="J1" s="2"/>
      <c r="K1" s="2"/>
      <c r="N1" s="2"/>
      <c r="O1" s="2"/>
      <c r="X1" s="2"/>
      <c r="Y1" s="2"/>
    </row>
    <row r="2" spans="1:25">
      <c r="B2" s="1" t="s">
        <v>3773</v>
      </c>
      <c r="F2" s="179" t="s">
        <v>2929</v>
      </c>
      <c r="G2" s="56" t="s">
        <v>2930</v>
      </c>
      <c r="J2" s="2"/>
      <c r="K2" s="2"/>
      <c r="N2" s="2"/>
      <c r="O2" s="2"/>
      <c r="X2" s="2"/>
      <c r="Y2" s="2"/>
    </row>
    <row r="3" spans="1:25">
      <c r="F3" s="180" t="s">
        <v>2931</v>
      </c>
      <c r="G3" s="56" t="s">
        <v>2932</v>
      </c>
      <c r="J3" s="2"/>
      <c r="K3" s="2"/>
      <c r="N3" s="2"/>
      <c r="O3" s="2"/>
      <c r="X3" s="2"/>
      <c r="Y3" s="2"/>
    </row>
    <row r="4" spans="1:25" ht="15.75" thickBot="1">
      <c r="B4" s="181" t="s">
        <v>2933</v>
      </c>
      <c r="F4" s="170"/>
      <c r="G4" s="2" t="s">
        <v>2934</v>
      </c>
      <c r="J4" s="2"/>
      <c r="K4" s="2"/>
      <c r="N4" s="2"/>
      <c r="O4" s="2"/>
      <c r="X4" s="2"/>
      <c r="Y4" s="2"/>
    </row>
    <row r="5" spans="1:25" ht="16.5" thickTop="1" thickBot="1">
      <c r="A5" s="3" t="s">
        <v>2935</v>
      </c>
      <c r="B5" s="4" t="str">
        <f>'Area Calculations'!B4</f>
        <v>Atlantic Fields Club Core / Dock Bar / Spa Pods / Water Features</v>
      </c>
      <c r="C5" s="5"/>
      <c r="D5" s="166"/>
      <c r="E5" s="171"/>
      <c r="F5" s="5"/>
      <c r="G5" s="6" t="s">
        <v>2936</v>
      </c>
      <c r="H5" s="841" t="s">
        <v>3774</v>
      </c>
      <c r="I5" s="841"/>
      <c r="J5" s="939" t="s">
        <v>3775</v>
      </c>
      <c r="K5" s="940"/>
      <c r="L5" s="938" t="s">
        <v>3776</v>
      </c>
      <c r="M5" s="841"/>
      <c r="N5" s="939" t="s">
        <v>3777</v>
      </c>
      <c r="O5" s="940"/>
      <c r="P5" s="841" t="s">
        <v>3778</v>
      </c>
      <c r="Q5" s="841"/>
      <c r="R5" s="841" t="s">
        <v>3779</v>
      </c>
      <c r="S5" s="841"/>
      <c r="T5" s="841" t="s">
        <v>3780</v>
      </c>
      <c r="U5" s="841"/>
      <c r="V5" s="841" t="s">
        <v>3781</v>
      </c>
      <c r="W5" s="841"/>
      <c r="X5" s="949"/>
      <c r="Y5" s="950"/>
    </row>
    <row r="6" spans="1:25" ht="16.5" thickTop="1" thickBot="1">
      <c r="A6" s="1564" t="s">
        <v>2938</v>
      </c>
      <c r="B6" s="1565" t="s">
        <v>236</v>
      </c>
      <c r="C6" s="1566"/>
      <c r="D6" s="1489"/>
      <c r="E6" s="1567"/>
      <c r="F6" s="1566"/>
      <c r="G6" s="657" t="s">
        <v>2939</v>
      </c>
      <c r="H6" s="1569" t="s">
        <v>3782</v>
      </c>
      <c r="I6" s="1569"/>
      <c r="J6" s="941" t="s">
        <v>3783</v>
      </c>
      <c r="K6" s="942"/>
      <c r="L6" s="1569" t="s">
        <v>3784</v>
      </c>
      <c r="M6" s="1569"/>
      <c r="N6" s="941" t="s">
        <v>3785</v>
      </c>
      <c r="O6" s="942"/>
      <c r="P6" s="1569" t="s">
        <v>3786</v>
      </c>
      <c r="Q6" s="1569"/>
      <c r="R6" s="1569" t="s">
        <v>3787</v>
      </c>
      <c r="S6" s="1569"/>
      <c r="T6" s="1569" t="s">
        <v>3788</v>
      </c>
      <c r="U6" s="1569"/>
      <c r="V6" s="1569" t="s">
        <v>3789</v>
      </c>
      <c r="W6" s="1569"/>
      <c r="X6" s="1614"/>
      <c r="Y6" s="1614"/>
    </row>
    <row r="7" spans="1:25" ht="16.5" thickTop="1" thickBot="1">
      <c r="A7" s="1564" t="s">
        <v>2940</v>
      </c>
      <c r="B7" s="1570" t="s">
        <v>2643</v>
      </c>
      <c r="C7" s="1566"/>
      <c r="D7" s="1489"/>
      <c r="E7" s="1567"/>
      <c r="F7" s="1566"/>
      <c r="G7" s="1571" t="s">
        <v>2941</v>
      </c>
      <c r="H7" s="1573" t="s">
        <v>3790</v>
      </c>
      <c r="I7" s="1573"/>
      <c r="J7" s="943" t="s">
        <v>3791</v>
      </c>
      <c r="K7" s="944"/>
      <c r="L7" s="1573" t="s">
        <v>3792</v>
      </c>
      <c r="M7" s="1573"/>
      <c r="N7" s="941" t="s">
        <v>3793</v>
      </c>
      <c r="O7" s="942"/>
      <c r="P7" s="1573" t="s">
        <v>3794</v>
      </c>
      <c r="Q7" s="1573"/>
      <c r="R7" s="1573" t="s">
        <v>3795</v>
      </c>
      <c r="S7" s="1573"/>
      <c r="T7" s="1573" t="s">
        <v>3796</v>
      </c>
      <c r="U7" s="1573"/>
      <c r="V7" s="1573" t="s">
        <v>3797</v>
      </c>
      <c r="W7" s="1573"/>
      <c r="X7" s="1614"/>
      <c r="Y7" s="1614"/>
    </row>
    <row r="8" spans="1:25" ht="15.75" thickTop="1">
      <c r="A8" s="1564" t="s">
        <v>2942</v>
      </c>
      <c r="B8" s="1574"/>
      <c r="C8" s="1566"/>
      <c r="D8" s="1489"/>
      <c r="E8" s="1567"/>
      <c r="F8" s="1566"/>
      <c r="G8" s="1571" t="s">
        <v>2943</v>
      </c>
      <c r="H8" s="1576" t="s">
        <v>3798</v>
      </c>
      <c r="I8" s="1576"/>
      <c r="J8" s="945" t="s">
        <v>3799</v>
      </c>
      <c r="K8" s="946"/>
      <c r="L8" s="1576" t="s">
        <v>3800</v>
      </c>
      <c r="M8" s="1576"/>
      <c r="N8" s="945" t="s">
        <v>3801</v>
      </c>
      <c r="O8" s="946"/>
      <c r="P8" s="1576" t="s">
        <v>3802</v>
      </c>
      <c r="Q8" s="1576"/>
      <c r="R8" s="1576" t="s">
        <v>3803</v>
      </c>
      <c r="S8" s="1576"/>
      <c r="T8" s="1576" t="s">
        <v>3804</v>
      </c>
      <c r="U8" s="1576"/>
      <c r="V8" s="1576" t="s">
        <v>3805</v>
      </c>
      <c r="W8" s="1576"/>
      <c r="X8" s="1615"/>
      <c r="Y8" s="1615"/>
    </row>
    <row r="9" spans="1:25" ht="15.75" thickBot="1">
      <c r="A9" s="1577"/>
      <c r="B9" s="1578"/>
      <c r="C9" s="616"/>
      <c r="D9" s="621"/>
      <c r="E9" s="622"/>
      <c r="F9" s="1552"/>
      <c r="G9" s="1579" t="s">
        <v>2944</v>
      </c>
      <c r="H9" s="1614">
        <f>I$658</f>
        <v>6857786</v>
      </c>
      <c r="I9" s="1614"/>
      <c r="J9" s="947">
        <f>$K$658</f>
        <v>7315506.9400000004</v>
      </c>
      <c r="K9" s="948"/>
      <c r="L9" s="1616">
        <f t="shared" ref="L9" si="0">M$658</f>
        <v>9703627.7964500021</v>
      </c>
      <c r="M9" s="1616"/>
      <c r="N9" s="947">
        <f>O$658</f>
        <v>7841388</v>
      </c>
      <c r="O9" s="948"/>
      <c r="P9" s="1616">
        <f t="shared" ref="P9" si="1">Q$658</f>
        <v>0</v>
      </c>
      <c r="Q9" s="1616"/>
      <c r="R9" s="1616">
        <f t="shared" ref="R9" si="2">S$658</f>
        <v>0</v>
      </c>
      <c r="S9" s="1616"/>
      <c r="T9" s="1616">
        <f t="shared" ref="T9" si="3">U$658</f>
        <v>0</v>
      </c>
      <c r="U9" s="1616"/>
      <c r="V9" s="1614">
        <f t="shared" ref="V9" si="4">W$658</f>
        <v>0</v>
      </c>
      <c r="W9" s="1614"/>
      <c r="X9" s="1614"/>
      <c r="Y9" s="1614"/>
    </row>
    <row r="10" spans="1:25"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T10" s="161" t="s">
        <v>2951</v>
      </c>
      <c r="U10" s="161" t="s">
        <v>2952</v>
      </c>
      <c r="V10" s="161" t="s">
        <v>2951</v>
      </c>
      <c r="W10" s="161" t="s">
        <v>2952</v>
      </c>
      <c r="X10" s="161" t="s">
        <v>2951</v>
      </c>
      <c r="Y10" s="161" t="s">
        <v>2952</v>
      </c>
    </row>
    <row r="11" spans="1:25" ht="16.5" thickTop="1" thickBot="1">
      <c r="A11" s="1617"/>
      <c r="B11" s="1618" t="s">
        <v>2953</v>
      </c>
      <c r="C11" s="659"/>
      <c r="D11" s="1489"/>
      <c r="E11" s="1567"/>
      <c r="F11" s="1566"/>
      <c r="G11" s="660"/>
      <c r="H11" s="1584"/>
      <c r="I11" s="1619"/>
      <c r="J11" s="1584"/>
      <c r="K11" s="1620"/>
      <c r="L11" s="1584"/>
      <c r="M11" s="182"/>
      <c r="N11" s="1584"/>
      <c r="O11" s="1620"/>
      <c r="P11" s="1584"/>
      <c r="Q11" s="1620"/>
      <c r="R11" s="1584"/>
      <c r="S11" s="1620"/>
      <c r="T11" s="1584"/>
      <c r="U11" s="1620"/>
      <c r="V11" s="1584"/>
      <c r="W11" s="1620"/>
      <c r="X11" s="1584"/>
      <c r="Y11" s="1620"/>
    </row>
    <row r="12" spans="1:25">
      <c r="A12" s="1621"/>
      <c r="B12" s="1622" t="s">
        <v>2954</v>
      </c>
      <c r="C12" s="1566"/>
      <c r="D12" s="1489"/>
      <c r="E12" s="1567"/>
      <c r="F12" s="1566"/>
      <c r="G12" s="660"/>
      <c r="H12" s="1584" t="s">
        <v>3028</v>
      </c>
      <c r="I12" s="1623">
        <v>231743</v>
      </c>
      <c r="J12" s="1584" t="s">
        <v>3806</v>
      </c>
      <c r="K12" s="1620"/>
      <c r="L12" s="1584" t="s">
        <v>3028</v>
      </c>
      <c r="M12" s="1620"/>
      <c r="N12" s="1584"/>
      <c r="O12" s="1620"/>
      <c r="P12" s="1584" t="s">
        <v>3806</v>
      </c>
      <c r="Q12" s="1620"/>
      <c r="R12" s="1584"/>
      <c r="S12" s="1620"/>
      <c r="T12" s="1584"/>
      <c r="U12" s="1620"/>
      <c r="V12" s="1584"/>
      <c r="W12" s="1620"/>
      <c r="X12" s="1584"/>
      <c r="Y12" s="1620"/>
    </row>
    <row r="13" spans="1:25">
      <c r="A13" s="1585"/>
      <c r="B13" s="1624" t="s">
        <v>2955</v>
      </c>
      <c r="C13" s="1566"/>
      <c r="D13" s="1489"/>
      <c r="E13" s="1567"/>
      <c r="F13" s="1566"/>
      <c r="G13" s="660"/>
      <c r="H13" s="1584" t="s">
        <v>3028</v>
      </c>
      <c r="I13" s="1619"/>
      <c r="J13" s="1584" t="s">
        <v>3028</v>
      </c>
      <c r="K13" s="1620"/>
      <c r="L13" s="1584" t="s">
        <v>3028</v>
      </c>
      <c r="M13" s="1620"/>
      <c r="N13" s="1584"/>
      <c r="O13" s="1620"/>
      <c r="P13" s="1584" t="s">
        <v>3028</v>
      </c>
      <c r="Q13" s="1620"/>
      <c r="R13" s="1584"/>
      <c r="S13" s="1620"/>
      <c r="T13" s="1584"/>
      <c r="U13" s="1620"/>
      <c r="V13" s="1584"/>
      <c r="W13" s="1620"/>
      <c r="X13" s="1584"/>
      <c r="Y13" s="1620"/>
    </row>
    <row r="14" spans="1:25">
      <c r="A14" s="1585"/>
      <c r="B14" s="1625" t="s">
        <v>2956</v>
      </c>
      <c r="C14" s="1566"/>
      <c r="D14" s="1489"/>
      <c r="E14" s="1567"/>
      <c r="F14" s="1566"/>
      <c r="G14" s="660"/>
      <c r="H14" s="1584" t="s">
        <v>3807</v>
      </c>
      <c r="I14" s="1626" t="s">
        <v>3808</v>
      </c>
      <c r="J14" s="1584" t="s">
        <v>3807</v>
      </c>
      <c r="K14" s="1620"/>
      <c r="L14" s="1584" t="s">
        <v>3807</v>
      </c>
      <c r="M14" s="1620"/>
      <c r="N14" s="1584"/>
      <c r="O14" s="1620"/>
      <c r="P14" s="1584" t="s">
        <v>3807</v>
      </c>
      <c r="Q14" s="1620"/>
      <c r="R14" s="1584"/>
      <c r="S14" s="1620"/>
      <c r="T14" s="1584"/>
      <c r="U14" s="1620"/>
      <c r="V14" s="1584"/>
      <c r="W14" s="1620"/>
      <c r="X14" s="1584"/>
      <c r="Y14" s="1620"/>
    </row>
    <row r="15" spans="1:25">
      <c r="A15" s="1585"/>
      <c r="B15" s="1625" t="s">
        <v>2957</v>
      </c>
      <c r="C15" s="1566"/>
      <c r="D15" s="1489"/>
      <c r="E15" s="1567"/>
      <c r="F15" s="1566"/>
      <c r="G15" s="660"/>
      <c r="H15" s="1584" t="s">
        <v>3028</v>
      </c>
      <c r="I15" s="1619"/>
      <c r="J15" s="1584" t="s">
        <v>3028</v>
      </c>
      <c r="K15" s="1619"/>
      <c r="L15" s="1584" t="s">
        <v>3028</v>
      </c>
      <c r="M15" s="1619"/>
      <c r="N15" s="1584"/>
      <c r="O15" s="1619"/>
      <c r="P15" s="1584" t="s">
        <v>3028</v>
      </c>
      <c r="Q15" s="1619"/>
      <c r="R15" s="1584"/>
      <c r="S15" s="1619"/>
      <c r="T15" s="1584"/>
      <c r="U15" s="1619"/>
      <c r="V15" s="1584"/>
      <c r="W15" s="1619"/>
      <c r="X15" s="1584"/>
      <c r="Y15" s="1619"/>
    </row>
    <row r="16" spans="1:25">
      <c r="A16" s="1585"/>
      <c r="B16" s="1625" t="s">
        <v>2958</v>
      </c>
      <c r="C16" s="1566"/>
      <c r="D16" s="1489"/>
      <c r="E16" s="1567"/>
      <c r="F16" s="1566"/>
      <c r="G16" s="660"/>
      <c r="H16" s="1584" t="s">
        <v>3028</v>
      </c>
      <c r="I16" s="1619"/>
      <c r="J16" s="1584" t="s">
        <v>3028</v>
      </c>
      <c r="K16" s="1620"/>
      <c r="L16" s="1584" t="s">
        <v>3028</v>
      </c>
      <c r="M16" s="1620"/>
      <c r="N16" s="1584"/>
      <c r="O16" s="1620"/>
      <c r="P16" s="1584" t="s">
        <v>3028</v>
      </c>
      <c r="Q16" s="1620"/>
      <c r="R16" s="1584"/>
      <c r="S16" s="1620"/>
      <c r="T16" s="1584"/>
      <c r="U16" s="1620"/>
      <c r="V16" s="1584"/>
      <c r="W16" s="1620"/>
      <c r="X16" s="1584"/>
      <c r="Y16" s="1620"/>
    </row>
    <row r="17" spans="1:25">
      <c r="A17" s="1585"/>
      <c r="B17" s="1625" t="s">
        <v>2959</v>
      </c>
      <c r="C17" s="1566"/>
      <c r="D17" s="1489"/>
      <c r="E17" s="1567"/>
      <c r="F17" s="1566"/>
      <c r="G17" s="660"/>
      <c r="H17" s="1584" t="s">
        <v>3028</v>
      </c>
      <c r="I17" s="1619"/>
      <c r="J17" s="1584" t="s">
        <v>3806</v>
      </c>
      <c r="K17" s="1620"/>
      <c r="L17" s="1584" t="s">
        <v>3028</v>
      </c>
      <c r="M17" s="1584"/>
      <c r="N17" s="1584"/>
      <c r="O17" s="1620"/>
      <c r="P17" s="1584" t="s">
        <v>3806</v>
      </c>
      <c r="Q17" s="1620"/>
      <c r="R17" s="1584"/>
      <c r="S17" s="1620"/>
      <c r="T17" s="1584"/>
      <c r="U17" s="1620"/>
      <c r="V17" s="1584"/>
      <c r="W17" s="1620"/>
      <c r="X17" s="1584"/>
      <c r="Y17" s="1620"/>
    </row>
    <row r="18" spans="1:25">
      <c r="A18" s="1585"/>
      <c r="B18" s="1625" t="s">
        <v>3809</v>
      </c>
      <c r="C18" s="1566"/>
      <c r="D18" s="1489"/>
      <c r="E18" s="1567"/>
      <c r="F18" s="1566"/>
      <c r="G18" s="660"/>
      <c r="H18" s="1584" t="s">
        <v>3806</v>
      </c>
      <c r="I18" s="1619" t="s">
        <v>3810</v>
      </c>
      <c r="J18" s="1584" t="s">
        <v>3806</v>
      </c>
      <c r="K18" s="1620" t="s">
        <v>3811</v>
      </c>
      <c r="L18" s="1584" t="s">
        <v>3806</v>
      </c>
      <c r="M18" s="1620" t="s">
        <v>3812</v>
      </c>
      <c r="N18" s="1584"/>
      <c r="O18" s="1620"/>
      <c r="P18" s="1584" t="s">
        <v>3806</v>
      </c>
      <c r="Q18" s="1620" t="s">
        <v>3813</v>
      </c>
      <c r="R18" s="1584"/>
      <c r="S18" s="1620"/>
      <c r="T18" s="1584"/>
      <c r="U18" s="1620"/>
      <c r="V18" s="1584"/>
      <c r="W18" s="1620"/>
      <c r="X18" s="1584"/>
      <c r="Y18" s="1620"/>
    </row>
    <row r="19" spans="1:25">
      <c r="A19" s="1585"/>
      <c r="B19" s="1627" t="s">
        <v>2960</v>
      </c>
      <c r="C19" s="1566"/>
      <c r="D19" s="1489"/>
      <c r="E19" s="1567"/>
      <c r="F19" s="1566"/>
      <c r="G19" s="660"/>
      <c r="H19" s="1584"/>
      <c r="I19" s="1619"/>
      <c r="J19" s="1584"/>
      <c r="K19" s="1620"/>
      <c r="L19" s="1584"/>
      <c r="M19" s="1620"/>
      <c r="N19" s="1584"/>
      <c r="O19" s="1620"/>
      <c r="P19" s="1584"/>
      <c r="Q19" s="1620"/>
      <c r="R19" s="1584"/>
      <c r="S19" s="1620"/>
      <c r="T19" s="1584"/>
      <c r="U19" s="1620"/>
      <c r="V19" s="1584"/>
      <c r="W19" s="1620"/>
      <c r="X19" s="1584"/>
      <c r="Y19" s="1620"/>
    </row>
    <row r="20" spans="1:25">
      <c r="A20" s="1585"/>
      <c r="B20" s="1628" t="s">
        <v>2961</v>
      </c>
      <c r="C20" s="1586"/>
      <c r="D20" s="1587"/>
      <c r="E20" s="1588"/>
      <c r="F20" s="1589"/>
      <c r="G20" s="661"/>
      <c r="H20" s="1590"/>
      <c r="I20" s="1629"/>
      <c r="J20" s="1590"/>
      <c r="K20" s="1630"/>
      <c r="L20" s="1590"/>
      <c r="M20" s="1630"/>
      <c r="N20" s="1630"/>
      <c r="O20" s="1630">
        <v>7798388</v>
      </c>
      <c r="P20" s="1590"/>
      <c r="Q20" s="1630" t="s">
        <v>3814</v>
      </c>
      <c r="R20" s="1590"/>
      <c r="S20" s="1630"/>
      <c r="T20" s="1590"/>
      <c r="U20" s="1630"/>
      <c r="V20" s="1590"/>
      <c r="W20" s="1630"/>
      <c r="X20" s="1590"/>
      <c r="Y20" s="1630"/>
    </row>
    <row r="21" spans="1:25" ht="390" hidden="1">
      <c r="A21" s="1631"/>
      <c r="B21" s="1632" t="s">
        <v>3815</v>
      </c>
      <c r="C21" s="1566"/>
      <c r="D21" s="1489"/>
      <c r="E21" s="1567"/>
      <c r="F21" s="1593"/>
      <c r="G21" s="660"/>
      <c r="H21" s="1584"/>
      <c r="I21" s="1633"/>
      <c r="J21" s="1584"/>
      <c r="K21" s="1633"/>
      <c r="L21" s="1584"/>
      <c r="M21" s="1634"/>
      <c r="N21" s="1584"/>
      <c r="O21" s="1633"/>
      <c r="P21" s="1584"/>
      <c r="Q21" s="1633"/>
      <c r="R21" s="1584"/>
      <c r="S21" s="1633"/>
      <c r="T21" s="1584"/>
      <c r="U21" s="1633"/>
      <c r="V21" s="1584"/>
      <c r="W21" s="1633"/>
      <c r="X21" s="1584"/>
      <c r="Y21" s="1633"/>
    </row>
    <row r="22" spans="1:25">
      <c r="A22" s="567"/>
      <c r="B22" s="1632"/>
      <c r="C22" s="1566"/>
      <c r="D22" s="1489"/>
      <c r="E22" s="1567"/>
      <c r="F22" s="1593"/>
      <c r="G22" s="660"/>
      <c r="H22" s="1584"/>
      <c r="I22" s="1633"/>
      <c r="J22" s="1584"/>
      <c r="K22" s="1633"/>
      <c r="L22" s="1584"/>
      <c r="M22" s="1634"/>
      <c r="N22" s="1584"/>
      <c r="O22" s="1633"/>
      <c r="P22" s="1584"/>
      <c r="Q22" s="1633"/>
      <c r="R22" s="1584"/>
      <c r="S22" s="1633"/>
      <c r="T22" s="1584"/>
      <c r="U22" s="1633"/>
      <c r="V22" s="1584"/>
      <c r="W22" s="1633"/>
      <c r="X22" s="1584"/>
      <c r="Y22" s="1633"/>
    </row>
    <row r="23" spans="1:25" ht="30">
      <c r="A23" s="1585"/>
      <c r="B23" s="1635" t="s">
        <v>3816</v>
      </c>
      <c r="C23" s="1566"/>
      <c r="D23" s="1489"/>
      <c r="E23" s="1567"/>
      <c r="F23" s="1593"/>
      <c r="G23" s="660"/>
      <c r="H23" s="1584" t="s">
        <v>3028</v>
      </c>
      <c r="I23" s="1636">
        <v>-1362000</v>
      </c>
      <c r="J23" s="1584" t="s">
        <v>3807</v>
      </c>
      <c r="K23" s="1637"/>
      <c r="L23" s="1584" t="s">
        <v>3807</v>
      </c>
      <c r="M23" s="1638"/>
      <c r="N23" s="1584"/>
      <c r="O23" s="1638"/>
      <c r="P23" s="1584" t="s">
        <v>3807</v>
      </c>
      <c r="Q23" s="1639" t="s">
        <v>3817</v>
      </c>
      <c r="R23" s="1584"/>
      <c r="S23" s="1633"/>
      <c r="T23" s="1584"/>
      <c r="U23" s="1639" t="s">
        <v>3817</v>
      </c>
      <c r="V23" s="1584"/>
      <c r="W23" s="1633"/>
      <c r="X23" s="1584"/>
      <c r="Y23" s="1633"/>
    </row>
    <row r="24" spans="1:25">
      <c r="A24" s="1640" t="s">
        <v>3818</v>
      </c>
      <c r="B24" s="1641" t="s">
        <v>3819</v>
      </c>
      <c r="C24" s="1566"/>
      <c r="D24" s="1489"/>
      <c r="E24" s="1567"/>
      <c r="F24" s="1593"/>
      <c r="G24" s="660"/>
      <c r="H24" s="1584" t="s">
        <v>3807</v>
      </c>
      <c r="I24" s="1636">
        <v>210000</v>
      </c>
      <c r="J24" s="1584"/>
      <c r="K24" s="1642">
        <v>210000</v>
      </c>
      <c r="L24" s="1584"/>
      <c r="M24" s="1643">
        <v>210000</v>
      </c>
      <c r="N24" s="1584" t="s">
        <v>3806</v>
      </c>
      <c r="O24" s="1633"/>
      <c r="P24" s="1584"/>
      <c r="Q24" s="1639"/>
      <c r="R24" s="1584"/>
      <c r="S24" s="1633"/>
      <c r="T24" s="1584"/>
      <c r="U24" s="1639"/>
      <c r="V24" s="1584"/>
      <c r="W24" s="1633"/>
      <c r="X24" s="1584"/>
      <c r="Y24" s="1633"/>
    </row>
    <row r="25" spans="1:25">
      <c r="A25" s="1585"/>
      <c r="B25" s="1635"/>
      <c r="C25" s="1566"/>
      <c r="D25" s="1489"/>
      <c r="E25" s="1567"/>
      <c r="F25" s="1593"/>
      <c r="G25" s="660"/>
      <c r="H25" s="1584"/>
      <c r="I25" s="1633"/>
      <c r="J25" s="1584"/>
      <c r="K25" s="1633"/>
      <c r="L25" s="1584"/>
      <c r="M25" s="1634"/>
      <c r="N25" s="1584"/>
      <c r="O25" s="1633"/>
      <c r="P25" s="1584"/>
      <c r="Q25" s="1639"/>
      <c r="R25" s="1584"/>
      <c r="S25" s="1633"/>
      <c r="T25" s="1584"/>
      <c r="U25" s="1639"/>
      <c r="V25" s="1584"/>
      <c r="W25" s="1633"/>
      <c r="X25" s="1584"/>
      <c r="Y25" s="1633"/>
    </row>
    <row r="26" spans="1:25">
      <c r="A26" s="1585"/>
      <c r="B26" s="1635" t="s">
        <v>3820</v>
      </c>
      <c r="C26" s="1566"/>
      <c r="D26" s="1489"/>
      <c r="E26" s="1567"/>
      <c r="F26" s="1593"/>
      <c r="G26" s="660"/>
      <c r="H26" s="1584" t="s">
        <v>3028</v>
      </c>
      <c r="I26" s="1633"/>
      <c r="J26" s="1584" t="s">
        <v>3806</v>
      </c>
      <c r="K26" s="1633"/>
      <c r="L26" s="1584" t="s">
        <v>3028</v>
      </c>
      <c r="M26" s="1634"/>
      <c r="N26" s="1584"/>
      <c r="O26" s="1633"/>
      <c r="P26" s="1584" t="s">
        <v>3806</v>
      </c>
      <c r="Q26" s="1633"/>
      <c r="R26" s="1584"/>
      <c r="S26" s="1633"/>
      <c r="T26" s="1584"/>
      <c r="U26" s="1633"/>
      <c r="V26" s="1584"/>
      <c r="W26" s="1633"/>
      <c r="X26" s="1584"/>
      <c r="Y26" s="1633"/>
    </row>
    <row r="27" spans="1:25">
      <c r="A27" s="1585"/>
      <c r="B27" s="1635" t="s">
        <v>3821</v>
      </c>
      <c r="C27" s="1566"/>
      <c r="D27" s="1489"/>
      <c r="E27" s="1567"/>
      <c r="F27" s="1593"/>
      <c r="G27" s="660"/>
      <c r="H27" s="1584" t="s">
        <v>3028</v>
      </c>
      <c r="I27" s="1633"/>
      <c r="J27" s="1584" t="s">
        <v>3806</v>
      </c>
      <c r="K27" s="1633"/>
      <c r="L27" s="1584" t="s">
        <v>3028</v>
      </c>
      <c r="M27" s="1634"/>
      <c r="N27" s="1584"/>
      <c r="O27" s="1633"/>
      <c r="P27" s="1584" t="s">
        <v>3806</v>
      </c>
      <c r="Q27" s="1633"/>
      <c r="R27" s="1584"/>
      <c r="S27" s="1633"/>
      <c r="T27" s="1584"/>
      <c r="U27" s="1633"/>
      <c r="V27" s="1584"/>
      <c r="W27" s="1633"/>
      <c r="X27" s="1584"/>
      <c r="Y27" s="1633"/>
    </row>
    <row r="28" spans="1:25">
      <c r="A28" s="1585"/>
      <c r="B28" s="1635" t="s">
        <v>3822</v>
      </c>
      <c r="C28" s="1566"/>
      <c r="D28" s="1489"/>
      <c r="E28" s="1567"/>
      <c r="F28" s="1593"/>
      <c r="G28" s="660"/>
      <c r="H28" s="1584" t="s">
        <v>3028</v>
      </c>
      <c r="I28" s="1633"/>
      <c r="J28" s="1584" t="s">
        <v>3806</v>
      </c>
      <c r="K28" s="1633"/>
      <c r="L28" s="1584" t="s">
        <v>3028</v>
      </c>
      <c r="M28" s="1634"/>
      <c r="N28" s="1584"/>
      <c r="O28" s="1633"/>
      <c r="P28" s="1584" t="s">
        <v>3806</v>
      </c>
      <c r="Q28" s="1633"/>
      <c r="R28" s="1584"/>
      <c r="S28" s="1633"/>
      <c r="T28" s="1584"/>
      <c r="U28" s="1633"/>
      <c r="V28" s="1584"/>
      <c r="W28" s="1633"/>
      <c r="X28" s="1584"/>
      <c r="Y28" s="1633"/>
    </row>
    <row r="29" spans="1:25">
      <c r="A29" s="1585"/>
      <c r="B29" s="1635" t="s">
        <v>3823</v>
      </c>
      <c r="C29" s="1566"/>
      <c r="D29" s="1489"/>
      <c r="E29" s="1567"/>
      <c r="F29" s="1593"/>
      <c r="G29" s="660"/>
      <c r="H29" s="1584" t="s">
        <v>3028</v>
      </c>
      <c r="I29" s="1633"/>
      <c r="J29" s="1584" t="s">
        <v>3806</v>
      </c>
      <c r="K29" s="1633"/>
      <c r="L29" s="1584" t="s">
        <v>3028</v>
      </c>
      <c r="M29" s="1634"/>
      <c r="N29" s="1584"/>
      <c r="O29" s="1633"/>
      <c r="P29" s="1584" t="s">
        <v>3806</v>
      </c>
      <c r="Q29" s="1633"/>
      <c r="R29" s="1584"/>
      <c r="S29" s="1633"/>
      <c r="T29" s="1584"/>
      <c r="U29" s="1633"/>
      <c r="V29" s="1584"/>
      <c r="W29" s="1633"/>
      <c r="X29" s="1584"/>
      <c r="Y29" s="1633"/>
    </row>
    <row r="30" spans="1:25" ht="26.25">
      <c r="A30" s="1585"/>
      <c r="B30" s="1644" t="s">
        <v>3824</v>
      </c>
      <c r="C30" s="1566"/>
      <c r="D30" s="1489"/>
      <c r="E30" s="1567"/>
      <c r="F30" s="1593"/>
      <c r="G30" s="660"/>
      <c r="H30" s="1584"/>
      <c r="I30" s="1633"/>
      <c r="J30" s="1584"/>
      <c r="K30" s="1633"/>
      <c r="L30" s="1584"/>
      <c r="M30" s="1634"/>
      <c r="N30" s="1584"/>
      <c r="O30" s="1633"/>
      <c r="P30" s="1584"/>
      <c r="Q30" s="1633"/>
      <c r="R30" s="1584"/>
      <c r="S30" s="1633"/>
      <c r="T30" s="1584"/>
      <c r="U30" s="1633"/>
      <c r="V30" s="1584"/>
      <c r="W30" s="1633"/>
      <c r="X30" s="1584"/>
      <c r="Y30" s="1633"/>
    </row>
    <row r="31" spans="1:25">
      <c r="A31" s="1585"/>
      <c r="B31" s="1635" t="s">
        <v>3825</v>
      </c>
      <c r="C31" s="1566" t="s">
        <v>3826</v>
      </c>
      <c r="D31" s="1489"/>
      <c r="E31" s="1567"/>
      <c r="F31" s="1593"/>
      <c r="G31" s="660"/>
      <c r="H31" s="1645" t="s">
        <v>3827</v>
      </c>
      <c r="I31" s="1642" t="s">
        <v>3828</v>
      </c>
      <c r="J31" s="1584" t="s">
        <v>3807</v>
      </c>
      <c r="K31" s="1633"/>
      <c r="L31" s="1645" t="s">
        <v>3827</v>
      </c>
      <c r="M31" s="1634"/>
      <c r="N31" s="1584"/>
      <c r="O31" s="1633"/>
      <c r="P31" s="1584" t="s">
        <v>3806</v>
      </c>
      <c r="Q31" s="1633"/>
      <c r="R31" s="1584"/>
      <c r="S31" s="1633"/>
      <c r="T31" s="1584"/>
      <c r="U31" s="1633"/>
      <c r="V31" s="1584"/>
      <c r="W31" s="1633"/>
      <c r="X31" s="1584"/>
      <c r="Y31" s="1633"/>
    </row>
    <row r="32" spans="1:25" ht="30">
      <c r="A32" s="1585"/>
      <c r="B32" s="1635" t="s">
        <v>3829</v>
      </c>
      <c r="C32" s="1513" t="s">
        <v>3830</v>
      </c>
      <c r="D32" s="1489"/>
      <c r="E32" s="1567"/>
      <c r="F32" s="1593"/>
      <c r="G32" s="660"/>
      <c r="H32" s="1584" t="s">
        <v>3028</v>
      </c>
      <c r="I32" s="1633"/>
      <c r="J32" s="1584" t="s">
        <v>3806</v>
      </c>
      <c r="K32" s="1633"/>
      <c r="L32" s="1584" t="s">
        <v>3028</v>
      </c>
      <c r="M32" s="1634"/>
      <c r="N32" s="1584"/>
      <c r="O32" s="1633"/>
      <c r="P32" s="1584" t="s">
        <v>3806</v>
      </c>
      <c r="Q32" s="1633"/>
      <c r="R32" s="1584"/>
      <c r="S32" s="1633"/>
      <c r="T32" s="1584"/>
      <c r="U32" s="1633"/>
      <c r="V32" s="1584"/>
      <c r="W32" s="1633"/>
      <c r="X32" s="1584"/>
      <c r="Y32" s="1633"/>
    </row>
    <row r="33" spans="1:25" ht="21">
      <c r="A33" s="1585"/>
      <c r="B33" s="1646" t="s">
        <v>3113</v>
      </c>
      <c r="C33" s="1566"/>
      <c r="D33" s="1489"/>
      <c r="E33" s="1567"/>
      <c r="F33" s="1593"/>
      <c r="G33" s="660"/>
      <c r="H33" s="1584"/>
      <c r="I33" s="1636">
        <v>3310682</v>
      </c>
      <c r="J33" s="1584"/>
      <c r="K33" s="1636">
        <v>3244345</v>
      </c>
      <c r="L33" s="1584"/>
      <c r="M33" s="1647">
        <f>4314253.4+(0.4*162488)</f>
        <v>4379248.6000000006</v>
      </c>
      <c r="N33" s="1584"/>
      <c r="O33" s="1633"/>
      <c r="P33" s="1584"/>
      <c r="Q33" s="1633"/>
      <c r="R33" s="1584"/>
      <c r="S33" s="1633"/>
      <c r="T33" s="1584"/>
      <c r="U33" s="1633"/>
      <c r="V33" s="1584"/>
      <c r="W33" s="1633"/>
      <c r="X33" s="1584"/>
      <c r="Y33" s="1633"/>
    </row>
    <row r="34" spans="1:25" ht="15.75">
      <c r="A34" s="1585"/>
      <c r="B34" s="1648" t="s">
        <v>3831</v>
      </c>
      <c r="C34" s="1566" t="s">
        <v>1696</v>
      </c>
      <c r="D34" s="1489"/>
      <c r="E34" s="1567"/>
      <c r="F34" s="1593"/>
      <c r="G34" s="660"/>
      <c r="H34" s="1584"/>
      <c r="I34" s="1633"/>
      <c r="J34" s="1584"/>
      <c r="K34" s="1633"/>
      <c r="L34" s="1584"/>
      <c r="M34" s="1634"/>
      <c r="N34" s="1584"/>
      <c r="O34" s="1633"/>
      <c r="P34" s="1584"/>
      <c r="Q34" s="1633"/>
      <c r="R34" s="1584"/>
      <c r="S34" s="1633"/>
      <c r="T34" s="1584"/>
      <c r="U34" s="1633"/>
      <c r="V34" s="1584"/>
      <c r="W34" s="1633"/>
      <c r="X34" s="1584"/>
      <c r="Y34" s="1633"/>
    </row>
    <row r="35" spans="1:25" s="364" customFormat="1">
      <c r="A35" s="1649"/>
      <c r="B35" s="1650" t="s">
        <v>3832</v>
      </c>
      <c r="C35" s="1651"/>
      <c r="D35" s="1652"/>
      <c r="E35" s="1653"/>
      <c r="F35" s="1654"/>
      <c r="G35" s="682"/>
      <c r="H35" s="1584"/>
      <c r="I35" s="1655"/>
      <c r="J35" s="1584"/>
      <c r="K35" s="1655"/>
      <c r="L35" s="1584"/>
      <c r="M35" s="1656"/>
      <c r="N35" s="1584"/>
      <c r="O35" s="1655"/>
      <c r="P35" s="1584"/>
      <c r="Q35" s="1655"/>
      <c r="R35" s="1584"/>
      <c r="S35" s="1655"/>
      <c r="T35" s="1584"/>
      <c r="U35" s="1655"/>
      <c r="V35" s="1584"/>
      <c r="W35" s="1655"/>
      <c r="X35" s="1584"/>
      <c r="Y35" s="1655"/>
    </row>
    <row r="36" spans="1:25" ht="30">
      <c r="A36" s="1657" t="s">
        <v>3833</v>
      </c>
      <c r="B36" s="1658" t="s">
        <v>3834</v>
      </c>
      <c r="C36" s="1513" t="s">
        <v>3835</v>
      </c>
      <c r="D36" s="1489"/>
      <c r="E36" s="1567"/>
      <c r="F36" s="1593"/>
      <c r="G36" s="660"/>
      <c r="H36" s="1584" t="s">
        <v>3028</v>
      </c>
      <c r="I36" s="1659" t="s">
        <v>3836</v>
      </c>
      <c r="J36" s="1584" t="s">
        <v>3806</v>
      </c>
      <c r="K36" s="1633"/>
      <c r="L36" s="1584" t="s">
        <v>3028</v>
      </c>
      <c r="M36" s="1634"/>
      <c r="N36" s="1584"/>
      <c r="O36" s="1642">
        <v>43000</v>
      </c>
      <c r="P36" s="1584" t="s">
        <v>3028</v>
      </c>
      <c r="Q36" s="1633"/>
      <c r="R36" s="1584"/>
      <c r="S36" s="1633"/>
      <c r="T36" s="1584"/>
      <c r="U36" s="1633"/>
      <c r="V36" s="1584"/>
      <c r="W36" s="1633"/>
      <c r="X36" s="1584"/>
      <c r="Y36" s="1633"/>
    </row>
    <row r="37" spans="1:25" ht="30">
      <c r="A37" s="1657" t="s">
        <v>3833</v>
      </c>
      <c r="B37" s="1658" t="s">
        <v>3837</v>
      </c>
      <c r="C37" s="1513" t="s">
        <v>3838</v>
      </c>
      <c r="D37" s="1489"/>
      <c r="E37" s="1567"/>
      <c r="F37" s="1593"/>
      <c r="G37" s="660"/>
      <c r="H37" s="1584" t="s">
        <v>3028</v>
      </c>
      <c r="I37" s="1660"/>
      <c r="J37" s="1584" t="s">
        <v>3806</v>
      </c>
      <c r="K37" s="1633"/>
      <c r="L37" s="1584" t="s">
        <v>3028</v>
      </c>
      <c r="M37" s="1634"/>
      <c r="N37" s="1584"/>
      <c r="O37" s="1633"/>
      <c r="P37" s="1584" t="s">
        <v>3028</v>
      </c>
      <c r="Q37" s="1633"/>
      <c r="R37" s="1584"/>
      <c r="S37" s="1633"/>
      <c r="T37" s="1584"/>
      <c r="U37" s="1633"/>
      <c r="V37" s="1584"/>
      <c r="W37" s="1633"/>
      <c r="X37" s="1584"/>
      <c r="Y37" s="1633"/>
    </row>
    <row r="38" spans="1:25">
      <c r="A38" s="1585"/>
      <c r="B38" s="1650" t="s">
        <v>3839</v>
      </c>
      <c r="C38" s="1513"/>
      <c r="D38" s="1489"/>
      <c r="E38" s="1567"/>
      <c r="F38" s="1593"/>
      <c r="G38" s="660"/>
      <c r="H38" s="1584"/>
      <c r="I38" s="1633"/>
      <c r="J38" s="1584"/>
      <c r="K38" s="1633"/>
      <c r="L38" s="1584"/>
      <c r="M38" s="1634"/>
      <c r="N38" s="1584"/>
      <c r="O38" s="1633"/>
      <c r="P38" s="1584"/>
      <c r="Q38" s="1633"/>
      <c r="R38" s="1584"/>
      <c r="S38" s="1633"/>
      <c r="T38" s="1584"/>
      <c r="U38" s="1633"/>
      <c r="V38" s="1584"/>
      <c r="W38" s="1633"/>
      <c r="X38" s="1584"/>
      <c r="Y38" s="1633"/>
    </row>
    <row r="39" spans="1:25" s="364" customFormat="1">
      <c r="A39" s="1657" t="s">
        <v>3833</v>
      </c>
      <c r="B39" s="1661" t="s">
        <v>3840</v>
      </c>
      <c r="C39" s="1513" t="s">
        <v>3841</v>
      </c>
      <c r="D39" s="1652"/>
      <c r="E39" s="1653"/>
      <c r="F39" s="1654"/>
      <c r="G39" s="682"/>
      <c r="H39" s="1584" t="s">
        <v>3807</v>
      </c>
      <c r="I39" s="1662" t="s">
        <v>3842</v>
      </c>
      <c r="J39" s="1584" t="s">
        <v>3807</v>
      </c>
      <c r="K39" s="1655"/>
      <c r="L39" s="1584" t="s">
        <v>3807</v>
      </c>
      <c r="M39" s="1656"/>
      <c r="N39" s="1584" t="s">
        <v>3807</v>
      </c>
      <c r="O39" s="1655"/>
      <c r="P39" s="1584" t="s">
        <v>3807</v>
      </c>
      <c r="Q39" s="1655"/>
      <c r="R39" s="1584"/>
      <c r="S39" s="1655"/>
      <c r="T39" s="1584"/>
      <c r="U39" s="1655"/>
      <c r="V39" s="1584"/>
      <c r="W39" s="1655"/>
      <c r="X39" s="1584"/>
      <c r="Y39" s="1655"/>
    </row>
    <row r="40" spans="1:25" s="364" customFormat="1">
      <c r="A40" s="1657" t="s">
        <v>3833</v>
      </c>
      <c r="B40" s="1650" t="s">
        <v>3843</v>
      </c>
      <c r="C40" s="1513" t="s">
        <v>3844</v>
      </c>
      <c r="D40" s="1652"/>
      <c r="E40" s="1653"/>
      <c r="F40" s="1654"/>
      <c r="G40" s="682"/>
      <c r="H40" s="1584" t="s">
        <v>3807</v>
      </c>
      <c r="I40" s="1655"/>
      <c r="J40" s="1584" t="s">
        <v>3807</v>
      </c>
      <c r="K40" s="1655"/>
      <c r="L40" s="1584" t="s">
        <v>3807</v>
      </c>
      <c r="M40" s="1656"/>
      <c r="N40" s="1584" t="s">
        <v>3807</v>
      </c>
      <c r="O40" s="1655"/>
      <c r="P40" s="1584" t="s">
        <v>3807</v>
      </c>
      <c r="Q40" s="1655"/>
      <c r="R40" s="1584"/>
      <c r="S40" s="1655"/>
      <c r="T40" s="1584"/>
      <c r="U40" s="1655"/>
      <c r="V40" s="1584"/>
      <c r="W40" s="1655"/>
      <c r="X40" s="1584"/>
      <c r="Y40" s="1655"/>
    </row>
    <row r="41" spans="1:25" s="364" customFormat="1">
      <c r="A41" s="1657" t="s">
        <v>3833</v>
      </c>
      <c r="B41" s="1650" t="s">
        <v>3845</v>
      </c>
      <c r="C41" s="1513" t="s">
        <v>3844</v>
      </c>
      <c r="D41" s="1652"/>
      <c r="E41" s="1653"/>
      <c r="F41" s="1654"/>
      <c r="G41" s="682"/>
      <c r="H41" s="1584" t="s">
        <v>3807</v>
      </c>
      <c r="I41" s="1655"/>
      <c r="J41" s="1584" t="s">
        <v>3807</v>
      </c>
      <c r="K41" s="1655"/>
      <c r="L41" s="1584" t="s">
        <v>3807</v>
      </c>
      <c r="M41" s="1656"/>
      <c r="N41" s="1584" t="s">
        <v>3807</v>
      </c>
      <c r="O41" s="1655"/>
      <c r="P41" s="1584" t="s">
        <v>3807</v>
      </c>
      <c r="Q41" s="1655"/>
      <c r="R41" s="1584"/>
      <c r="S41" s="1655"/>
      <c r="T41" s="1584"/>
      <c r="U41" s="1655"/>
      <c r="V41" s="1584"/>
      <c r="W41" s="1655"/>
      <c r="X41" s="1584"/>
      <c r="Y41" s="1655"/>
    </row>
    <row r="42" spans="1:25" s="364" customFormat="1">
      <c r="A42" s="1649"/>
      <c r="B42" s="1650" t="s">
        <v>3846</v>
      </c>
      <c r="C42" s="1513" t="s">
        <v>3844</v>
      </c>
      <c r="D42" s="1652"/>
      <c r="E42" s="1653"/>
      <c r="F42" s="1654"/>
      <c r="G42" s="682"/>
      <c r="H42" s="1584"/>
      <c r="I42" s="1655"/>
      <c r="J42" s="1584"/>
      <c r="K42" s="1655"/>
      <c r="L42" s="1584"/>
      <c r="M42" s="1656"/>
      <c r="N42" s="1584"/>
      <c r="O42" s="1655"/>
      <c r="P42" s="1584"/>
      <c r="Q42" s="1655"/>
      <c r="R42" s="1584"/>
      <c r="S42" s="1655"/>
      <c r="T42" s="1584"/>
      <c r="U42" s="1655"/>
      <c r="V42" s="1584"/>
      <c r="W42" s="1655"/>
      <c r="X42" s="1584"/>
      <c r="Y42" s="1655"/>
    </row>
    <row r="43" spans="1:25" s="364" customFormat="1">
      <c r="A43" s="1657" t="s">
        <v>3833</v>
      </c>
      <c r="B43" s="1663" t="s">
        <v>3847</v>
      </c>
      <c r="C43" s="1651" t="s">
        <v>3848</v>
      </c>
      <c r="D43" s="1652"/>
      <c r="E43" s="1653"/>
      <c r="F43" s="1654"/>
      <c r="G43" s="682"/>
      <c r="H43" s="1524" t="s">
        <v>3028</v>
      </c>
      <c r="I43" s="1664" t="s">
        <v>3849</v>
      </c>
      <c r="J43" s="1584" t="s">
        <v>3028</v>
      </c>
      <c r="K43" s="1655" t="s">
        <v>3849</v>
      </c>
      <c r="L43" s="1584" t="s">
        <v>3028</v>
      </c>
      <c r="M43" s="1664" t="s">
        <v>3849</v>
      </c>
      <c r="N43" s="1584"/>
      <c r="O43" s="1655" t="s">
        <v>3528</v>
      </c>
      <c r="P43" s="1584" t="s">
        <v>3028</v>
      </c>
      <c r="Q43" s="1655"/>
      <c r="R43" s="1584"/>
      <c r="S43" s="1655"/>
      <c r="T43" s="1584"/>
      <c r="U43" s="1655"/>
      <c r="V43" s="1584"/>
      <c r="W43" s="1655"/>
      <c r="X43" s="1584"/>
      <c r="Y43" s="1655"/>
    </row>
    <row r="44" spans="1:25" s="364" customFormat="1">
      <c r="A44" s="1657" t="s">
        <v>3833</v>
      </c>
      <c r="B44" s="1650" t="s">
        <v>3850</v>
      </c>
      <c r="C44" s="1513" t="s">
        <v>3844</v>
      </c>
      <c r="D44" s="1652"/>
      <c r="E44" s="1653"/>
      <c r="F44" s="1654"/>
      <c r="G44" s="682"/>
      <c r="H44" s="1584" t="s">
        <v>3807</v>
      </c>
      <c r="I44" s="1655"/>
      <c r="J44" s="1584" t="s">
        <v>3807</v>
      </c>
      <c r="K44" s="1655"/>
      <c r="L44" s="1584" t="s">
        <v>3807</v>
      </c>
      <c r="M44" s="1656"/>
      <c r="N44" s="1584"/>
      <c r="O44" s="1655"/>
      <c r="P44" s="1584" t="s">
        <v>3807</v>
      </c>
      <c r="Q44" s="1655"/>
      <c r="R44" s="1584"/>
      <c r="S44" s="1655"/>
      <c r="T44" s="1584"/>
      <c r="U44" s="1655"/>
      <c r="V44" s="1584"/>
      <c r="W44" s="1655"/>
      <c r="X44" s="1584"/>
      <c r="Y44" s="1655"/>
    </row>
    <row r="45" spans="1:25" s="364" customFormat="1">
      <c r="A45" s="1657" t="s">
        <v>3833</v>
      </c>
      <c r="B45" s="1650" t="s">
        <v>3851</v>
      </c>
      <c r="C45" s="1513" t="s">
        <v>3844</v>
      </c>
      <c r="D45" s="1652"/>
      <c r="E45" s="1653"/>
      <c r="F45" s="1654"/>
      <c r="G45" s="682"/>
      <c r="H45" s="1584" t="s">
        <v>3807</v>
      </c>
      <c r="I45" s="1655"/>
      <c r="J45" s="1584" t="s">
        <v>3807</v>
      </c>
      <c r="K45" s="1655"/>
      <c r="L45" s="1584" t="s">
        <v>3807</v>
      </c>
      <c r="M45" s="1656"/>
      <c r="N45" s="1584"/>
      <c r="O45" s="1655"/>
      <c r="P45" s="1584" t="s">
        <v>3807</v>
      </c>
      <c r="Q45" s="1655"/>
      <c r="R45" s="1584"/>
      <c r="S45" s="1655"/>
      <c r="T45" s="1584"/>
      <c r="U45" s="1655"/>
      <c r="V45" s="1584"/>
      <c r="W45" s="1655"/>
      <c r="X45" s="1584"/>
      <c r="Y45" s="1655"/>
    </row>
    <row r="46" spans="1:25" s="364" customFormat="1">
      <c r="A46" s="1657" t="s">
        <v>3833</v>
      </c>
      <c r="B46" s="1650" t="s">
        <v>3852</v>
      </c>
      <c r="C46" s="1513" t="s">
        <v>3844</v>
      </c>
      <c r="D46" s="1652"/>
      <c r="E46" s="1653"/>
      <c r="F46" s="1654"/>
      <c r="G46" s="682"/>
      <c r="H46" s="1584" t="s">
        <v>3807</v>
      </c>
      <c r="I46" s="1655"/>
      <c r="J46" s="1584" t="s">
        <v>3807</v>
      </c>
      <c r="K46" s="1655"/>
      <c r="L46" s="1584" t="s">
        <v>3807</v>
      </c>
      <c r="M46" s="1656"/>
      <c r="N46" s="1584"/>
      <c r="O46" s="1655"/>
      <c r="P46" s="1584" t="s">
        <v>3807</v>
      </c>
      <c r="Q46" s="1655"/>
      <c r="R46" s="1584"/>
      <c r="S46" s="1655"/>
      <c r="T46" s="1584"/>
      <c r="U46" s="1655"/>
      <c r="V46" s="1584"/>
      <c r="W46" s="1655"/>
      <c r="X46" s="1584"/>
      <c r="Y46" s="1655"/>
    </row>
    <row r="47" spans="1:25" s="364" customFormat="1">
      <c r="A47" s="1649"/>
      <c r="B47" s="1665" t="s">
        <v>3853</v>
      </c>
      <c r="C47" s="1566"/>
      <c r="D47" s="1652"/>
      <c r="E47" s="1653"/>
      <c r="F47" s="1654"/>
      <c r="G47" s="682"/>
      <c r="H47" s="1584"/>
      <c r="I47" s="1655"/>
      <c r="J47" s="1584"/>
      <c r="K47" s="1655"/>
      <c r="L47" s="1584"/>
      <c r="M47" s="1656"/>
      <c r="N47" s="1584"/>
      <c r="O47" s="1655"/>
      <c r="P47" s="1584"/>
      <c r="Q47" s="1655"/>
      <c r="R47" s="1584"/>
      <c r="S47" s="1655"/>
      <c r="T47" s="1584"/>
      <c r="U47" s="1655"/>
      <c r="V47" s="1584"/>
      <c r="W47" s="1655"/>
      <c r="X47" s="1584"/>
      <c r="Y47" s="1655"/>
    </row>
    <row r="48" spans="1:25" s="364" customFormat="1">
      <c r="A48" s="1657" t="s">
        <v>3833</v>
      </c>
      <c r="B48" s="1666" t="s">
        <v>3854</v>
      </c>
      <c r="C48" s="1566" t="s">
        <v>3855</v>
      </c>
      <c r="D48" s="1652"/>
      <c r="E48" s="1653"/>
      <c r="F48" s="1654"/>
      <c r="G48" s="682"/>
      <c r="H48" s="1524" t="s">
        <v>3028</v>
      </c>
      <c r="I48" s="1664" t="s">
        <v>3856</v>
      </c>
      <c r="J48" s="1584" t="s">
        <v>3807</v>
      </c>
      <c r="K48" s="1667" t="s">
        <v>3857</v>
      </c>
      <c r="L48" s="1584" t="s">
        <v>3028</v>
      </c>
      <c r="M48" s="1668" t="s">
        <v>3858</v>
      </c>
      <c r="N48" s="1584"/>
      <c r="O48" s="1655"/>
      <c r="P48" s="1584" t="s">
        <v>3806</v>
      </c>
      <c r="Q48" s="1655"/>
      <c r="R48" s="1584"/>
      <c r="S48" s="1655"/>
      <c r="T48" s="1584"/>
      <c r="U48" s="1655"/>
      <c r="V48" s="1584"/>
      <c r="W48" s="1655"/>
      <c r="X48" s="1584"/>
      <c r="Y48" s="1655"/>
    </row>
    <row r="49" spans="1:25" s="364" customFormat="1">
      <c r="A49" s="1649"/>
      <c r="B49" s="1669" t="s">
        <v>3859</v>
      </c>
      <c r="C49" s="1566" t="s">
        <v>1761</v>
      </c>
      <c r="D49" s="1652"/>
      <c r="E49" s="1653"/>
      <c r="F49" s="1654"/>
      <c r="G49" s="682"/>
      <c r="H49" s="1584" t="s">
        <v>3807</v>
      </c>
      <c r="I49" s="1662" t="s">
        <v>3842</v>
      </c>
      <c r="J49" s="1584" t="s">
        <v>3807</v>
      </c>
      <c r="K49" s="1655"/>
      <c r="L49" s="1584"/>
      <c r="M49" s="1656"/>
      <c r="N49" s="1584"/>
      <c r="O49" s="1655"/>
      <c r="P49" s="1584" t="s">
        <v>3807</v>
      </c>
      <c r="Q49" s="1655"/>
      <c r="R49" s="1584"/>
      <c r="S49" s="1655"/>
      <c r="T49" s="1584"/>
      <c r="U49" s="1655"/>
      <c r="V49" s="1584"/>
      <c r="W49" s="1655"/>
      <c r="X49" s="1584"/>
      <c r="Y49" s="1655"/>
    </row>
    <row r="50" spans="1:25" s="364" customFormat="1">
      <c r="A50" s="1649"/>
      <c r="B50" s="1670" t="s">
        <v>3860</v>
      </c>
      <c r="C50" s="1651"/>
      <c r="D50" s="1652"/>
      <c r="E50" s="1653"/>
      <c r="F50" s="1654"/>
      <c r="G50" s="682"/>
      <c r="H50" s="1584"/>
      <c r="I50" s="1655"/>
      <c r="J50" s="1584"/>
      <c r="K50" s="1655"/>
      <c r="L50" s="1584"/>
      <c r="M50" s="1656"/>
      <c r="N50" s="1584"/>
      <c r="O50" s="1655"/>
      <c r="P50" s="1584"/>
      <c r="Q50" s="1655"/>
      <c r="R50" s="1584"/>
      <c r="S50" s="1655"/>
      <c r="T50" s="1584"/>
      <c r="U50" s="1655"/>
      <c r="V50" s="1584"/>
      <c r="W50" s="1655"/>
      <c r="X50" s="1584"/>
      <c r="Y50" s="1655"/>
    </row>
    <row r="51" spans="1:25" s="364" customFormat="1" ht="30">
      <c r="A51" s="1657" t="s">
        <v>3833</v>
      </c>
      <c r="B51" s="1671" t="s">
        <v>3861</v>
      </c>
      <c r="C51" s="1651" t="s">
        <v>3862</v>
      </c>
      <c r="D51" s="1652"/>
      <c r="E51" s="1653"/>
      <c r="F51" s="1654"/>
      <c r="G51" s="682"/>
      <c r="H51" s="1584" t="s">
        <v>3028</v>
      </c>
      <c r="I51" s="1655"/>
      <c r="J51" s="1584" t="s">
        <v>3028</v>
      </c>
      <c r="K51" s="1655"/>
      <c r="L51" s="1584" t="s">
        <v>3028</v>
      </c>
      <c r="M51" s="1656"/>
      <c r="N51" s="1584"/>
      <c r="O51" s="1655"/>
      <c r="P51" s="1584" t="s">
        <v>3028</v>
      </c>
      <c r="Q51" s="1655"/>
      <c r="R51" s="1584"/>
      <c r="S51" s="1655"/>
      <c r="T51" s="1584"/>
      <c r="U51" s="1655"/>
      <c r="V51" s="1584"/>
      <c r="W51" s="1655"/>
      <c r="X51" s="1584"/>
      <c r="Y51" s="1655"/>
    </row>
    <row r="52" spans="1:25" s="364" customFormat="1">
      <c r="A52" s="1649"/>
      <c r="B52" s="1670" t="s">
        <v>3863</v>
      </c>
      <c r="C52" s="1651"/>
      <c r="D52" s="1652"/>
      <c r="E52" s="1653"/>
      <c r="F52" s="1654"/>
      <c r="G52" s="682"/>
      <c r="H52" s="1584"/>
      <c r="I52" s="1655"/>
      <c r="J52" s="1584"/>
      <c r="K52" s="1655"/>
      <c r="L52" s="1584"/>
      <c r="M52" s="1656"/>
      <c r="N52" s="1584"/>
      <c r="O52" s="1655"/>
      <c r="P52" s="1584"/>
      <c r="Q52" s="1655"/>
      <c r="R52" s="1584"/>
      <c r="S52" s="1655"/>
      <c r="T52" s="1584"/>
      <c r="U52" s="1655"/>
      <c r="V52" s="1584"/>
      <c r="W52" s="1655"/>
      <c r="X52" s="1584"/>
      <c r="Y52" s="1655"/>
    </row>
    <row r="53" spans="1:25" s="364" customFormat="1" ht="30">
      <c r="A53" s="1657" t="s">
        <v>3833</v>
      </c>
      <c r="B53" s="1671" t="s">
        <v>3861</v>
      </c>
      <c r="C53" s="1651" t="s">
        <v>3862</v>
      </c>
      <c r="D53" s="1652"/>
      <c r="E53" s="1653"/>
      <c r="F53" s="1654"/>
      <c r="G53" s="682"/>
      <c r="H53" s="1584" t="s">
        <v>3028</v>
      </c>
      <c r="I53" s="1655"/>
      <c r="J53" s="1584" t="s">
        <v>3028</v>
      </c>
      <c r="K53" s="1655"/>
      <c r="L53" s="1584" t="s">
        <v>3028</v>
      </c>
      <c r="M53" s="1656"/>
      <c r="N53" s="1584"/>
      <c r="O53" s="1655"/>
      <c r="P53" s="1584" t="s">
        <v>3028</v>
      </c>
      <c r="Q53" s="1655"/>
      <c r="R53" s="1584"/>
      <c r="S53" s="1655"/>
      <c r="T53" s="1584"/>
      <c r="U53" s="1655"/>
      <c r="V53" s="1584"/>
      <c r="W53" s="1655"/>
      <c r="X53" s="1584"/>
      <c r="Y53" s="1655"/>
    </row>
    <row r="54" spans="1:25">
      <c r="A54" s="1585"/>
      <c r="B54" s="1672" t="s">
        <v>3864</v>
      </c>
      <c r="C54" s="1566" t="s">
        <v>1763</v>
      </c>
      <c r="D54" s="1489"/>
      <c r="E54" s="1567"/>
      <c r="F54" s="1593"/>
      <c r="G54" s="660"/>
      <c r="H54" s="1584"/>
      <c r="I54" s="1633"/>
      <c r="J54" s="1584"/>
      <c r="K54" s="1633"/>
      <c r="L54" s="1584"/>
      <c r="M54" s="1634"/>
      <c r="N54" s="1584"/>
      <c r="O54" s="1633"/>
      <c r="P54" s="1584"/>
      <c r="Q54" s="1633"/>
      <c r="R54" s="1584"/>
      <c r="S54" s="1633"/>
      <c r="T54" s="1584"/>
      <c r="U54" s="1633"/>
      <c r="V54" s="1584"/>
      <c r="W54" s="1633"/>
      <c r="X54" s="1584"/>
      <c r="Y54" s="1633"/>
    </row>
    <row r="55" spans="1:25">
      <c r="A55" s="1649"/>
      <c r="B55" s="1673" t="s">
        <v>3865</v>
      </c>
      <c r="C55" s="1566"/>
      <c r="D55" s="1489"/>
      <c r="E55" s="1567"/>
      <c r="F55" s="1593"/>
      <c r="G55" s="660"/>
      <c r="H55" s="1584" t="s">
        <v>3807</v>
      </c>
      <c r="I55" s="1664" t="s">
        <v>3842</v>
      </c>
      <c r="J55" s="1584"/>
      <c r="K55" s="1633"/>
      <c r="L55" s="1584" t="s">
        <v>3807</v>
      </c>
      <c r="M55" s="1634"/>
      <c r="N55" s="1584"/>
      <c r="O55" s="1633"/>
      <c r="P55" s="1584" t="s">
        <v>3807</v>
      </c>
      <c r="Q55" s="1633"/>
      <c r="R55" s="1584"/>
      <c r="S55" s="1633"/>
      <c r="T55" s="1584"/>
      <c r="U55" s="1633"/>
      <c r="V55" s="1584"/>
      <c r="W55" s="1633"/>
      <c r="X55" s="1584"/>
      <c r="Y55" s="1633"/>
    </row>
    <row r="56" spans="1:25" s="364" customFormat="1" ht="45">
      <c r="A56" s="1649"/>
      <c r="B56" s="1674" t="s">
        <v>3866</v>
      </c>
      <c r="C56" s="1651" t="s">
        <v>3867</v>
      </c>
      <c r="D56" s="1652"/>
      <c r="E56" s="1653"/>
      <c r="F56" s="1654"/>
      <c r="G56" s="682"/>
      <c r="H56" s="1584" t="s">
        <v>3028</v>
      </c>
      <c r="I56" s="1655"/>
      <c r="J56" s="1584" t="s">
        <v>3028</v>
      </c>
      <c r="K56" s="1655"/>
      <c r="L56" s="1584" t="s">
        <v>3028</v>
      </c>
      <c r="M56" s="1656"/>
      <c r="N56" s="1584"/>
      <c r="O56" s="1655"/>
      <c r="P56" s="1584" t="s">
        <v>3028</v>
      </c>
      <c r="Q56" s="1655"/>
      <c r="R56" s="1584"/>
      <c r="S56" s="1655"/>
      <c r="T56" s="1584"/>
      <c r="U56" s="1655"/>
      <c r="V56" s="1584"/>
      <c r="W56" s="1655"/>
      <c r="X56" s="1584"/>
      <c r="Y56" s="1655"/>
    </row>
    <row r="57" spans="1:25" s="364" customFormat="1" ht="30">
      <c r="A57" s="1649"/>
      <c r="B57" s="1674" t="s">
        <v>3868</v>
      </c>
      <c r="C57" s="1651" t="s">
        <v>3869</v>
      </c>
      <c r="D57" s="1652"/>
      <c r="E57" s="1653"/>
      <c r="F57" s="1654"/>
      <c r="G57" s="682"/>
      <c r="H57" s="1584" t="s">
        <v>3028</v>
      </c>
      <c r="I57" s="1655"/>
      <c r="J57" s="1584" t="s">
        <v>3806</v>
      </c>
      <c r="K57" s="1655"/>
      <c r="L57" s="1584" t="s">
        <v>3028</v>
      </c>
      <c r="M57" s="1656"/>
      <c r="N57" s="1584"/>
      <c r="O57" s="1655"/>
      <c r="P57" s="1584" t="s">
        <v>3806</v>
      </c>
      <c r="Q57" s="1655"/>
      <c r="R57" s="1584"/>
      <c r="S57" s="1655"/>
      <c r="T57" s="1584"/>
      <c r="U57" s="1655"/>
      <c r="V57" s="1584"/>
      <c r="W57" s="1655"/>
      <c r="X57" s="1584"/>
      <c r="Y57" s="1655"/>
    </row>
    <row r="58" spans="1:25" s="364" customFormat="1">
      <c r="A58" s="1675"/>
      <c r="B58" s="1676" t="s">
        <v>2584</v>
      </c>
      <c r="C58" s="1651"/>
      <c r="D58" s="1652"/>
      <c r="E58" s="1653"/>
      <c r="F58" s="1654"/>
      <c r="G58" s="682"/>
      <c r="H58" s="1584" t="s">
        <v>3807</v>
      </c>
      <c r="I58" s="1655"/>
      <c r="J58" s="1584" t="s">
        <v>3807</v>
      </c>
      <c r="K58" s="1655"/>
      <c r="L58" s="1584" t="s">
        <v>3028</v>
      </c>
      <c r="M58" s="1677">
        <v>-34466.080000000002</v>
      </c>
      <c r="N58" s="1584"/>
      <c r="O58" s="1655"/>
      <c r="P58" s="1584" t="s">
        <v>3028</v>
      </c>
      <c r="Q58" s="1655" t="s">
        <v>3528</v>
      </c>
      <c r="R58" s="1584"/>
      <c r="S58" s="1655"/>
      <c r="T58" s="1584"/>
      <c r="U58" s="1655"/>
      <c r="V58" s="1584"/>
      <c r="W58" s="1655"/>
      <c r="X58" s="1584"/>
      <c r="Y58" s="1655"/>
    </row>
    <row r="59" spans="1:25" s="364" customFormat="1" ht="45">
      <c r="A59" s="1649"/>
      <c r="B59" s="1678" t="s">
        <v>3870</v>
      </c>
      <c r="C59" s="1651" t="s">
        <v>3871</v>
      </c>
      <c r="D59" s="1652"/>
      <c r="E59" s="1653"/>
      <c r="F59" s="1654"/>
      <c r="G59" s="682"/>
      <c r="H59" s="1584"/>
      <c r="I59" s="1655"/>
      <c r="J59" s="1584"/>
      <c r="K59" s="1655"/>
      <c r="L59" s="1584"/>
      <c r="M59" s="1656"/>
      <c r="N59" s="1584"/>
      <c r="O59" s="1655"/>
      <c r="P59" s="1584"/>
      <c r="Q59" s="1655"/>
      <c r="R59" s="1584"/>
      <c r="S59" s="1655"/>
      <c r="T59" s="1584"/>
      <c r="U59" s="1655"/>
      <c r="V59" s="1584"/>
      <c r="W59" s="1655"/>
      <c r="X59" s="1584"/>
      <c r="Y59" s="1655"/>
    </row>
    <row r="60" spans="1:25">
      <c r="A60" s="1585"/>
      <c r="B60" s="1679" t="s">
        <v>3872</v>
      </c>
      <c r="C60" s="1566" t="s">
        <v>3873</v>
      </c>
      <c r="D60" s="1489"/>
      <c r="E60" s="1567"/>
      <c r="F60" s="1593"/>
      <c r="G60" s="660"/>
      <c r="H60" s="1584"/>
      <c r="I60" s="1633"/>
      <c r="J60" s="1584"/>
      <c r="K60" s="1633"/>
      <c r="L60" s="1584"/>
      <c r="M60" s="1634"/>
      <c r="N60" s="1584"/>
      <c r="O60" s="1633"/>
      <c r="P60" s="1584"/>
      <c r="Q60" s="1633"/>
      <c r="R60" s="1584"/>
      <c r="S60" s="1633"/>
      <c r="T60" s="1584"/>
      <c r="U60" s="1633"/>
      <c r="V60" s="1584"/>
      <c r="W60" s="1633"/>
      <c r="X60" s="1584"/>
      <c r="Y60" s="1633"/>
    </row>
    <row r="61" spans="1:25" ht="30">
      <c r="A61" s="1585"/>
      <c r="B61" s="1674" t="s">
        <v>3874</v>
      </c>
      <c r="C61" s="1513" t="s">
        <v>3875</v>
      </c>
      <c r="D61" s="1489"/>
      <c r="E61" s="1567"/>
      <c r="F61" s="1593"/>
      <c r="G61" s="660"/>
      <c r="H61" s="1584" t="s">
        <v>3028</v>
      </c>
      <c r="I61" s="1633"/>
      <c r="J61" s="1584" t="s">
        <v>3028</v>
      </c>
      <c r="K61" s="1633"/>
      <c r="L61" s="1584" t="s">
        <v>3028</v>
      </c>
      <c r="M61" s="1634"/>
      <c r="N61" s="1584"/>
      <c r="O61" s="1633"/>
      <c r="P61" s="1584" t="s">
        <v>3028</v>
      </c>
      <c r="Q61" s="1633"/>
      <c r="R61" s="1584"/>
      <c r="S61" s="1633"/>
      <c r="T61" s="1584"/>
      <c r="U61" s="1633"/>
      <c r="V61" s="1584"/>
      <c r="W61" s="1633"/>
      <c r="X61" s="1584"/>
      <c r="Y61" s="1633"/>
    </row>
    <row r="62" spans="1:25" s="364" customFormat="1" ht="45">
      <c r="A62" s="1649"/>
      <c r="B62" s="1674" t="s">
        <v>3876</v>
      </c>
      <c r="C62" s="1651" t="s">
        <v>3877</v>
      </c>
      <c r="D62" s="1652"/>
      <c r="E62" s="1653"/>
      <c r="F62" s="1654"/>
      <c r="G62" s="682"/>
      <c r="H62" s="1584" t="s">
        <v>3028</v>
      </c>
      <c r="I62" s="1655"/>
      <c r="J62" s="1584" t="s">
        <v>3028</v>
      </c>
      <c r="K62" s="1655"/>
      <c r="L62" s="1584" t="s">
        <v>3028</v>
      </c>
      <c r="M62" s="1656"/>
      <c r="N62" s="1584"/>
      <c r="O62" s="1655"/>
      <c r="P62" s="1584" t="s">
        <v>3028</v>
      </c>
      <c r="Q62" s="1655"/>
      <c r="R62" s="1584"/>
      <c r="S62" s="1655"/>
      <c r="T62" s="1584"/>
      <c r="U62" s="1655"/>
      <c r="V62" s="1584"/>
      <c r="W62" s="1655"/>
      <c r="X62" s="1584"/>
      <c r="Y62" s="1655"/>
    </row>
    <row r="63" spans="1:25" ht="30">
      <c r="A63" s="1585"/>
      <c r="B63" s="1674" t="s">
        <v>3878</v>
      </c>
      <c r="C63" s="1513" t="s">
        <v>3879</v>
      </c>
      <c r="D63" s="1489"/>
      <c r="E63" s="1567"/>
      <c r="F63" s="1593"/>
      <c r="G63" s="660"/>
      <c r="H63" s="1584" t="s">
        <v>3028</v>
      </c>
      <c r="I63" s="1633"/>
      <c r="J63" s="1584" t="s">
        <v>3806</v>
      </c>
      <c r="K63" s="1633"/>
      <c r="L63" s="1584" t="s">
        <v>3028</v>
      </c>
      <c r="M63" s="1634"/>
      <c r="N63" s="1584"/>
      <c r="O63" s="1633"/>
      <c r="P63" s="1584" t="s">
        <v>3028</v>
      </c>
      <c r="Q63" s="1633"/>
      <c r="R63" s="1584"/>
      <c r="S63" s="1633"/>
      <c r="T63" s="1584"/>
      <c r="U63" s="1633"/>
      <c r="V63" s="1584"/>
      <c r="W63" s="1633"/>
      <c r="X63" s="1584"/>
      <c r="Y63" s="1633"/>
    </row>
    <row r="64" spans="1:25" ht="30">
      <c r="A64" s="1585"/>
      <c r="B64" s="1674" t="s">
        <v>3880</v>
      </c>
      <c r="C64" s="1513" t="s">
        <v>3881</v>
      </c>
      <c r="D64" s="1489"/>
      <c r="E64" s="1567"/>
      <c r="F64" s="1593"/>
      <c r="G64" s="660"/>
      <c r="H64" s="1584" t="s">
        <v>3028</v>
      </c>
      <c r="I64" s="1633"/>
      <c r="J64" s="1584" t="s">
        <v>3028</v>
      </c>
      <c r="K64" s="1633"/>
      <c r="L64" s="1584" t="s">
        <v>3028</v>
      </c>
      <c r="M64" s="1634"/>
      <c r="N64" s="1584"/>
      <c r="O64" s="1633"/>
      <c r="P64" s="1584" t="s">
        <v>3028</v>
      </c>
      <c r="Q64" s="1633"/>
      <c r="R64" s="1584"/>
      <c r="S64" s="1633"/>
      <c r="T64" s="1584"/>
      <c r="U64" s="1633"/>
      <c r="V64" s="1584"/>
      <c r="W64" s="1633"/>
      <c r="X64" s="1584"/>
      <c r="Y64" s="1633"/>
    </row>
    <row r="65" spans="1:25" ht="45">
      <c r="A65" s="1585"/>
      <c r="B65" s="1674" t="s">
        <v>3882</v>
      </c>
      <c r="C65" s="1513" t="s">
        <v>3883</v>
      </c>
      <c r="D65" s="1489"/>
      <c r="E65" s="1567"/>
      <c r="F65" s="1593"/>
      <c r="G65" s="660"/>
      <c r="H65" s="1584" t="s">
        <v>3028</v>
      </c>
      <c r="I65" s="1633"/>
      <c r="J65" s="1584" t="s">
        <v>3028</v>
      </c>
      <c r="K65" s="1633"/>
      <c r="L65" s="1584" t="s">
        <v>3028</v>
      </c>
      <c r="M65" s="1634"/>
      <c r="N65" s="1584"/>
      <c r="O65" s="1633"/>
      <c r="P65" s="1584" t="s">
        <v>3028</v>
      </c>
      <c r="Q65" s="1633" t="s">
        <v>3528</v>
      </c>
      <c r="R65" s="1584"/>
      <c r="S65" s="1633"/>
      <c r="T65" s="1584"/>
      <c r="U65" s="1633"/>
      <c r="V65" s="1584"/>
      <c r="W65" s="1633"/>
      <c r="X65" s="1584"/>
      <c r="Y65" s="1633"/>
    </row>
    <row r="66" spans="1:25" ht="45">
      <c r="A66" s="1585"/>
      <c r="B66" s="1680" t="s">
        <v>3884</v>
      </c>
      <c r="C66" s="1513" t="s">
        <v>3885</v>
      </c>
      <c r="D66" s="1489"/>
      <c r="E66" s="1567"/>
      <c r="F66" s="1593"/>
      <c r="G66" s="660"/>
      <c r="H66" s="1584" t="s">
        <v>3028</v>
      </c>
      <c r="I66" s="1633"/>
      <c r="J66" s="1584" t="s">
        <v>3806</v>
      </c>
      <c r="K66" s="1633"/>
      <c r="L66" s="1584" t="s">
        <v>3028</v>
      </c>
      <c r="M66" s="1634"/>
      <c r="N66" s="1584"/>
      <c r="O66" s="1633"/>
      <c r="P66" s="1584" t="s">
        <v>3806</v>
      </c>
      <c r="Q66" s="1633"/>
      <c r="R66" s="1584"/>
      <c r="S66" s="1633"/>
      <c r="T66" s="1584"/>
      <c r="U66" s="1633"/>
      <c r="V66" s="1584"/>
      <c r="W66" s="1633"/>
      <c r="X66" s="1584"/>
      <c r="Y66" s="1633"/>
    </row>
    <row r="67" spans="1:25" ht="30">
      <c r="A67" s="1585"/>
      <c r="B67" s="1674" t="s">
        <v>3886</v>
      </c>
      <c r="C67" s="1513" t="s">
        <v>3887</v>
      </c>
      <c r="D67" s="1489"/>
      <c r="E67" s="1567"/>
      <c r="F67" s="1593"/>
      <c r="G67" s="660"/>
      <c r="H67" s="1584" t="s">
        <v>3028</v>
      </c>
      <c r="I67" s="1633"/>
      <c r="J67" s="1584" t="s">
        <v>3806</v>
      </c>
      <c r="K67" s="1633"/>
      <c r="L67" s="1584" t="s">
        <v>3028</v>
      </c>
      <c r="M67" s="1634"/>
      <c r="N67" s="1584"/>
      <c r="O67" s="1633"/>
      <c r="P67" s="1584" t="s">
        <v>3806</v>
      </c>
      <c r="Q67" s="1633"/>
      <c r="R67" s="1584"/>
      <c r="S67" s="1633"/>
      <c r="T67" s="1584"/>
      <c r="U67" s="1633"/>
      <c r="V67" s="1584"/>
      <c r="W67" s="1633"/>
      <c r="X67" s="1584"/>
      <c r="Y67" s="1633"/>
    </row>
    <row r="68" spans="1:25">
      <c r="A68" s="1585"/>
      <c r="B68" s="1665" t="s">
        <v>3888</v>
      </c>
      <c r="C68" s="1513" t="s">
        <v>1801</v>
      </c>
      <c r="D68" s="1489"/>
      <c r="E68" s="1567"/>
      <c r="F68" s="1593"/>
      <c r="G68" s="660"/>
      <c r="H68" s="1584"/>
      <c r="I68" s="1633"/>
      <c r="J68" s="1584"/>
      <c r="K68" s="1633"/>
      <c r="L68" s="1584"/>
      <c r="M68" s="1634"/>
      <c r="N68" s="1584"/>
      <c r="O68" s="1633"/>
      <c r="P68" s="1584"/>
      <c r="Q68" s="1633"/>
      <c r="R68" s="1584"/>
      <c r="S68" s="1633"/>
      <c r="T68" s="1584"/>
      <c r="U68" s="1633"/>
      <c r="V68" s="1584"/>
      <c r="W68" s="1633"/>
      <c r="X68" s="1584"/>
      <c r="Y68" s="1633"/>
    </row>
    <row r="69" spans="1:25" ht="45">
      <c r="A69" s="1585"/>
      <c r="B69" s="1674" t="s">
        <v>3889</v>
      </c>
      <c r="C69" s="1513" t="s">
        <v>3890</v>
      </c>
      <c r="D69" s="1489"/>
      <c r="E69" s="1567"/>
      <c r="F69" s="1593"/>
      <c r="G69" s="660"/>
      <c r="H69" s="1584" t="s">
        <v>3028</v>
      </c>
      <c r="I69" s="1633"/>
      <c r="J69" s="1584" t="s">
        <v>3028</v>
      </c>
      <c r="K69" s="1633"/>
      <c r="L69" s="1584" t="s">
        <v>3028</v>
      </c>
      <c r="M69" s="1634"/>
      <c r="N69" s="1584"/>
      <c r="O69" s="1633"/>
      <c r="P69" s="1584" t="s">
        <v>3028</v>
      </c>
      <c r="Q69" s="1633" t="s">
        <v>3528</v>
      </c>
      <c r="R69" s="1584"/>
      <c r="S69" s="1633"/>
      <c r="T69" s="1584"/>
      <c r="U69" s="1633"/>
      <c r="V69" s="1584"/>
      <c r="W69" s="1633"/>
      <c r="X69" s="1584"/>
      <c r="Y69" s="1633"/>
    </row>
    <row r="70" spans="1:25" ht="45">
      <c r="A70" s="1585"/>
      <c r="B70" s="1674" t="s">
        <v>3891</v>
      </c>
      <c r="C70" s="1513" t="s">
        <v>3892</v>
      </c>
      <c r="D70" s="1489"/>
      <c r="E70" s="1567"/>
      <c r="F70" s="1593"/>
      <c r="G70" s="660"/>
      <c r="H70" s="1584" t="s">
        <v>3028</v>
      </c>
      <c r="I70" s="1633"/>
      <c r="J70" s="1584" t="s">
        <v>3028</v>
      </c>
      <c r="K70" s="1633"/>
      <c r="L70" s="1584" t="s">
        <v>3028</v>
      </c>
      <c r="M70" s="1634"/>
      <c r="N70" s="1584"/>
      <c r="O70" s="1633"/>
      <c r="P70" s="1584" t="s">
        <v>3806</v>
      </c>
      <c r="Q70" s="1633"/>
      <c r="R70" s="1584"/>
      <c r="S70" s="1633"/>
      <c r="T70" s="1584"/>
      <c r="U70" s="1633"/>
      <c r="V70" s="1584"/>
      <c r="W70" s="1633"/>
      <c r="X70" s="1584"/>
      <c r="Y70" s="1633"/>
    </row>
    <row r="71" spans="1:25" ht="45">
      <c r="A71" s="1585"/>
      <c r="B71" s="1674" t="s">
        <v>3893</v>
      </c>
      <c r="C71" s="1513" t="s">
        <v>3894</v>
      </c>
      <c r="D71" s="1489"/>
      <c r="E71" s="1567"/>
      <c r="F71" s="1593"/>
      <c r="G71" s="660"/>
      <c r="H71" s="1584" t="s">
        <v>3028</v>
      </c>
      <c r="I71" s="1633"/>
      <c r="J71" s="1584" t="s">
        <v>3028</v>
      </c>
      <c r="K71" s="1633"/>
      <c r="L71" s="1584" t="s">
        <v>3028</v>
      </c>
      <c r="M71" s="1634"/>
      <c r="N71" s="1584"/>
      <c r="O71" s="1633"/>
      <c r="P71" s="1584" t="s">
        <v>3806</v>
      </c>
      <c r="Q71" s="1633"/>
      <c r="R71" s="1584"/>
      <c r="S71" s="1633"/>
      <c r="T71" s="1584"/>
      <c r="U71" s="1633"/>
      <c r="V71" s="1584"/>
      <c r="W71" s="1633"/>
      <c r="X71" s="1584"/>
      <c r="Y71" s="1633"/>
    </row>
    <row r="72" spans="1:25" ht="30">
      <c r="A72" s="1585"/>
      <c r="B72" s="1674" t="s">
        <v>3895</v>
      </c>
      <c r="C72" s="1513" t="s">
        <v>3896</v>
      </c>
      <c r="D72" s="1489"/>
      <c r="E72" s="1567"/>
      <c r="F72" s="1593"/>
      <c r="G72" s="660"/>
      <c r="H72" s="1584" t="s">
        <v>3028</v>
      </c>
      <c r="I72" s="1633"/>
      <c r="J72" s="1584" t="s">
        <v>3806</v>
      </c>
      <c r="K72" s="1633"/>
      <c r="L72" s="1584" t="s">
        <v>3028</v>
      </c>
      <c r="M72" s="1634"/>
      <c r="N72" s="1584"/>
      <c r="O72" s="1633"/>
      <c r="P72" s="1584" t="s">
        <v>3806</v>
      </c>
      <c r="Q72" s="1633"/>
      <c r="R72" s="1584"/>
      <c r="S72" s="1633"/>
      <c r="T72" s="1584"/>
      <c r="U72" s="1633"/>
      <c r="V72" s="1584"/>
      <c r="W72" s="1633"/>
      <c r="X72" s="1584"/>
      <c r="Y72" s="1633"/>
    </row>
    <row r="73" spans="1:25" ht="30">
      <c r="A73" s="1585"/>
      <c r="B73" s="1674" t="s">
        <v>3897</v>
      </c>
      <c r="C73" s="1513" t="s">
        <v>3898</v>
      </c>
      <c r="D73" s="1489"/>
      <c r="E73" s="1567"/>
      <c r="F73" s="1593"/>
      <c r="G73" s="660"/>
      <c r="H73" s="1584" t="s">
        <v>3028</v>
      </c>
      <c r="I73" s="1633"/>
      <c r="J73" s="1584" t="s">
        <v>3806</v>
      </c>
      <c r="K73" s="1633"/>
      <c r="L73" s="1584" t="s">
        <v>3028</v>
      </c>
      <c r="M73" s="1634"/>
      <c r="N73" s="1584"/>
      <c r="O73" s="1633"/>
      <c r="P73" s="1584" t="s">
        <v>3806</v>
      </c>
      <c r="Q73" s="1633"/>
      <c r="R73" s="1584"/>
      <c r="S73" s="1633"/>
      <c r="T73" s="1584"/>
      <c r="U73" s="1633"/>
      <c r="V73" s="1584"/>
      <c r="W73" s="1633"/>
      <c r="X73" s="1584"/>
      <c r="Y73" s="1633"/>
    </row>
    <row r="74" spans="1:25" ht="45">
      <c r="A74" s="1585"/>
      <c r="B74" s="1680" t="s">
        <v>3899</v>
      </c>
      <c r="C74" s="1513" t="s">
        <v>3900</v>
      </c>
      <c r="D74" s="1489"/>
      <c r="E74" s="1567"/>
      <c r="F74" s="1593"/>
      <c r="G74" s="660"/>
      <c r="H74" s="1584" t="s">
        <v>3028</v>
      </c>
      <c r="I74" s="1633"/>
      <c r="J74" s="1584" t="s">
        <v>3028</v>
      </c>
      <c r="K74" s="1633"/>
      <c r="L74" s="1584" t="s">
        <v>3028</v>
      </c>
      <c r="M74" s="1634"/>
      <c r="N74" s="1584"/>
      <c r="O74" s="1633"/>
      <c r="P74" s="1584" t="s">
        <v>3806</v>
      </c>
      <c r="Q74" s="1633"/>
      <c r="R74" s="1584"/>
      <c r="S74" s="1633"/>
      <c r="T74" s="1584"/>
      <c r="U74" s="1633"/>
      <c r="V74" s="1584"/>
      <c r="W74" s="1633"/>
      <c r="X74" s="1584"/>
      <c r="Y74" s="1633"/>
    </row>
    <row r="75" spans="1:25" ht="45">
      <c r="A75" s="1585"/>
      <c r="B75" s="1680" t="s">
        <v>3901</v>
      </c>
      <c r="C75" s="1513" t="s">
        <v>3900</v>
      </c>
      <c r="D75" s="1489"/>
      <c r="E75" s="1567"/>
      <c r="F75" s="1593"/>
      <c r="G75" s="660"/>
      <c r="H75" s="1584" t="s">
        <v>3807</v>
      </c>
      <c r="I75" s="1642" t="s">
        <v>3902</v>
      </c>
      <c r="J75" s="1584" t="s">
        <v>3806</v>
      </c>
      <c r="K75" s="1633"/>
      <c r="L75" s="1584" t="s">
        <v>3807</v>
      </c>
      <c r="M75" s="1634"/>
      <c r="N75" s="1584"/>
      <c r="O75" s="1633"/>
      <c r="P75" s="1584" t="s">
        <v>3806</v>
      </c>
      <c r="Q75" s="1633"/>
      <c r="R75" s="1584"/>
      <c r="S75" s="1633"/>
      <c r="T75" s="1584"/>
      <c r="U75" s="1633"/>
      <c r="V75" s="1584"/>
      <c r="W75" s="1633"/>
      <c r="X75" s="1584"/>
      <c r="Y75" s="1633"/>
    </row>
    <row r="76" spans="1:25" ht="30">
      <c r="A76" s="1681" t="s">
        <v>3833</v>
      </c>
      <c r="B76" s="1680" t="s">
        <v>3903</v>
      </c>
      <c r="C76" s="1513" t="s">
        <v>3904</v>
      </c>
      <c r="D76" s="1489"/>
      <c r="E76" s="1567"/>
      <c r="F76" s="1593"/>
      <c r="G76" s="660"/>
      <c r="H76" s="1584" t="s">
        <v>3028</v>
      </c>
      <c r="I76" s="1682" t="s">
        <v>3905</v>
      </c>
      <c r="J76" s="1584" t="s">
        <v>3806</v>
      </c>
      <c r="K76" s="1633"/>
      <c r="L76" s="1584" t="s">
        <v>3028</v>
      </c>
      <c r="M76" s="1634"/>
      <c r="N76" s="1584"/>
      <c r="O76" s="1633"/>
      <c r="P76" s="1584" t="s">
        <v>3806</v>
      </c>
      <c r="Q76" s="1633"/>
      <c r="R76" s="1584"/>
      <c r="S76" s="1633"/>
      <c r="T76" s="1584"/>
      <c r="U76" s="1633"/>
      <c r="V76" s="1584"/>
      <c r="W76" s="1633"/>
      <c r="X76" s="1584"/>
      <c r="Y76" s="1633"/>
    </row>
    <row r="77" spans="1:25" ht="45">
      <c r="A77" s="1683"/>
      <c r="B77" s="1684" t="s">
        <v>3906</v>
      </c>
      <c r="C77" s="1513" t="s">
        <v>3907</v>
      </c>
      <c r="D77" s="1489"/>
      <c r="E77" s="1567"/>
      <c r="F77" s="1593"/>
      <c r="G77" s="660"/>
      <c r="H77" s="1584" t="s">
        <v>3807</v>
      </c>
      <c r="I77" s="1642" t="s">
        <v>3902</v>
      </c>
      <c r="J77" s="1584" t="s">
        <v>3028</v>
      </c>
      <c r="K77" s="1633"/>
      <c r="L77" s="1584" t="s">
        <v>3807</v>
      </c>
      <c r="M77" s="1634"/>
      <c r="N77" s="1584"/>
      <c r="O77" s="1633"/>
      <c r="P77" s="1584" t="s">
        <v>3806</v>
      </c>
      <c r="Q77" s="1633"/>
      <c r="R77" s="1584"/>
      <c r="S77" s="1633"/>
      <c r="T77" s="1584"/>
      <c r="U77" s="1633"/>
      <c r="V77" s="1584"/>
      <c r="W77" s="1633"/>
      <c r="X77" s="1584"/>
      <c r="Y77" s="1633"/>
    </row>
    <row r="78" spans="1:25">
      <c r="A78" s="1585"/>
      <c r="B78" s="1679" t="s">
        <v>3908</v>
      </c>
      <c r="C78" s="1513"/>
      <c r="D78" s="1489"/>
      <c r="E78" s="1567"/>
      <c r="F78" s="1593"/>
      <c r="G78" s="660"/>
      <c r="H78" s="1584"/>
      <c r="I78" s="1633"/>
      <c r="J78" s="1584"/>
      <c r="K78" s="1633"/>
      <c r="L78" s="1584"/>
      <c r="M78" s="1634"/>
      <c r="N78" s="1584"/>
      <c r="O78" s="1633"/>
      <c r="P78" s="1584"/>
      <c r="Q78" s="1633"/>
      <c r="R78" s="1584"/>
      <c r="S78" s="1633"/>
      <c r="T78" s="1584"/>
      <c r="U78" s="1633"/>
      <c r="V78" s="1584"/>
      <c r="W78" s="1633"/>
      <c r="X78" s="1584"/>
      <c r="Y78" s="1633"/>
    </row>
    <row r="79" spans="1:25" ht="45">
      <c r="A79" s="1657" t="s">
        <v>3833</v>
      </c>
      <c r="B79" s="1680" t="s">
        <v>3909</v>
      </c>
      <c r="C79" s="1513" t="s">
        <v>3910</v>
      </c>
      <c r="D79" s="1489"/>
      <c r="E79" s="1567"/>
      <c r="F79" s="1593"/>
      <c r="G79" s="660"/>
      <c r="H79" s="1584" t="s">
        <v>3028</v>
      </c>
      <c r="I79" s="1633"/>
      <c r="J79" s="1584" t="s">
        <v>3028</v>
      </c>
      <c r="K79" s="1633"/>
      <c r="L79" s="1584" t="s">
        <v>3028</v>
      </c>
      <c r="M79" s="1634"/>
      <c r="N79" s="1584"/>
      <c r="O79" s="1633"/>
      <c r="P79" s="1584" t="s">
        <v>3028</v>
      </c>
      <c r="Q79" s="1633"/>
      <c r="R79" s="1584"/>
      <c r="S79" s="1633"/>
      <c r="T79" s="1584"/>
      <c r="U79" s="1633"/>
      <c r="V79" s="1584"/>
      <c r="W79" s="1633"/>
      <c r="X79" s="1584"/>
      <c r="Y79" s="1633"/>
    </row>
    <row r="80" spans="1:25">
      <c r="A80" s="1585"/>
      <c r="B80" s="1674" t="s">
        <v>3895</v>
      </c>
      <c r="C80" s="1513" t="s">
        <v>3911</v>
      </c>
      <c r="D80" s="1489"/>
      <c r="E80" s="1567"/>
      <c r="F80" s="1593"/>
      <c r="G80" s="660"/>
      <c r="H80" s="1584" t="s">
        <v>3028</v>
      </c>
      <c r="I80" s="1633"/>
      <c r="J80" s="1584" t="s">
        <v>3028</v>
      </c>
      <c r="K80" s="1633"/>
      <c r="L80" s="1584" t="s">
        <v>3028</v>
      </c>
      <c r="M80" s="1634"/>
      <c r="N80" s="1584"/>
      <c r="O80" s="1633"/>
      <c r="P80" s="1584" t="s">
        <v>3028</v>
      </c>
      <c r="Q80" s="1633"/>
      <c r="R80" s="1584"/>
      <c r="S80" s="1633"/>
      <c r="T80" s="1584"/>
      <c r="U80" s="1633"/>
      <c r="V80" s="1584"/>
      <c r="W80" s="1633"/>
      <c r="X80" s="1584"/>
      <c r="Y80" s="1633"/>
    </row>
    <row r="81" spans="1:25">
      <c r="A81" s="1585"/>
      <c r="B81" s="1679" t="s">
        <v>3912</v>
      </c>
      <c r="C81" s="1513"/>
      <c r="D81" s="1489"/>
      <c r="E81" s="1567"/>
      <c r="F81" s="1593"/>
      <c r="G81" s="660"/>
      <c r="H81" s="1584"/>
      <c r="I81" s="1633"/>
      <c r="J81" s="1584"/>
      <c r="K81" s="1633"/>
      <c r="L81" s="1584"/>
      <c r="M81" s="1634"/>
      <c r="N81" s="1584"/>
      <c r="O81" s="1633"/>
      <c r="P81" s="1584"/>
      <c r="Q81" s="1633"/>
      <c r="R81" s="1584"/>
      <c r="S81" s="1633"/>
      <c r="T81" s="1584"/>
      <c r="U81" s="1633"/>
      <c r="V81" s="1584"/>
      <c r="W81" s="1633"/>
      <c r="X81" s="1584"/>
      <c r="Y81" s="1633"/>
    </row>
    <row r="82" spans="1:25" ht="30">
      <c r="A82" s="1585"/>
      <c r="B82" s="1674" t="s">
        <v>3895</v>
      </c>
      <c r="C82" s="1513" t="s">
        <v>3913</v>
      </c>
      <c r="D82" s="1489"/>
      <c r="E82" s="1567"/>
      <c r="F82" s="1593"/>
      <c r="G82" s="660"/>
      <c r="H82" s="1584" t="s">
        <v>3028</v>
      </c>
      <c r="I82" s="1633"/>
      <c r="J82" s="1584" t="s">
        <v>3806</v>
      </c>
      <c r="K82" s="1633"/>
      <c r="L82" s="1584" t="s">
        <v>3028</v>
      </c>
      <c r="M82" s="1634"/>
      <c r="N82" s="1584"/>
      <c r="O82" s="1633"/>
      <c r="P82" s="1584" t="s">
        <v>3806</v>
      </c>
      <c r="Q82" s="1633"/>
      <c r="R82" s="1584"/>
      <c r="S82" s="1633"/>
      <c r="T82" s="1584"/>
      <c r="U82" s="1633"/>
      <c r="V82" s="1584"/>
      <c r="W82" s="1633"/>
      <c r="X82" s="1584"/>
      <c r="Y82" s="1633"/>
    </row>
    <row r="83" spans="1:25" ht="30">
      <c r="A83" s="1585"/>
      <c r="B83" s="1674" t="s">
        <v>3897</v>
      </c>
      <c r="C83" s="1513" t="s">
        <v>3914</v>
      </c>
      <c r="D83" s="1489"/>
      <c r="E83" s="1567"/>
      <c r="F83" s="1593"/>
      <c r="G83" s="660"/>
      <c r="H83" s="1584" t="s">
        <v>3028</v>
      </c>
      <c r="I83" s="1633"/>
      <c r="J83" s="1584" t="s">
        <v>3806</v>
      </c>
      <c r="K83" s="1633"/>
      <c r="L83" s="1584" t="s">
        <v>3028</v>
      </c>
      <c r="M83" s="1634"/>
      <c r="N83" s="1584"/>
      <c r="O83" s="1633"/>
      <c r="P83" s="1584" t="s">
        <v>3806</v>
      </c>
      <c r="Q83" s="1633"/>
      <c r="R83" s="1584"/>
      <c r="S83" s="1633"/>
      <c r="T83" s="1584"/>
      <c r="U83" s="1633"/>
      <c r="V83" s="1584"/>
      <c r="W83" s="1633"/>
      <c r="X83" s="1584"/>
      <c r="Y83" s="1633"/>
    </row>
    <row r="84" spans="1:25" ht="45">
      <c r="A84" s="1585"/>
      <c r="B84" s="1674" t="s">
        <v>3915</v>
      </c>
      <c r="C84" s="1513" t="s">
        <v>3916</v>
      </c>
      <c r="D84" s="1489"/>
      <c r="E84" s="1567"/>
      <c r="F84" s="1593"/>
      <c r="G84" s="660"/>
      <c r="H84" s="1584" t="s">
        <v>3028</v>
      </c>
      <c r="I84" s="1633"/>
      <c r="J84" s="1584" t="s">
        <v>3806</v>
      </c>
      <c r="K84" s="1633"/>
      <c r="L84" s="1584" t="s">
        <v>3028</v>
      </c>
      <c r="M84" s="1634"/>
      <c r="N84" s="1584"/>
      <c r="O84" s="1633"/>
      <c r="P84" s="1584" t="s">
        <v>3028</v>
      </c>
      <c r="Q84" s="1633" t="s">
        <v>3528</v>
      </c>
      <c r="R84" s="1584"/>
      <c r="S84" s="1633"/>
      <c r="T84" s="1584"/>
      <c r="U84" s="1633"/>
      <c r="V84" s="1584"/>
      <c r="W84" s="1633"/>
      <c r="X84" s="1584"/>
      <c r="Y84" s="1633"/>
    </row>
    <row r="85" spans="1:25">
      <c r="A85" s="1585"/>
      <c r="B85" s="1674" t="s">
        <v>3917</v>
      </c>
      <c r="C85" s="1513" t="s">
        <v>3918</v>
      </c>
      <c r="D85" s="1489"/>
      <c r="E85" s="1567"/>
      <c r="F85" s="1593"/>
      <c r="G85" s="660"/>
      <c r="H85" s="1584" t="s">
        <v>3028</v>
      </c>
      <c r="I85" s="1633"/>
      <c r="J85" s="1584" t="s">
        <v>3806</v>
      </c>
      <c r="K85" s="1633"/>
      <c r="L85" s="1584" t="s">
        <v>3028</v>
      </c>
      <c r="M85" s="1634"/>
      <c r="N85" s="1584"/>
      <c r="O85" s="1633"/>
      <c r="P85" s="1584" t="s">
        <v>3806</v>
      </c>
      <c r="Q85" s="1633"/>
      <c r="R85" s="1584"/>
      <c r="S85" s="1633"/>
      <c r="T85" s="1584"/>
      <c r="U85" s="1633"/>
      <c r="V85" s="1584"/>
      <c r="W85" s="1633"/>
      <c r="X85" s="1584"/>
      <c r="Y85" s="1633"/>
    </row>
    <row r="86" spans="1:25" ht="30">
      <c r="A86" s="1585"/>
      <c r="B86" s="1674" t="s">
        <v>3919</v>
      </c>
      <c r="C86" s="1513" t="s">
        <v>3920</v>
      </c>
      <c r="D86" s="1489"/>
      <c r="E86" s="1567"/>
      <c r="F86" s="1593"/>
      <c r="G86" s="660"/>
      <c r="H86" s="1584" t="s">
        <v>3028</v>
      </c>
      <c r="I86" s="1633"/>
      <c r="J86" s="1584" t="s">
        <v>3806</v>
      </c>
      <c r="K86" s="1633"/>
      <c r="L86" s="1584" t="s">
        <v>3028</v>
      </c>
      <c r="M86" s="1634"/>
      <c r="N86" s="1584"/>
      <c r="O86" s="1633"/>
      <c r="P86" s="1584" t="s">
        <v>3028</v>
      </c>
      <c r="Q86" s="1633" t="s">
        <v>3528</v>
      </c>
      <c r="R86" s="1584"/>
      <c r="S86" s="1633"/>
      <c r="T86" s="1584"/>
      <c r="U86" s="1633"/>
      <c r="V86" s="1584"/>
      <c r="W86" s="1633"/>
      <c r="X86" s="1584"/>
      <c r="Y86" s="1633"/>
    </row>
    <row r="87" spans="1:25">
      <c r="A87" s="1585"/>
      <c r="B87" s="1665" t="s">
        <v>3921</v>
      </c>
      <c r="C87" s="1566" t="s">
        <v>1801</v>
      </c>
      <c r="D87" s="1489"/>
      <c r="E87" s="1567"/>
      <c r="F87" s="1593"/>
      <c r="G87" s="660"/>
      <c r="H87" s="1584" t="s">
        <v>3807</v>
      </c>
      <c r="I87" s="1633"/>
      <c r="J87" s="1584" t="s">
        <v>3028</v>
      </c>
      <c r="K87" s="1633"/>
      <c r="L87" s="1584" t="s">
        <v>3028</v>
      </c>
      <c r="M87" s="1647">
        <v>-120199.03999999999</v>
      </c>
      <c r="N87" s="1584"/>
      <c r="O87" s="1633"/>
      <c r="P87" s="1584"/>
      <c r="Q87" s="1633"/>
      <c r="R87" s="1584"/>
      <c r="S87" s="1633"/>
      <c r="T87" s="1584"/>
      <c r="U87" s="1633"/>
      <c r="V87" s="1584"/>
      <c r="W87" s="1633"/>
      <c r="X87" s="1584"/>
      <c r="Y87" s="1633"/>
    </row>
    <row r="88" spans="1:25" ht="30">
      <c r="A88" s="1585"/>
      <c r="B88" s="1680" t="s">
        <v>3922</v>
      </c>
      <c r="C88" s="1513" t="s">
        <v>3923</v>
      </c>
      <c r="D88" s="1489"/>
      <c r="E88" s="1567"/>
      <c r="F88" s="1593"/>
      <c r="G88" s="660"/>
      <c r="H88" s="1584" t="s">
        <v>3028</v>
      </c>
      <c r="I88" s="1633"/>
      <c r="J88" s="1584" t="s">
        <v>3806</v>
      </c>
      <c r="K88" s="1633"/>
      <c r="L88" s="1584" t="s">
        <v>3028</v>
      </c>
      <c r="M88" s="1634"/>
      <c r="N88" s="1584"/>
      <c r="O88" s="1633"/>
      <c r="P88" s="1584" t="s">
        <v>3028</v>
      </c>
      <c r="Q88" s="1633" t="s">
        <v>3528</v>
      </c>
      <c r="R88" s="1584"/>
      <c r="S88" s="1633"/>
      <c r="T88" s="1584"/>
      <c r="U88" s="1633"/>
      <c r="V88" s="1584"/>
      <c r="W88" s="1633"/>
      <c r="X88" s="1584"/>
      <c r="Y88" s="1633"/>
    </row>
    <row r="89" spans="1:25">
      <c r="A89" s="1585"/>
      <c r="B89" s="1665" t="s">
        <v>3924</v>
      </c>
      <c r="C89" s="1566" t="s">
        <v>1801</v>
      </c>
      <c r="D89" s="1489"/>
      <c r="E89" s="1567"/>
      <c r="F89" s="1593"/>
      <c r="G89" s="660"/>
      <c r="H89" s="1584" t="s">
        <v>3807</v>
      </c>
      <c r="I89" s="1633"/>
      <c r="J89" s="1584" t="s">
        <v>3028</v>
      </c>
      <c r="K89" s="1633"/>
      <c r="L89" s="1584" t="s">
        <v>3028</v>
      </c>
      <c r="M89" s="1647">
        <v>-110925.96</v>
      </c>
      <c r="N89" s="1584"/>
      <c r="O89" s="1633"/>
      <c r="P89" s="1584"/>
      <c r="Q89" s="1633"/>
      <c r="R89" s="1584"/>
      <c r="S89" s="1633"/>
      <c r="T89" s="1584"/>
      <c r="U89" s="1633"/>
      <c r="V89" s="1584"/>
      <c r="W89" s="1633"/>
      <c r="X89" s="1584"/>
      <c r="Y89" s="1633"/>
    </row>
    <row r="90" spans="1:25" ht="30">
      <c r="A90" s="1585"/>
      <c r="B90" s="1680" t="s">
        <v>3922</v>
      </c>
      <c r="C90" s="1513" t="s">
        <v>3923</v>
      </c>
      <c r="D90" s="1489"/>
      <c r="E90" s="1567"/>
      <c r="F90" s="1593"/>
      <c r="G90" s="660"/>
      <c r="H90" s="1584" t="s">
        <v>3028</v>
      </c>
      <c r="I90" s="1633"/>
      <c r="J90" s="1584" t="s">
        <v>3806</v>
      </c>
      <c r="K90" s="1633"/>
      <c r="L90" s="1584" t="s">
        <v>3028</v>
      </c>
      <c r="M90" s="1634"/>
      <c r="N90" s="1584"/>
      <c r="O90" s="1633"/>
      <c r="P90" s="1584" t="s">
        <v>3028</v>
      </c>
      <c r="Q90" s="1633" t="s">
        <v>3528</v>
      </c>
      <c r="R90" s="1584"/>
      <c r="S90" s="1633"/>
      <c r="T90" s="1584"/>
      <c r="U90" s="1633"/>
      <c r="V90" s="1584"/>
      <c r="W90" s="1633"/>
      <c r="X90" s="1584"/>
      <c r="Y90" s="1633"/>
    </row>
    <row r="91" spans="1:25">
      <c r="A91" s="1585"/>
      <c r="B91" s="1665" t="s">
        <v>3925</v>
      </c>
      <c r="C91" s="1566" t="s">
        <v>1801</v>
      </c>
      <c r="D91" s="1489"/>
      <c r="E91" s="1567"/>
      <c r="F91" s="1593"/>
      <c r="G91" s="660"/>
      <c r="H91" s="1584" t="s">
        <v>3807</v>
      </c>
      <c r="I91" s="1633"/>
      <c r="J91" s="1584" t="s">
        <v>3028</v>
      </c>
      <c r="K91" s="1633"/>
      <c r="L91" s="1584" t="s">
        <v>3028</v>
      </c>
      <c r="M91" s="1647">
        <v>-97083.839999999997</v>
      </c>
      <c r="N91" s="1584"/>
      <c r="O91" s="1633"/>
      <c r="P91" s="1584"/>
      <c r="Q91" s="1633"/>
      <c r="R91" s="1584"/>
      <c r="S91" s="1633"/>
      <c r="T91" s="1584"/>
      <c r="U91" s="1633"/>
      <c r="V91" s="1584"/>
      <c r="W91" s="1633"/>
      <c r="X91" s="1584"/>
      <c r="Y91" s="1633"/>
    </row>
    <row r="92" spans="1:25" ht="30">
      <c r="A92" s="1585"/>
      <c r="B92" s="1680" t="s">
        <v>3922</v>
      </c>
      <c r="C92" s="1513" t="s">
        <v>3923</v>
      </c>
      <c r="D92" s="1489"/>
      <c r="E92" s="1567"/>
      <c r="F92" s="1593"/>
      <c r="G92" s="660"/>
      <c r="H92" s="1584" t="s">
        <v>3028</v>
      </c>
      <c r="I92" s="1633"/>
      <c r="J92" s="1584" t="s">
        <v>3806</v>
      </c>
      <c r="K92" s="1633"/>
      <c r="L92" s="1584" t="s">
        <v>3028</v>
      </c>
      <c r="M92" s="1634"/>
      <c r="N92" s="1584"/>
      <c r="O92" s="1633"/>
      <c r="P92" s="1584" t="s">
        <v>3028</v>
      </c>
      <c r="Q92" s="1633" t="s">
        <v>3528</v>
      </c>
      <c r="R92" s="1584"/>
      <c r="S92" s="1633"/>
      <c r="T92" s="1584"/>
      <c r="U92" s="1633"/>
      <c r="V92" s="1584"/>
      <c r="W92" s="1633"/>
      <c r="X92" s="1584"/>
      <c r="Y92" s="1633"/>
    </row>
    <row r="93" spans="1:25">
      <c r="A93" s="1585"/>
      <c r="B93" s="1665" t="s">
        <v>3926</v>
      </c>
      <c r="C93" s="1513" t="s">
        <v>3927</v>
      </c>
      <c r="D93" s="1489"/>
      <c r="E93" s="1567"/>
      <c r="F93" s="1593"/>
      <c r="G93" s="660"/>
      <c r="H93" s="1584"/>
      <c r="I93" s="1633"/>
      <c r="J93" s="1584"/>
      <c r="K93" s="1633"/>
      <c r="L93" s="1584"/>
      <c r="M93" s="1634"/>
      <c r="N93" s="1584"/>
      <c r="O93" s="1633"/>
      <c r="P93" s="1584"/>
      <c r="Q93" s="1633"/>
      <c r="R93" s="1584"/>
      <c r="S93" s="1633"/>
      <c r="T93" s="1584"/>
      <c r="U93" s="1633"/>
      <c r="V93" s="1584"/>
      <c r="W93" s="1633"/>
      <c r="X93" s="1584"/>
      <c r="Y93" s="1633"/>
    </row>
    <row r="94" spans="1:25">
      <c r="A94" s="1585"/>
      <c r="B94" s="1674" t="s">
        <v>3895</v>
      </c>
      <c r="C94" s="1513" t="s">
        <v>3928</v>
      </c>
      <c r="D94" s="1489"/>
      <c r="E94" s="1567"/>
      <c r="F94" s="1593"/>
      <c r="G94" s="660"/>
      <c r="H94" s="1584" t="s">
        <v>3028</v>
      </c>
      <c r="I94" s="1633"/>
      <c r="J94" s="1584" t="s">
        <v>3028</v>
      </c>
      <c r="K94" s="1633"/>
      <c r="L94" s="1584" t="s">
        <v>3028</v>
      </c>
      <c r="M94" s="1634"/>
      <c r="N94" s="1584"/>
      <c r="O94" s="1633"/>
      <c r="P94" s="1584" t="s">
        <v>3028</v>
      </c>
      <c r="Q94" s="1633"/>
      <c r="R94" s="1584"/>
      <c r="S94" s="1633"/>
      <c r="T94" s="1584"/>
      <c r="U94" s="1633"/>
      <c r="V94" s="1584"/>
      <c r="W94" s="1633"/>
      <c r="X94" s="1584"/>
      <c r="Y94" s="1633"/>
    </row>
    <row r="95" spans="1:25">
      <c r="A95" s="1585"/>
      <c r="B95" s="1674" t="s">
        <v>3897</v>
      </c>
      <c r="C95" s="1513" t="s">
        <v>3929</v>
      </c>
      <c r="D95" s="1489"/>
      <c r="E95" s="1567"/>
      <c r="F95" s="1593"/>
      <c r="G95" s="660"/>
      <c r="H95" s="1584" t="s">
        <v>3028</v>
      </c>
      <c r="I95" s="1633"/>
      <c r="J95" s="1584" t="s">
        <v>3806</v>
      </c>
      <c r="K95" s="1633"/>
      <c r="L95" s="1584" t="s">
        <v>3028</v>
      </c>
      <c r="M95" s="1634"/>
      <c r="N95" s="1584"/>
      <c r="O95" s="1633"/>
      <c r="P95" s="1584" t="s">
        <v>3806</v>
      </c>
      <c r="Q95" s="1633"/>
      <c r="R95" s="1584"/>
      <c r="S95" s="1633"/>
      <c r="T95" s="1584"/>
      <c r="U95" s="1633"/>
      <c r="V95" s="1584"/>
      <c r="W95" s="1633"/>
      <c r="X95" s="1584"/>
      <c r="Y95" s="1633"/>
    </row>
    <row r="96" spans="1:25" ht="30">
      <c r="A96" s="1585"/>
      <c r="B96" s="1674" t="s">
        <v>3930</v>
      </c>
      <c r="C96" s="1513" t="s">
        <v>3931</v>
      </c>
      <c r="D96" s="1489"/>
      <c r="E96" s="1567"/>
      <c r="F96" s="1593"/>
      <c r="G96" s="660"/>
      <c r="H96" s="1584" t="s">
        <v>3028</v>
      </c>
      <c r="I96" s="1633"/>
      <c r="J96" s="1584" t="s">
        <v>3806</v>
      </c>
      <c r="K96" s="1633"/>
      <c r="L96" s="1584" t="s">
        <v>3028</v>
      </c>
      <c r="M96" s="1634"/>
      <c r="N96" s="1584"/>
      <c r="O96" s="1633"/>
      <c r="P96" s="1584" t="s">
        <v>3806</v>
      </c>
      <c r="Q96" s="1633"/>
      <c r="R96" s="1584"/>
      <c r="S96" s="1633"/>
      <c r="T96" s="1584"/>
      <c r="U96" s="1633"/>
      <c r="V96" s="1584"/>
      <c r="W96" s="1633"/>
      <c r="X96" s="1584"/>
      <c r="Y96" s="1633"/>
    </row>
    <row r="97" spans="1:25">
      <c r="A97" s="1585"/>
      <c r="B97" s="1674" t="s">
        <v>3932</v>
      </c>
      <c r="C97" s="1513" t="s">
        <v>3933</v>
      </c>
      <c r="D97" s="1489"/>
      <c r="E97" s="1567"/>
      <c r="F97" s="1593"/>
      <c r="G97" s="660"/>
      <c r="H97" s="1584" t="s">
        <v>3028</v>
      </c>
      <c r="I97" s="1633"/>
      <c r="J97" s="1584" t="s">
        <v>3806</v>
      </c>
      <c r="K97" s="1633"/>
      <c r="L97" s="1584" t="s">
        <v>3028</v>
      </c>
      <c r="M97" s="1634"/>
      <c r="N97" s="1584"/>
      <c r="O97" s="1633"/>
      <c r="P97" s="1584" t="s">
        <v>3806</v>
      </c>
      <c r="Q97" s="1633"/>
      <c r="R97" s="1584"/>
      <c r="S97" s="1633"/>
      <c r="T97" s="1584"/>
      <c r="U97" s="1633"/>
      <c r="V97" s="1584"/>
      <c r="W97" s="1633"/>
      <c r="X97" s="1584"/>
      <c r="Y97" s="1633"/>
    </row>
    <row r="98" spans="1:25">
      <c r="A98" s="1585"/>
      <c r="B98" s="1665" t="s">
        <v>3934</v>
      </c>
      <c r="C98" s="1513" t="s">
        <v>3927</v>
      </c>
      <c r="D98" s="1489"/>
      <c r="E98" s="1567"/>
      <c r="F98" s="1593"/>
      <c r="G98" s="660"/>
      <c r="H98" s="1584"/>
      <c r="I98" s="1633"/>
      <c r="J98" s="1584"/>
      <c r="K98" s="1633"/>
      <c r="L98" s="1584"/>
      <c r="M98" s="1634"/>
      <c r="N98" s="1584"/>
      <c r="O98" s="1633"/>
      <c r="P98" s="1584"/>
      <c r="Q98" s="1633"/>
      <c r="R98" s="1584"/>
      <c r="S98" s="1633"/>
      <c r="T98" s="1584"/>
      <c r="U98" s="1633"/>
      <c r="V98" s="1584"/>
      <c r="W98" s="1633"/>
      <c r="X98" s="1584"/>
      <c r="Y98" s="1633"/>
    </row>
    <row r="99" spans="1:25" ht="45">
      <c r="A99" s="1585"/>
      <c r="B99" s="1674" t="s">
        <v>3935</v>
      </c>
      <c r="C99" s="1513" t="s">
        <v>3936</v>
      </c>
      <c r="D99" s="1489"/>
      <c r="E99" s="1567"/>
      <c r="F99" s="1593"/>
      <c r="G99" s="660"/>
      <c r="H99" s="1584" t="s">
        <v>3028</v>
      </c>
      <c r="I99" s="1633"/>
      <c r="J99" s="1584" t="s">
        <v>3028</v>
      </c>
      <c r="K99" s="1633"/>
      <c r="L99" s="1584" t="s">
        <v>3028</v>
      </c>
      <c r="M99" s="1634"/>
      <c r="N99" s="1584"/>
      <c r="O99" s="1633"/>
      <c r="P99" s="1584" t="s">
        <v>3028</v>
      </c>
      <c r="Q99" s="1633"/>
      <c r="R99" s="1584"/>
      <c r="S99" s="1633"/>
      <c r="T99" s="1584"/>
      <c r="U99" s="1633"/>
      <c r="V99" s="1584"/>
      <c r="W99" s="1633"/>
      <c r="X99" s="1584"/>
      <c r="Y99" s="1633"/>
    </row>
    <row r="100" spans="1:25">
      <c r="A100" s="1585"/>
      <c r="B100" s="1665" t="s">
        <v>3937</v>
      </c>
      <c r="C100" s="1513" t="s">
        <v>1801</v>
      </c>
      <c r="D100" s="1489"/>
      <c r="E100" s="1567"/>
      <c r="F100" s="1593"/>
      <c r="G100" s="660"/>
      <c r="H100" s="1584"/>
      <c r="I100" s="1633"/>
      <c r="J100" s="1584"/>
      <c r="K100" s="1633"/>
      <c r="L100" s="1584"/>
      <c r="M100" s="1634"/>
      <c r="N100" s="1584"/>
      <c r="O100" s="1633"/>
      <c r="P100" s="1584"/>
      <c r="Q100" s="1633"/>
      <c r="R100" s="1584"/>
      <c r="S100" s="1633"/>
      <c r="T100" s="1584"/>
      <c r="U100" s="1633"/>
      <c r="V100" s="1584"/>
      <c r="W100" s="1633"/>
      <c r="X100" s="1584"/>
      <c r="Y100" s="1633"/>
    </row>
    <row r="101" spans="1:25" ht="30">
      <c r="A101" s="1585"/>
      <c r="B101" s="1674" t="s">
        <v>3938</v>
      </c>
      <c r="C101" s="1513" t="s">
        <v>3939</v>
      </c>
      <c r="D101" s="1489"/>
      <c r="E101" s="1567"/>
      <c r="F101" s="1593"/>
      <c r="G101" s="660"/>
      <c r="H101" s="1584" t="s">
        <v>3028</v>
      </c>
      <c r="I101" s="1633"/>
      <c r="J101" s="1584" t="s">
        <v>3028</v>
      </c>
      <c r="K101" s="1633"/>
      <c r="L101" s="1584" t="s">
        <v>3028</v>
      </c>
      <c r="M101" s="1634"/>
      <c r="N101" s="1584"/>
      <c r="O101" s="1633"/>
      <c r="P101" s="1584" t="s">
        <v>3028</v>
      </c>
      <c r="Q101" s="1633" t="s">
        <v>3528</v>
      </c>
      <c r="R101" s="1584"/>
      <c r="S101" s="1633"/>
      <c r="T101" s="1584"/>
      <c r="U101" s="1633"/>
      <c r="V101" s="1584"/>
      <c r="W101" s="1633"/>
      <c r="X101" s="1584"/>
      <c r="Y101" s="1633"/>
    </row>
    <row r="102" spans="1:25">
      <c r="A102" s="1585"/>
      <c r="B102" s="1674" t="s">
        <v>3940</v>
      </c>
      <c r="C102" s="1513" t="s">
        <v>3941</v>
      </c>
      <c r="D102" s="1489"/>
      <c r="E102" s="1567"/>
      <c r="F102" s="1593"/>
      <c r="G102" s="660"/>
      <c r="H102" s="1584" t="s">
        <v>3028</v>
      </c>
      <c r="I102" s="1633"/>
      <c r="J102" s="1584" t="s">
        <v>3806</v>
      </c>
      <c r="K102" s="1633"/>
      <c r="L102" s="1584" t="s">
        <v>3028</v>
      </c>
      <c r="M102" s="1634"/>
      <c r="N102" s="1584"/>
      <c r="O102" s="1633"/>
      <c r="P102" s="1584" t="s">
        <v>3806</v>
      </c>
      <c r="Q102" s="1633"/>
      <c r="R102" s="1584"/>
      <c r="S102" s="1633"/>
      <c r="T102" s="1584"/>
      <c r="U102" s="1633"/>
      <c r="V102" s="1584"/>
      <c r="W102" s="1633"/>
      <c r="X102" s="1584"/>
      <c r="Y102" s="1633"/>
    </row>
    <row r="103" spans="1:25">
      <c r="A103" s="1683"/>
      <c r="B103" s="1676" t="s">
        <v>3942</v>
      </c>
      <c r="C103" s="1513" t="s">
        <v>3943</v>
      </c>
      <c r="D103" s="1489"/>
      <c r="E103" s="1567"/>
      <c r="F103" s="1593"/>
      <c r="G103" s="660"/>
      <c r="H103" s="1584" t="s">
        <v>3807</v>
      </c>
      <c r="I103" s="1642" t="s">
        <v>3944</v>
      </c>
      <c r="J103" s="1584" t="s">
        <v>3806</v>
      </c>
      <c r="K103" s="1633"/>
      <c r="L103" s="1584" t="s">
        <v>3807</v>
      </c>
      <c r="M103" s="1634"/>
      <c r="N103" s="1584"/>
      <c r="O103" s="1633"/>
      <c r="P103" s="1584" t="s">
        <v>3806</v>
      </c>
      <c r="Q103" s="1633"/>
      <c r="R103" s="1584"/>
      <c r="S103" s="1633"/>
      <c r="T103" s="1584"/>
      <c r="U103" s="1633"/>
      <c r="V103" s="1584"/>
      <c r="W103" s="1633"/>
      <c r="X103" s="1584"/>
      <c r="Y103" s="1633"/>
    </row>
    <row r="104" spans="1:25">
      <c r="A104" s="1585"/>
      <c r="B104" s="1674" t="s">
        <v>3917</v>
      </c>
      <c r="C104" s="1513" t="s">
        <v>3943</v>
      </c>
      <c r="D104" s="1489"/>
      <c r="E104" s="1567"/>
      <c r="F104" s="1593"/>
      <c r="G104" s="660"/>
      <c r="H104" s="1584" t="s">
        <v>3028</v>
      </c>
      <c r="I104" s="1633"/>
      <c r="J104" s="1584" t="s">
        <v>3028</v>
      </c>
      <c r="K104" s="1633"/>
      <c r="L104" s="1584" t="s">
        <v>3028</v>
      </c>
      <c r="M104" s="1634"/>
      <c r="N104" s="1584"/>
      <c r="O104" s="1633"/>
      <c r="P104" s="1584" t="s">
        <v>3806</v>
      </c>
      <c r="Q104" s="1633"/>
      <c r="R104" s="1584"/>
      <c r="S104" s="1633"/>
      <c r="T104" s="1584"/>
      <c r="U104" s="1633"/>
      <c r="V104" s="1584"/>
      <c r="W104" s="1633"/>
      <c r="X104" s="1584"/>
      <c r="Y104" s="1633"/>
    </row>
    <row r="105" spans="1:25" ht="30">
      <c r="A105" s="1585"/>
      <c r="B105" s="1674" t="s">
        <v>3945</v>
      </c>
      <c r="C105" s="1513" t="s">
        <v>3946</v>
      </c>
      <c r="D105" s="1489"/>
      <c r="E105" s="1567"/>
      <c r="F105" s="1593"/>
      <c r="G105" s="660"/>
      <c r="H105" s="1584" t="s">
        <v>3028</v>
      </c>
      <c r="I105" s="1633"/>
      <c r="J105" s="1584" t="s">
        <v>3806</v>
      </c>
      <c r="K105" s="1633"/>
      <c r="L105" s="1584" t="s">
        <v>3028</v>
      </c>
      <c r="M105" s="1634"/>
      <c r="N105" s="1584"/>
      <c r="O105" s="1633"/>
      <c r="P105" s="1584" t="s">
        <v>3028</v>
      </c>
      <c r="Q105" s="1633" t="s">
        <v>3528</v>
      </c>
      <c r="R105" s="1584"/>
      <c r="S105" s="1633"/>
      <c r="T105" s="1584"/>
      <c r="U105" s="1633"/>
      <c r="V105" s="1584"/>
      <c r="W105" s="1633"/>
      <c r="X105" s="1584"/>
      <c r="Y105" s="1633"/>
    </row>
    <row r="106" spans="1:25">
      <c r="A106" s="1585"/>
      <c r="B106" s="1674" t="s">
        <v>3947</v>
      </c>
      <c r="C106" s="1513" t="s">
        <v>3948</v>
      </c>
      <c r="D106" s="1489"/>
      <c r="E106" s="1567"/>
      <c r="F106" s="1593"/>
      <c r="G106" s="660"/>
      <c r="H106" s="1584" t="s">
        <v>3028</v>
      </c>
      <c r="I106" s="1633"/>
      <c r="J106" s="1584" t="s">
        <v>3028</v>
      </c>
      <c r="K106" s="1633"/>
      <c r="L106" s="1584" t="s">
        <v>3028</v>
      </c>
      <c r="M106" s="1634"/>
      <c r="N106" s="1584"/>
      <c r="O106" s="1633"/>
      <c r="P106" s="1584" t="s">
        <v>3806</v>
      </c>
      <c r="Q106" s="1633"/>
      <c r="R106" s="1584"/>
      <c r="S106" s="1633"/>
      <c r="T106" s="1584"/>
      <c r="U106" s="1633"/>
      <c r="V106" s="1584"/>
      <c r="W106" s="1633"/>
      <c r="X106" s="1584"/>
      <c r="Y106" s="1633"/>
    </row>
    <row r="107" spans="1:25">
      <c r="A107" s="1585"/>
      <c r="B107" s="1674" t="s">
        <v>3949</v>
      </c>
      <c r="C107" s="1513" t="s">
        <v>3950</v>
      </c>
      <c r="D107" s="1489"/>
      <c r="E107" s="1567"/>
      <c r="F107" s="1593"/>
      <c r="G107" s="660"/>
      <c r="H107" s="1584" t="s">
        <v>3028</v>
      </c>
      <c r="I107" s="1633"/>
      <c r="J107" s="1584" t="s">
        <v>3806</v>
      </c>
      <c r="K107" s="1633"/>
      <c r="L107" s="1584" t="s">
        <v>3028</v>
      </c>
      <c r="M107" s="1634"/>
      <c r="N107" s="1584"/>
      <c r="O107" s="1633"/>
      <c r="P107" s="1584" t="s">
        <v>3806</v>
      </c>
      <c r="Q107" s="1633"/>
      <c r="R107" s="1584"/>
      <c r="S107" s="1633"/>
      <c r="T107" s="1584"/>
      <c r="U107" s="1633"/>
      <c r="V107" s="1584"/>
      <c r="W107" s="1633"/>
      <c r="X107" s="1584"/>
      <c r="Y107" s="1633"/>
    </row>
    <row r="108" spans="1:25">
      <c r="A108" s="1585"/>
      <c r="B108" s="1665" t="s">
        <v>3951</v>
      </c>
      <c r="C108" s="1513"/>
      <c r="D108" s="1489"/>
      <c r="E108" s="1567"/>
      <c r="F108" s="1593"/>
      <c r="G108" s="660"/>
      <c r="H108" s="1584"/>
      <c r="I108" s="1633"/>
      <c r="J108" s="1584"/>
      <c r="K108" s="1633"/>
      <c r="L108" s="1584"/>
      <c r="M108" s="1634"/>
      <c r="N108" s="1584"/>
      <c r="O108" s="1633"/>
      <c r="P108" s="1584"/>
      <c r="Q108" s="1633"/>
      <c r="R108" s="1584"/>
      <c r="S108" s="1633"/>
      <c r="T108" s="1584"/>
      <c r="U108" s="1633"/>
      <c r="V108" s="1584"/>
      <c r="W108" s="1633"/>
      <c r="X108" s="1584"/>
      <c r="Y108" s="1633"/>
    </row>
    <row r="109" spans="1:25" ht="60">
      <c r="A109" s="1585"/>
      <c r="B109" s="1674" t="s">
        <v>3952</v>
      </c>
      <c r="C109" s="1513" t="s">
        <v>3953</v>
      </c>
      <c r="D109" s="1489"/>
      <c r="E109" s="1567"/>
      <c r="F109" s="1593"/>
      <c r="G109" s="660"/>
      <c r="H109" s="1584" t="s">
        <v>3028</v>
      </c>
      <c r="I109" s="1633"/>
      <c r="J109" s="1584" t="s">
        <v>3028</v>
      </c>
      <c r="K109" s="1633"/>
      <c r="L109" s="1584" t="s">
        <v>3028</v>
      </c>
      <c r="M109" s="1634"/>
      <c r="N109" s="1584"/>
      <c r="O109" s="1633"/>
      <c r="P109" s="1584" t="s">
        <v>3028</v>
      </c>
      <c r="Q109" s="1633"/>
      <c r="R109" s="1584"/>
      <c r="S109" s="1633"/>
      <c r="T109" s="1584"/>
      <c r="U109" s="1633"/>
      <c r="V109" s="1584"/>
      <c r="W109" s="1633"/>
      <c r="X109" s="1584"/>
      <c r="Y109" s="1633"/>
    </row>
    <row r="110" spans="1:25">
      <c r="A110" s="1585"/>
      <c r="B110" s="1674" t="s">
        <v>3878</v>
      </c>
      <c r="C110" s="1513" t="s">
        <v>3954</v>
      </c>
      <c r="D110" s="1489"/>
      <c r="E110" s="1567"/>
      <c r="F110" s="1593"/>
      <c r="G110" s="660"/>
      <c r="H110" s="1584" t="s">
        <v>3028</v>
      </c>
      <c r="I110" s="1633"/>
      <c r="J110" s="1584" t="s">
        <v>3028</v>
      </c>
      <c r="K110" s="1633"/>
      <c r="L110" s="1584" t="s">
        <v>3028</v>
      </c>
      <c r="M110" s="1634"/>
      <c r="N110" s="1584"/>
      <c r="O110" s="1633"/>
      <c r="P110" s="1584" t="s">
        <v>3806</v>
      </c>
      <c r="Q110" s="1633"/>
      <c r="R110" s="1584"/>
      <c r="S110" s="1633"/>
      <c r="T110" s="1584"/>
      <c r="U110" s="1633"/>
      <c r="V110" s="1584"/>
      <c r="W110" s="1633"/>
      <c r="X110" s="1584"/>
      <c r="Y110" s="1633"/>
    </row>
    <row r="111" spans="1:25">
      <c r="A111" s="1585"/>
      <c r="B111" s="1674" t="s">
        <v>3955</v>
      </c>
      <c r="C111" s="1513" t="s">
        <v>3956</v>
      </c>
      <c r="D111" s="1489"/>
      <c r="E111" s="1567"/>
      <c r="F111" s="1593"/>
      <c r="G111" s="660"/>
      <c r="H111" s="1584" t="s">
        <v>3028</v>
      </c>
      <c r="I111" s="1633"/>
      <c r="J111" s="1584" t="s">
        <v>3806</v>
      </c>
      <c r="K111" s="1633"/>
      <c r="L111" s="1584" t="s">
        <v>3028</v>
      </c>
      <c r="M111" s="1634"/>
      <c r="N111" s="1584"/>
      <c r="O111" s="1633"/>
      <c r="P111" s="1584" t="s">
        <v>3806</v>
      </c>
      <c r="Q111" s="1633"/>
      <c r="R111" s="1584"/>
      <c r="S111" s="1633"/>
      <c r="T111" s="1584"/>
      <c r="U111" s="1633"/>
      <c r="V111" s="1584"/>
      <c r="W111" s="1633"/>
      <c r="X111" s="1584"/>
      <c r="Y111" s="1633"/>
    </row>
    <row r="112" spans="1:25">
      <c r="A112" s="1585"/>
      <c r="B112" s="1674" t="s">
        <v>3957</v>
      </c>
      <c r="C112" s="1513" t="s">
        <v>3958</v>
      </c>
      <c r="D112" s="1489"/>
      <c r="E112" s="1567"/>
      <c r="F112" s="1593"/>
      <c r="G112" s="660"/>
      <c r="H112" s="1584" t="s">
        <v>3028</v>
      </c>
      <c r="I112" s="1633"/>
      <c r="J112" s="1584" t="s">
        <v>3028</v>
      </c>
      <c r="K112" s="1633"/>
      <c r="L112" s="1584" t="s">
        <v>3028</v>
      </c>
      <c r="M112" s="1634"/>
      <c r="N112" s="1584"/>
      <c r="O112" s="1633"/>
      <c r="P112" s="1584" t="s">
        <v>3806</v>
      </c>
      <c r="Q112" s="1633"/>
      <c r="R112" s="1584"/>
      <c r="S112" s="1633"/>
      <c r="T112" s="1584"/>
      <c r="U112" s="1633"/>
      <c r="V112" s="1584"/>
      <c r="W112" s="1633"/>
      <c r="X112" s="1584"/>
      <c r="Y112" s="1633"/>
    </row>
    <row r="113" spans="1:25" ht="30">
      <c r="A113" s="1585"/>
      <c r="B113" s="1674" t="s">
        <v>3959</v>
      </c>
      <c r="C113" s="1513" t="s">
        <v>3960</v>
      </c>
      <c r="D113" s="1489"/>
      <c r="E113" s="1567"/>
      <c r="F113" s="1593"/>
      <c r="G113" s="660"/>
      <c r="H113" s="1584" t="s">
        <v>3028</v>
      </c>
      <c r="I113" s="1633"/>
      <c r="J113" s="1584" t="s">
        <v>3028</v>
      </c>
      <c r="K113" s="1633"/>
      <c r="L113" s="1584" t="s">
        <v>3028</v>
      </c>
      <c r="M113" s="1634"/>
      <c r="N113" s="1584"/>
      <c r="O113" s="1633"/>
      <c r="P113" s="1584" t="s">
        <v>3028</v>
      </c>
      <c r="Q113" s="1633" t="s">
        <v>3528</v>
      </c>
      <c r="R113" s="1584"/>
      <c r="S113" s="1633"/>
      <c r="T113" s="1584"/>
      <c r="U113" s="1633"/>
      <c r="V113" s="1584"/>
      <c r="W113" s="1633"/>
      <c r="X113" s="1584"/>
      <c r="Y113" s="1633"/>
    </row>
    <row r="114" spans="1:25" ht="90">
      <c r="A114" s="1585"/>
      <c r="B114" s="1674" t="s">
        <v>3961</v>
      </c>
      <c r="C114" s="1513" t="s">
        <v>3962</v>
      </c>
      <c r="D114" s="1489"/>
      <c r="E114" s="1567"/>
      <c r="F114" s="1593"/>
      <c r="G114" s="660"/>
      <c r="H114" s="1584" t="s">
        <v>3028</v>
      </c>
      <c r="I114" s="1633"/>
      <c r="J114" s="1584" t="s">
        <v>3028</v>
      </c>
      <c r="K114" s="1633"/>
      <c r="L114" s="1584" t="s">
        <v>3028</v>
      </c>
      <c r="M114" s="1634"/>
      <c r="N114" s="1584"/>
      <c r="O114" s="1633"/>
      <c r="P114" s="1584" t="s">
        <v>3028</v>
      </c>
      <c r="Q114" s="1633" t="s">
        <v>3528</v>
      </c>
      <c r="R114" s="1584"/>
      <c r="S114" s="1633"/>
      <c r="T114" s="1584"/>
      <c r="U114" s="1633"/>
      <c r="V114" s="1584"/>
      <c r="W114" s="1633"/>
      <c r="X114" s="1584"/>
      <c r="Y114" s="1633"/>
    </row>
    <row r="115" spans="1:25">
      <c r="A115" s="1585"/>
      <c r="B115" s="1674" t="s">
        <v>3963</v>
      </c>
      <c r="C115" s="1513"/>
      <c r="D115" s="1489"/>
      <c r="E115" s="1567"/>
      <c r="F115" s="1593"/>
      <c r="G115" s="660"/>
      <c r="H115" s="1584" t="s">
        <v>3807</v>
      </c>
      <c r="I115" s="1642" t="s">
        <v>3964</v>
      </c>
      <c r="J115" s="1584" t="s">
        <v>3806</v>
      </c>
      <c r="K115" s="1633"/>
      <c r="L115" s="1584" t="s">
        <v>3028</v>
      </c>
      <c r="M115" s="1634" t="s">
        <v>3528</v>
      </c>
      <c r="N115" s="1584"/>
      <c r="O115" s="1633"/>
      <c r="P115" s="1584" t="s">
        <v>3806</v>
      </c>
      <c r="Q115" s="1633"/>
      <c r="R115" s="1584"/>
      <c r="S115" s="1633"/>
      <c r="T115" s="1584"/>
      <c r="U115" s="1633"/>
      <c r="V115" s="1584"/>
      <c r="W115" s="1633"/>
      <c r="X115" s="1584"/>
      <c r="Y115" s="1633"/>
    </row>
    <row r="116" spans="1:25" ht="30">
      <c r="A116" s="1585"/>
      <c r="B116" s="1674" t="s">
        <v>3965</v>
      </c>
      <c r="C116" s="1513" t="s">
        <v>3966</v>
      </c>
      <c r="D116" s="1489"/>
      <c r="E116" s="1567"/>
      <c r="F116" s="1593"/>
      <c r="G116" s="660"/>
      <c r="H116" s="1584" t="s">
        <v>3028</v>
      </c>
      <c r="I116" s="1633"/>
      <c r="J116" s="1584" t="s">
        <v>3806</v>
      </c>
      <c r="K116" s="1633"/>
      <c r="L116" s="1584" t="s">
        <v>3028</v>
      </c>
      <c r="M116" s="1634"/>
      <c r="N116" s="1584"/>
      <c r="O116" s="1633"/>
      <c r="P116" s="1584" t="s">
        <v>3028</v>
      </c>
      <c r="Q116" s="1633"/>
      <c r="R116" s="1584"/>
      <c r="S116" s="1633"/>
      <c r="T116" s="1584"/>
      <c r="U116" s="1633"/>
      <c r="V116" s="1584"/>
      <c r="W116" s="1633"/>
      <c r="X116" s="1584"/>
      <c r="Y116" s="1633"/>
    </row>
    <row r="117" spans="1:25" ht="30">
      <c r="A117" s="1585"/>
      <c r="B117" s="1674" t="s">
        <v>3967</v>
      </c>
      <c r="C117" s="1513" t="s">
        <v>3968</v>
      </c>
      <c r="D117" s="1489"/>
      <c r="E117" s="1567"/>
      <c r="F117" s="1593"/>
      <c r="G117" s="660"/>
      <c r="H117" s="1584" t="s">
        <v>3028</v>
      </c>
      <c r="I117" s="1633"/>
      <c r="J117" s="1584" t="s">
        <v>3806</v>
      </c>
      <c r="K117" s="1633"/>
      <c r="L117" s="1584" t="s">
        <v>3028</v>
      </c>
      <c r="M117" s="1634"/>
      <c r="N117" s="1584"/>
      <c r="O117" s="1633"/>
      <c r="P117" s="1584" t="s">
        <v>3806</v>
      </c>
      <c r="Q117" s="1633"/>
      <c r="R117" s="1584"/>
      <c r="S117" s="1633"/>
      <c r="T117" s="1584"/>
      <c r="U117" s="1633"/>
      <c r="V117" s="1584"/>
      <c r="W117" s="1633"/>
      <c r="X117" s="1584"/>
      <c r="Y117" s="1633"/>
    </row>
    <row r="118" spans="1:25">
      <c r="A118" s="1585"/>
      <c r="B118" s="1674" t="s">
        <v>3969</v>
      </c>
      <c r="C118" s="1513" t="s">
        <v>3970</v>
      </c>
      <c r="D118" s="1489"/>
      <c r="E118" s="1567"/>
      <c r="F118" s="1593"/>
      <c r="G118" s="660"/>
      <c r="H118" s="1584" t="s">
        <v>3807</v>
      </c>
      <c r="I118" s="1642" t="s">
        <v>3902</v>
      </c>
      <c r="J118" s="1584" t="s">
        <v>3806</v>
      </c>
      <c r="K118" s="1633"/>
      <c r="L118" s="1584" t="s">
        <v>3807</v>
      </c>
      <c r="M118" s="1634" t="s">
        <v>3528</v>
      </c>
      <c r="N118" s="1584"/>
      <c r="O118" s="1633"/>
      <c r="P118" s="1584" t="s">
        <v>3806</v>
      </c>
      <c r="Q118" s="1633"/>
      <c r="R118" s="1584"/>
      <c r="S118" s="1633"/>
      <c r="T118" s="1584"/>
      <c r="U118" s="1633"/>
      <c r="V118" s="1584"/>
      <c r="W118" s="1633"/>
      <c r="X118" s="1584"/>
      <c r="Y118" s="1633"/>
    </row>
    <row r="119" spans="1:25" s="364" customFormat="1" ht="30">
      <c r="A119" s="1657" t="s">
        <v>3833</v>
      </c>
      <c r="B119" s="1676" t="s">
        <v>3971</v>
      </c>
      <c r="C119" s="1651" t="s">
        <v>3972</v>
      </c>
      <c r="D119" s="1652"/>
      <c r="E119" s="1653"/>
      <c r="F119" s="1654"/>
      <c r="G119" s="682"/>
      <c r="H119" s="1584" t="s">
        <v>3028</v>
      </c>
      <c r="I119" s="1664" t="s">
        <v>3973</v>
      </c>
      <c r="J119" s="1584" t="s">
        <v>3806</v>
      </c>
      <c r="K119" s="1655"/>
      <c r="L119" s="1584" t="s">
        <v>3807</v>
      </c>
      <c r="M119" s="1656" t="s">
        <v>3528</v>
      </c>
      <c r="N119" s="1584"/>
      <c r="O119" s="1655"/>
      <c r="P119" s="1584" t="s">
        <v>3806</v>
      </c>
      <c r="Q119" s="1655"/>
      <c r="R119" s="1584"/>
      <c r="S119" s="1655"/>
      <c r="T119" s="1584"/>
      <c r="U119" s="1655"/>
      <c r="V119" s="1584"/>
      <c r="W119" s="1655"/>
      <c r="X119" s="1584"/>
      <c r="Y119" s="1655"/>
    </row>
    <row r="120" spans="1:25" ht="30">
      <c r="A120" s="1585"/>
      <c r="B120" s="1674" t="s">
        <v>3974</v>
      </c>
      <c r="C120" s="1513" t="s">
        <v>3975</v>
      </c>
      <c r="D120" s="1489"/>
      <c r="E120" s="1567"/>
      <c r="F120" s="1593"/>
      <c r="G120" s="660"/>
      <c r="H120" s="1584" t="s">
        <v>3028</v>
      </c>
      <c r="I120" s="1633"/>
      <c r="J120" s="1584" t="s">
        <v>3028</v>
      </c>
      <c r="K120" s="1633"/>
      <c r="L120" s="1584" t="s">
        <v>3028</v>
      </c>
      <c r="M120" s="1634"/>
      <c r="N120" s="1584"/>
      <c r="O120" s="1633"/>
      <c r="P120" s="1584" t="s">
        <v>3028</v>
      </c>
      <c r="Q120" s="1633"/>
      <c r="R120" s="1584"/>
      <c r="S120" s="1633"/>
      <c r="T120" s="1584"/>
      <c r="U120" s="1633"/>
      <c r="V120" s="1584"/>
      <c r="W120" s="1633"/>
      <c r="X120" s="1584"/>
      <c r="Y120" s="1633"/>
    </row>
    <row r="121" spans="1:25">
      <c r="A121" s="1683"/>
      <c r="B121" s="1676" t="s">
        <v>3976</v>
      </c>
      <c r="C121" s="1513" t="s">
        <v>1655</v>
      </c>
      <c r="D121" s="1489"/>
      <c r="E121" s="1567"/>
      <c r="F121" s="1593"/>
      <c r="G121" s="660"/>
      <c r="H121" s="1584" t="s">
        <v>3028</v>
      </c>
      <c r="I121" s="1633"/>
      <c r="J121" s="1584" t="s">
        <v>3807</v>
      </c>
      <c r="K121" s="1633"/>
      <c r="L121" s="1584" t="s">
        <v>3028</v>
      </c>
      <c r="M121" s="1634"/>
      <c r="N121" s="1584"/>
      <c r="O121" s="1633"/>
      <c r="P121" s="1584" t="s">
        <v>3806</v>
      </c>
      <c r="Q121" s="1633"/>
      <c r="R121" s="1584"/>
      <c r="S121" s="1633"/>
      <c r="T121" s="1584"/>
      <c r="U121" s="1633"/>
      <c r="V121" s="1584"/>
      <c r="W121" s="1633"/>
      <c r="X121" s="1584"/>
      <c r="Y121" s="1633"/>
    </row>
    <row r="122" spans="1:25">
      <c r="A122" s="1585"/>
      <c r="B122" s="1665" t="s">
        <v>3977</v>
      </c>
      <c r="C122" s="1513"/>
      <c r="D122" s="1489"/>
      <c r="E122" s="1567"/>
      <c r="F122" s="1593"/>
      <c r="G122" s="660"/>
      <c r="H122" s="1584"/>
      <c r="I122" s="1633"/>
      <c r="J122" s="1584"/>
      <c r="K122" s="1633"/>
      <c r="L122" s="1584"/>
      <c r="M122" s="1634"/>
      <c r="N122" s="1584"/>
      <c r="O122" s="1633"/>
      <c r="P122" s="1584"/>
      <c r="Q122" s="1633"/>
      <c r="R122" s="1584"/>
      <c r="S122" s="1633"/>
      <c r="T122" s="1584"/>
      <c r="U122" s="1633"/>
      <c r="V122" s="1584"/>
      <c r="W122" s="1633"/>
      <c r="X122" s="1584"/>
      <c r="Y122" s="1633"/>
    </row>
    <row r="123" spans="1:25" ht="62.25" customHeight="1">
      <c r="A123" s="1585"/>
      <c r="B123" s="1674" t="s">
        <v>3952</v>
      </c>
      <c r="C123" s="1513" t="s">
        <v>3978</v>
      </c>
      <c r="D123" s="1489"/>
      <c r="E123" s="1567"/>
      <c r="F123" s="1513"/>
      <c r="G123" s="660"/>
      <c r="H123" s="1584" t="s">
        <v>3028</v>
      </c>
      <c r="I123" s="1633"/>
      <c r="J123" s="1584" t="s">
        <v>3028</v>
      </c>
      <c r="K123" s="1633"/>
      <c r="L123" s="1584" t="s">
        <v>3028</v>
      </c>
      <c r="M123" s="1634"/>
      <c r="N123" s="1584"/>
      <c r="O123" s="1633"/>
      <c r="P123" s="1584" t="s">
        <v>3028</v>
      </c>
      <c r="Q123" s="1633"/>
      <c r="R123" s="1584"/>
      <c r="S123" s="1633"/>
      <c r="T123" s="1584"/>
      <c r="U123" s="1633"/>
      <c r="V123" s="1584"/>
      <c r="W123" s="1633"/>
      <c r="X123" s="1584"/>
      <c r="Y123" s="1633"/>
    </row>
    <row r="124" spans="1:25">
      <c r="A124" s="1585"/>
      <c r="B124" s="1674" t="s">
        <v>3878</v>
      </c>
      <c r="C124" s="1513" t="s">
        <v>3979</v>
      </c>
      <c r="D124" s="1489"/>
      <c r="E124" s="1567"/>
      <c r="F124" s="1593"/>
      <c r="G124" s="660"/>
      <c r="H124" s="1584" t="s">
        <v>3028</v>
      </c>
      <c r="I124" s="1633"/>
      <c r="J124" s="1584" t="s">
        <v>3028</v>
      </c>
      <c r="K124" s="1633"/>
      <c r="L124" s="1584" t="s">
        <v>3028</v>
      </c>
      <c r="M124" s="1634"/>
      <c r="N124" s="1584"/>
      <c r="O124" s="1633"/>
      <c r="P124" s="1584" t="s">
        <v>3806</v>
      </c>
      <c r="Q124" s="1633"/>
      <c r="R124" s="1584"/>
      <c r="S124" s="1633"/>
      <c r="T124" s="1584"/>
      <c r="U124" s="1633"/>
      <c r="V124" s="1584"/>
      <c r="W124" s="1633"/>
      <c r="X124" s="1584"/>
      <c r="Y124" s="1633"/>
    </row>
    <row r="125" spans="1:25">
      <c r="A125" s="1585"/>
      <c r="B125" s="1674" t="s">
        <v>3955</v>
      </c>
      <c r="C125" s="1513" t="s">
        <v>3980</v>
      </c>
      <c r="D125" s="1489"/>
      <c r="E125" s="1567"/>
      <c r="F125" s="1593"/>
      <c r="G125" s="660"/>
      <c r="H125" s="1584" t="s">
        <v>3028</v>
      </c>
      <c r="I125" s="1633"/>
      <c r="J125" s="1584" t="s">
        <v>3806</v>
      </c>
      <c r="K125" s="1633"/>
      <c r="L125" s="1584" t="s">
        <v>3028</v>
      </c>
      <c r="M125" s="1634"/>
      <c r="N125" s="1584"/>
      <c r="O125" s="1633"/>
      <c r="P125" s="1584" t="s">
        <v>3806</v>
      </c>
      <c r="Q125" s="1633"/>
      <c r="R125" s="1584"/>
      <c r="S125" s="1633"/>
      <c r="T125" s="1584"/>
      <c r="U125" s="1633"/>
      <c r="V125" s="1584"/>
      <c r="W125" s="1633"/>
      <c r="X125" s="1584"/>
      <c r="Y125" s="1633"/>
    </row>
    <row r="126" spans="1:25">
      <c r="A126" s="1585"/>
      <c r="B126" s="1674" t="s">
        <v>3957</v>
      </c>
      <c r="C126" s="1513" t="s">
        <v>3981</v>
      </c>
      <c r="D126" s="1489"/>
      <c r="E126" s="1567"/>
      <c r="F126" s="1593"/>
      <c r="G126" s="660"/>
      <c r="H126" s="1584" t="s">
        <v>3028</v>
      </c>
      <c r="I126" s="1633"/>
      <c r="J126" s="1584" t="s">
        <v>3028</v>
      </c>
      <c r="K126" s="1633"/>
      <c r="L126" s="1584" t="s">
        <v>3028</v>
      </c>
      <c r="M126" s="1634"/>
      <c r="N126" s="1584"/>
      <c r="O126" s="1633"/>
      <c r="P126" s="1584" t="s">
        <v>3806</v>
      </c>
      <c r="Q126" s="1633"/>
      <c r="R126" s="1584"/>
      <c r="S126" s="1633"/>
      <c r="T126" s="1584"/>
      <c r="U126" s="1633"/>
      <c r="V126" s="1584"/>
      <c r="W126" s="1633"/>
      <c r="X126" s="1584"/>
      <c r="Y126" s="1633"/>
    </row>
    <row r="127" spans="1:25" ht="30">
      <c r="A127" s="1585"/>
      <c r="B127" s="1674" t="s">
        <v>3982</v>
      </c>
      <c r="C127" s="1513" t="s">
        <v>3983</v>
      </c>
      <c r="D127" s="1489"/>
      <c r="E127" s="1567"/>
      <c r="F127" s="1593"/>
      <c r="G127" s="660"/>
      <c r="H127" s="1584" t="s">
        <v>3028</v>
      </c>
      <c r="I127" s="1633"/>
      <c r="J127" s="1584" t="s">
        <v>3028</v>
      </c>
      <c r="K127" s="1633"/>
      <c r="L127" s="1584" t="s">
        <v>3028</v>
      </c>
      <c r="M127" s="1634"/>
      <c r="N127" s="1584"/>
      <c r="O127" s="1633"/>
      <c r="P127" s="1584" t="s">
        <v>3028</v>
      </c>
      <c r="Q127" s="1633" t="s">
        <v>3528</v>
      </c>
      <c r="R127" s="1584"/>
      <c r="S127" s="1633"/>
      <c r="T127" s="1584"/>
      <c r="U127" s="1633"/>
      <c r="V127" s="1584"/>
      <c r="W127" s="1633"/>
      <c r="X127" s="1584"/>
      <c r="Y127" s="1633"/>
    </row>
    <row r="128" spans="1:25" ht="90">
      <c r="A128" s="1585"/>
      <c r="B128" s="1674" t="s">
        <v>3984</v>
      </c>
      <c r="C128" s="1513" t="s">
        <v>3985</v>
      </c>
      <c r="D128" s="1489"/>
      <c r="E128" s="1567"/>
      <c r="F128" s="1593"/>
      <c r="G128" s="660"/>
      <c r="H128" s="1584" t="s">
        <v>3028</v>
      </c>
      <c r="I128" s="1633"/>
      <c r="J128" s="1584" t="s">
        <v>3028</v>
      </c>
      <c r="K128" s="1633"/>
      <c r="L128" s="1584" t="s">
        <v>3028</v>
      </c>
      <c r="M128" s="1634"/>
      <c r="N128" s="1584"/>
      <c r="O128" s="1633"/>
      <c r="P128" s="1584" t="s">
        <v>3028</v>
      </c>
      <c r="Q128" s="1633" t="s">
        <v>3528</v>
      </c>
      <c r="R128" s="1584"/>
      <c r="S128" s="1633"/>
      <c r="T128" s="1584"/>
      <c r="U128" s="1633"/>
      <c r="V128" s="1584"/>
      <c r="W128" s="1633"/>
      <c r="X128" s="1584"/>
      <c r="Y128" s="1633"/>
    </row>
    <row r="129" spans="1:25">
      <c r="A129" s="1585"/>
      <c r="B129" s="1674" t="s">
        <v>3963</v>
      </c>
      <c r="C129" s="1513"/>
      <c r="D129" s="1489"/>
      <c r="E129" s="1567"/>
      <c r="F129" s="1593"/>
      <c r="G129" s="660"/>
      <c r="H129" s="1584" t="s">
        <v>3807</v>
      </c>
      <c r="I129" s="1642" t="s">
        <v>3964</v>
      </c>
      <c r="J129" s="1584" t="s">
        <v>3806</v>
      </c>
      <c r="K129" s="1633"/>
      <c r="L129" s="1584" t="s">
        <v>3028</v>
      </c>
      <c r="M129" s="1634" t="s">
        <v>3528</v>
      </c>
      <c r="N129" s="1584"/>
      <c r="O129" s="1633"/>
      <c r="P129" s="1584" t="s">
        <v>3806</v>
      </c>
      <c r="Q129" s="1633"/>
      <c r="R129" s="1584"/>
      <c r="S129" s="1633"/>
      <c r="T129" s="1584"/>
      <c r="U129" s="1633"/>
      <c r="V129" s="1584"/>
      <c r="W129" s="1633"/>
      <c r="X129" s="1584"/>
      <c r="Y129" s="1633"/>
    </row>
    <row r="130" spans="1:25" ht="30">
      <c r="A130" s="1585"/>
      <c r="B130" s="1674" t="s">
        <v>3986</v>
      </c>
      <c r="C130" s="1513" t="s">
        <v>3987</v>
      </c>
      <c r="D130" s="1489"/>
      <c r="E130" s="1567"/>
      <c r="F130" s="1513"/>
      <c r="G130" s="660"/>
      <c r="H130" s="1584" t="s">
        <v>3028</v>
      </c>
      <c r="I130" s="1633"/>
      <c r="J130" s="1584" t="s">
        <v>3806</v>
      </c>
      <c r="K130" s="1633"/>
      <c r="L130" s="1584" t="s">
        <v>3028</v>
      </c>
      <c r="M130" s="1634"/>
      <c r="N130" s="1584"/>
      <c r="O130" s="1633"/>
      <c r="P130" s="1584" t="s">
        <v>3028</v>
      </c>
      <c r="Q130" s="1633"/>
      <c r="R130" s="1584"/>
      <c r="S130" s="1633"/>
      <c r="T130" s="1584"/>
      <c r="U130" s="1633"/>
      <c r="V130" s="1584"/>
      <c r="W130" s="1633"/>
      <c r="X130" s="1584"/>
      <c r="Y130" s="1633"/>
    </row>
    <row r="131" spans="1:25" ht="30">
      <c r="A131" s="1585"/>
      <c r="B131" s="1674" t="s">
        <v>3988</v>
      </c>
      <c r="C131" s="1513" t="s">
        <v>3989</v>
      </c>
      <c r="D131" s="1489"/>
      <c r="E131" s="1567"/>
      <c r="F131" s="1513"/>
      <c r="G131" s="660"/>
      <c r="H131" s="1584" t="s">
        <v>3028</v>
      </c>
      <c r="I131" s="1633"/>
      <c r="J131" s="1584" t="s">
        <v>3806</v>
      </c>
      <c r="K131" s="1633"/>
      <c r="L131" s="1584" t="s">
        <v>3028</v>
      </c>
      <c r="M131" s="1634"/>
      <c r="N131" s="1584"/>
      <c r="O131" s="1633"/>
      <c r="P131" s="1584" t="s">
        <v>3806</v>
      </c>
      <c r="Q131" s="1633"/>
      <c r="R131" s="1584"/>
      <c r="S131" s="1633"/>
      <c r="T131" s="1584"/>
      <c r="U131" s="1633"/>
      <c r="V131" s="1584"/>
      <c r="W131" s="1633"/>
      <c r="X131" s="1584"/>
      <c r="Y131" s="1633"/>
    </row>
    <row r="132" spans="1:25" ht="30">
      <c r="A132" s="1585"/>
      <c r="B132" s="1674" t="s">
        <v>3990</v>
      </c>
      <c r="C132" s="1513" t="s">
        <v>3989</v>
      </c>
      <c r="D132" s="1489"/>
      <c r="E132" s="1567"/>
      <c r="F132" s="1513"/>
      <c r="G132" s="660"/>
      <c r="H132" s="1584" t="s">
        <v>3807</v>
      </c>
      <c r="I132" s="1642" t="s">
        <v>3902</v>
      </c>
      <c r="J132" s="1584" t="s">
        <v>3806</v>
      </c>
      <c r="K132" s="1633"/>
      <c r="L132" s="1584" t="s">
        <v>3807</v>
      </c>
      <c r="M132" s="1634" t="s">
        <v>3528</v>
      </c>
      <c r="N132" s="1584"/>
      <c r="O132" s="1633"/>
      <c r="P132" s="1584" t="s">
        <v>3806</v>
      </c>
      <c r="Q132" s="1633"/>
      <c r="R132" s="1584"/>
      <c r="S132" s="1633"/>
      <c r="T132" s="1584"/>
      <c r="U132" s="1633"/>
      <c r="V132" s="1584"/>
      <c r="W132" s="1633"/>
      <c r="X132" s="1584"/>
      <c r="Y132" s="1633"/>
    </row>
    <row r="133" spans="1:25" ht="30">
      <c r="A133" s="1657" t="s">
        <v>3833</v>
      </c>
      <c r="B133" s="1676" t="s">
        <v>3971</v>
      </c>
      <c r="C133" s="1651" t="s">
        <v>3991</v>
      </c>
      <c r="D133" s="1489"/>
      <c r="E133" s="1567"/>
      <c r="F133" s="1593"/>
      <c r="G133" s="660"/>
      <c r="H133" s="1584" t="s">
        <v>3028</v>
      </c>
      <c r="I133" s="1664" t="s">
        <v>3973</v>
      </c>
      <c r="J133" s="1584" t="s">
        <v>3806</v>
      </c>
      <c r="K133" s="1633"/>
      <c r="L133" s="1584" t="s">
        <v>3807</v>
      </c>
      <c r="M133" s="1634" t="s">
        <v>3528</v>
      </c>
      <c r="N133" s="1584"/>
      <c r="O133" s="1633"/>
      <c r="P133" s="1584" t="s">
        <v>3806</v>
      </c>
      <c r="Q133" s="1655"/>
      <c r="R133" s="1584"/>
      <c r="S133" s="1633"/>
      <c r="T133" s="1584"/>
      <c r="U133" s="1633"/>
      <c r="V133" s="1584"/>
      <c r="W133" s="1633"/>
      <c r="X133" s="1584"/>
      <c r="Y133" s="1633"/>
    </row>
    <row r="134" spans="1:25" ht="30">
      <c r="A134" s="1585"/>
      <c r="B134" s="1674" t="s">
        <v>3974</v>
      </c>
      <c r="C134" s="1513" t="s">
        <v>3975</v>
      </c>
      <c r="D134" s="1489"/>
      <c r="E134" s="1567"/>
      <c r="F134" s="1593"/>
      <c r="G134" s="660"/>
      <c r="H134" s="1584" t="s">
        <v>3028</v>
      </c>
      <c r="I134" s="1633"/>
      <c r="J134" s="1584" t="s">
        <v>3028</v>
      </c>
      <c r="K134" s="1633"/>
      <c r="L134" s="1584" t="s">
        <v>3028</v>
      </c>
      <c r="M134" s="1634"/>
      <c r="N134" s="1584"/>
      <c r="O134" s="1633"/>
      <c r="P134" s="1584" t="s">
        <v>3028</v>
      </c>
      <c r="Q134" s="1633"/>
      <c r="R134" s="1584"/>
      <c r="S134" s="1633"/>
      <c r="T134" s="1584"/>
      <c r="U134" s="1633"/>
      <c r="V134" s="1584"/>
      <c r="W134" s="1633"/>
      <c r="X134" s="1584"/>
      <c r="Y134" s="1633"/>
    </row>
    <row r="135" spans="1:25">
      <c r="A135" s="1683"/>
      <c r="B135" s="1676" t="s">
        <v>3976</v>
      </c>
      <c r="C135" s="1513" t="s">
        <v>1655</v>
      </c>
      <c r="D135" s="1489"/>
      <c r="E135" s="1567"/>
      <c r="F135" s="1593"/>
      <c r="G135" s="660"/>
      <c r="H135" s="1584" t="s">
        <v>3028</v>
      </c>
      <c r="I135" s="1633"/>
      <c r="J135" s="1584" t="s">
        <v>3807</v>
      </c>
      <c r="K135" s="1633"/>
      <c r="L135" s="1584" t="s">
        <v>3028</v>
      </c>
      <c r="M135" s="1634"/>
      <c r="N135" s="1584"/>
      <c r="O135" s="1633"/>
      <c r="P135" s="1584" t="s">
        <v>3806</v>
      </c>
      <c r="Q135" s="1633"/>
      <c r="R135" s="1584"/>
      <c r="S135" s="1633"/>
      <c r="T135" s="1584"/>
      <c r="U135" s="1633"/>
      <c r="V135" s="1584"/>
      <c r="W135" s="1633"/>
      <c r="X135" s="1584"/>
      <c r="Y135" s="1633"/>
    </row>
    <row r="136" spans="1:25">
      <c r="A136" s="1585"/>
      <c r="B136" s="1665" t="s">
        <v>3992</v>
      </c>
      <c r="C136" s="1513" t="s">
        <v>1807</v>
      </c>
      <c r="D136" s="1489"/>
      <c r="E136" s="1567"/>
      <c r="F136" s="1593"/>
      <c r="G136" s="660"/>
      <c r="H136" s="1584"/>
      <c r="I136" s="1633"/>
      <c r="J136" s="1584"/>
      <c r="K136" s="1633"/>
      <c r="L136" s="1584"/>
      <c r="M136" s="1634"/>
      <c r="N136" s="1584"/>
      <c r="O136" s="1633"/>
      <c r="P136" s="1584"/>
      <c r="Q136" s="1633"/>
      <c r="R136" s="1584"/>
      <c r="S136" s="1633"/>
      <c r="T136" s="1584"/>
      <c r="U136" s="1633"/>
      <c r="V136" s="1584"/>
      <c r="W136" s="1633"/>
      <c r="X136" s="1584"/>
      <c r="Y136" s="1633"/>
    </row>
    <row r="137" spans="1:25" ht="45">
      <c r="A137" s="1585"/>
      <c r="B137" s="1674" t="s">
        <v>3993</v>
      </c>
      <c r="C137" s="1513" t="s">
        <v>3994</v>
      </c>
      <c r="D137" s="1489"/>
      <c r="E137" s="1567"/>
      <c r="F137" s="1593"/>
      <c r="G137" s="660"/>
      <c r="H137" s="1584" t="s">
        <v>3028</v>
      </c>
      <c r="I137" s="1584"/>
      <c r="J137" s="1584" t="s">
        <v>3028</v>
      </c>
      <c r="K137" s="1633"/>
      <c r="L137" s="1584" t="s">
        <v>3028</v>
      </c>
      <c r="M137" s="1634"/>
      <c r="N137" s="1584"/>
      <c r="O137" s="1633"/>
      <c r="P137" s="1584" t="s">
        <v>3028</v>
      </c>
      <c r="Q137" s="1633" t="s">
        <v>3528</v>
      </c>
      <c r="R137" s="1584"/>
      <c r="S137" s="1633"/>
      <c r="T137" s="1584"/>
      <c r="U137" s="1633"/>
      <c r="V137" s="1584"/>
      <c r="W137" s="1633"/>
      <c r="X137" s="1584"/>
      <c r="Y137" s="1633"/>
    </row>
    <row r="138" spans="1:25">
      <c r="A138" s="1585"/>
      <c r="B138" s="1674" t="s">
        <v>3878</v>
      </c>
      <c r="C138" s="1513" t="s">
        <v>3995</v>
      </c>
      <c r="D138" s="1489"/>
      <c r="E138" s="1567"/>
      <c r="F138" s="1593"/>
      <c r="G138" s="660"/>
      <c r="H138" s="1584" t="s">
        <v>3028</v>
      </c>
      <c r="I138" s="1633"/>
      <c r="J138" s="1584" t="s">
        <v>3806</v>
      </c>
      <c r="K138" s="1633"/>
      <c r="L138" s="1584" t="s">
        <v>3028</v>
      </c>
      <c r="M138" s="1634"/>
      <c r="N138" s="1584"/>
      <c r="O138" s="1633"/>
      <c r="P138" s="1584" t="s">
        <v>3806</v>
      </c>
      <c r="Q138" s="1633"/>
      <c r="R138" s="1584"/>
      <c r="S138" s="1633"/>
      <c r="T138" s="1584"/>
      <c r="U138" s="1633"/>
      <c r="V138" s="1584"/>
      <c r="W138" s="1633"/>
      <c r="X138" s="1584"/>
      <c r="Y138" s="1633"/>
    </row>
    <row r="139" spans="1:25">
      <c r="A139" s="1585"/>
      <c r="B139" s="1679" t="s">
        <v>3996</v>
      </c>
      <c r="C139" s="1513" t="s">
        <v>1807</v>
      </c>
      <c r="D139" s="1685"/>
      <c r="E139" s="1567"/>
      <c r="F139" s="1593"/>
      <c r="G139" s="660"/>
      <c r="H139" s="1524"/>
      <c r="I139" s="1637"/>
      <c r="J139" s="1584"/>
      <c r="K139" s="1633"/>
      <c r="L139" s="1524"/>
      <c r="M139" s="1638"/>
      <c r="N139" s="1584"/>
      <c r="O139" s="1633"/>
      <c r="P139" s="1524"/>
      <c r="Q139" s="1637"/>
      <c r="R139" s="1524"/>
      <c r="S139" s="1637"/>
      <c r="T139" s="1524"/>
      <c r="U139" s="1637"/>
      <c r="V139" s="1524"/>
      <c r="W139" s="1637"/>
      <c r="X139" s="1584"/>
      <c r="Y139" s="1633"/>
    </row>
    <row r="140" spans="1:25" ht="30">
      <c r="A140" s="1585"/>
      <c r="B140" s="1674" t="s">
        <v>3997</v>
      </c>
      <c r="C140" s="1513" t="s">
        <v>3998</v>
      </c>
      <c r="D140" s="1489"/>
      <c r="E140" s="1567"/>
      <c r="F140" s="1593"/>
      <c r="G140" s="660"/>
      <c r="H140" s="1584" t="s">
        <v>3028</v>
      </c>
      <c r="I140" s="1633"/>
      <c r="J140" s="1584" t="s">
        <v>3806</v>
      </c>
      <c r="K140" s="1633"/>
      <c r="L140" s="1584" t="s">
        <v>3028</v>
      </c>
      <c r="M140" s="1634"/>
      <c r="N140" s="1584"/>
      <c r="O140" s="1633"/>
      <c r="P140" s="1584" t="s">
        <v>3806</v>
      </c>
      <c r="Q140" s="1633"/>
      <c r="R140" s="1584"/>
      <c r="S140" s="1633"/>
      <c r="T140" s="1584"/>
      <c r="U140" s="1633"/>
      <c r="V140" s="1584"/>
      <c r="W140" s="1633"/>
      <c r="X140" s="1584"/>
      <c r="Y140" s="1633"/>
    </row>
    <row r="141" spans="1:25">
      <c r="A141" s="1686"/>
      <c r="B141" s="1687" t="s">
        <v>3999</v>
      </c>
      <c r="C141" s="1513" t="s">
        <v>1807</v>
      </c>
      <c r="D141" s="1489"/>
      <c r="E141" s="1567"/>
      <c r="F141" s="1593"/>
      <c r="G141" s="660"/>
      <c r="H141" s="1584" t="s">
        <v>3807</v>
      </c>
      <c r="I141" s="1682" t="s">
        <v>4000</v>
      </c>
      <c r="J141" s="1584" t="s">
        <v>3806</v>
      </c>
      <c r="K141" s="1633"/>
      <c r="L141" s="1584" t="s">
        <v>3806</v>
      </c>
      <c r="M141" s="1634"/>
      <c r="N141" s="1584"/>
      <c r="O141" s="1633"/>
      <c r="P141" s="1584" t="s">
        <v>3807</v>
      </c>
      <c r="Q141" s="1633"/>
      <c r="R141" s="1584"/>
      <c r="S141" s="1633"/>
      <c r="T141" s="1584"/>
      <c r="U141" s="1633"/>
      <c r="V141" s="1584"/>
      <c r="W141" s="1633"/>
      <c r="X141" s="1584"/>
      <c r="Y141" s="1633"/>
    </row>
    <row r="142" spans="1:25" ht="30">
      <c r="A142" s="1585"/>
      <c r="B142" s="1674" t="s">
        <v>4001</v>
      </c>
      <c r="C142" s="1513" t="s">
        <v>4002</v>
      </c>
      <c r="D142" s="1489"/>
      <c r="E142" s="1567"/>
      <c r="F142" s="1593"/>
      <c r="G142" s="660"/>
      <c r="H142" s="1584" t="s">
        <v>3028</v>
      </c>
      <c r="I142" s="1633"/>
      <c r="J142" s="1584" t="s">
        <v>3806</v>
      </c>
      <c r="K142" s="1633"/>
      <c r="L142" s="1584" t="s">
        <v>3028</v>
      </c>
      <c r="M142" s="1634"/>
      <c r="N142" s="1584"/>
      <c r="O142" s="1633"/>
      <c r="P142" s="1584" t="s">
        <v>3806</v>
      </c>
      <c r="Q142" s="1633"/>
      <c r="R142" s="1584"/>
      <c r="S142" s="1633"/>
      <c r="T142" s="1584"/>
      <c r="U142" s="1633"/>
      <c r="V142" s="1584"/>
      <c r="W142" s="1633"/>
      <c r="X142" s="1584"/>
      <c r="Y142" s="1633"/>
    </row>
    <row r="143" spans="1:25">
      <c r="A143" s="1585"/>
      <c r="B143" s="1674" t="s">
        <v>4003</v>
      </c>
      <c r="C143" s="1513" t="s">
        <v>4004</v>
      </c>
      <c r="D143" s="1489"/>
      <c r="E143" s="1567"/>
      <c r="F143" s="1593"/>
      <c r="G143" s="660"/>
      <c r="H143" s="1584" t="s">
        <v>3028</v>
      </c>
      <c r="I143" s="1633"/>
      <c r="J143" s="1584" t="s">
        <v>3806</v>
      </c>
      <c r="K143" s="1633"/>
      <c r="L143" s="1584" t="s">
        <v>3028</v>
      </c>
      <c r="M143" s="1634"/>
      <c r="N143" s="1584"/>
      <c r="O143" s="1633"/>
      <c r="P143" s="1584" t="s">
        <v>3807</v>
      </c>
      <c r="Q143" s="1633" t="s">
        <v>3528</v>
      </c>
      <c r="R143" s="1584"/>
      <c r="S143" s="1633"/>
      <c r="T143" s="1584"/>
      <c r="U143" s="1633"/>
      <c r="V143" s="1584"/>
      <c r="W143" s="1633"/>
      <c r="X143" s="1584"/>
      <c r="Y143" s="1633"/>
    </row>
    <row r="144" spans="1:25" ht="45">
      <c r="A144" s="1585"/>
      <c r="B144" s="1674" t="s">
        <v>4005</v>
      </c>
      <c r="C144" s="1513" t="s">
        <v>4006</v>
      </c>
      <c r="D144" s="1489"/>
      <c r="E144" s="1567"/>
      <c r="F144" s="1593"/>
      <c r="G144" s="660"/>
      <c r="H144" s="1584" t="s">
        <v>3028</v>
      </c>
      <c r="I144" s="1633"/>
      <c r="J144" s="1584" t="s">
        <v>3028</v>
      </c>
      <c r="K144" s="1633"/>
      <c r="L144" s="1584" t="s">
        <v>3028</v>
      </c>
      <c r="M144" s="1634"/>
      <c r="N144" s="1584"/>
      <c r="O144" s="1633"/>
      <c r="P144" s="1584" t="s">
        <v>3806</v>
      </c>
      <c r="Q144" s="1633"/>
      <c r="R144" s="1584"/>
      <c r="S144" s="1633"/>
      <c r="T144" s="1584"/>
      <c r="U144" s="1633"/>
      <c r="V144" s="1584"/>
      <c r="W144" s="1633"/>
      <c r="X144" s="1584"/>
      <c r="Y144" s="1633"/>
    </row>
    <row r="145" spans="1:25">
      <c r="A145" s="1681" t="s">
        <v>3833</v>
      </c>
      <c r="B145" s="1676" t="s">
        <v>4007</v>
      </c>
      <c r="C145" s="1513" t="s">
        <v>4008</v>
      </c>
      <c r="D145" s="1489"/>
      <c r="E145" s="1567"/>
      <c r="F145" s="1593"/>
      <c r="G145" s="660"/>
      <c r="H145" s="1584" t="s">
        <v>3807</v>
      </c>
      <c r="I145" s="1633"/>
      <c r="J145" s="1584" t="s">
        <v>3807</v>
      </c>
      <c r="K145" s="1633"/>
      <c r="L145" s="1584" t="s">
        <v>3807</v>
      </c>
      <c r="M145" s="1634"/>
      <c r="N145" s="1584"/>
      <c r="O145" s="1633"/>
      <c r="P145" s="1584" t="s">
        <v>3807</v>
      </c>
      <c r="Q145" s="1633"/>
      <c r="R145" s="1584"/>
      <c r="S145" s="1633"/>
      <c r="T145" s="1584"/>
      <c r="U145" s="1633"/>
      <c r="V145" s="1584"/>
      <c r="W145" s="1633"/>
      <c r="X145" s="1584"/>
      <c r="Y145" s="1633"/>
    </row>
    <row r="146" spans="1:25">
      <c r="A146" s="1585"/>
      <c r="B146" s="1674" t="s">
        <v>4009</v>
      </c>
      <c r="C146" s="1513" t="s">
        <v>4010</v>
      </c>
      <c r="D146" s="1489"/>
      <c r="E146" s="1567"/>
      <c r="F146" s="1593"/>
      <c r="G146" s="660"/>
      <c r="H146" s="1584" t="s">
        <v>3028</v>
      </c>
      <c r="I146" s="1633"/>
      <c r="J146" s="1584" t="s">
        <v>3028</v>
      </c>
      <c r="K146" s="1633"/>
      <c r="L146" s="1584" t="s">
        <v>3028</v>
      </c>
      <c r="M146" s="1634"/>
      <c r="N146" s="1584"/>
      <c r="O146" s="1633"/>
      <c r="P146" s="1584" t="s">
        <v>3806</v>
      </c>
      <c r="Q146" s="1633"/>
      <c r="R146" s="1584"/>
      <c r="S146" s="1633"/>
      <c r="T146" s="1584"/>
      <c r="U146" s="1633"/>
      <c r="V146" s="1584"/>
      <c r="W146" s="1633"/>
      <c r="X146" s="1584"/>
      <c r="Y146" s="1633"/>
    </row>
    <row r="147" spans="1:25">
      <c r="A147" s="1681" t="s">
        <v>3833</v>
      </c>
      <c r="B147" s="1676" t="s">
        <v>4011</v>
      </c>
      <c r="C147" s="1513" t="s">
        <v>1655</v>
      </c>
      <c r="D147" s="1489"/>
      <c r="E147" s="1567"/>
      <c r="F147" s="1593"/>
      <c r="G147" s="660"/>
      <c r="H147" s="1584" t="s">
        <v>3028</v>
      </c>
      <c r="I147" s="1633"/>
      <c r="J147" s="1584" t="s">
        <v>3806</v>
      </c>
      <c r="K147" s="1633"/>
      <c r="L147" s="1584" t="s">
        <v>3807</v>
      </c>
      <c r="M147" s="1634" t="s">
        <v>3528</v>
      </c>
      <c r="N147" s="1584"/>
      <c r="O147" s="1633"/>
      <c r="P147" s="1584" t="s">
        <v>3806</v>
      </c>
      <c r="Q147" s="1633"/>
      <c r="R147" s="1584"/>
      <c r="S147" s="1633"/>
      <c r="T147" s="1584"/>
      <c r="U147" s="1633"/>
      <c r="V147" s="1584"/>
      <c r="W147" s="1633"/>
      <c r="X147" s="1584"/>
      <c r="Y147" s="1633"/>
    </row>
    <row r="148" spans="1:25">
      <c r="A148" s="1585"/>
      <c r="B148" s="1679" t="s">
        <v>4012</v>
      </c>
      <c r="C148" s="1513" t="s">
        <v>1809</v>
      </c>
      <c r="D148" s="1685"/>
      <c r="E148" s="1567"/>
      <c r="F148" s="1593"/>
      <c r="G148" s="660"/>
      <c r="H148" s="1524"/>
      <c r="I148" s="1637"/>
      <c r="J148" s="1524"/>
      <c r="K148" s="1637"/>
      <c r="L148" s="1524"/>
      <c r="M148" s="1638"/>
      <c r="N148" s="1524"/>
      <c r="O148" s="1637"/>
      <c r="P148" s="1688"/>
      <c r="Q148" s="1689"/>
      <c r="R148" s="1524"/>
      <c r="S148" s="1637"/>
      <c r="T148" s="1524"/>
      <c r="U148" s="1637"/>
      <c r="V148" s="1524"/>
      <c r="W148" s="1637"/>
      <c r="X148" s="1584"/>
      <c r="Y148" s="1633"/>
    </row>
    <row r="149" spans="1:25" ht="30">
      <c r="A149" s="1585"/>
      <c r="B149" s="1674" t="s">
        <v>4013</v>
      </c>
      <c r="C149" s="1513" t="s">
        <v>4014</v>
      </c>
      <c r="D149" s="1489"/>
      <c r="E149" s="1567"/>
      <c r="F149" s="1593"/>
      <c r="G149" s="660"/>
      <c r="H149" s="1584" t="s">
        <v>3028</v>
      </c>
      <c r="I149" s="1633"/>
      <c r="J149" s="1584" t="s">
        <v>3028</v>
      </c>
      <c r="K149" s="1633"/>
      <c r="L149" s="1584" t="s">
        <v>3028</v>
      </c>
      <c r="M149" s="1634"/>
      <c r="N149" s="1584"/>
      <c r="O149" s="1633"/>
      <c r="P149" s="1584"/>
      <c r="Q149" s="1633"/>
      <c r="R149" s="1584"/>
      <c r="S149" s="1633"/>
      <c r="T149" s="1584"/>
      <c r="U149" s="1633"/>
      <c r="V149" s="1584"/>
      <c r="W149" s="1633"/>
      <c r="X149" s="1584"/>
      <c r="Y149" s="1633"/>
    </row>
    <row r="150" spans="1:25">
      <c r="A150" s="1585"/>
      <c r="B150" s="1665" t="s">
        <v>4015</v>
      </c>
      <c r="C150" s="1513" t="s">
        <v>1809</v>
      </c>
      <c r="D150" s="1489"/>
      <c r="E150" s="1567"/>
      <c r="F150" s="1593"/>
      <c r="G150" s="660"/>
      <c r="H150" s="1584"/>
      <c r="I150" s="1633"/>
      <c r="J150" s="1584"/>
      <c r="K150" s="1633"/>
      <c r="L150" s="1584"/>
      <c r="M150" s="1634"/>
      <c r="N150" s="1584"/>
      <c r="O150" s="1633"/>
      <c r="P150" s="1584"/>
      <c r="Q150" s="1633"/>
      <c r="R150" s="1584"/>
      <c r="S150" s="1633"/>
      <c r="T150" s="1584"/>
      <c r="U150" s="1633"/>
      <c r="V150" s="1584"/>
      <c r="W150" s="1633"/>
      <c r="X150" s="1584"/>
      <c r="Y150" s="1633"/>
    </row>
    <row r="151" spans="1:25" ht="30">
      <c r="A151" s="1690"/>
      <c r="B151" s="1680" t="s">
        <v>4016</v>
      </c>
      <c r="C151" s="1513" t="s">
        <v>4017</v>
      </c>
      <c r="D151" s="1489"/>
      <c r="E151" s="1567"/>
      <c r="F151" s="1593"/>
      <c r="G151" s="660"/>
      <c r="H151" s="1584" t="s">
        <v>3028</v>
      </c>
      <c r="I151" s="1633"/>
      <c r="J151" s="1584" t="s">
        <v>3028</v>
      </c>
      <c r="K151" s="1633"/>
      <c r="L151" s="1584" t="s">
        <v>3028</v>
      </c>
      <c r="M151" s="1634"/>
      <c r="N151" s="1584"/>
      <c r="O151" s="1633"/>
      <c r="P151" s="1584"/>
      <c r="Q151" s="1633"/>
      <c r="R151" s="1584"/>
      <c r="S151" s="1633"/>
      <c r="T151" s="1584"/>
      <c r="U151" s="1633"/>
      <c r="V151" s="1584"/>
      <c r="W151" s="1633"/>
      <c r="X151" s="1584"/>
      <c r="Y151" s="1633"/>
    </row>
    <row r="152" spans="1:25">
      <c r="A152" s="1585"/>
      <c r="B152" s="1674" t="s">
        <v>3895</v>
      </c>
      <c r="C152" s="1513" t="s">
        <v>4018</v>
      </c>
      <c r="D152" s="1489"/>
      <c r="E152" s="1567"/>
      <c r="F152" s="1593"/>
      <c r="G152" s="660"/>
      <c r="H152" s="1584" t="s">
        <v>3028</v>
      </c>
      <c r="I152" s="1633"/>
      <c r="J152" s="1584" t="s">
        <v>3028</v>
      </c>
      <c r="K152" s="1633"/>
      <c r="L152" s="1584" t="s">
        <v>3028</v>
      </c>
      <c r="M152" s="1634"/>
      <c r="N152" s="1584"/>
      <c r="O152" s="1633"/>
      <c r="P152" s="1584"/>
      <c r="Q152" s="1633"/>
      <c r="R152" s="1584"/>
      <c r="S152" s="1633"/>
      <c r="T152" s="1584"/>
      <c r="U152" s="1633"/>
      <c r="V152" s="1584"/>
      <c r="W152" s="1633"/>
      <c r="X152" s="1584"/>
      <c r="Y152" s="1633"/>
    </row>
    <row r="153" spans="1:25">
      <c r="A153" s="1585"/>
      <c r="B153" s="1674" t="s">
        <v>4019</v>
      </c>
      <c r="C153" s="1513" t="s">
        <v>4020</v>
      </c>
      <c r="D153" s="1489"/>
      <c r="E153" s="1567"/>
      <c r="F153" s="1593"/>
      <c r="G153" s="660"/>
      <c r="H153" s="1584" t="s">
        <v>3028</v>
      </c>
      <c r="I153" s="1633"/>
      <c r="J153" s="1584" t="s">
        <v>3028</v>
      </c>
      <c r="K153" s="1633"/>
      <c r="L153" s="1584" t="s">
        <v>3028</v>
      </c>
      <c r="M153" s="1634"/>
      <c r="N153" s="1584"/>
      <c r="O153" s="1633"/>
      <c r="P153" s="1584"/>
      <c r="Q153" s="1633"/>
      <c r="R153" s="1584"/>
      <c r="S153" s="1633"/>
      <c r="T153" s="1584"/>
      <c r="U153" s="1633"/>
      <c r="V153" s="1584"/>
      <c r="W153" s="1633"/>
      <c r="X153" s="1584"/>
      <c r="Y153" s="1633"/>
    </row>
    <row r="154" spans="1:25" ht="30">
      <c r="A154" s="1585"/>
      <c r="B154" s="1674" t="s">
        <v>4021</v>
      </c>
      <c r="C154" s="1513" t="s">
        <v>4022</v>
      </c>
      <c r="D154" s="1489"/>
      <c r="E154" s="1567"/>
      <c r="F154" s="1593"/>
      <c r="G154" s="660"/>
      <c r="H154" s="1584" t="s">
        <v>3028</v>
      </c>
      <c r="I154" s="1633"/>
      <c r="J154" s="1584" t="s">
        <v>3028</v>
      </c>
      <c r="K154" s="1633"/>
      <c r="L154" s="1584" t="s">
        <v>3028</v>
      </c>
      <c r="M154" s="1634"/>
      <c r="N154" s="1584"/>
      <c r="O154" s="1633"/>
      <c r="P154" s="1584"/>
      <c r="Q154" s="1633"/>
      <c r="R154" s="1584"/>
      <c r="S154" s="1633"/>
      <c r="T154" s="1584"/>
      <c r="U154" s="1633"/>
      <c r="V154" s="1584"/>
      <c r="W154" s="1633"/>
      <c r="X154" s="1584"/>
      <c r="Y154" s="1633"/>
    </row>
    <row r="155" spans="1:25" ht="30">
      <c r="A155" s="1683"/>
      <c r="B155" s="1676" t="s">
        <v>4023</v>
      </c>
      <c r="C155" s="1513" t="s">
        <v>4024</v>
      </c>
      <c r="D155" s="1489"/>
      <c r="E155" s="1567"/>
      <c r="F155" s="1593"/>
      <c r="G155" s="660"/>
      <c r="H155" s="1584" t="s">
        <v>3807</v>
      </c>
      <c r="I155" s="1642" t="s">
        <v>3902</v>
      </c>
      <c r="J155" s="1584" t="s">
        <v>3028</v>
      </c>
      <c r="K155" s="1633" t="s">
        <v>3806</v>
      </c>
      <c r="L155" s="1584" t="s">
        <v>3807</v>
      </c>
      <c r="M155" s="1634"/>
      <c r="N155" s="1584"/>
      <c r="O155" s="1633"/>
      <c r="P155" s="1584"/>
      <c r="Q155" s="1633"/>
      <c r="R155" s="1584"/>
      <c r="S155" s="1633"/>
      <c r="T155" s="1584"/>
      <c r="U155" s="1633"/>
      <c r="V155" s="1584"/>
      <c r="W155" s="1633"/>
      <c r="X155" s="1584"/>
      <c r="Y155" s="1633"/>
    </row>
    <row r="156" spans="1:25" ht="30">
      <c r="A156" s="1683"/>
      <c r="B156" s="1676" t="s">
        <v>4025</v>
      </c>
      <c r="C156" s="1513" t="s">
        <v>4022</v>
      </c>
      <c r="D156" s="1489"/>
      <c r="E156" s="1567"/>
      <c r="F156" s="1593"/>
      <c r="G156" s="660"/>
      <c r="H156" s="1584" t="s">
        <v>3807</v>
      </c>
      <c r="I156" s="1642" t="s">
        <v>3902</v>
      </c>
      <c r="J156" s="1584" t="s">
        <v>3028</v>
      </c>
      <c r="K156" s="1633" t="s">
        <v>3806</v>
      </c>
      <c r="L156" s="1584" t="s">
        <v>3807</v>
      </c>
      <c r="M156" s="1634"/>
      <c r="N156" s="1584"/>
      <c r="O156" s="1633"/>
      <c r="P156" s="1584"/>
      <c r="Q156" s="1633"/>
      <c r="R156" s="1584"/>
      <c r="S156" s="1633"/>
      <c r="T156" s="1584"/>
      <c r="U156" s="1633"/>
      <c r="V156" s="1584"/>
      <c r="W156" s="1633"/>
      <c r="X156" s="1584"/>
      <c r="Y156" s="1633"/>
    </row>
    <row r="157" spans="1:25" ht="30">
      <c r="A157" s="1585"/>
      <c r="B157" s="1680" t="s">
        <v>4026</v>
      </c>
      <c r="C157" s="1513" t="s">
        <v>4027</v>
      </c>
      <c r="D157" s="1489"/>
      <c r="E157" s="1567"/>
      <c r="F157" s="1593"/>
      <c r="G157" s="660"/>
      <c r="H157" s="1584" t="s">
        <v>3028</v>
      </c>
      <c r="I157" s="1633"/>
      <c r="J157" s="1584" t="s">
        <v>3028</v>
      </c>
      <c r="K157" s="1633"/>
      <c r="L157" s="1584" t="s">
        <v>3028</v>
      </c>
      <c r="M157" s="1634"/>
      <c r="N157" s="1584"/>
      <c r="O157" s="1633"/>
      <c r="P157" s="1584"/>
      <c r="Q157" s="1633"/>
      <c r="R157" s="1584"/>
      <c r="S157" s="1633"/>
      <c r="T157" s="1584"/>
      <c r="U157" s="1633"/>
      <c r="V157" s="1584"/>
      <c r="W157" s="1633"/>
      <c r="X157" s="1584"/>
      <c r="Y157" s="1633"/>
    </row>
    <row r="158" spans="1:25" ht="45">
      <c r="A158" s="1585"/>
      <c r="B158" s="1674" t="s">
        <v>4028</v>
      </c>
      <c r="C158" s="1513" t="s">
        <v>4029</v>
      </c>
      <c r="D158" s="1489"/>
      <c r="E158" s="1567"/>
      <c r="F158" s="1593"/>
      <c r="G158" s="660"/>
      <c r="H158" s="1584" t="s">
        <v>3028</v>
      </c>
      <c r="I158" s="1633"/>
      <c r="J158" s="1584" t="s">
        <v>3028</v>
      </c>
      <c r="K158" s="1633"/>
      <c r="L158" s="1584" t="s">
        <v>3028</v>
      </c>
      <c r="M158" s="1634"/>
      <c r="N158" s="1584"/>
      <c r="O158" s="1633"/>
      <c r="P158" s="1584"/>
      <c r="Q158" s="1633"/>
      <c r="R158" s="1584"/>
      <c r="S158" s="1633"/>
      <c r="T158" s="1584"/>
      <c r="U158" s="1633"/>
      <c r="V158" s="1584"/>
      <c r="W158" s="1633"/>
      <c r="X158" s="1584"/>
      <c r="Y158" s="1633"/>
    </row>
    <row r="159" spans="1:25">
      <c r="A159" s="1585"/>
      <c r="B159" s="1665" t="s">
        <v>4030</v>
      </c>
      <c r="C159" s="1513" t="s">
        <v>1809</v>
      </c>
      <c r="D159" s="1489"/>
      <c r="E159" s="1567"/>
      <c r="F159" s="1593"/>
      <c r="G159" s="660"/>
      <c r="H159" s="1584" t="s">
        <v>3807</v>
      </c>
      <c r="I159" s="1633"/>
      <c r="J159" s="1584" t="s">
        <v>3028</v>
      </c>
      <c r="K159" s="1633" t="s">
        <v>3806</v>
      </c>
      <c r="L159" s="1584" t="s">
        <v>3028</v>
      </c>
      <c r="M159" s="1647">
        <v>-115576</v>
      </c>
      <c r="N159" s="1584"/>
      <c r="O159" s="1633"/>
      <c r="P159" s="1584"/>
      <c r="Q159" s="1633"/>
      <c r="R159" s="1584"/>
      <c r="S159" s="1633"/>
      <c r="T159" s="1584"/>
      <c r="U159" s="1633"/>
      <c r="V159" s="1584"/>
      <c r="W159" s="1633"/>
      <c r="X159" s="1584"/>
      <c r="Y159" s="1633"/>
    </row>
    <row r="160" spans="1:25" ht="30">
      <c r="A160" s="1585"/>
      <c r="B160" s="1674" t="s">
        <v>4031</v>
      </c>
      <c r="C160" s="1513" t="s">
        <v>4032</v>
      </c>
      <c r="D160" s="1489"/>
      <c r="E160" s="1567"/>
      <c r="F160" s="1593"/>
      <c r="G160" s="660"/>
      <c r="H160" s="1584" t="s">
        <v>3028</v>
      </c>
      <c r="I160" s="1633"/>
      <c r="J160" s="1584" t="s">
        <v>3028</v>
      </c>
      <c r="K160" s="1633"/>
      <c r="L160" s="1584" t="s">
        <v>3028</v>
      </c>
      <c r="M160" s="1634"/>
      <c r="N160" s="1584"/>
      <c r="O160" s="1633"/>
      <c r="P160" s="1584"/>
      <c r="Q160" s="1633"/>
      <c r="R160" s="1584"/>
      <c r="S160" s="1633"/>
      <c r="T160" s="1584"/>
      <c r="U160" s="1633"/>
      <c r="V160" s="1584"/>
      <c r="W160" s="1633"/>
      <c r="X160" s="1584"/>
      <c r="Y160" s="1633"/>
    </row>
    <row r="161" spans="1:25">
      <c r="A161" s="1683"/>
      <c r="B161" s="1676" t="s">
        <v>4033</v>
      </c>
      <c r="C161" s="1513"/>
      <c r="D161" s="1489"/>
      <c r="E161" s="1567"/>
      <c r="F161" s="1593"/>
      <c r="G161" s="660"/>
      <c r="H161" s="1584" t="s">
        <v>3807</v>
      </c>
      <c r="I161" s="1642" t="s">
        <v>3902</v>
      </c>
      <c r="J161" s="1584" t="s">
        <v>3028</v>
      </c>
      <c r="K161" s="1633" t="s">
        <v>3806</v>
      </c>
      <c r="L161" s="1584" t="s">
        <v>3807</v>
      </c>
      <c r="M161" s="1634"/>
      <c r="N161" s="1584"/>
      <c r="O161" s="1633"/>
      <c r="P161" s="1584"/>
      <c r="Q161" s="1633"/>
      <c r="R161" s="1584"/>
      <c r="S161" s="1633"/>
      <c r="T161" s="1584"/>
      <c r="U161" s="1633"/>
      <c r="V161" s="1584"/>
      <c r="W161" s="1633"/>
      <c r="X161" s="1584"/>
      <c r="Y161" s="1633"/>
    </row>
    <row r="162" spans="1:25">
      <c r="A162" s="1585"/>
      <c r="B162" s="1679" t="s">
        <v>4034</v>
      </c>
      <c r="C162" s="1513" t="s">
        <v>1809</v>
      </c>
      <c r="D162" s="1489"/>
      <c r="E162" s="1567"/>
      <c r="F162" s="1593"/>
      <c r="G162" s="660"/>
      <c r="H162" s="1584" t="s">
        <v>3807</v>
      </c>
      <c r="I162" s="1633"/>
      <c r="J162" s="1584" t="s">
        <v>3028</v>
      </c>
      <c r="K162" s="1633" t="s">
        <v>3806</v>
      </c>
      <c r="L162" s="1584" t="s">
        <v>3028</v>
      </c>
      <c r="M162" s="1647">
        <v>-120199.03999999999</v>
      </c>
      <c r="N162" s="1584"/>
      <c r="O162" s="1633"/>
      <c r="P162" s="1584"/>
      <c r="Q162" s="1633"/>
      <c r="R162" s="1584"/>
      <c r="S162" s="1633"/>
      <c r="T162" s="1584"/>
      <c r="U162" s="1633"/>
      <c r="V162" s="1584"/>
      <c r="W162" s="1633"/>
      <c r="X162" s="1584"/>
      <c r="Y162" s="1633"/>
    </row>
    <row r="163" spans="1:25" ht="30">
      <c r="A163" s="1585"/>
      <c r="B163" s="1676" t="s">
        <v>4031</v>
      </c>
      <c r="C163" s="1513" t="s">
        <v>4032</v>
      </c>
      <c r="D163" s="1489"/>
      <c r="E163" s="1567"/>
      <c r="F163" s="1593"/>
      <c r="G163" s="660"/>
      <c r="H163" s="1584" t="s">
        <v>3028</v>
      </c>
      <c r="I163" s="1633"/>
      <c r="J163" s="1584" t="s">
        <v>3028</v>
      </c>
      <c r="K163" s="1633"/>
      <c r="L163" s="1584" t="s">
        <v>3028</v>
      </c>
      <c r="M163" s="1634"/>
      <c r="N163" s="1584"/>
      <c r="O163" s="1633"/>
      <c r="P163" s="1584"/>
      <c r="Q163" s="1633"/>
      <c r="R163" s="1584"/>
      <c r="S163" s="1633"/>
      <c r="T163" s="1584"/>
      <c r="U163" s="1633"/>
      <c r="V163" s="1584"/>
      <c r="W163" s="1633"/>
      <c r="X163" s="1584"/>
      <c r="Y163" s="1633"/>
    </row>
    <row r="164" spans="1:25">
      <c r="A164" s="1683"/>
      <c r="B164" s="1676" t="s">
        <v>4033</v>
      </c>
      <c r="C164" s="1513"/>
      <c r="D164" s="1489"/>
      <c r="E164" s="1567"/>
      <c r="F164" s="1593"/>
      <c r="G164" s="660"/>
      <c r="H164" s="1584" t="s">
        <v>3807</v>
      </c>
      <c r="I164" s="1642" t="s">
        <v>3902</v>
      </c>
      <c r="J164" s="1584" t="s">
        <v>3028</v>
      </c>
      <c r="K164" s="1633"/>
      <c r="L164" s="1584" t="s">
        <v>3807</v>
      </c>
      <c r="M164" s="1634"/>
      <c r="N164" s="1584"/>
      <c r="O164" s="1633"/>
      <c r="P164" s="1584"/>
      <c r="Q164" s="1633"/>
      <c r="R164" s="1584"/>
      <c r="S164" s="1633"/>
      <c r="T164" s="1584"/>
      <c r="U164" s="1633"/>
      <c r="V164" s="1584"/>
      <c r="W164" s="1633"/>
      <c r="X164" s="1584"/>
      <c r="Y164" s="1633"/>
    </row>
    <row r="165" spans="1:25">
      <c r="A165" s="1585"/>
      <c r="B165" s="1665" t="s">
        <v>4035</v>
      </c>
      <c r="C165" s="1513" t="s">
        <v>1809</v>
      </c>
      <c r="D165" s="1489"/>
      <c r="E165" s="1567"/>
      <c r="F165" s="1593"/>
      <c r="G165" s="660"/>
      <c r="H165" s="1584" t="s">
        <v>3807</v>
      </c>
      <c r="I165" s="1633"/>
      <c r="J165" s="1584"/>
      <c r="K165" s="1633"/>
      <c r="L165" s="1584"/>
      <c r="M165" s="1634"/>
      <c r="N165" s="1584"/>
      <c r="O165" s="1633"/>
      <c r="P165" s="1584"/>
      <c r="Q165" s="1633"/>
      <c r="R165" s="1584"/>
      <c r="S165" s="1633"/>
      <c r="T165" s="1584"/>
      <c r="U165" s="1633"/>
      <c r="V165" s="1584"/>
      <c r="W165" s="1633"/>
      <c r="X165" s="1584"/>
      <c r="Y165" s="1633"/>
    </row>
    <row r="166" spans="1:25">
      <c r="A166" s="1585"/>
      <c r="B166" s="1674" t="s">
        <v>3895</v>
      </c>
      <c r="C166" s="1513" t="s">
        <v>4036</v>
      </c>
      <c r="D166" s="1489"/>
      <c r="E166" s="1567"/>
      <c r="F166" s="1593"/>
      <c r="G166" s="660"/>
      <c r="H166" s="1584" t="s">
        <v>3028</v>
      </c>
      <c r="I166" s="1633"/>
      <c r="J166" s="1584" t="s">
        <v>3806</v>
      </c>
      <c r="K166" s="1633"/>
      <c r="L166" s="1584" t="s">
        <v>3028</v>
      </c>
      <c r="M166" s="1634"/>
      <c r="N166" s="1584"/>
      <c r="O166" s="1633"/>
      <c r="P166" s="1584"/>
      <c r="Q166" s="1633"/>
      <c r="R166" s="1584"/>
      <c r="S166" s="1633"/>
      <c r="T166" s="1584"/>
      <c r="U166" s="1633"/>
      <c r="V166" s="1584"/>
      <c r="W166" s="1633"/>
      <c r="X166" s="1584"/>
      <c r="Y166" s="1633"/>
    </row>
    <row r="167" spans="1:25">
      <c r="A167" s="1585"/>
      <c r="B167" s="1674" t="s">
        <v>4019</v>
      </c>
      <c r="C167" s="1513" t="s">
        <v>4036</v>
      </c>
      <c r="D167" s="1489"/>
      <c r="E167" s="1567"/>
      <c r="F167" s="1593"/>
      <c r="G167" s="660"/>
      <c r="H167" s="1584" t="s">
        <v>3028</v>
      </c>
      <c r="I167" s="1633"/>
      <c r="J167" s="1584" t="s">
        <v>3806</v>
      </c>
      <c r="K167" s="1633"/>
      <c r="L167" s="1584" t="s">
        <v>3028</v>
      </c>
      <c r="M167" s="1634"/>
      <c r="N167" s="1584"/>
      <c r="O167" s="1633"/>
      <c r="P167" s="1584"/>
      <c r="Q167" s="1633"/>
      <c r="R167" s="1584"/>
      <c r="S167" s="1633"/>
      <c r="T167" s="1584"/>
      <c r="U167" s="1633"/>
      <c r="V167" s="1584"/>
      <c r="W167" s="1633"/>
      <c r="X167" s="1584"/>
      <c r="Y167" s="1633"/>
    </row>
    <row r="168" spans="1:25" ht="30">
      <c r="A168" s="1585"/>
      <c r="B168" s="1674" t="s">
        <v>4037</v>
      </c>
      <c r="C168" s="1513" t="s">
        <v>4038</v>
      </c>
      <c r="D168" s="1489"/>
      <c r="E168" s="1567"/>
      <c r="F168" s="1593"/>
      <c r="G168" s="660"/>
      <c r="H168" s="1584" t="s">
        <v>3028</v>
      </c>
      <c r="I168" s="1633"/>
      <c r="J168" s="1584" t="s">
        <v>3806</v>
      </c>
      <c r="K168" s="1633"/>
      <c r="L168" s="1584" t="s">
        <v>3028</v>
      </c>
      <c r="M168" s="1634"/>
      <c r="N168" s="1584"/>
      <c r="O168" s="1633"/>
      <c r="P168" s="1584"/>
      <c r="Q168" s="1633"/>
      <c r="R168" s="1584"/>
      <c r="S168" s="1633"/>
      <c r="T168" s="1584"/>
      <c r="U168" s="1633"/>
      <c r="V168" s="1584"/>
      <c r="W168" s="1633"/>
      <c r="X168" s="1584"/>
      <c r="Y168" s="1633"/>
    </row>
    <row r="169" spans="1:25">
      <c r="A169" s="1585"/>
      <c r="B169" s="1674" t="s">
        <v>4039</v>
      </c>
      <c r="C169" s="1513" t="s">
        <v>4036</v>
      </c>
      <c r="D169" s="1489"/>
      <c r="E169" s="1567"/>
      <c r="F169" s="1593"/>
      <c r="G169" s="660"/>
      <c r="H169" s="1584" t="s">
        <v>3028</v>
      </c>
      <c r="I169" s="1633"/>
      <c r="J169" s="1584" t="s">
        <v>3806</v>
      </c>
      <c r="K169" s="1633"/>
      <c r="L169" s="1584" t="s">
        <v>3028</v>
      </c>
      <c r="M169" s="1634"/>
      <c r="N169" s="1584"/>
      <c r="O169" s="1633"/>
      <c r="P169" s="1584"/>
      <c r="Q169" s="1633"/>
      <c r="R169" s="1584"/>
      <c r="S169" s="1633"/>
      <c r="T169" s="1584"/>
      <c r="U169" s="1633"/>
      <c r="V169" s="1584"/>
      <c r="W169" s="1633"/>
      <c r="X169" s="1584"/>
      <c r="Y169" s="1633"/>
    </row>
    <row r="170" spans="1:25">
      <c r="A170" s="1585"/>
      <c r="B170" s="1665" t="s">
        <v>4040</v>
      </c>
      <c r="C170" s="1513" t="s">
        <v>1809</v>
      </c>
      <c r="D170" s="1489"/>
      <c r="E170" s="1567"/>
      <c r="F170" s="1593"/>
      <c r="G170" s="660"/>
      <c r="H170" s="1584"/>
      <c r="I170" s="1633"/>
      <c r="J170" s="1584"/>
      <c r="K170" s="1633"/>
      <c r="L170" s="1584"/>
      <c r="M170" s="1634"/>
      <c r="N170" s="1584"/>
      <c r="O170" s="1633"/>
      <c r="P170" s="1584"/>
      <c r="Q170" s="1633"/>
      <c r="R170" s="1584"/>
      <c r="S170" s="1633"/>
      <c r="T170" s="1584"/>
      <c r="U170" s="1633"/>
      <c r="V170" s="1584"/>
      <c r="W170" s="1633"/>
      <c r="X170" s="1584"/>
      <c r="Y170" s="1633"/>
    </row>
    <row r="171" spans="1:25" ht="30">
      <c r="A171" s="1585"/>
      <c r="B171" s="1674" t="s">
        <v>3895</v>
      </c>
      <c r="C171" s="1513" t="s">
        <v>4041</v>
      </c>
      <c r="D171" s="1489"/>
      <c r="E171" s="1567"/>
      <c r="F171" s="1593"/>
      <c r="G171" s="660"/>
      <c r="H171" s="1584" t="s">
        <v>3028</v>
      </c>
      <c r="I171" s="1633"/>
      <c r="J171" s="1584" t="s">
        <v>3028</v>
      </c>
      <c r="K171" s="1633"/>
      <c r="L171" s="1584" t="s">
        <v>3028</v>
      </c>
      <c r="M171" s="1634"/>
      <c r="N171" s="1584"/>
      <c r="O171" s="1633"/>
      <c r="P171" s="1584"/>
      <c r="Q171" s="1633"/>
      <c r="R171" s="1584"/>
      <c r="S171" s="1633"/>
      <c r="T171" s="1584"/>
      <c r="U171" s="1633"/>
      <c r="V171" s="1584"/>
      <c r="W171" s="1633"/>
      <c r="X171" s="1584"/>
      <c r="Y171" s="1633"/>
    </row>
    <row r="172" spans="1:25">
      <c r="A172" s="1585"/>
      <c r="B172" s="1665" t="s">
        <v>4042</v>
      </c>
      <c r="C172" s="1513" t="s">
        <v>1809</v>
      </c>
      <c r="D172" s="1489"/>
      <c r="E172" s="1567"/>
      <c r="F172" s="1593"/>
      <c r="G172" s="660"/>
      <c r="H172" s="1584"/>
      <c r="I172" s="1633"/>
      <c r="J172" s="1584"/>
      <c r="K172" s="1633"/>
      <c r="L172" s="1584"/>
      <c r="M172" s="1634"/>
      <c r="N172" s="1584"/>
      <c r="O172" s="1633"/>
      <c r="P172" s="1584"/>
      <c r="Q172" s="1633"/>
      <c r="R172" s="1584"/>
      <c r="S172" s="1633"/>
      <c r="T172" s="1584"/>
      <c r="U172" s="1633"/>
      <c r="V172" s="1584"/>
      <c r="W172" s="1633"/>
      <c r="X172" s="1584"/>
      <c r="Y172" s="1633"/>
    </row>
    <row r="173" spans="1:25">
      <c r="A173" s="1585"/>
      <c r="B173" s="1674" t="s">
        <v>3895</v>
      </c>
      <c r="C173" s="1513" t="s">
        <v>4043</v>
      </c>
      <c r="D173" s="1489"/>
      <c r="E173" s="1567"/>
      <c r="F173" s="1593"/>
      <c r="G173" s="660"/>
      <c r="H173" s="1584" t="s">
        <v>3028</v>
      </c>
      <c r="I173" s="1633"/>
      <c r="J173" s="1584" t="s">
        <v>3028</v>
      </c>
      <c r="K173" s="1633"/>
      <c r="L173" s="1584" t="s">
        <v>3028</v>
      </c>
      <c r="M173" s="1634"/>
      <c r="N173" s="1584"/>
      <c r="O173" s="1633"/>
      <c r="P173" s="1584"/>
      <c r="Q173" s="1633"/>
      <c r="R173" s="1584"/>
      <c r="S173" s="1633"/>
      <c r="T173" s="1584"/>
      <c r="U173" s="1633"/>
      <c r="V173" s="1584"/>
      <c r="W173" s="1633"/>
      <c r="X173" s="1584"/>
      <c r="Y173" s="1633"/>
    </row>
    <row r="174" spans="1:25" ht="30">
      <c r="A174" s="1585"/>
      <c r="B174" s="1674" t="s">
        <v>4044</v>
      </c>
      <c r="C174" s="1513" t="s">
        <v>4045</v>
      </c>
      <c r="D174" s="1489"/>
      <c r="E174" s="1567"/>
      <c r="F174" s="1593"/>
      <c r="G174" s="660"/>
      <c r="H174" s="1584" t="s">
        <v>3028</v>
      </c>
      <c r="I174" s="1633"/>
      <c r="J174" s="1584" t="s">
        <v>3028</v>
      </c>
      <c r="K174" s="1633"/>
      <c r="L174" s="1584" t="s">
        <v>3028</v>
      </c>
      <c r="M174" s="1634"/>
      <c r="N174" s="1584"/>
      <c r="O174" s="1633"/>
      <c r="P174" s="1584"/>
      <c r="Q174" s="1633"/>
      <c r="R174" s="1584"/>
      <c r="S174" s="1633"/>
      <c r="T174" s="1584"/>
      <c r="U174" s="1633"/>
      <c r="V174" s="1584"/>
      <c r="W174" s="1633"/>
      <c r="X174" s="1584"/>
      <c r="Y174" s="1633"/>
    </row>
    <row r="175" spans="1:25">
      <c r="A175" s="1585"/>
      <c r="B175" s="1665" t="s">
        <v>4046</v>
      </c>
      <c r="C175" s="1513" t="s">
        <v>1809</v>
      </c>
      <c r="D175" s="1489"/>
      <c r="E175" s="1567"/>
      <c r="F175" s="1593"/>
      <c r="G175" s="660"/>
      <c r="H175" s="1584"/>
      <c r="I175" s="1633"/>
      <c r="J175" s="1584"/>
      <c r="K175" s="1633"/>
      <c r="L175" s="1584"/>
      <c r="M175" s="1634"/>
      <c r="N175" s="1584"/>
      <c r="O175" s="1633"/>
      <c r="P175" s="1584"/>
      <c r="Q175" s="1633"/>
      <c r="R175" s="1584"/>
      <c r="S175" s="1633"/>
      <c r="T175" s="1584"/>
      <c r="U175" s="1633"/>
      <c r="V175" s="1584"/>
      <c r="W175" s="1633"/>
      <c r="X175" s="1584"/>
      <c r="Y175" s="1633"/>
    </row>
    <row r="176" spans="1:25">
      <c r="A176" s="1585"/>
      <c r="B176" s="1674" t="s">
        <v>3895</v>
      </c>
      <c r="C176" s="1513" t="s">
        <v>4047</v>
      </c>
      <c r="D176" s="1489"/>
      <c r="E176" s="1567"/>
      <c r="F176" s="1593"/>
      <c r="G176" s="660"/>
      <c r="H176" s="1584" t="s">
        <v>3028</v>
      </c>
      <c r="I176" s="1633"/>
      <c r="J176" s="1584" t="s">
        <v>3028</v>
      </c>
      <c r="K176" s="1633"/>
      <c r="L176" s="1584" t="s">
        <v>3028</v>
      </c>
      <c r="M176" s="1634"/>
      <c r="N176" s="1584"/>
      <c r="O176" s="1633"/>
      <c r="P176" s="1584"/>
      <c r="Q176" s="1633"/>
      <c r="R176" s="1584"/>
      <c r="S176" s="1633"/>
      <c r="T176" s="1584"/>
      <c r="U176" s="1633"/>
      <c r="V176" s="1584"/>
      <c r="W176" s="1633"/>
      <c r="X176" s="1584"/>
      <c r="Y176" s="1633"/>
    </row>
    <row r="177" spans="1:25">
      <c r="A177" s="1585"/>
      <c r="B177" s="1665" t="s">
        <v>4048</v>
      </c>
      <c r="C177" s="1513" t="s">
        <v>1809</v>
      </c>
      <c r="D177" s="1489"/>
      <c r="E177" s="1567"/>
      <c r="F177" s="1593"/>
      <c r="G177" s="660"/>
      <c r="H177" s="1584"/>
      <c r="I177" s="1633"/>
      <c r="J177" s="1584"/>
      <c r="K177" s="1633"/>
      <c r="L177" s="1584"/>
      <c r="M177" s="1634"/>
      <c r="N177" s="1584"/>
      <c r="O177" s="1633"/>
      <c r="P177" s="1584"/>
      <c r="Q177" s="1633"/>
      <c r="R177" s="1584"/>
      <c r="S177" s="1633"/>
      <c r="T177" s="1584"/>
      <c r="U177" s="1633"/>
      <c r="V177" s="1584"/>
      <c r="W177" s="1633"/>
      <c r="X177" s="1584"/>
      <c r="Y177" s="1633"/>
    </row>
    <row r="178" spans="1:25">
      <c r="A178" s="1585"/>
      <c r="B178" s="1674" t="s">
        <v>3895</v>
      </c>
      <c r="C178" s="1513" t="s">
        <v>4047</v>
      </c>
      <c r="D178" s="1489"/>
      <c r="E178" s="1567"/>
      <c r="F178" s="1593"/>
      <c r="G178" s="660"/>
      <c r="H178" s="1584" t="s">
        <v>3028</v>
      </c>
      <c r="I178" s="1633"/>
      <c r="J178" s="1584" t="s">
        <v>3028</v>
      </c>
      <c r="K178" s="1633"/>
      <c r="L178" s="1584" t="s">
        <v>3028</v>
      </c>
      <c r="M178" s="1634"/>
      <c r="N178" s="1584"/>
      <c r="O178" s="1633"/>
      <c r="P178" s="1584"/>
      <c r="Q178" s="1633"/>
      <c r="R178" s="1584"/>
      <c r="S178" s="1633"/>
      <c r="T178" s="1584"/>
      <c r="U178" s="1633"/>
      <c r="V178" s="1584"/>
      <c r="W178" s="1633"/>
      <c r="X178" s="1584"/>
      <c r="Y178" s="1633"/>
    </row>
    <row r="179" spans="1:25">
      <c r="A179" s="1585"/>
      <c r="B179" s="1665" t="s">
        <v>4049</v>
      </c>
      <c r="C179" s="1513" t="s">
        <v>1809</v>
      </c>
      <c r="D179" s="1489"/>
      <c r="E179" s="1567"/>
      <c r="F179" s="1593"/>
      <c r="G179" s="660"/>
      <c r="H179" s="1584"/>
      <c r="I179" s="1633"/>
      <c r="J179" s="1584"/>
      <c r="K179" s="1633"/>
      <c r="L179" s="1584"/>
      <c r="M179" s="1634"/>
      <c r="N179" s="1584"/>
      <c r="O179" s="1633"/>
      <c r="P179" s="1584"/>
      <c r="Q179" s="1633"/>
      <c r="R179" s="1584"/>
      <c r="S179" s="1633"/>
      <c r="T179" s="1584"/>
      <c r="U179" s="1633"/>
      <c r="V179" s="1584"/>
      <c r="W179" s="1633"/>
      <c r="X179" s="1584"/>
      <c r="Y179" s="1633"/>
    </row>
    <row r="180" spans="1:25">
      <c r="A180" s="1585"/>
      <c r="B180" s="1674" t="s">
        <v>3895</v>
      </c>
      <c r="C180" s="1513" t="s">
        <v>4047</v>
      </c>
      <c r="D180" s="1489"/>
      <c r="E180" s="1567"/>
      <c r="F180" s="1593"/>
      <c r="G180" s="660"/>
      <c r="H180" s="1584" t="s">
        <v>3028</v>
      </c>
      <c r="I180" s="1633"/>
      <c r="J180" s="1584" t="s">
        <v>3028</v>
      </c>
      <c r="K180" s="1633"/>
      <c r="L180" s="1584" t="s">
        <v>3028</v>
      </c>
      <c r="M180" s="1634"/>
      <c r="N180" s="1584"/>
      <c r="O180" s="1633"/>
      <c r="P180" s="1584"/>
      <c r="Q180" s="1633"/>
      <c r="R180" s="1584"/>
      <c r="S180" s="1633"/>
      <c r="T180" s="1584"/>
      <c r="U180" s="1633"/>
      <c r="V180" s="1584"/>
      <c r="W180" s="1633"/>
      <c r="X180" s="1584"/>
      <c r="Y180" s="1633"/>
    </row>
    <row r="181" spans="1:25">
      <c r="A181" s="1585"/>
      <c r="B181" s="1665" t="s">
        <v>4050</v>
      </c>
      <c r="C181" s="1513" t="s">
        <v>1809</v>
      </c>
      <c r="D181" s="1489"/>
      <c r="E181" s="1567"/>
      <c r="F181" s="1593"/>
      <c r="G181" s="660"/>
      <c r="H181" s="1584"/>
      <c r="I181" s="1633"/>
      <c r="J181" s="1584"/>
      <c r="K181" s="1633"/>
      <c r="L181" s="1584"/>
      <c r="M181" s="1634"/>
      <c r="N181" s="1584"/>
      <c r="O181" s="1633"/>
      <c r="P181" s="1584"/>
      <c r="Q181" s="1633"/>
      <c r="R181" s="1584"/>
      <c r="S181" s="1633"/>
      <c r="T181" s="1584"/>
      <c r="U181" s="1633"/>
      <c r="V181" s="1584"/>
      <c r="W181" s="1633"/>
      <c r="X181" s="1584"/>
      <c r="Y181" s="1633"/>
    </row>
    <row r="182" spans="1:25">
      <c r="A182" s="1585"/>
      <c r="B182" s="1674" t="s">
        <v>3895</v>
      </c>
      <c r="C182" s="1513" t="s">
        <v>4051</v>
      </c>
      <c r="D182" s="1489"/>
      <c r="E182" s="1567"/>
      <c r="F182" s="1593"/>
      <c r="G182" s="660"/>
      <c r="H182" s="1584" t="s">
        <v>3028</v>
      </c>
      <c r="I182" s="1633"/>
      <c r="J182" s="1584" t="s">
        <v>3806</v>
      </c>
      <c r="K182" s="1633"/>
      <c r="L182" s="1584" t="s">
        <v>3028</v>
      </c>
      <c r="M182" s="1634"/>
      <c r="N182" s="1584"/>
      <c r="O182" s="1633"/>
      <c r="P182" s="1584"/>
      <c r="Q182" s="1633"/>
      <c r="R182" s="1584"/>
      <c r="S182" s="1633"/>
      <c r="T182" s="1584"/>
      <c r="U182" s="1633"/>
      <c r="V182" s="1584"/>
      <c r="W182" s="1633"/>
      <c r="X182" s="1584"/>
      <c r="Y182" s="1633"/>
    </row>
    <row r="183" spans="1:25">
      <c r="A183" s="1585"/>
      <c r="B183" s="1674" t="s">
        <v>4039</v>
      </c>
      <c r="C183" s="1566" t="s">
        <v>4052</v>
      </c>
      <c r="D183" s="1489"/>
      <c r="E183" s="1567"/>
      <c r="F183" s="1593"/>
      <c r="G183" s="660"/>
      <c r="H183" s="1584" t="s">
        <v>3028</v>
      </c>
      <c r="I183" s="1633"/>
      <c r="J183" s="1584" t="s">
        <v>3806</v>
      </c>
      <c r="K183" s="1633"/>
      <c r="L183" s="1584" t="s">
        <v>3028</v>
      </c>
      <c r="M183" s="1634"/>
      <c r="N183" s="1584"/>
      <c r="O183" s="1633"/>
      <c r="P183" s="1584"/>
      <c r="Q183" s="1633"/>
      <c r="R183" s="1584"/>
      <c r="S183" s="1633"/>
      <c r="T183" s="1584"/>
      <c r="U183" s="1633"/>
      <c r="V183" s="1584"/>
      <c r="W183" s="1633"/>
      <c r="X183" s="1584"/>
      <c r="Y183" s="1633"/>
    </row>
    <row r="184" spans="1:25">
      <c r="A184" s="1585"/>
      <c r="B184" s="1665" t="s">
        <v>4053</v>
      </c>
      <c r="C184" s="1513" t="s">
        <v>1809</v>
      </c>
      <c r="D184" s="1489"/>
      <c r="E184" s="1567"/>
      <c r="F184" s="1593"/>
      <c r="G184" s="660"/>
      <c r="H184" s="1584"/>
      <c r="I184" s="1633"/>
      <c r="J184" s="1584"/>
      <c r="K184" s="1633"/>
      <c r="L184" s="1584"/>
      <c r="M184" s="1634"/>
      <c r="N184" s="1584"/>
      <c r="O184" s="1633"/>
      <c r="P184" s="1584"/>
      <c r="Q184" s="1633"/>
      <c r="R184" s="1584"/>
      <c r="S184" s="1633"/>
      <c r="T184" s="1584"/>
      <c r="U184" s="1633"/>
      <c r="V184" s="1584"/>
      <c r="W184" s="1633"/>
      <c r="X184" s="1584"/>
      <c r="Y184" s="1633"/>
    </row>
    <row r="185" spans="1:25">
      <c r="A185" s="1585"/>
      <c r="B185" s="1674" t="s">
        <v>3895</v>
      </c>
      <c r="C185" s="1513" t="s">
        <v>4054</v>
      </c>
      <c r="D185" s="1489"/>
      <c r="E185" s="1567"/>
      <c r="F185" s="1593"/>
      <c r="G185" s="660"/>
      <c r="H185" s="1584" t="s">
        <v>3028</v>
      </c>
      <c r="I185" s="1633"/>
      <c r="J185" s="1584" t="s">
        <v>3806</v>
      </c>
      <c r="K185" s="1633"/>
      <c r="L185" s="1584" t="s">
        <v>3028</v>
      </c>
      <c r="M185" s="1634"/>
      <c r="N185" s="1584"/>
      <c r="O185" s="1633"/>
      <c r="P185" s="1584"/>
      <c r="Q185" s="1633"/>
      <c r="R185" s="1584"/>
      <c r="S185" s="1633"/>
      <c r="T185" s="1584"/>
      <c r="U185" s="1633"/>
      <c r="V185" s="1584"/>
      <c r="W185" s="1633"/>
      <c r="X185" s="1584"/>
      <c r="Y185" s="1633"/>
    </row>
    <row r="186" spans="1:25" ht="30">
      <c r="A186" s="1585"/>
      <c r="B186" s="1674" t="s">
        <v>4055</v>
      </c>
      <c r="C186" s="1513" t="s">
        <v>4056</v>
      </c>
      <c r="D186" s="1489"/>
      <c r="E186" s="1567"/>
      <c r="F186" s="1593"/>
      <c r="G186" s="660"/>
      <c r="H186" s="1584" t="s">
        <v>3028</v>
      </c>
      <c r="I186" s="1633"/>
      <c r="J186" s="1584" t="s">
        <v>3028</v>
      </c>
      <c r="K186" s="1633"/>
      <c r="L186" s="1584" t="s">
        <v>3028</v>
      </c>
      <c r="M186" s="1634"/>
      <c r="N186" s="1584"/>
      <c r="O186" s="1633"/>
      <c r="P186" s="1584"/>
      <c r="Q186" s="1633"/>
      <c r="R186" s="1584"/>
      <c r="S186" s="1633"/>
      <c r="T186" s="1584"/>
      <c r="U186" s="1633"/>
      <c r="V186" s="1584"/>
      <c r="W186" s="1633"/>
      <c r="X186" s="1584"/>
      <c r="Y186" s="1633"/>
    </row>
    <row r="187" spans="1:25">
      <c r="A187" s="1585"/>
      <c r="B187" s="1665" t="s">
        <v>4057</v>
      </c>
      <c r="C187" s="1513" t="s">
        <v>1816</v>
      </c>
      <c r="D187" s="1489"/>
      <c r="E187" s="1567"/>
      <c r="F187" s="1593"/>
      <c r="G187" s="660"/>
      <c r="H187" s="1584"/>
      <c r="I187" s="1633"/>
      <c r="J187" s="1584"/>
      <c r="K187" s="1633"/>
      <c r="L187" s="1584"/>
      <c r="M187" s="1634"/>
      <c r="N187" s="1584"/>
      <c r="O187" s="1633"/>
      <c r="P187" s="1584"/>
      <c r="Q187" s="1633"/>
      <c r="R187" s="1584"/>
      <c r="S187" s="1633"/>
      <c r="T187" s="1584"/>
      <c r="U187" s="1633"/>
      <c r="V187" s="1584"/>
      <c r="W187" s="1633"/>
      <c r="X187" s="1584"/>
      <c r="Y187" s="1633"/>
    </row>
    <row r="188" spans="1:25">
      <c r="A188" s="1585"/>
      <c r="B188" s="1674" t="s">
        <v>4058</v>
      </c>
      <c r="C188" s="1513" t="s">
        <v>4059</v>
      </c>
      <c r="D188" s="1489"/>
      <c r="E188" s="1567"/>
      <c r="F188" s="1593"/>
      <c r="G188" s="660"/>
      <c r="H188" s="1584" t="s">
        <v>3028</v>
      </c>
      <c r="I188" s="1633"/>
      <c r="J188" s="1584" t="s">
        <v>3028</v>
      </c>
      <c r="K188" s="1633"/>
      <c r="L188" s="1584" t="s">
        <v>3028</v>
      </c>
      <c r="M188" s="1634"/>
      <c r="N188" s="1584"/>
      <c r="O188" s="1633"/>
      <c r="P188" s="1584"/>
      <c r="Q188" s="1633"/>
      <c r="R188" s="1584"/>
      <c r="S188" s="1633"/>
      <c r="T188" s="1584"/>
      <c r="U188" s="1633"/>
      <c r="V188" s="1584"/>
      <c r="W188" s="1633"/>
      <c r="X188" s="1584"/>
      <c r="Y188" s="1633"/>
    </row>
    <row r="189" spans="1:25">
      <c r="A189" s="1585"/>
      <c r="B189" s="1674" t="s">
        <v>3878</v>
      </c>
      <c r="C189" s="1566" t="s">
        <v>4060</v>
      </c>
      <c r="D189" s="1489"/>
      <c r="E189" s="1567"/>
      <c r="F189" s="1593"/>
      <c r="G189" s="660"/>
      <c r="H189" s="1584" t="s">
        <v>3028</v>
      </c>
      <c r="I189" s="1633"/>
      <c r="J189" s="1584" t="s">
        <v>3028</v>
      </c>
      <c r="K189" s="1633"/>
      <c r="L189" s="1584" t="s">
        <v>3028</v>
      </c>
      <c r="M189" s="1634"/>
      <c r="N189" s="1584"/>
      <c r="O189" s="1633"/>
      <c r="P189" s="1584"/>
      <c r="Q189" s="1633"/>
      <c r="R189" s="1584"/>
      <c r="S189" s="1633"/>
      <c r="T189" s="1584"/>
      <c r="U189" s="1633"/>
      <c r="V189" s="1584"/>
      <c r="W189" s="1633"/>
      <c r="X189" s="1584"/>
      <c r="Y189" s="1633"/>
    </row>
    <row r="190" spans="1:25" ht="45">
      <c r="A190" s="1585"/>
      <c r="B190" s="1674" t="s">
        <v>4061</v>
      </c>
      <c r="C190" s="1513" t="s">
        <v>4062</v>
      </c>
      <c r="D190" s="1489"/>
      <c r="E190" s="1567"/>
      <c r="F190" s="1593"/>
      <c r="G190" s="660"/>
      <c r="H190" s="1584" t="s">
        <v>3028</v>
      </c>
      <c r="I190" s="1633"/>
      <c r="J190" s="1584" t="s">
        <v>3028</v>
      </c>
      <c r="K190" s="1633"/>
      <c r="L190" s="1584" t="s">
        <v>3028</v>
      </c>
      <c r="M190" s="1634"/>
      <c r="N190" s="1584"/>
      <c r="O190" s="1633"/>
      <c r="P190" s="1584"/>
      <c r="Q190" s="1633"/>
      <c r="R190" s="1584"/>
      <c r="S190" s="1633"/>
      <c r="T190" s="1584"/>
      <c r="U190" s="1633"/>
      <c r="V190" s="1584"/>
      <c r="W190" s="1633"/>
      <c r="X190" s="1584"/>
      <c r="Y190" s="1633"/>
    </row>
    <row r="191" spans="1:25" ht="45">
      <c r="A191" s="1585"/>
      <c r="B191" s="1674" t="s">
        <v>4063</v>
      </c>
      <c r="C191" s="1513" t="s">
        <v>4064</v>
      </c>
      <c r="D191" s="1489"/>
      <c r="E191" s="1567"/>
      <c r="F191" s="1593"/>
      <c r="G191" s="660"/>
      <c r="H191" s="1584" t="s">
        <v>3028</v>
      </c>
      <c r="I191" s="1633"/>
      <c r="J191" s="1584" t="s">
        <v>3028</v>
      </c>
      <c r="K191" s="1633"/>
      <c r="L191" s="1584" t="s">
        <v>3028</v>
      </c>
      <c r="M191" s="1634"/>
      <c r="N191" s="1584"/>
      <c r="O191" s="1633"/>
      <c r="P191" s="1584"/>
      <c r="Q191" s="1633"/>
      <c r="R191" s="1584"/>
      <c r="S191" s="1633"/>
      <c r="T191" s="1584"/>
      <c r="U191" s="1633"/>
      <c r="V191" s="1584"/>
      <c r="W191" s="1633"/>
      <c r="X191" s="1584"/>
      <c r="Y191" s="1633"/>
    </row>
    <row r="192" spans="1:25" ht="45">
      <c r="A192" s="1683"/>
      <c r="B192" s="1676" t="s">
        <v>4065</v>
      </c>
      <c r="C192" s="1513" t="s">
        <v>4064</v>
      </c>
      <c r="D192" s="1489"/>
      <c r="E192" s="1567"/>
      <c r="F192" s="1593"/>
      <c r="G192" s="660"/>
      <c r="H192" s="1584" t="s">
        <v>3807</v>
      </c>
      <c r="I192" s="1642" t="s">
        <v>3902</v>
      </c>
      <c r="J192" s="1584" t="s">
        <v>3028</v>
      </c>
      <c r="K192" s="1633" t="s">
        <v>3806</v>
      </c>
      <c r="L192" s="1584" t="s">
        <v>3807</v>
      </c>
      <c r="M192" s="1634"/>
      <c r="N192" s="1584"/>
      <c r="O192" s="1633"/>
      <c r="P192" s="1584"/>
      <c r="Q192" s="1633"/>
      <c r="R192" s="1584"/>
      <c r="S192" s="1633"/>
      <c r="T192" s="1584"/>
      <c r="U192" s="1633"/>
      <c r="V192" s="1584"/>
      <c r="W192" s="1633"/>
      <c r="X192" s="1584"/>
      <c r="Y192" s="1633"/>
    </row>
    <row r="193" spans="1:25" ht="45">
      <c r="A193" s="1683"/>
      <c r="B193" s="1676" t="s">
        <v>4066</v>
      </c>
      <c r="C193" s="1513" t="s">
        <v>4067</v>
      </c>
      <c r="D193" s="1489"/>
      <c r="E193" s="1567"/>
      <c r="F193" s="1593"/>
      <c r="G193" s="660"/>
      <c r="H193" s="1584" t="s">
        <v>3807</v>
      </c>
      <c r="I193" s="1642" t="s">
        <v>3902</v>
      </c>
      <c r="J193" s="1584" t="s">
        <v>3028</v>
      </c>
      <c r="K193" s="1633" t="s">
        <v>3806</v>
      </c>
      <c r="L193" s="1584" t="s">
        <v>3807</v>
      </c>
      <c r="M193" s="1634"/>
      <c r="N193" s="1584"/>
      <c r="O193" s="1633"/>
      <c r="P193" s="1584"/>
      <c r="Q193" s="1633"/>
      <c r="R193" s="1584"/>
      <c r="S193" s="1633"/>
      <c r="T193" s="1584"/>
      <c r="U193" s="1633"/>
      <c r="V193" s="1584"/>
      <c r="W193" s="1633"/>
      <c r="X193" s="1584"/>
      <c r="Y193" s="1633"/>
    </row>
    <row r="194" spans="1:25" ht="45">
      <c r="A194" s="1681" t="s">
        <v>3833</v>
      </c>
      <c r="B194" s="1676" t="s">
        <v>4068</v>
      </c>
      <c r="C194" s="1513" t="s">
        <v>4067</v>
      </c>
      <c r="D194" s="1489"/>
      <c r="E194" s="1567"/>
      <c r="F194" s="1593"/>
      <c r="G194" s="660"/>
      <c r="H194" s="1584" t="s">
        <v>3028</v>
      </c>
      <c r="I194" s="1682" t="s">
        <v>3973</v>
      </c>
      <c r="J194" s="1584" t="s">
        <v>3028</v>
      </c>
      <c r="K194" s="1633" t="s">
        <v>3806</v>
      </c>
      <c r="L194" s="1584" t="s">
        <v>3028</v>
      </c>
      <c r="M194" s="1691" t="s">
        <v>4069</v>
      </c>
      <c r="N194" s="1584"/>
      <c r="O194" s="1633"/>
      <c r="P194" s="1584"/>
      <c r="Q194" s="1633"/>
      <c r="R194" s="1584"/>
      <c r="S194" s="1633"/>
      <c r="T194" s="1584"/>
      <c r="U194" s="1633"/>
      <c r="V194" s="1584"/>
      <c r="W194" s="1633"/>
      <c r="X194" s="1584"/>
      <c r="Y194" s="1633"/>
    </row>
    <row r="195" spans="1:25" ht="45">
      <c r="A195" s="1585"/>
      <c r="B195" s="1674" t="s">
        <v>4070</v>
      </c>
      <c r="C195" s="1513" t="s">
        <v>4071</v>
      </c>
      <c r="D195" s="1489"/>
      <c r="E195" s="1567"/>
      <c r="F195" s="1593"/>
      <c r="G195" s="660"/>
      <c r="H195" s="1584" t="s">
        <v>3028</v>
      </c>
      <c r="I195" s="1633"/>
      <c r="J195" s="1584" t="s">
        <v>3028</v>
      </c>
      <c r="K195" s="1633"/>
      <c r="L195" s="1584" t="s">
        <v>3028</v>
      </c>
      <c r="M195" s="1634"/>
      <c r="N195" s="1584"/>
      <c r="O195" s="1633"/>
      <c r="P195" s="1584"/>
      <c r="Q195" s="1633"/>
      <c r="R195" s="1584"/>
      <c r="S195" s="1633"/>
      <c r="T195" s="1584"/>
      <c r="U195" s="1633"/>
      <c r="V195" s="1584"/>
      <c r="W195" s="1633"/>
      <c r="X195" s="1584"/>
      <c r="Y195" s="1633"/>
    </row>
    <row r="196" spans="1:25">
      <c r="A196" s="1585"/>
      <c r="B196" s="1665" t="s">
        <v>4072</v>
      </c>
      <c r="C196" s="1566" t="s">
        <v>1816</v>
      </c>
      <c r="D196" s="1489"/>
      <c r="E196" s="1567"/>
      <c r="F196" s="1593"/>
      <c r="G196" s="660"/>
      <c r="H196" s="1584"/>
      <c r="I196" s="1633"/>
      <c r="J196" s="1584"/>
      <c r="K196" s="1633"/>
      <c r="L196" s="1584"/>
      <c r="M196" s="1634"/>
      <c r="N196" s="1584"/>
      <c r="O196" s="1633"/>
      <c r="P196" s="1584"/>
      <c r="Q196" s="1633"/>
      <c r="R196" s="1584"/>
      <c r="S196" s="1633"/>
      <c r="T196" s="1584"/>
      <c r="U196" s="1633"/>
      <c r="V196" s="1584"/>
      <c r="W196" s="1633"/>
      <c r="X196" s="1584"/>
      <c r="Y196" s="1633"/>
    </row>
    <row r="197" spans="1:25" ht="30">
      <c r="A197" s="1585"/>
      <c r="B197" s="1674" t="s">
        <v>4073</v>
      </c>
      <c r="C197" s="1513" t="s">
        <v>4074</v>
      </c>
      <c r="D197" s="1489"/>
      <c r="E197" s="1567"/>
      <c r="F197" s="1593"/>
      <c r="G197" s="660"/>
      <c r="H197" s="1584" t="s">
        <v>3028</v>
      </c>
      <c r="I197" s="1633"/>
      <c r="J197" s="1584" t="s">
        <v>3028</v>
      </c>
      <c r="K197" s="1633"/>
      <c r="L197" s="1584" t="s">
        <v>3028</v>
      </c>
      <c r="M197" s="1634"/>
      <c r="N197" s="1584"/>
      <c r="O197" s="1633"/>
      <c r="P197" s="1584"/>
      <c r="Q197" s="1633"/>
      <c r="R197" s="1584"/>
      <c r="S197" s="1633"/>
      <c r="T197" s="1584"/>
      <c r="U197" s="1633"/>
      <c r="V197" s="1584"/>
      <c r="W197" s="1633"/>
      <c r="X197" s="1584"/>
      <c r="Y197" s="1633"/>
    </row>
    <row r="198" spans="1:25">
      <c r="A198" s="1585"/>
      <c r="B198" s="1674" t="s">
        <v>3878</v>
      </c>
      <c r="C198" s="1513" t="s">
        <v>4075</v>
      </c>
      <c r="D198" s="1489"/>
      <c r="E198" s="1567"/>
      <c r="F198" s="1593"/>
      <c r="G198" s="660"/>
      <c r="H198" s="1584" t="s">
        <v>3028</v>
      </c>
      <c r="I198" s="1633"/>
      <c r="J198" s="1584"/>
      <c r="K198" s="1633"/>
      <c r="L198" s="1584" t="s">
        <v>3028</v>
      </c>
      <c r="M198" s="1634"/>
      <c r="N198" s="1584"/>
      <c r="O198" s="1633"/>
      <c r="P198" s="1584"/>
      <c r="Q198" s="1633"/>
      <c r="R198" s="1584"/>
      <c r="S198" s="1633"/>
      <c r="T198" s="1584"/>
      <c r="U198" s="1633"/>
      <c r="V198" s="1584"/>
      <c r="W198" s="1633"/>
      <c r="X198" s="1584"/>
      <c r="Y198" s="1633"/>
    </row>
    <row r="199" spans="1:25">
      <c r="A199" s="1585"/>
      <c r="B199" s="1665" t="s">
        <v>4076</v>
      </c>
      <c r="C199" s="1566" t="s">
        <v>1816</v>
      </c>
      <c r="D199" s="1489"/>
      <c r="E199" s="1567"/>
      <c r="F199" s="1593"/>
      <c r="G199" s="660"/>
      <c r="H199" s="1584"/>
      <c r="I199" s="1633"/>
      <c r="J199" s="1584"/>
      <c r="K199" s="1633"/>
      <c r="L199" s="1584"/>
      <c r="M199" s="1634"/>
      <c r="N199" s="1584"/>
      <c r="O199" s="1633"/>
      <c r="P199" s="1584"/>
      <c r="Q199" s="1633"/>
      <c r="R199" s="1584"/>
      <c r="S199" s="1633"/>
      <c r="T199" s="1584"/>
      <c r="U199" s="1633"/>
      <c r="V199" s="1584"/>
      <c r="W199" s="1633"/>
      <c r="X199" s="1584"/>
      <c r="Y199" s="1633"/>
    </row>
    <row r="200" spans="1:25">
      <c r="A200" s="1585"/>
      <c r="B200" s="1674" t="s">
        <v>3878</v>
      </c>
      <c r="C200" s="1566" t="s">
        <v>4077</v>
      </c>
      <c r="D200" s="1489"/>
      <c r="E200" s="1567"/>
      <c r="F200" s="1593"/>
      <c r="G200" s="660"/>
      <c r="H200" s="1584" t="s">
        <v>3028</v>
      </c>
      <c r="I200" s="1633"/>
      <c r="J200" s="1584" t="s">
        <v>3806</v>
      </c>
      <c r="K200" s="1633"/>
      <c r="L200" s="1584" t="s">
        <v>3028</v>
      </c>
      <c r="M200" s="1634"/>
      <c r="N200" s="1584"/>
      <c r="O200" s="1633"/>
      <c r="P200" s="1584"/>
      <c r="Q200" s="1633"/>
      <c r="R200" s="1584"/>
      <c r="S200" s="1633"/>
      <c r="T200" s="1584"/>
      <c r="U200" s="1633"/>
      <c r="V200" s="1584"/>
      <c r="W200" s="1633"/>
      <c r="X200" s="1584"/>
      <c r="Y200" s="1633"/>
    </row>
    <row r="201" spans="1:25">
      <c r="A201" s="1585"/>
      <c r="B201" s="1665" t="s">
        <v>4078</v>
      </c>
      <c r="C201" s="1566" t="s">
        <v>1816</v>
      </c>
      <c r="D201" s="1489"/>
      <c r="E201" s="1567"/>
      <c r="F201" s="1593"/>
      <c r="G201" s="660"/>
      <c r="H201" s="1584"/>
      <c r="I201" s="1633"/>
      <c r="J201" s="1584"/>
      <c r="K201" s="1633"/>
      <c r="L201" s="1584"/>
      <c r="M201" s="1634"/>
      <c r="N201" s="1584"/>
      <c r="O201" s="1633"/>
      <c r="P201" s="1584"/>
      <c r="Q201" s="1633"/>
      <c r="R201" s="1584"/>
      <c r="S201" s="1633"/>
      <c r="T201" s="1584"/>
      <c r="U201" s="1633"/>
      <c r="V201" s="1584"/>
      <c r="W201" s="1633"/>
      <c r="X201" s="1584"/>
      <c r="Y201" s="1633"/>
    </row>
    <row r="202" spans="1:25">
      <c r="A202" s="1585"/>
      <c r="B202" s="1674" t="s">
        <v>3878</v>
      </c>
      <c r="C202" s="1513" t="s">
        <v>4079</v>
      </c>
      <c r="D202" s="1489"/>
      <c r="E202" s="1567"/>
      <c r="F202" s="1593"/>
      <c r="G202" s="660"/>
      <c r="H202" s="1584" t="s">
        <v>3028</v>
      </c>
      <c r="I202" s="1633"/>
      <c r="J202" s="1584" t="s">
        <v>3028</v>
      </c>
      <c r="K202" s="1633"/>
      <c r="L202" s="1584" t="s">
        <v>3028</v>
      </c>
      <c r="M202" s="1634"/>
      <c r="N202" s="1584"/>
      <c r="O202" s="1633"/>
      <c r="P202" s="1584"/>
      <c r="Q202" s="1633"/>
      <c r="R202" s="1584"/>
      <c r="S202" s="1633"/>
      <c r="T202" s="1584"/>
      <c r="U202" s="1633"/>
      <c r="V202" s="1584"/>
      <c r="W202" s="1633"/>
      <c r="X202" s="1584"/>
      <c r="Y202" s="1633"/>
    </row>
    <row r="203" spans="1:25" ht="45">
      <c r="A203" s="1585"/>
      <c r="B203" s="1674" t="s">
        <v>4080</v>
      </c>
      <c r="C203" s="1513" t="s">
        <v>4081</v>
      </c>
      <c r="D203" s="1489"/>
      <c r="E203" s="1567"/>
      <c r="F203" s="1593"/>
      <c r="G203" s="660"/>
      <c r="H203" s="1584" t="s">
        <v>3028</v>
      </c>
      <c r="I203" s="1633"/>
      <c r="J203" s="1584" t="s">
        <v>3028</v>
      </c>
      <c r="K203" s="1633"/>
      <c r="L203" s="1584" t="s">
        <v>3028</v>
      </c>
      <c r="M203" s="1634"/>
      <c r="N203" s="1584"/>
      <c r="O203" s="1633"/>
      <c r="P203" s="1584"/>
      <c r="Q203" s="1633"/>
      <c r="R203" s="1584"/>
      <c r="S203" s="1633"/>
      <c r="T203" s="1584"/>
      <c r="U203" s="1633"/>
      <c r="V203" s="1584"/>
      <c r="W203" s="1633"/>
      <c r="X203" s="1584"/>
      <c r="Y203" s="1633"/>
    </row>
    <row r="204" spans="1:25" ht="45">
      <c r="A204" s="1585"/>
      <c r="B204" s="1674" t="s">
        <v>4082</v>
      </c>
      <c r="C204" s="1513" t="s">
        <v>4083</v>
      </c>
      <c r="D204" s="1489"/>
      <c r="E204" s="1567"/>
      <c r="F204" s="1593"/>
      <c r="G204" s="660"/>
      <c r="H204" s="1584" t="s">
        <v>3028</v>
      </c>
      <c r="I204" s="1633"/>
      <c r="J204" s="1584" t="s">
        <v>3028</v>
      </c>
      <c r="K204" s="1633"/>
      <c r="L204" s="1584" t="s">
        <v>3028</v>
      </c>
      <c r="M204" s="1634"/>
      <c r="N204" s="1584"/>
      <c r="O204" s="1633"/>
      <c r="P204" s="1584"/>
      <c r="Q204" s="1633"/>
      <c r="R204" s="1584"/>
      <c r="S204" s="1633"/>
      <c r="T204" s="1584"/>
      <c r="U204" s="1633"/>
      <c r="V204" s="1584"/>
      <c r="W204" s="1633"/>
      <c r="X204" s="1584"/>
      <c r="Y204" s="1633"/>
    </row>
    <row r="205" spans="1:25" ht="45">
      <c r="A205" s="1683"/>
      <c r="B205" s="1676" t="s">
        <v>4065</v>
      </c>
      <c r="C205" s="1513" t="s">
        <v>4083</v>
      </c>
      <c r="D205" s="1489"/>
      <c r="E205" s="1567"/>
      <c r="F205" s="1593"/>
      <c r="G205" s="660"/>
      <c r="H205" s="1584" t="s">
        <v>3807</v>
      </c>
      <c r="I205" s="1642" t="s">
        <v>3902</v>
      </c>
      <c r="J205" s="1584" t="s">
        <v>3028</v>
      </c>
      <c r="K205" s="1633" t="s">
        <v>3806</v>
      </c>
      <c r="L205" s="1584" t="s">
        <v>3807</v>
      </c>
      <c r="M205" s="1634"/>
      <c r="N205" s="1584"/>
      <c r="O205" s="1633"/>
      <c r="P205" s="1584"/>
      <c r="Q205" s="1633"/>
      <c r="R205" s="1584"/>
      <c r="S205" s="1633"/>
      <c r="T205" s="1584"/>
      <c r="U205" s="1633"/>
      <c r="V205" s="1584"/>
      <c r="W205" s="1633"/>
      <c r="X205" s="1584"/>
      <c r="Y205" s="1633"/>
    </row>
    <row r="206" spans="1:25" ht="60">
      <c r="A206" s="1683"/>
      <c r="B206" s="1676" t="s">
        <v>4066</v>
      </c>
      <c r="C206" s="1513" t="s">
        <v>4084</v>
      </c>
      <c r="D206" s="1489"/>
      <c r="E206" s="1567"/>
      <c r="F206" s="1593"/>
      <c r="G206" s="660"/>
      <c r="H206" s="1584" t="s">
        <v>3807</v>
      </c>
      <c r="I206" s="1642" t="s">
        <v>3902</v>
      </c>
      <c r="J206" s="1584" t="s">
        <v>3028</v>
      </c>
      <c r="K206" s="1633" t="s">
        <v>3806</v>
      </c>
      <c r="L206" s="1584" t="s">
        <v>3807</v>
      </c>
      <c r="M206" s="1634"/>
      <c r="N206" s="1584"/>
      <c r="O206" s="1633"/>
      <c r="P206" s="1584"/>
      <c r="Q206" s="1633"/>
      <c r="R206" s="1584"/>
      <c r="S206" s="1633"/>
      <c r="T206" s="1584"/>
      <c r="U206" s="1633"/>
      <c r="V206" s="1584"/>
      <c r="W206" s="1633"/>
      <c r="X206" s="1584"/>
      <c r="Y206" s="1633"/>
    </row>
    <row r="207" spans="1:25" ht="60">
      <c r="A207" s="1681" t="s">
        <v>3833</v>
      </c>
      <c r="B207" s="1676" t="s">
        <v>4068</v>
      </c>
      <c r="C207" s="1513" t="s">
        <v>4084</v>
      </c>
      <c r="D207" s="1489"/>
      <c r="E207" s="1567"/>
      <c r="F207" s="1593"/>
      <c r="G207" s="660"/>
      <c r="H207" s="1584" t="s">
        <v>3028</v>
      </c>
      <c r="I207" s="1682" t="s">
        <v>3973</v>
      </c>
      <c r="J207" s="1584" t="s">
        <v>3028</v>
      </c>
      <c r="K207" s="1633" t="s">
        <v>3806</v>
      </c>
      <c r="L207" s="1584" t="s">
        <v>3028</v>
      </c>
      <c r="M207" s="1691" t="s">
        <v>4069</v>
      </c>
      <c r="N207" s="1584"/>
      <c r="O207" s="1633"/>
      <c r="P207" s="1584"/>
      <c r="Q207" s="1633"/>
      <c r="R207" s="1584"/>
      <c r="S207" s="1633"/>
      <c r="T207" s="1584"/>
      <c r="U207" s="1633"/>
      <c r="V207" s="1584"/>
      <c r="W207" s="1633"/>
      <c r="X207" s="1584"/>
      <c r="Y207" s="1633"/>
    </row>
    <row r="208" spans="1:25" ht="45">
      <c r="A208" s="1585"/>
      <c r="B208" s="1674" t="s">
        <v>4070</v>
      </c>
      <c r="C208" s="1513" t="s">
        <v>4085</v>
      </c>
      <c r="D208" s="1489"/>
      <c r="E208" s="1567"/>
      <c r="F208" s="1593"/>
      <c r="G208" s="660"/>
      <c r="H208" s="1584" t="s">
        <v>3028</v>
      </c>
      <c r="I208" s="1633"/>
      <c r="J208" s="1584" t="s">
        <v>3028</v>
      </c>
      <c r="K208" s="1633"/>
      <c r="L208" s="1584" t="s">
        <v>3028</v>
      </c>
      <c r="M208" s="1634"/>
      <c r="N208" s="1584"/>
      <c r="O208" s="1633"/>
      <c r="P208" s="1584"/>
      <c r="Q208" s="1633"/>
      <c r="R208" s="1584"/>
      <c r="S208" s="1633"/>
      <c r="T208" s="1584"/>
      <c r="U208" s="1633"/>
      <c r="V208" s="1584"/>
      <c r="W208" s="1633"/>
      <c r="X208" s="1584"/>
      <c r="Y208" s="1633"/>
    </row>
    <row r="209" spans="1:25">
      <c r="A209" s="1585"/>
      <c r="B209" s="1665" t="s">
        <v>4086</v>
      </c>
      <c r="C209" s="1566" t="s">
        <v>1816</v>
      </c>
      <c r="D209" s="1489"/>
      <c r="E209" s="1567"/>
      <c r="F209" s="1593"/>
      <c r="G209" s="660"/>
      <c r="H209" s="1584"/>
      <c r="I209" s="1633"/>
      <c r="J209" s="1584"/>
      <c r="K209" s="1633"/>
      <c r="L209" s="1584"/>
      <c r="M209" s="1634"/>
      <c r="N209" s="1584"/>
      <c r="O209" s="1633"/>
      <c r="P209" s="1584"/>
      <c r="Q209" s="1633"/>
      <c r="R209" s="1584"/>
      <c r="S209" s="1633"/>
      <c r="T209" s="1584"/>
      <c r="U209" s="1633"/>
      <c r="V209" s="1584"/>
      <c r="W209" s="1633"/>
      <c r="X209" s="1584"/>
      <c r="Y209" s="1633"/>
    </row>
    <row r="210" spans="1:25" ht="30">
      <c r="A210" s="1585"/>
      <c r="B210" s="1674" t="s">
        <v>4073</v>
      </c>
      <c r="C210" s="1513" t="s">
        <v>4087</v>
      </c>
      <c r="D210" s="1489"/>
      <c r="E210" s="1567"/>
      <c r="F210" s="1593"/>
      <c r="G210" s="660"/>
      <c r="H210" s="1584" t="s">
        <v>3028</v>
      </c>
      <c r="I210" s="1633"/>
      <c r="J210" s="1584" t="s">
        <v>3028</v>
      </c>
      <c r="K210" s="1633"/>
      <c r="L210" s="1584" t="s">
        <v>3028</v>
      </c>
      <c r="M210" s="1634"/>
      <c r="N210" s="1584"/>
      <c r="O210" s="1633"/>
      <c r="P210" s="1584"/>
      <c r="Q210" s="1633"/>
      <c r="R210" s="1584"/>
      <c r="S210" s="1633"/>
      <c r="T210" s="1584"/>
      <c r="U210" s="1633"/>
      <c r="V210" s="1584"/>
      <c r="W210" s="1633"/>
      <c r="X210" s="1584"/>
      <c r="Y210" s="1633"/>
    </row>
    <row r="211" spans="1:25">
      <c r="A211" s="1585"/>
      <c r="B211" s="1674" t="s">
        <v>3878</v>
      </c>
      <c r="C211" s="1513" t="s">
        <v>4088</v>
      </c>
      <c r="D211" s="1489"/>
      <c r="E211" s="1567"/>
      <c r="F211" s="1593"/>
      <c r="G211" s="660"/>
      <c r="H211" s="1584" t="s">
        <v>3028</v>
      </c>
      <c r="I211" s="1633"/>
      <c r="J211" s="1584" t="s">
        <v>3028</v>
      </c>
      <c r="K211" s="1633"/>
      <c r="L211" s="1584" t="s">
        <v>3028</v>
      </c>
      <c r="M211" s="1634"/>
      <c r="N211" s="1584"/>
      <c r="O211" s="1633"/>
      <c r="P211" s="1584"/>
      <c r="Q211" s="1633"/>
      <c r="R211" s="1584"/>
      <c r="S211" s="1633"/>
      <c r="T211" s="1584"/>
      <c r="U211" s="1633"/>
      <c r="V211" s="1584"/>
      <c r="W211" s="1633"/>
      <c r="X211" s="1584"/>
      <c r="Y211" s="1633"/>
    </row>
    <row r="212" spans="1:25">
      <c r="A212" s="1585"/>
      <c r="B212" s="1665" t="s">
        <v>4089</v>
      </c>
      <c r="C212" s="1566" t="s">
        <v>1816</v>
      </c>
      <c r="D212" s="1489"/>
      <c r="E212" s="1567"/>
      <c r="F212" s="1593"/>
      <c r="G212" s="660"/>
      <c r="H212" s="1584"/>
      <c r="I212" s="1633"/>
      <c r="J212" s="1584"/>
      <c r="K212" s="1633"/>
      <c r="L212" s="1584"/>
      <c r="M212" s="1634"/>
      <c r="N212" s="1584"/>
      <c r="O212" s="1633"/>
      <c r="P212" s="1584"/>
      <c r="Q212" s="1633"/>
      <c r="R212" s="1584"/>
      <c r="S212" s="1633"/>
      <c r="T212" s="1584"/>
      <c r="U212" s="1633"/>
      <c r="V212" s="1584"/>
      <c r="W212" s="1633"/>
      <c r="X212" s="1584"/>
      <c r="Y212" s="1633"/>
    </row>
    <row r="213" spans="1:25">
      <c r="A213" s="1585"/>
      <c r="B213" s="1674" t="s">
        <v>3878</v>
      </c>
      <c r="C213" s="1566" t="s">
        <v>4090</v>
      </c>
      <c r="D213" s="1489"/>
      <c r="E213" s="1567"/>
      <c r="F213" s="1593"/>
      <c r="G213" s="660"/>
      <c r="H213" s="1584" t="s">
        <v>3028</v>
      </c>
      <c r="I213" s="1633"/>
      <c r="J213" s="1584" t="s">
        <v>3028</v>
      </c>
      <c r="K213" s="1633"/>
      <c r="L213" s="1584" t="s">
        <v>3028</v>
      </c>
      <c r="M213" s="1634"/>
      <c r="N213" s="1584"/>
      <c r="O213" s="1633"/>
      <c r="P213" s="1584"/>
      <c r="Q213" s="1633"/>
      <c r="R213" s="1584"/>
      <c r="S213" s="1633"/>
      <c r="T213" s="1584"/>
      <c r="U213" s="1633"/>
      <c r="V213" s="1584"/>
      <c r="W213" s="1633"/>
      <c r="X213" s="1584"/>
      <c r="Y213" s="1633"/>
    </row>
    <row r="214" spans="1:25">
      <c r="A214" s="1585"/>
      <c r="B214" s="1665" t="s">
        <v>4091</v>
      </c>
      <c r="C214" s="1566" t="s">
        <v>1816</v>
      </c>
      <c r="D214" s="1489"/>
      <c r="E214" s="1567"/>
      <c r="F214" s="1593"/>
      <c r="G214" s="660"/>
      <c r="H214" s="1584"/>
      <c r="I214" s="1633"/>
      <c r="J214" s="1584"/>
      <c r="K214" s="1633"/>
      <c r="L214" s="1584"/>
      <c r="M214" s="1634"/>
      <c r="N214" s="1584"/>
      <c r="O214" s="1633"/>
      <c r="P214" s="1584"/>
      <c r="Q214" s="1633"/>
      <c r="R214" s="1584"/>
      <c r="S214" s="1633"/>
      <c r="T214" s="1584"/>
      <c r="U214" s="1633"/>
      <c r="V214" s="1584"/>
      <c r="W214" s="1633"/>
      <c r="X214" s="1584"/>
      <c r="Y214" s="1633"/>
    </row>
    <row r="215" spans="1:25">
      <c r="A215" s="1585"/>
      <c r="B215" s="1674" t="s">
        <v>3878</v>
      </c>
      <c r="C215" s="1566" t="s">
        <v>4090</v>
      </c>
      <c r="D215" s="1489"/>
      <c r="E215" s="1567"/>
      <c r="F215" s="1593"/>
      <c r="G215" s="660"/>
      <c r="H215" s="1584" t="s">
        <v>3028</v>
      </c>
      <c r="I215" s="1633"/>
      <c r="J215" s="1584" t="s">
        <v>3028</v>
      </c>
      <c r="K215" s="1633"/>
      <c r="L215" s="1584" t="s">
        <v>3028</v>
      </c>
      <c r="M215" s="1634"/>
      <c r="N215" s="1584"/>
      <c r="O215" s="1633"/>
      <c r="P215" s="1584"/>
      <c r="Q215" s="1633"/>
      <c r="R215" s="1584"/>
      <c r="S215" s="1633"/>
      <c r="T215" s="1584"/>
      <c r="U215" s="1633"/>
      <c r="V215" s="1584"/>
      <c r="W215" s="1633"/>
      <c r="X215" s="1584"/>
      <c r="Y215" s="1633"/>
    </row>
    <row r="216" spans="1:25" ht="15.75">
      <c r="A216" s="1585"/>
      <c r="B216" s="1692" t="s">
        <v>4092</v>
      </c>
      <c r="C216" s="1566" t="s">
        <v>1645</v>
      </c>
      <c r="D216" s="1489"/>
      <c r="E216" s="1567"/>
      <c r="F216" s="1593"/>
      <c r="G216" s="660"/>
      <c r="H216" s="1584"/>
      <c r="I216" s="1633"/>
      <c r="J216" s="1584"/>
      <c r="K216" s="1633"/>
      <c r="L216" s="1584"/>
      <c r="M216" s="1634"/>
      <c r="N216" s="1584"/>
      <c r="O216" s="1633"/>
      <c r="P216" s="1584"/>
      <c r="Q216" s="1633"/>
      <c r="R216" s="1584"/>
      <c r="S216" s="1633"/>
      <c r="T216" s="1584"/>
      <c r="U216" s="1633"/>
      <c r="V216" s="1584"/>
      <c r="W216" s="1633"/>
      <c r="X216" s="1584"/>
      <c r="Y216" s="1633"/>
    </row>
    <row r="217" spans="1:25">
      <c r="A217" s="1585"/>
      <c r="B217" s="1665" t="s">
        <v>4093</v>
      </c>
      <c r="C217" s="1566" t="s">
        <v>1822</v>
      </c>
      <c r="D217" s="1489"/>
      <c r="E217" s="1567"/>
      <c r="F217" s="1593"/>
      <c r="G217" s="660"/>
      <c r="H217" s="1584"/>
      <c r="I217" s="1633"/>
      <c r="J217" s="1584"/>
      <c r="K217" s="1633"/>
      <c r="L217" s="1584"/>
      <c r="M217" s="1634"/>
      <c r="N217" s="1584"/>
      <c r="O217" s="1633"/>
      <c r="P217" s="1584"/>
      <c r="Q217" s="1633"/>
      <c r="R217" s="1584"/>
      <c r="S217" s="1633"/>
      <c r="T217" s="1584"/>
      <c r="U217" s="1633"/>
      <c r="V217" s="1584"/>
      <c r="W217" s="1633"/>
      <c r="X217" s="1584"/>
      <c r="Y217" s="1633"/>
    </row>
    <row r="218" spans="1:25">
      <c r="A218" s="1585"/>
      <c r="B218" s="1674" t="s">
        <v>3957</v>
      </c>
      <c r="C218" s="1566" t="s">
        <v>4094</v>
      </c>
      <c r="D218" s="1489"/>
      <c r="E218" s="1567"/>
      <c r="F218" s="1593"/>
      <c r="G218" s="660"/>
      <c r="H218" s="1584" t="s">
        <v>3028</v>
      </c>
      <c r="I218" s="1633"/>
      <c r="J218" s="1584" t="s">
        <v>3028</v>
      </c>
      <c r="K218" s="1633"/>
      <c r="L218" s="1584" t="s">
        <v>3028</v>
      </c>
      <c r="M218" s="1634"/>
      <c r="N218" s="1584"/>
      <c r="O218" s="1633"/>
      <c r="P218" s="1584"/>
      <c r="Q218" s="1633"/>
      <c r="R218" s="1584"/>
      <c r="S218" s="1633"/>
      <c r="T218" s="1584"/>
      <c r="U218" s="1633"/>
      <c r="V218" s="1584"/>
      <c r="W218" s="1633"/>
      <c r="X218" s="1584"/>
      <c r="Y218" s="1633"/>
    </row>
    <row r="219" spans="1:25">
      <c r="A219" s="1585"/>
      <c r="B219" s="1674" t="s">
        <v>4095</v>
      </c>
      <c r="C219" s="1566" t="s">
        <v>1657</v>
      </c>
      <c r="D219" s="1489"/>
      <c r="E219" s="1567"/>
      <c r="F219" s="1593"/>
      <c r="G219" s="660"/>
      <c r="H219" s="1584" t="s">
        <v>3028</v>
      </c>
      <c r="I219" s="1633"/>
      <c r="J219" s="1584" t="s">
        <v>3806</v>
      </c>
      <c r="K219" s="1633"/>
      <c r="L219" s="1584" t="s">
        <v>3028</v>
      </c>
      <c r="M219" s="1634"/>
      <c r="N219" s="1584"/>
      <c r="O219" s="1633"/>
      <c r="P219" s="1584"/>
      <c r="Q219" s="1633"/>
      <c r="R219" s="1584"/>
      <c r="S219" s="1633"/>
      <c r="T219" s="1584"/>
      <c r="U219" s="1633"/>
      <c r="V219" s="1584"/>
      <c r="W219" s="1633"/>
      <c r="X219" s="1584"/>
      <c r="Y219" s="1633"/>
    </row>
    <row r="220" spans="1:25">
      <c r="A220" s="1585"/>
      <c r="B220" s="1676" t="s">
        <v>4096</v>
      </c>
      <c r="C220" s="1566" t="s">
        <v>4097</v>
      </c>
      <c r="D220" s="1489"/>
      <c r="E220" s="1567"/>
      <c r="F220" s="1593"/>
      <c r="G220" s="660"/>
      <c r="H220" s="1584" t="s">
        <v>3028</v>
      </c>
      <c r="I220" s="1633"/>
      <c r="J220" s="1584" t="s">
        <v>3806</v>
      </c>
      <c r="K220" s="1633"/>
      <c r="L220" s="1584" t="s">
        <v>3028</v>
      </c>
      <c r="M220" s="1634"/>
      <c r="N220" s="1584"/>
      <c r="O220" s="1633"/>
      <c r="P220" s="1584"/>
      <c r="Q220" s="1633"/>
      <c r="R220" s="1584"/>
      <c r="S220" s="1633"/>
      <c r="T220" s="1584"/>
      <c r="U220" s="1633"/>
      <c r="V220" s="1584"/>
      <c r="W220" s="1633"/>
      <c r="X220" s="1584"/>
      <c r="Y220" s="1633"/>
    </row>
    <row r="221" spans="1:25">
      <c r="A221" s="1693"/>
      <c r="B221" s="1676" t="s">
        <v>4098</v>
      </c>
      <c r="C221" s="1566"/>
      <c r="D221" s="1489"/>
      <c r="E221" s="1567"/>
      <c r="F221" s="1593"/>
      <c r="G221" s="660"/>
      <c r="H221" s="1584" t="s">
        <v>3028</v>
      </c>
      <c r="I221" s="1633"/>
      <c r="J221" s="1584" t="s">
        <v>3806</v>
      </c>
      <c r="K221" s="1633"/>
      <c r="L221" s="1584" t="s">
        <v>3028</v>
      </c>
      <c r="M221" s="1634"/>
      <c r="N221" s="1584"/>
      <c r="O221" s="1633"/>
      <c r="P221" s="1584"/>
      <c r="Q221" s="1633"/>
      <c r="R221" s="1584"/>
      <c r="S221" s="1633"/>
      <c r="T221" s="1584"/>
      <c r="U221" s="1633"/>
      <c r="V221" s="1584"/>
      <c r="W221" s="1633"/>
      <c r="X221" s="1584"/>
      <c r="Y221" s="1633"/>
    </row>
    <row r="222" spans="1:25">
      <c r="A222" s="1585"/>
      <c r="B222" s="1665" t="s">
        <v>4099</v>
      </c>
      <c r="C222" s="1566" t="s">
        <v>1822</v>
      </c>
      <c r="D222" s="1489"/>
      <c r="E222" s="1567"/>
      <c r="F222" s="1593"/>
      <c r="G222" s="660"/>
      <c r="H222" s="1584"/>
      <c r="I222" s="1633"/>
      <c r="J222" s="1584"/>
      <c r="K222" s="1633"/>
      <c r="L222" s="1584"/>
      <c r="M222" s="1634"/>
      <c r="N222" s="1584"/>
      <c r="O222" s="1633"/>
      <c r="P222" s="1584"/>
      <c r="Q222" s="1633"/>
      <c r="R222" s="1584"/>
      <c r="S222" s="1633"/>
      <c r="T222" s="1584"/>
      <c r="U222" s="1633"/>
      <c r="V222" s="1584"/>
      <c r="W222" s="1633"/>
      <c r="X222" s="1584"/>
      <c r="Y222" s="1633"/>
    </row>
    <row r="223" spans="1:25" ht="30">
      <c r="A223" s="1585"/>
      <c r="B223" s="1694" t="s">
        <v>4100</v>
      </c>
      <c r="C223" s="1513" t="s">
        <v>1822</v>
      </c>
      <c r="D223" s="1489"/>
      <c r="E223" s="1567"/>
      <c r="F223" s="1593"/>
      <c r="G223" s="660"/>
      <c r="H223" s="1584" t="s">
        <v>3807</v>
      </c>
      <c r="I223" s="1682" t="s">
        <v>4000</v>
      </c>
      <c r="J223" s="1584"/>
      <c r="K223" s="1633"/>
      <c r="L223" s="1584" t="s">
        <v>3807</v>
      </c>
      <c r="M223" s="1634"/>
      <c r="N223" s="1584"/>
      <c r="O223" s="1633"/>
      <c r="P223" s="1584"/>
      <c r="Q223" s="1633"/>
      <c r="R223" s="1584"/>
      <c r="S223" s="1633"/>
      <c r="T223" s="1584"/>
      <c r="U223" s="1633"/>
      <c r="V223" s="1584"/>
      <c r="W223" s="1633"/>
      <c r="X223" s="1584"/>
      <c r="Y223" s="1633"/>
    </row>
    <row r="224" spans="1:25" ht="30">
      <c r="A224" s="1585"/>
      <c r="B224" s="1676" t="s">
        <v>4101</v>
      </c>
      <c r="C224" s="1513" t="s">
        <v>4102</v>
      </c>
      <c r="D224" s="1489"/>
      <c r="E224" s="1567"/>
      <c r="F224" s="1593"/>
      <c r="G224" s="660"/>
      <c r="H224" s="1584" t="s">
        <v>3028</v>
      </c>
      <c r="I224" s="1633"/>
      <c r="J224" s="1584"/>
      <c r="K224" s="1633"/>
      <c r="L224" s="1584" t="s">
        <v>3028</v>
      </c>
      <c r="M224" s="1634"/>
      <c r="N224" s="1584"/>
      <c r="O224" s="1633"/>
      <c r="P224" s="1584"/>
      <c r="Q224" s="1633"/>
      <c r="R224" s="1584"/>
      <c r="S224" s="1633"/>
      <c r="T224" s="1584"/>
      <c r="U224" s="1633"/>
      <c r="V224" s="1584"/>
      <c r="W224" s="1633"/>
      <c r="X224" s="1584"/>
      <c r="Y224" s="1633"/>
    </row>
    <row r="225" spans="1:25">
      <c r="A225" s="1585"/>
      <c r="B225" s="1674" t="s">
        <v>3957</v>
      </c>
      <c r="C225" s="1566" t="s">
        <v>4103</v>
      </c>
      <c r="D225" s="1489"/>
      <c r="E225" s="1567"/>
      <c r="F225" s="1593"/>
      <c r="G225" s="660"/>
      <c r="H225" s="1584" t="s">
        <v>3028</v>
      </c>
      <c r="I225" s="1633"/>
      <c r="J225" s="1584" t="s">
        <v>3806</v>
      </c>
      <c r="K225" s="1633"/>
      <c r="L225" s="1584" t="s">
        <v>3028</v>
      </c>
      <c r="M225" s="1634"/>
      <c r="N225" s="1584"/>
      <c r="O225" s="1633"/>
      <c r="P225" s="1584"/>
      <c r="Q225" s="1633"/>
      <c r="R225" s="1584"/>
      <c r="S225" s="1633"/>
      <c r="T225" s="1584"/>
      <c r="U225" s="1633"/>
      <c r="V225" s="1584"/>
      <c r="W225" s="1633"/>
      <c r="X225" s="1584"/>
      <c r="Y225" s="1633"/>
    </row>
    <row r="226" spans="1:25" ht="30">
      <c r="A226" s="1585"/>
      <c r="B226" s="1674" t="s">
        <v>4104</v>
      </c>
      <c r="C226" s="1513" t="s">
        <v>4105</v>
      </c>
      <c r="D226" s="1489"/>
      <c r="E226" s="1567"/>
      <c r="F226" s="1593"/>
      <c r="G226" s="660"/>
      <c r="H226" s="1584" t="s">
        <v>3028</v>
      </c>
      <c r="I226" s="1633"/>
      <c r="J226" s="1584" t="s">
        <v>3806</v>
      </c>
      <c r="K226" s="1633"/>
      <c r="L226" s="1584" t="s">
        <v>3028</v>
      </c>
      <c r="M226" s="1634"/>
      <c r="N226" s="1584"/>
      <c r="O226" s="1633"/>
      <c r="P226" s="1584"/>
      <c r="Q226" s="1633"/>
      <c r="R226" s="1584"/>
      <c r="S226" s="1633"/>
      <c r="T226" s="1584"/>
      <c r="U226" s="1633"/>
      <c r="V226" s="1584"/>
      <c r="W226" s="1633"/>
      <c r="X226" s="1584"/>
      <c r="Y226" s="1633"/>
    </row>
    <row r="227" spans="1:25" ht="30">
      <c r="A227" s="1585"/>
      <c r="B227" s="1674" t="s">
        <v>3878</v>
      </c>
      <c r="C227" s="1513" t="s">
        <v>4106</v>
      </c>
      <c r="D227" s="1489"/>
      <c r="E227" s="1567"/>
      <c r="F227" s="1593"/>
      <c r="G227" s="660"/>
      <c r="H227" s="1584" t="s">
        <v>3028</v>
      </c>
      <c r="I227" s="1633"/>
      <c r="J227" s="1584" t="s">
        <v>3028</v>
      </c>
      <c r="K227" s="1633"/>
      <c r="L227" s="1584" t="s">
        <v>3028</v>
      </c>
      <c r="M227" s="1634"/>
      <c r="N227" s="1584"/>
      <c r="O227" s="1633"/>
      <c r="P227" s="1584"/>
      <c r="Q227" s="1633"/>
      <c r="R227" s="1584"/>
      <c r="S227" s="1633"/>
      <c r="T227" s="1584"/>
      <c r="U227" s="1633"/>
      <c r="V227" s="1584"/>
      <c r="W227" s="1633"/>
      <c r="X227" s="1584"/>
      <c r="Y227" s="1633"/>
    </row>
    <row r="228" spans="1:25" ht="30">
      <c r="A228" s="1585"/>
      <c r="B228" s="1674" t="s">
        <v>3919</v>
      </c>
      <c r="C228" s="1513" t="s">
        <v>4107</v>
      </c>
      <c r="D228" s="1489"/>
      <c r="E228" s="1567"/>
      <c r="F228" s="1593"/>
      <c r="G228" s="660"/>
      <c r="H228" s="1584" t="s">
        <v>3028</v>
      </c>
      <c r="I228" s="1633"/>
      <c r="J228" s="1584" t="s">
        <v>3028</v>
      </c>
      <c r="K228" s="1633"/>
      <c r="L228" s="1584" t="s">
        <v>3028</v>
      </c>
      <c r="M228" s="1634"/>
      <c r="N228" s="1584"/>
      <c r="O228" s="1633"/>
      <c r="P228" s="1584"/>
      <c r="Q228" s="1633"/>
      <c r="R228" s="1584"/>
      <c r="S228" s="1633"/>
      <c r="T228" s="1584"/>
      <c r="U228" s="1633"/>
      <c r="V228" s="1584"/>
      <c r="W228" s="1633"/>
      <c r="X228" s="1584"/>
      <c r="Y228" s="1633"/>
    </row>
    <row r="229" spans="1:25" s="364" customFormat="1" ht="30">
      <c r="A229" s="1657" t="s">
        <v>3833</v>
      </c>
      <c r="B229" s="1676" t="s">
        <v>4108</v>
      </c>
      <c r="C229" s="1651" t="s">
        <v>1657</v>
      </c>
      <c r="D229" s="1652"/>
      <c r="E229" s="1653"/>
      <c r="F229" s="1654"/>
      <c r="G229" s="682"/>
      <c r="H229" s="1584" t="s">
        <v>3028</v>
      </c>
      <c r="I229" s="1664" t="s">
        <v>3973</v>
      </c>
      <c r="J229" s="1584" t="s">
        <v>3806</v>
      </c>
      <c r="K229" s="1655"/>
      <c r="L229" s="1584" t="s">
        <v>3028</v>
      </c>
      <c r="M229" s="1668" t="s">
        <v>3973</v>
      </c>
      <c r="N229" s="1584"/>
      <c r="O229" s="1655"/>
      <c r="P229" s="1584"/>
      <c r="Q229" s="1655"/>
      <c r="R229" s="1584"/>
      <c r="S229" s="1655"/>
      <c r="T229" s="1584"/>
      <c r="U229" s="1655"/>
      <c r="V229" s="1584"/>
      <c r="W229" s="1655"/>
      <c r="X229" s="1584"/>
      <c r="Y229" s="1655"/>
    </row>
    <row r="230" spans="1:25">
      <c r="A230" s="1585"/>
      <c r="B230" s="1665" t="s">
        <v>4109</v>
      </c>
      <c r="C230" s="1566" t="s">
        <v>1822</v>
      </c>
      <c r="D230" s="1489"/>
      <c r="E230" s="1567"/>
      <c r="F230" s="1593"/>
      <c r="G230" s="660"/>
      <c r="H230" s="1584"/>
      <c r="I230" s="1633"/>
      <c r="J230" s="1584"/>
      <c r="K230" s="1633"/>
      <c r="L230" s="1584"/>
      <c r="M230" s="1634"/>
      <c r="N230" s="1584"/>
      <c r="O230" s="1633"/>
      <c r="P230" s="1584"/>
      <c r="Q230" s="1633"/>
      <c r="R230" s="1584"/>
      <c r="S230" s="1633"/>
      <c r="T230" s="1584"/>
      <c r="U230" s="1633"/>
      <c r="V230" s="1584"/>
      <c r="W230" s="1633"/>
      <c r="X230" s="1584"/>
      <c r="Y230" s="1633"/>
    </row>
    <row r="231" spans="1:25" ht="30">
      <c r="A231" s="1585"/>
      <c r="B231" s="1676" t="s">
        <v>4110</v>
      </c>
      <c r="C231" s="1651" t="s">
        <v>4111</v>
      </c>
      <c r="D231" s="1489"/>
      <c r="E231" s="1567"/>
      <c r="F231" s="1593"/>
      <c r="G231" s="660"/>
      <c r="H231" s="1584" t="s">
        <v>3028</v>
      </c>
      <c r="I231" s="1633"/>
      <c r="J231" s="1584" t="s">
        <v>3028</v>
      </c>
      <c r="K231" s="1633"/>
      <c r="L231" s="1584" t="s">
        <v>3028</v>
      </c>
      <c r="M231" s="1634"/>
      <c r="N231" s="1584"/>
      <c r="O231" s="1633"/>
      <c r="P231" s="1584"/>
      <c r="Q231" s="1633"/>
      <c r="R231" s="1584"/>
      <c r="S231" s="1633"/>
      <c r="T231" s="1584"/>
      <c r="U231" s="1633"/>
      <c r="V231" s="1584"/>
      <c r="W231" s="1633"/>
      <c r="X231" s="1584"/>
      <c r="Y231" s="1633"/>
    </row>
    <row r="232" spans="1:25">
      <c r="A232" s="1585"/>
      <c r="B232" s="1674" t="s">
        <v>3878</v>
      </c>
      <c r="C232" s="1566" t="s">
        <v>4112</v>
      </c>
      <c r="D232" s="1489"/>
      <c r="E232" s="1567"/>
      <c r="F232" s="1593"/>
      <c r="G232" s="660"/>
      <c r="H232" s="1584" t="s">
        <v>3028</v>
      </c>
      <c r="I232" s="1633"/>
      <c r="J232" s="1584" t="s">
        <v>3028</v>
      </c>
      <c r="K232" s="1633"/>
      <c r="L232" s="1584" t="s">
        <v>3028</v>
      </c>
      <c r="M232" s="1634"/>
      <c r="N232" s="1584"/>
      <c r="O232" s="1633"/>
      <c r="P232" s="1584"/>
      <c r="Q232" s="1633"/>
      <c r="R232" s="1584"/>
      <c r="S232" s="1633"/>
      <c r="T232" s="1584"/>
      <c r="U232" s="1633"/>
      <c r="V232" s="1584"/>
      <c r="W232" s="1633"/>
      <c r="X232" s="1584"/>
      <c r="Y232" s="1633"/>
    </row>
    <row r="233" spans="1:25">
      <c r="A233" s="1585"/>
      <c r="B233" s="1665" t="s">
        <v>4113</v>
      </c>
      <c r="C233" s="1566" t="s">
        <v>1822</v>
      </c>
      <c r="D233" s="1489"/>
      <c r="E233" s="1567"/>
      <c r="F233" s="1593"/>
      <c r="G233" s="660"/>
      <c r="H233" s="1584"/>
      <c r="I233" s="1633"/>
      <c r="J233" s="1584"/>
      <c r="K233" s="1633"/>
      <c r="L233" s="1584"/>
      <c r="M233" s="1634"/>
      <c r="N233" s="1584"/>
      <c r="O233" s="1633"/>
      <c r="P233" s="1584"/>
      <c r="Q233" s="1633"/>
      <c r="R233" s="1584"/>
      <c r="S233" s="1633"/>
      <c r="T233" s="1584"/>
      <c r="U233" s="1633"/>
      <c r="V233" s="1584"/>
      <c r="W233" s="1633"/>
      <c r="X233" s="1584"/>
      <c r="Y233" s="1633"/>
    </row>
    <row r="234" spans="1:25" ht="45">
      <c r="A234" s="1585"/>
      <c r="B234" s="1674" t="s">
        <v>4114</v>
      </c>
      <c r="C234" s="1513" t="s">
        <v>4115</v>
      </c>
      <c r="D234" s="1489"/>
      <c r="E234" s="1567"/>
      <c r="F234" s="1593"/>
      <c r="G234" s="660"/>
      <c r="H234" s="1584" t="s">
        <v>3028</v>
      </c>
      <c r="I234" s="1633"/>
      <c r="J234" s="1584" t="s">
        <v>3028</v>
      </c>
      <c r="K234" s="1633"/>
      <c r="L234" s="1584" t="s">
        <v>3028</v>
      </c>
      <c r="M234" s="1634"/>
      <c r="N234" s="1584"/>
      <c r="O234" s="1633"/>
      <c r="P234" s="1584"/>
      <c r="Q234" s="1633"/>
      <c r="R234" s="1584"/>
      <c r="S234" s="1633"/>
      <c r="T234" s="1584"/>
      <c r="U234" s="1633"/>
      <c r="V234" s="1584"/>
      <c r="W234" s="1633"/>
      <c r="X234" s="1584"/>
      <c r="Y234" s="1633"/>
    </row>
    <row r="235" spans="1:25">
      <c r="A235" s="1585"/>
      <c r="B235" s="1674" t="s">
        <v>3878</v>
      </c>
      <c r="C235" s="1513" t="s">
        <v>4116</v>
      </c>
      <c r="D235" s="1489"/>
      <c r="E235" s="1567"/>
      <c r="F235" s="1593"/>
      <c r="G235" s="660"/>
      <c r="H235" s="1584" t="s">
        <v>3028</v>
      </c>
      <c r="I235" s="1633"/>
      <c r="J235" s="1584" t="s">
        <v>3028</v>
      </c>
      <c r="K235" s="1633"/>
      <c r="L235" s="1584" t="s">
        <v>3028</v>
      </c>
      <c r="M235" s="1634"/>
      <c r="N235" s="1584"/>
      <c r="O235" s="1633"/>
      <c r="P235" s="1584"/>
      <c r="Q235" s="1633"/>
      <c r="R235" s="1584"/>
      <c r="S235" s="1633"/>
      <c r="T235" s="1584"/>
      <c r="U235" s="1633"/>
      <c r="V235" s="1584"/>
      <c r="W235" s="1633"/>
      <c r="X235" s="1584"/>
      <c r="Y235" s="1633"/>
    </row>
    <row r="236" spans="1:25">
      <c r="A236" s="1585"/>
      <c r="B236" s="1674" t="s">
        <v>4117</v>
      </c>
      <c r="C236" s="1566" t="s">
        <v>4118</v>
      </c>
      <c r="D236" s="1489"/>
      <c r="E236" s="1567"/>
      <c r="F236" s="1593"/>
      <c r="G236" s="660"/>
      <c r="H236" s="1584" t="s">
        <v>3028</v>
      </c>
      <c r="I236" s="1633"/>
      <c r="J236" s="1584" t="s">
        <v>3028</v>
      </c>
      <c r="K236" s="1633"/>
      <c r="L236" s="1584" t="s">
        <v>3028</v>
      </c>
      <c r="M236" s="1634"/>
      <c r="N236" s="1584"/>
      <c r="O236" s="1633"/>
      <c r="P236" s="1584"/>
      <c r="Q236" s="1633"/>
      <c r="R236" s="1584"/>
      <c r="S236" s="1633"/>
      <c r="T236" s="1584"/>
      <c r="U236" s="1633"/>
      <c r="V236" s="1584"/>
      <c r="W236" s="1633"/>
      <c r="X236" s="1584"/>
      <c r="Y236" s="1633"/>
    </row>
    <row r="237" spans="1:25">
      <c r="A237" s="1585"/>
      <c r="B237" s="1665" t="s">
        <v>4119</v>
      </c>
      <c r="C237" s="1566" t="s">
        <v>1822</v>
      </c>
      <c r="D237" s="1489"/>
      <c r="E237" s="1567"/>
      <c r="F237" s="1593"/>
      <c r="G237" s="660"/>
      <c r="H237" s="1584"/>
      <c r="I237" s="1633"/>
      <c r="J237" s="1584"/>
      <c r="K237" s="1633"/>
      <c r="L237" s="1584"/>
      <c r="M237" s="1634"/>
      <c r="N237" s="1584"/>
      <c r="O237" s="1633"/>
      <c r="P237" s="1584"/>
      <c r="Q237" s="1633"/>
      <c r="R237" s="1584"/>
      <c r="S237" s="1633"/>
      <c r="T237" s="1584"/>
      <c r="U237" s="1633"/>
      <c r="V237" s="1584"/>
      <c r="W237" s="1633"/>
      <c r="X237" s="1584"/>
      <c r="Y237" s="1633"/>
    </row>
    <row r="238" spans="1:25">
      <c r="A238" s="1585"/>
      <c r="B238" s="1674" t="s">
        <v>4117</v>
      </c>
      <c r="C238" s="1513" t="s">
        <v>4120</v>
      </c>
      <c r="D238" s="1489"/>
      <c r="E238" s="1567"/>
      <c r="F238" s="1593"/>
      <c r="G238" s="660"/>
      <c r="H238" s="1584" t="s">
        <v>3028</v>
      </c>
      <c r="I238" s="1633"/>
      <c r="J238" s="1584" t="s">
        <v>3028</v>
      </c>
      <c r="K238" s="1633"/>
      <c r="L238" s="1584" t="s">
        <v>3028</v>
      </c>
      <c r="M238" s="1634"/>
      <c r="N238" s="1584"/>
      <c r="O238" s="1633"/>
      <c r="P238" s="1584"/>
      <c r="Q238" s="1633"/>
      <c r="R238" s="1584"/>
      <c r="S238" s="1633"/>
      <c r="T238" s="1584"/>
      <c r="U238" s="1633"/>
      <c r="V238" s="1584"/>
      <c r="W238" s="1633"/>
      <c r="X238" s="1584"/>
      <c r="Y238" s="1633"/>
    </row>
    <row r="239" spans="1:25" ht="45">
      <c r="A239" s="1585"/>
      <c r="B239" s="1674" t="s">
        <v>4121</v>
      </c>
      <c r="C239" s="1513" t="s">
        <v>4122</v>
      </c>
      <c r="D239" s="1489"/>
      <c r="E239" s="1567"/>
      <c r="F239" s="1593"/>
      <c r="G239" s="660"/>
      <c r="H239" s="1584" t="s">
        <v>3028</v>
      </c>
      <c r="I239" s="1633"/>
      <c r="J239" s="1584" t="s">
        <v>3028</v>
      </c>
      <c r="K239" s="1633"/>
      <c r="L239" s="1584" t="s">
        <v>3028</v>
      </c>
      <c r="M239" s="1634"/>
      <c r="N239" s="1584"/>
      <c r="O239" s="1633"/>
      <c r="P239" s="1584"/>
      <c r="Q239" s="1633"/>
      <c r="R239" s="1584"/>
      <c r="S239" s="1633"/>
      <c r="T239" s="1584"/>
      <c r="U239" s="1633"/>
      <c r="V239" s="1584"/>
      <c r="W239" s="1633"/>
      <c r="X239" s="1584"/>
      <c r="Y239" s="1633"/>
    </row>
    <row r="240" spans="1:25">
      <c r="A240" s="1585"/>
      <c r="B240" s="1674" t="s">
        <v>3878</v>
      </c>
      <c r="C240" s="1513" t="s">
        <v>4123</v>
      </c>
      <c r="D240" s="1489"/>
      <c r="E240" s="1567"/>
      <c r="F240" s="1593"/>
      <c r="G240" s="660"/>
      <c r="H240" s="1584" t="s">
        <v>3028</v>
      </c>
      <c r="I240" s="1633"/>
      <c r="J240" s="1584" t="s">
        <v>3028</v>
      </c>
      <c r="K240" s="1633"/>
      <c r="L240" s="1584" t="s">
        <v>3028</v>
      </c>
      <c r="M240" s="1634"/>
      <c r="N240" s="1584"/>
      <c r="O240" s="1633"/>
      <c r="P240" s="1584"/>
      <c r="Q240" s="1633"/>
      <c r="R240" s="1584"/>
      <c r="S240" s="1633"/>
      <c r="T240" s="1584"/>
      <c r="U240" s="1633"/>
      <c r="V240" s="1584"/>
      <c r="W240" s="1633"/>
      <c r="X240" s="1584"/>
      <c r="Y240" s="1633"/>
    </row>
    <row r="241" spans="1:25" ht="30">
      <c r="A241" s="1585"/>
      <c r="B241" s="1674" t="s">
        <v>4124</v>
      </c>
      <c r="C241" s="1513" t="s">
        <v>4125</v>
      </c>
      <c r="D241" s="1489"/>
      <c r="E241" s="1567"/>
      <c r="F241" s="1593"/>
      <c r="G241" s="660"/>
      <c r="H241" s="1584" t="s">
        <v>3028</v>
      </c>
      <c r="I241" s="1633"/>
      <c r="J241" s="1584" t="s">
        <v>3028</v>
      </c>
      <c r="K241" s="1633"/>
      <c r="L241" s="1584" t="s">
        <v>3028</v>
      </c>
      <c r="M241" s="1634"/>
      <c r="N241" s="1584"/>
      <c r="O241" s="1633"/>
      <c r="P241" s="1584"/>
      <c r="Q241" s="1633"/>
      <c r="R241" s="1584"/>
      <c r="S241" s="1633"/>
      <c r="T241" s="1584"/>
      <c r="U241" s="1633"/>
      <c r="V241" s="1584"/>
      <c r="W241" s="1633"/>
      <c r="X241" s="1584"/>
      <c r="Y241" s="1633"/>
    </row>
    <row r="242" spans="1:25">
      <c r="A242" s="1585"/>
      <c r="B242" s="1665" t="s">
        <v>4126</v>
      </c>
      <c r="C242" s="1566" t="s">
        <v>1822</v>
      </c>
      <c r="D242" s="1489"/>
      <c r="E242" s="1567"/>
      <c r="F242" s="1593"/>
      <c r="G242" s="660"/>
      <c r="H242" s="1584"/>
      <c r="I242" s="1633"/>
      <c r="J242" s="1584"/>
      <c r="K242" s="1633"/>
      <c r="L242" s="1584"/>
      <c r="M242" s="1634"/>
      <c r="N242" s="1584"/>
      <c r="O242" s="1633"/>
      <c r="P242" s="1584"/>
      <c r="Q242" s="1633"/>
      <c r="R242" s="1584"/>
      <c r="S242" s="1633"/>
      <c r="T242" s="1584"/>
      <c r="U242" s="1633"/>
      <c r="V242" s="1584"/>
      <c r="W242" s="1633"/>
      <c r="X242" s="1584"/>
      <c r="Y242" s="1633"/>
    </row>
    <row r="243" spans="1:25">
      <c r="A243" s="1585"/>
      <c r="B243" s="1674" t="s">
        <v>4117</v>
      </c>
      <c r="C243" s="1513" t="s">
        <v>4120</v>
      </c>
      <c r="D243" s="1489"/>
      <c r="E243" s="1567"/>
      <c r="F243" s="1593"/>
      <c r="G243" s="660"/>
      <c r="H243" s="1584" t="s">
        <v>3028</v>
      </c>
      <c r="I243" s="1633"/>
      <c r="J243" s="1584" t="s">
        <v>3028</v>
      </c>
      <c r="K243" s="1633"/>
      <c r="L243" s="1584" t="s">
        <v>3028</v>
      </c>
      <c r="M243" s="1634"/>
      <c r="N243" s="1584"/>
      <c r="O243" s="1633"/>
      <c r="P243" s="1584"/>
      <c r="Q243" s="1633"/>
      <c r="R243" s="1584"/>
      <c r="S243" s="1633"/>
      <c r="T243" s="1584"/>
      <c r="U243" s="1633"/>
      <c r="V243" s="1584"/>
      <c r="W243" s="1633"/>
      <c r="X243" s="1584"/>
      <c r="Y243" s="1633"/>
    </row>
    <row r="244" spans="1:25" ht="45">
      <c r="A244" s="1585"/>
      <c r="B244" s="1674" t="s">
        <v>4121</v>
      </c>
      <c r="C244" s="1513" t="s">
        <v>4122</v>
      </c>
      <c r="D244" s="1489"/>
      <c r="E244" s="1567"/>
      <c r="F244" s="1593"/>
      <c r="G244" s="660"/>
      <c r="H244" s="1584" t="s">
        <v>3028</v>
      </c>
      <c r="I244" s="1633"/>
      <c r="J244" s="1584" t="s">
        <v>3028</v>
      </c>
      <c r="K244" s="1633"/>
      <c r="L244" s="1584" t="s">
        <v>3028</v>
      </c>
      <c r="M244" s="1634"/>
      <c r="N244" s="1584"/>
      <c r="O244" s="1633"/>
      <c r="P244" s="1584"/>
      <c r="Q244" s="1633"/>
      <c r="R244" s="1584"/>
      <c r="S244" s="1633"/>
      <c r="T244" s="1584"/>
      <c r="U244" s="1633"/>
      <c r="V244" s="1584"/>
      <c r="W244" s="1633"/>
      <c r="X244" s="1584"/>
      <c r="Y244" s="1633"/>
    </row>
    <row r="245" spans="1:25">
      <c r="A245" s="1585"/>
      <c r="B245" s="1674" t="s">
        <v>3878</v>
      </c>
      <c r="C245" s="1513" t="s">
        <v>4123</v>
      </c>
      <c r="D245" s="1489"/>
      <c r="E245" s="1567"/>
      <c r="F245" s="1593"/>
      <c r="G245" s="660"/>
      <c r="H245" s="1584" t="s">
        <v>3028</v>
      </c>
      <c r="I245" s="1633"/>
      <c r="J245" s="1584" t="s">
        <v>3028</v>
      </c>
      <c r="K245" s="1633"/>
      <c r="L245" s="1584" t="s">
        <v>3028</v>
      </c>
      <c r="M245" s="1634"/>
      <c r="N245" s="1584"/>
      <c r="O245" s="1633"/>
      <c r="P245" s="1584"/>
      <c r="Q245" s="1633"/>
      <c r="R245" s="1584"/>
      <c r="S245" s="1633"/>
      <c r="T245" s="1584"/>
      <c r="U245" s="1633"/>
      <c r="V245" s="1584"/>
      <c r="W245" s="1633"/>
      <c r="X245" s="1584"/>
      <c r="Y245" s="1633"/>
    </row>
    <row r="246" spans="1:25" ht="30">
      <c r="A246" s="1585"/>
      <c r="B246" s="1674" t="s">
        <v>4124</v>
      </c>
      <c r="C246" s="1513" t="s">
        <v>4125</v>
      </c>
      <c r="D246" s="1489"/>
      <c r="E246" s="1567"/>
      <c r="F246" s="1593"/>
      <c r="G246" s="660"/>
      <c r="H246" s="1584" t="s">
        <v>3028</v>
      </c>
      <c r="I246" s="1633"/>
      <c r="J246" s="1584" t="s">
        <v>3028</v>
      </c>
      <c r="K246" s="1633"/>
      <c r="L246" s="1584" t="s">
        <v>3028</v>
      </c>
      <c r="M246" s="1634"/>
      <c r="N246" s="1584"/>
      <c r="O246" s="1633"/>
      <c r="P246" s="1584"/>
      <c r="Q246" s="1633"/>
      <c r="R246" s="1584"/>
      <c r="S246" s="1633"/>
      <c r="T246" s="1584"/>
      <c r="U246" s="1633"/>
      <c r="V246" s="1584"/>
      <c r="W246" s="1633"/>
      <c r="X246" s="1584"/>
      <c r="Y246" s="1633"/>
    </row>
    <row r="247" spans="1:25">
      <c r="A247" s="1585"/>
      <c r="B247" s="1665" t="s">
        <v>4127</v>
      </c>
      <c r="C247" s="1566" t="s">
        <v>1822</v>
      </c>
      <c r="D247" s="1489"/>
      <c r="E247" s="1567"/>
      <c r="F247" s="1593"/>
      <c r="G247" s="660"/>
      <c r="H247" s="1584"/>
      <c r="I247" s="1633"/>
      <c r="J247" s="1584"/>
      <c r="K247" s="1633"/>
      <c r="L247" s="1584"/>
      <c r="M247" s="1634"/>
      <c r="N247" s="1584"/>
      <c r="O247" s="1633"/>
      <c r="P247" s="1584"/>
      <c r="Q247" s="1633"/>
      <c r="R247" s="1584"/>
      <c r="S247" s="1633"/>
      <c r="T247" s="1584"/>
      <c r="U247" s="1633"/>
      <c r="V247" s="1584"/>
      <c r="W247" s="1633"/>
      <c r="X247" s="1584"/>
      <c r="Y247" s="1633"/>
    </row>
    <row r="248" spans="1:25">
      <c r="A248" s="1585"/>
      <c r="B248" s="1674" t="s">
        <v>4117</v>
      </c>
      <c r="C248" s="1513" t="s">
        <v>4120</v>
      </c>
      <c r="D248" s="1489"/>
      <c r="E248" s="1567"/>
      <c r="F248" s="1593"/>
      <c r="G248" s="660"/>
      <c r="H248" s="1584" t="s">
        <v>3028</v>
      </c>
      <c r="I248" s="1633"/>
      <c r="J248" s="1584" t="s">
        <v>3028</v>
      </c>
      <c r="K248" s="1633"/>
      <c r="L248" s="1584" t="s">
        <v>3028</v>
      </c>
      <c r="M248" s="1634"/>
      <c r="N248" s="1584"/>
      <c r="O248" s="1633"/>
      <c r="P248" s="1584"/>
      <c r="Q248" s="1633"/>
      <c r="R248" s="1584"/>
      <c r="S248" s="1633"/>
      <c r="T248" s="1584"/>
      <c r="U248" s="1633"/>
      <c r="V248" s="1584"/>
      <c r="W248" s="1633"/>
      <c r="X248" s="1584"/>
      <c r="Y248" s="1633"/>
    </row>
    <row r="249" spans="1:25" ht="45">
      <c r="A249" s="1585"/>
      <c r="B249" s="1674" t="s">
        <v>4121</v>
      </c>
      <c r="C249" s="1513" t="s">
        <v>4122</v>
      </c>
      <c r="D249" s="1489"/>
      <c r="E249" s="1567"/>
      <c r="F249" s="1593"/>
      <c r="G249" s="660"/>
      <c r="H249" s="1584" t="s">
        <v>3028</v>
      </c>
      <c r="I249" s="1633"/>
      <c r="J249" s="1584" t="s">
        <v>3028</v>
      </c>
      <c r="K249" s="1633"/>
      <c r="L249" s="1584" t="s">
        <v>3028</v>
      </c>
      <c r="M249" s="1634"/>
      <c r="N249" s="1584"/>
      <c r="O249" s="1633"/>
      <c r="P249" s="1584"/>
      <c r="Q249" s="1633"/>
      <c r="R249" s="1584"/>
      <c r="S249" s="1633"/>
      <c r="T249" s="1584"/>
      <c r="U249" s="1633"/>
      <c r="V249" s="1584"/>
      <c r="W249" s="1633"/>
      <c r="X249" s="1584"/>
      <c r="Y249" s="1633"/>
    </row>
    <row r="250" spans="1:25">
      <c r="A250" s="1585"/>
      <c r="B250" s="1674" t="s">
        <v>3878</v>
      </c>
      <c r="C250" s="1513" t="s">
        <v>4123</v>
      </c>
      <c r="D250" s="1489"/>
      <c r="E250" s="1567"/>
      <c r="F250" s="1593"/>
      <c r="G250" s="660"/>
      <c r="H250" s="1584" t="s">
        <v>3028</v>
      </c>
      <c r="I250" s="1633"/>
      <c r="J250" s="1584" t="s">
        <v>3028</v>
      </c>
      <c r="K250" s="1633"/>
      <c r="L250" s="1584" t="s">
        <v>3028</v>
      </c>
      <c r="M250" s="1634"/>
      <c r="N250" s="1584"/>
      <c r="O250" s="1633"/>
      <c r="P250" s="1584"/>
      <c r="Q250" s="1633"/>
      <c r="R250" s="1584"/>
      <c r="S250" s="1633"/>
      <c r="T250" s="1584"/>
      <c r="U250" s="1633"/>
      <c r="V250" s="1584"/>
      <c r="W250" s="1633"/>
      <c r="X250" s="1584"/>
      <c r="Y250" s="1633"/>
    </row>
    <row r="251" spans="1:25" ht="30">
      <c r="A251" s="1585"/>
      <c r="B251" s="1674" t="s">
        <v>4124</v>
      </c>
      <c r="C251" s="1513" t="s">
        <v>4125</v>
      </c>
      <c r="D251" s="1489"/>
      <c r="E251" s="1567"/>
      <c r="F251" s="1593"/>
      <c r="G251" s="660"/>
      <c r="H251" s="1584" t="s">
        <v>3028</v>
      </c>
      <c r="I251" s="1633"/>
      <c r="J251" s="1584" t="s">
        <v>3028</v>
      </c>
      <c r="K251" s="1633"/>
      <c r="L251" s="1584" t="s">
        <v>3028</v>
      </c>
      <c r="M251" s="1634"/>
      <c r="N251" s="1584"/>
      <c r="O251" s="1633"/>
      <c r="P251" s="1584"/>
      <c r="Q251" s="1633"/>
      <c r="R251" s="1584"/>
      <c r="S251" s="1633"/>
      <c r="T251" s="1584"/>
      <c r="U251" s="1633"/>
      <c r="V251" s="1584"/>
      <c r="W251" s="1633"/>
      <c r="X251" s="1584"/>
      <c r="Y251" s="1633"/>
    </row>
    <row r="252" spans="1:25">
      <c r="A252" s="1585"/>
      <c r="B252" s="1665" t="s">
        <v>4128</v>
      </c>
      <c r="C252" s="1566" t="s">
        <v>1822</v>
      </c>
      <c r="D252" s="1489"/>
      <c r="E252" s="1567"/>
      <c r="F252" s="1593"/>
      <c r="G252" s="660"/>
      <c r="H252" s="1584"/>
      <c r="I252" s="1633"/>
      <c r="J252" s="1584"/>
      <c r="K252" s="1633"/>
      <c r="L252" s="1584"/>
      <c r="M252" s="1634"/>
      <c r="N252" s="1584"/>
      <c r="O252" s="1633"/>
      <c r="P252" s="1584"/>
      <c r="Q252" s="1633"/>
      <c r="R252" s="1584"/>
      <c r="S252" s="1633"/>
      <c r="T252" s="1584"/>
      <c r="U252" s="1633"/>
      <c r="V252" s="1584"/>
      <c r="W252" s="1633"/>
      <c r="X252" s="1584"/>
      <c r="Y252" s="1633"/>
    </row>
    <row r="253" spans="1:25">
      <c r="A253" s="1585"/>
      <c r="B253" s="1674" t="s">
        <v>4117</v>
      </c>
      <c r="C253" s="1513" t="s">
        <v>4129</v>
      </c>
      <c r="D253" s="1489"/>
      <c r="E253" s="1567"/>
      <c r="F253" s="1593"/>
      <c r="G253" s="660"/>
      <c r="H253" s="1584" t="s">
        <v>3028</v>
      </c>
      <c r="I253" s="1633"/>
      <c r="J253" s="1584" t="s">
        <v>3028</v>
      </c>
      <c r="K253" s="1633"/>
      <c r="L253" s="1584" t="s">
        <v>3028</v>
      </c>
      <c r="M253" s="1634"/>
      <c r="N253" s="1584"/>
      <c r="O253" s="1633"/>
      <c r="P253" s="1584"/>
      <c r="Q253" s="1633"/>
      <c r="R253" s="1584"/>
      <c r="S253" s="1633"/>
      <c r="T253" s="1584"/>
      <c r="U253" s="1633"/>
      <c r="V253" s="1584"/>
      <c r="W253" s="1633"/>
      <c r="X253" s="1584"/>
      <c r="Y253" s="1633"/>
    </row>
    <row r="254" spans="1:25" ht="30">
      <c r="A254" s="1585"/>
      <c r="B254" s="1674" t="s">
        <v>3878</v>
      </c>
      <c r="C254" s="1513" t="s">
        <v>4130</v>
      </c>
      <c r="D254" s="1489"/>
      <c r="E254" s="1567"/>
      <c r="F254" s="1593"/>
      <c r="G254" s="660"/>
      <c r="H254" s="1584" t="s">
        <v>3028</v>
      </c>
      <c r="I254" s="1633"/>
      <c r="J254" s="1584" t="s">
        <v>3028</v>
      </c>
      <c r="K254" s="1633"/>
      <c r="L254" s="1584" t="s">
        <v>3028</v>
      </c>
      <c r="M254" s="1634"/>
      <c r="N254" s="1584"/>
      <c r="O254" s="1633"/>
      <c r="P254" s="1584"/>
      <c r="Q254" s="1633"/>
      <c r="R254" s="1584"/>
      <c r="S254" s="1633"/>
      <c r="T254" s="1584"/>
      <c r="U254" s="1633"/>
      <c r="V254" s="1584"/>
      <c r="W254" s="1633"/>
      <c r="X254" s="1584"/>
      <c r="Y254" s="1633"/>
    </row>
    <row r="255" spans="1:25">
      <c r="A255" s="1683"/>
      <c r="B255" s="1676" t="s">
        <v>4131</v>
      </c>
      <c r="C255" s="1513" t="s">
        <v>4132</v>
      </c>
      <c r="D255" s="1489"/>
      <c r="E255" s="1567"/>
      <c r="F255" s="1593"/>
      <c r="G255" s="660"/>
      <c r="H255" s="1584" t="s">
        <v>3807</v>
      </c>
      <c r="I255" s="1695" t="s">
        <v>3902</v>
      </c>
      <c r="J255" s="1584" t="s">
        <v>3028</v>
      </c>
      <c r="K255" s="1633" t="s">
        <v>3806</v>
      </c>
      <c r="L255" s="1584" t="s">
        <v>3807</v>
      </c>
      <c r="M255" s="1634"/>
      <c r="N255" s="1584"/>
      <c r="O255" s="1633"/>
      <c r="P255" s="1584"/>
      <c r="Q255" s="1633"/>
      <c r="R255" s="1584"/>
      <c r="S255" s="1633"/>
      <c r="T255" s="1584"/>
      <c r="U255" s="1633"/>
      <c r="V255" s="1584"/>
      <c r="W255" s="1633"/>
      <c r="X255" s="1584"/>
      <c r="Y255" s="1633"/>
    </row>
    <row r="256" spans="1:25" ht="45">
      <c r="A256" s="1585"/>
      <c r="B256" s="1674" t="s">
        <v>4133</v>
      </c>
      <c r="C256" s="1513" t="s">
        <v>4134</v>
      </c>
      <c r="D256" s="1489"/>
      <c r="E256" s="1567"/>
      <c r="F256" s="1593"/>
      <c r="G256" s="660"/>
      <c r="H256" s="1584" t="s">
        <v>3028</v>
      </c>
      <c r="I256" s="1633"/>
      <c r="J256" s="1584" t="s">
        <v>3028</v>
      </c>
      <c r="K256" s="1633"/>
      <c r="L256" s="1584" t="s">
        <v>3028</v>
      </c>
      <c r="M256" s="1634"/>
      <c r="N256" s="1584"/>
      <c r="O256" s="1633"/>
      <c r="P256" s="1584"/>
      <c r="Q256" s="1633"/>
      <c r="R256" s="1584"/>
      <c r="S256" s="1633"/>
      <c r="T256" s="1584"/>
      <c r="U256" s="1633"/>
      <c r="V256" s="1584"/>
      <c r="W256" s="1633"/>
      <c r="X256" s="1584"/>
      <c r="Y256" s="1633"/>
    </row>
    <row r="257" spans="1:25">
      <c r="A257" s="1585"/>
      <c r="B257" s="1665" t="s">
        <v>4135</v>
      </c>
      <c r="C257" s="1566" t="s">
        <v>1822</v>
      </c>
      <c r="D257" s="1489"/>
      <c r="E257" s="1567"/>
      <c r="F257" s="1593"/>
      <c r="G257" s="660"/>
      <c r="H257" s="1584"/>
      <c r="I257" s="1633"/>
      <c r="J257" s="1584"/>
      <c r="K257" s="1633"/>
      <c r="L257" s="1584"/>
      <c r="M257" s="1634"/>
      <c r="N257" s="1584"/>
      <c r="O257" s="1633"/>
      <c r="P257" s="1584"/>
      <c r="Q257" s="1633"/>
      <c r="R257" s="1584"/>
      <c r="S257" s="1633"/>
      <c r="T257" s="1584"/>
      <c r="U257" s="1633"/>
      <c r="V257" s="1584"/>
      <c r="W257" s="1633"/>
      <c r="X257" s="1584"/>
      <c r="Y257" s="1633"/>
    </row>
    <row r="258" spans="1:25">
      <c r="A258" s="1585"/>
      <c r="B258" s="1674" t="s">
        <v>4136</v>
      </c>
      <c r="C258" s="1513" t="s">
        <v>4137</v>
      </c>
      <c r="D258" s="1489"/>
      <c r="E258" s="1567"/>
      <c r="F258" s="1593"/>
      <c r="G258" s="660"/>
      <c r="H258" s="1584" t="s">
        <v>3028</v>
      </c>
      <c r="I258" s="1633"/>
      <c r="J258" s="1584" t="s">
        <v>3028</v>
      </c>
      <c r="K258" s="1633"/>
      <c r="L258" s="1584" t="s">
        <v>3028</v>
      </c>
      <c r="M258" s="1634"/>
      <c r="N258" s="1584"/>
      <c r="O258" s="1633"/>
      <c r="P258" s="1584"/>
      <c r="Q258" s="1633"/>
      <c r="R258" s="1584"/>
      <c r="S258" s="1633"/>
      <c r="T258" s="1584"/>
      <c r="U258" s="1633"/>
      <c r="V258" s="1584"/>
      <c r="W258" s="1633"/>
      <c r="X258" s="1584"/>
      <c r="Y258" s="1633"/>
    </row>
    <row r="259" spans="1:25">
      <c r="A259" s="1585"/>
      <c r="B259" s="1674" t="s">
        <v>4138</v>
      </c>
      <c r="C259" s="1513" t="s">
        <v>4139</v>
      </c>
      <c r="D259" s="1489"/>
      <c r="E259" s="1567"/>
      <c r="F259" s="1593"/>
      <c r="G259" s="660"/>
      <c r="H259" s="1584" t="s">
        <v>3028</v>
      </c>
      <c r="I259" s="1633"/>
      <c r="J259" s="1584" t="s">
        <v>3028</v>
      </c>
      <c r="K259" s="1633"/>
      <c r="L259" s="1584" t="s">
        <v>3028</v>
      </c>
      <c r="M259" s="1634"/>
      <c r="N259" s="1584"/>
      <c r="O259" s="1633"/>
      <c r="P259" s="1584"/>
      <c r="Q259" s="1633"/>
      <c r="R259" s="1584"/>
      <c r="S259" s="1633"/>
      <c r="T259" s="1584"/>
      <c r="U259" s="1633"/>
      <c r="V259" s="1584"/>
      <c r="W259" s="1633"/>
      <c r="X259" s="1584"/>
      <c r="Y259" s="1633"/>
    </row>
    <row r="260" spans="1:25">
      <c r="A260" s="1683"/>
      <c r="B260" s="1676" t="s">
        <v>4131</v>
      </c>
      <c r="C260" s="1513" t="s">
        <v>4140</v>
      </c>
      <c r="D260" s="1489"/>
      <c r="E260" s="1567"/>
      <c r="F260" s="1593"/>
      <c r="G260" s="660"/>
      <c r="H260" s="1584" t="s">
        <v>3807</v>
      </c>
      <c r="I260" s="1695" t="s">
        <v>3902</v>
      </c>
      <c r="J260" s="1584" t="s">
        <v>3028</v>
      </c>
      <c r="K260" s="1633" t="s">
        <v>3806</v>
      </c>
      <c r="L260" s="1584" t="s">
        <v>3807</v>
      </c>
      <c r="M260" s="1634"/>
      <c r="N260" s="1584"/>
      <c r="O260" s="1633"/>
      <c r="P260" s="1584"/>
      <c r="Q260" s="1633"/>
      <c r="R260" s="1584"/>
      <c r="S260" s="1633"/>
      <c r="T260" s="1584"/>
      <c r="U260" s="1633"/>
      <c r="V260" s="1584"/>
      <c r="W260" s="1633"/>
      <c r="X260" s="1584"/>
      <c r="Y260" s="1633"/>
    </row>
    <row r="261" spans="1:25" ht="45">
      <c r="A261" s="1585"/>
      <c r="B261" s="1674" t="s">
        <v>4141</v>
      </c>
      <c r="C261" s="1513" t="s">
        <v>4142</v>
      </c>
      <c r="D261" s="1489"/>
      <c r="E261" s="1567"/>
      <c r="F261" s="1593"/>
      <c r="G261" s="660"/>
      <c r="H261" s="1584" t="s">
        <v>3028</v>
      </c>
      <c r="I261" s="1633"/>
      <c r="J261" s="1584" t="s">
        <v>3028</v>
      </c>
      <c r="K261" s="1633"/>
      <c r="L261" s="1584" t="s">
        <v>3028</v>
      </c>
      <c r="M261" s="1634"/>
      <c r="N261" s="1584"/>
      <c r="O261" s="1633"/>
      <c r="P261" s="1584"/>
      <c r="Q261" s="1633"/>
      <c r="R261" s="1584"/>
      <c r="S261" s="1633"/>
      <c r="T261" s="1584"/>
      <c r="U261" s="1633"/>
      <c r="V261" s="1584"/>
      <c r="W261" s="1633"/>
      <c r="X261" s="1584"/>
      <c r="Y261" s="1633"/>
    </row>
    <row r="262" spans="1:25">
      <c r="A262" s="1585"/>
      <c r="B262" s="1665" t="s">
        <v>4143</v>
      </c>
      <c r="C262" s="1566" t="s">
        <v>1822</v>
      </c>
      <c r="D262" s="1489"/>
      <c r="E262" s="1567"/>
      <c r="F262" s="1593"/>
      <c r="G262" s="660"/>
      <c r="H262" s="1584"/>
      <c r="I262" s="1633"/>
      <c r="J262" s="1584"/>
      <c r="K262" s="1633"/>
      <c r="L262" s="1584"/>
      <c r="M262" s="1634"/>
      <c r="N262" s="1584"/>
      <c r="O262" s="1633"/>
      <c r="P262" s="1584"/>
      <c r="Q262" s="1633"/>
      <c r="R262" s="1584"/>
      <c r="S262" s="1633"/>
      <c r="T262" s="1584"/>
      <c r="U262" s="1633"/>
      <c r="V262" s="1584"/>
      <c r="W262" s="1633"/>
      <c r="X262" s="1584"/>
      <c r="Y262" s="1633"/>
    </row>
    <row r="263" spans="1:25">
      <c r="A263" s="1585"/>
      <c r="B263" s="1674" t="s">
        <v>4117</v>
      </c>
      <c r="C263" s="1513" t="s">
        <v>4144</v>
      </c>
      <c r="D263" s="1489"/>
      <c r="E263" s="1567"/>
      <c r="F263" s="1593"/>
      <c r="G263" s="660"/>
      <c r="H263" s="1584" t="s">
        <v>3028</v>
      </c>
      <c r="I263" s="1633"/>
      <c r="J263" s="1584" t="s">
        <v>3806</v>
      </c>
      <c r="K263" s="1633"/>
      <c r="L263" s="1584" t="s">
        <v>3028</v>
      </c>
      <c r="M263" s="1634"/>
      <c r="N263" s="1584"/>
      <c r="O263" s="1633"/>
      <c r="P263" s="1584"/>
      <c r="Q263" s="1633"/>
      <c r="R263" s="1584"/>
      <c r="S263" s="1633"/>
      <c r="T263" s="1584"/>
      <c r="U263" s="1633"/>
      <c r="V263" s="1584"/>
      <c r="W263" s="1633"/>
      <c r="X263" s="1584"/>
      <c r="Y263" s="1633"/>
    </row>
    <row r="264" spans="1:25">
      <c r="A264" s="1585"/>
      <c r="B264" s="1674" t="s">
        <v>4145</v>
      </c>
      <c r="C264" s="1513" t="s">
        <v>4144</v>
      </c>
      <c r="D264" s="1489"/>
      <c r="E264" s="1567"/>
      <c r="F264" s="1593"/>
      <c r="G264" s="660"/>
      <c r="H264" s="1584" t="s">
        <v>3807</v>
      </c>
      <c r="I264" s="1633"/>
      <c r="J264" s="1584" t="s">
        <v>3806</v>
      </c>
      <c r="K264" s="1633"/>
      <c r="L264" s="1584" t="s">
        <v>3028</v>
      </c>
      <c r="M264" s="1634"/>
      <c r="N264" s="1584"/>
      <c r="O264" s="1633"/>
      <c r="P264" s="1584"/>
      <c r="Q264" s="1633"/>
      <c r="R264" s="1584"/>
      <c r="S264" s="1633"/>
      <c r="T264" s="1584"/>
      <c r="U264" s="1633"/>
      <c r="V264" s="1584"/>
      <c r="W264" s="1633"/>
      <c r="X264" s="1584"/>
      <c r="Y264" s="1633"/>
    </row>
    <row r="265" spans="1:25">
      <c r="A265" s="1585"/>
      <c r="B265" s="1665" t="s">
        <v>4146</v>
      </c>
      <c r="C265" s="1566" t="s">
        <v>1822</v>
      </c>
      <c r="D265" s="1489"/>
      <c r="E265" s="1567"/>
      <c r="F265" s="1593"/>
      <c r="G265" s="660"/>
      <c r="H265" s="1584"/>
      <c r="I265" s="1633"/>
      <c r="J265" s="1584"/>
      <c r="K265" s="1633"/>
      <c r="L265" s="1584"/>
      <c r="M265" s="1634"/>
      <c r="N265" s="1584"/>
      <c r="O265" s="1633"/>
      <c r="P265" s="1584"/>
      <c r="Q265" s="1633"/>
      <c r="R265" s="1584"/>
      <c r="S265" s="1633"/>
      <c r="T265" s="1584"/>
      <c r="U265" s="1633"/>
      <c r="V265" s="1584"/>
      <c r="W265" s="1633"/>
      <c r="X265" s="1584"/>
      <c r="Y265" s="1633"/>
    </row>
    <row r="266" spans="1:25">
      <c r="A266" s="1585"/>
      <c r="B266" s="1674" t="s">
        <v>4147</v>
      </c>
      <c r="C266" s="1566" t="s">
        <v>4148</v>
      </c>
      <c r="D266" s="1489"/>
      <c r="E266" s="1567"/>
      <c r="F266" s="1593"/>
      <c r="G266" s="660"/>
      <c r="H266" s="1584" t="s">
        <v>3028</v>
      </c>
      <c r="I266" s="1633"/>
      <c r="J266" s="1584" t="s">
        <v>3806</v>
      </c>
      <c r="K266" s="1633"/>
      <c r="L266" s="1584" t="s">
        <v>3028</v>
      </c>
      <c r="M266" s="1634"/>
      <c r="N266" s="1584"/>
      <c r="O266" s="1633"/>
      <c r="P266" s="1584"/>
      <c r="Q266" s="1633"/>
      <c r="R266" s="1584"/>
      <c r="S266" s="1633"/>
      <c r="T266" s="1584"/>
      <c r="U266" s="1633"/>
      <c r="V266" s="1584"/>
      <c r="W266" s="1633"/>
      <c r="X266" s="1584"/>
      <c r="Y266" s="1633"/>
    </row>
    <row r="267" spans="1:25">
      <c r="A267" s="1585"/>
      <c r="B267" s="1665" t="s">
        <v>4149</v>
      </c>
      <c r="C267" s="1566" t="s">
        <v>1830</v>
      </c>
      <c r="D267" s="1489"/>
      <c r="E267" s="1567"/>
      <c r="F267" s="1593"/>
      <c r="G267" s="660"/>
      <c r="H267" s="1584"/>
      <c r="I267" s="1633"/>
      <c r="J267" s="1584"/>
      <c r="K267" s="1633"/>
      <c r="L267" s="1584"/>
      <c r="M267" s="1634"/>
      <c r="N267" s="1584"/>
      <c r="O267" s="1633"/>
      <c r="P267" s="1584"/>
      <c r="Q267" s="1633"/>
      <c r="R267" s="1584"/>
      <c r="S267" s="1633"/>
      <c r="T267" s="1584"/>
      <c r="U267" s="1633"/>
      <c r="V267" s="1584"/>
      <c r="W267" s="1633"/>
      <c r="X267" s="1584"/>
      <c r="Y267" s="1633"/>
    </row>
    <row r="268" spans="1:25">
      <c r="A268" s="1585"/>
      <c r="B268" s="1674" t="s">
        <v>4117</v>
      </c>
      <c r="C268" s="1513" t="s">
        <v>4150</v>
      </c>
      <c r="D268" s="1489"/>
      <c r="E268" s="1567"/>
      <c r="F268" s="1593"/>
      <c r="G268" s="660"/>
      <c r="H268" s="1584" t="s">
        <v>3028</v>
      </c>
      <c r="I268" s="1633"/>
      <c r="J268" s="1584" t="s">
        <v>3806</v>
      </c>
      <c r="K268" s="1633"/>
      <c r="L268" s="1584" t="s">
        <v>3028</v>
      </c>
      <c r="M268" s="1634"/>
      <c r="N268" s="1584"/>
      <c r="O268" s="1633"/>
      <c r="P268" s="1584"/>
      <c r="Q268" s="1633"/>
      <c r="R268" s="1584"/>
      <c r="S268" s="1633"/>
      <c r="T268" s="1584"/>
      <c r="U268" s="1633"/>
      <c r="V268" s="1584"/>
      <c r="W268" s="1633"/>
      <c r="X268" s="1584"/>
      <c r="Y268" s="1633"/>
    </row>
    <row r="269" spans="1:25" ht="45">
      <c r="A269" s="1585"/>
      <c r="B269" s="1674" t="s">
        <v>3878</v>
      </c>
      <c r="C269" s="1513" t="s">
        <v>4151</v>
      </c>
      <c r="D269" s="1489"/>
      <c r="E269" s="1567"/>
      <c r="F269" s="1593"/>
      <c r="G269" s="660"/>
      <c r="H269" s="1584" t="s">
        <v>3028</v>
      </c>
      <c r="I269" s="1633"/>
      <c r="J269" s="1584" t="s">
        <v>3806</v>
      </c>
      <c r="K269" s="1633"/>
      <c r="L269" s="1584" t="s">
        <v>3028</v>
      </c>
      <c r="M269" s="1634"/>
      <c r="N269" s="1584"/>
      <c r="O269" s="1633"/>
      <c r="P269" s="1584"/>
      <c r="Q269" s="1633"/>
      <c r="R269" s="1584"/>
      <c r="S269" s="1633"/>
      <c r="T269" s="1584"/>
      <c r="U269" s="1633"/>
      <c r="V269" s="1584"/>
      <c r="W269" s="1633"/>
      <c r="X269" s="1584"/>
      <c r="Y269" s="1633"/>
    </row>
    <row r="270" spans="1:25">
      <c r="A270" s="1585"/>
      <c r="B270" s="1665" t="s">
        <v>4152</v>
      </c>
      <c r="C270" s="1566" t="s">
        <v>1830</v>
      </c>
      <c r="D270" s="1489"/>
      <c r="E270" s="1567"/>
      <c r="F270" s="1593"/>
      <c r="G270" s="660"/>
      <c r="H270" s="1584"/>
      <c r="I270" s="1633"/>
      <c r="J270" s="1584"/>
      <c r="K270" s="1633"/>
      <c r="L270" s="1584"/>
      <c r="M270" s="1634"/>
      <c r="N270" s="1584"/>
      <c r="O270" s="1633"/>
      <c r="P270" s="1584"/>
      <c r="Q270" s="1633"/>
      <c r="R270" s="1584"/>
      <c r="S270" s="1633"/>
      <c r="T270" s="1584"/>
      <c r="U270" s="1633"/>
      <c r="V270" s="1584"/>
      <c r="W270" s="1633"/>
      <c r="X270" s="1584"/>
      <c r="Y270" s="1633"/>
    </row>
    <row r="271" spans="1:25">
      <c r="A271" s="1585"/>
      <c r="B271" s="1674" t="s">
        <v>4117</v>
      </c>
      <c r="C271" s="1566" t="s">
        <v>4153</v>
      </c>
      <c r="D271" s="1489"/>
      <c r="E271" s="1567"/>
      <c r="F271" s="1593"/>
      <c r="G271" s="660"/>
      <c r="H271" s="1584" t="s">
        <v>3028</v>
      </c>
      <c r="I271" s="1633"/>
      <c r="J271" s="1584" t="s">
        <v>3028</v>
      </c>
      <c r="K271" s="1633"/>
      <c r="L271" s="1584" t="s">
        <v>3028</v>
      </c>
      <c r="M271" s="1634"/>
      <c r="N271" s="1584"/>
      <c r="O271" s="1633"/>
      <c r="P271" s="1584"/>
      <c r="Q271" s="1633"/>
      <c r="R271" s="1584"/>
      <c r="S271" s="1633"/>
      <c r="T271" s="1584"/>
      <c r="U271" s="1633"/>
      <c r="V271" s="1584"/>
      <c r="W271" s="1633"/>
      <c r="X271" s="1584"/>
      <c r="Y271" s="1633"/>
    </row>
    <row r="272" spans="1:25" ht="30">
      <c r="A272" s="1681" t="s">
        <v>3833</v>
      </c>
      <c r="B272" s="1676" t="s">
        <v>4154</v>
      </c>
      <c r="C272" s="1566" t="s">
        <v>4155</v>
      </c>
      <c r="D272" s="1489"/>
      <c r="E272" s="1567"/>
      <c r="F272" s="1593"/>
      <c r="G272" s="660"/>
      <c r="H272" s="1584" t="s">
        <v>3028</v>
      </c>
      <c r="I272" s="1633"/>
      <c r="J272" s="1584" t="s">
        <v>3028</v>
      </c>
      <c r="K272" s="1633" t="s">
        <v>3806</v>
      </c>
      <c r="L272" s="1584" t="s">
        <v>3028</v>
      </c>
      <c r="M272" s="1634"/>
      <c r="N272" s="1584"/>
      <c r="O272" s="1633"/>
      <c r="P272" s="1584"/>
      <c r="Q272" s="1633"/>
      <c r="R272" s="1584"/>
      <c r="S272" s="1633"/>
      <c r="T272" s="1584"/>
      <c r="U272" s="1633"/>
      <c r="V272" s="1584"/>
      <c r="W272" s="1633"/>
      <c r="X272" s="1584"/>
      <c r="Y272" s="1633"/>
    </row>
    <row r="273" spans="1:25">
      <c r="A273" s="1585"/>
      <c r="B273" s="1674" t="s">
        <v>3878</v>
      </c>
      <c r="C273" s="1566" t="s">
        <v>4156</v>
      </c>
      <c r="D273" s="1489"/>
      <c r="E273" s="1567"/>
      <c r="F273" s="1593"/>
      <c r="G273" s="660"/>
      <c r="H273" s="1584" t="s">
        <v>3028</v>
      </c>
      <c r="I273" s="1633"/>
      <c r="J273" s="1584" t="s">
        <v>3028</v>
      </c>
      <c r="K273" s="1633"/>
      <c r="L273" s="1584" t="s">
        <v>3028</v>
      </c>
      <c r="M273" s="1634"/>
      <c r="N273" s="1584"/>
      <c r="O273" s="1633"/>
      <c r="P273" s="1584"/>
      <c r="Q273" s="1633"/>
      <c r="R273" s="1584"/>
      <c r="S273" s="1633"/>
      <c r="T273" s="1584"/>
      <c r="U273" s="1633"/>
      <c r="V273" s="1584"/>
      <c r="W273" s="1633"/>
      <c r="X273" s="1584"/>
      <c r="Y273" s="1633"/>
    </row>
    <row r="274" spans="1:25">
      <c r="A274" s="1585"/>
      <c r="B274" s="1665" t="s">
        <v>4157</v>
      </c>
      <c r="C274" s="1566" t="s">
        <v>1830</v>
      </c>
      <c r="D274" s="1489"/>
      <c r="E274" s="1567"/>
      <c r="F274" s="1593"/>
      <c r="G274" s="660"/>
      <c r="H274" s="1584"/>
      <c r="I274" s="1633"/>
      <c r="J274" s="1584"/>
      <c r="K274" s="1633"/>
      <c r="L274" s="1584"/>
      <c r="M274" s="1634"/>
      <c r="N274" s="1584"/>
      <c r="O274" s="1633"/>
      <c r="P274" s="1584"/>
      <c r="Q274" s="1633"/>
      <c r="R274" s="1584"/>
      <c r="S274" s="1633"/>
      <c r="T274" s="1584"/>
      <c r="U274" s="1633"/>
      <c r="V274" s="1584"/>
      <c r="W274" s="1633"/>
      <c r="X274" s="1584"/>
      <c r="Y274" s="1633"/>
    </row>
    <row r="275" spans="1:25">
      <c r="A275" s="1585"/>
      <c r="B275" s="1674" t="s">
        <v>4117</v>
      </c>
      <c r="C275" s="1566" t="s">
        <v>4158</v>
      </c>
      <c r="D275" s="1489"/>
      <c r="E275" s="1567"/>
      <c r="F275" s="1593"/>
      <c r="G275" s="660"/>
      <c r="H275" s="1584" t="s">
        <v>3028</v>
      </c>
      <c r="I275" s="1633"/>
      <c r="J275" s="1584" t="s">
        <v>3028</v>
      </c>
      <c r="K275" s="1633"/>
      <c r="L275" s="1584" t="s">
        <v>3028</v>
      </c>
      <c r="M275" s="1634"/>
      <c r="N275" s="1584"/>
      <c r="O275" s="1633"/>
      <c r="P275" s="1584"/>
      <c r="Q275" s="1633"/>
      <c r="R275" s="1584"/>
      <c r="S275" s="1633"/>
      <c r="T275" s="1584"/>
      <c r="U275" s="1633"/>
      <c r="V275" s="1584"/>
      <c r="W275" s="1633"/>
      <c r="X275" s="1584"/>
      <c r="Y275" s="1633"/>
    </row>
    <row r="276" spans="1:25">
      <c r="A276" s="1585"/>
      <c r="B276" s="1674" t="s">
        <v>3878</v>
      </c>
      <c r="C276" s="1566" t="s">
        <v>4159</v>
      </c>
      <c r="D276" s="1489"/>
      <c r="E276" s="1567"/>
      <c r="F276" s="1593"/>
      <c r="G276" s="660"/>
      <c r="H276" s="1584" t="s">
        <v>3028</v>
      </c>
      <c r="I276" s="1633"/>
      <c r="J276" s="1584" t="s">
        <v>3028</v>
      </c>
      <c r="K276" s="1633"/>
      <c r="L276" s="1584" t="s">
        <v>3028</v>
      </c>
      <c r="M276" s="1634"/>
      <c r="N276" s="1584"/>
      <c r="O276" s="1633"/>
      <c r="P276" s="1584"/>
      <c r="Q276" s="1633"/>
      <c r="R276" s="1584"/>
      <c r="S276" s="1633"/>
      <c r="T276" s="1584"/>
      <c r="U276" s="1633"/>
      <c r="V276" s="1584"/>
      <c r="W276" s="1633"/>
      <c r="X276" s="1584"/>
      <c r="Y276" s="1633"/>
    </row>
    <row r="277" spans="1:25" ht="45">
      <c r="A277" s="1585"/>
      <c r="B277" s="1674" t="s">
        <v>4160</v>
      </c>
      <c r="C277" s="1513" t="s">
        <v>4161</v>
      </c>
      <c r="D277" s="1489"/>
      <c r="E277" s="1567"/>
      <c r="F277" s="1593"/>
      <c r="G277" s="660"/>
      <c r="H277" s="1584" t="s">
        <v>3028</v>
      </c>
      <c r="I277" s="1633"/>
      <c r="J277" s="1584" t="s">
        <v>3028</v>
      </c>
      <c r="K277" s="1633"/>
      <c r="L277" s="1584" t="s">
        <v>3028</v>
      </c>
      <c r="M277" s="1634"/>
      <c r="N277" s="1584"/>
      <c r="O277" s="1633"/>
      <c r="P277" s="1584"/>
      <c r="Q277" s="1633"/>
      <c r="R277" s="1584"/>
      <c r="S277" s="1633"/>
      <c r="T277" s="1584"/>
      <c r="U277" s="1633"/>
      <c r="V277" s="1584"/>
      <c r="W277" s="1633"/>
      <c r="X277" s="1584"/>
      <c r="Y277" s="1633"/>
    </row>
    <row r="278" spans="1:25">
      <c r="A278" s="1585"/>
      <c r="B278" s="1665" t="s">
        <v>4162</v>
      </c>
      <c r="C278" s="1566" t="s">
        <v>1830</v>
      </c>
      <c r="D278" s="1489"/>
      <c r="E278" s="1567"/>
      <c r="F278" s="1593"/>
      <c r="G278" s="660"/>
      <c r="H278" s="1584"/>
      <c r="I278" s="1633"/>
      <c r="J278" s="1584"/>
      <c r="K278" s="1633"/>
      <c r="L278" s="1584"/>
      <c r="M278" s="1634"/>
      <c r="N278" s="1584"/>
      <c r="O278" s="1633"/>
      <c r="P278" s="1584"/>
      <c r="Q278" s="1633"/>
      <c r="R278" s="1584"/>
      <c r="S278" s="1633"/>
      <c r="T278" s="1584"/>
      <c r="U278" s="1633"/>
      <c r="V278" s="1584"/>
      <c r="W278" s="1633"/>
      <c r="X278" s="1584"/>
      <c r="Y278" s="1633"/>
    </row>
    <row r="279" spans="1:25">
      <c r="A279" s="1585"/>
      <c r="B279" s="1674" t="s">
        <v>4117</v>
      </c>
      <c r="C279" s="1566" t="s">
        <v>4163</v>
      </c>
      <c r="D279" s="1489"/>
      <c r="E279" s="1567"/>
      <c r="F279" s="1593"/>
      <c r="G279" s="660"/>
      <c r="H279" s="1584" t="s">
        <v>3028</v>
      </c>
      <c r="I279" s="1633"/>
      <c r="J279" s="1584" t="s">
        <v>3028</v>
      </c>
      <c r="K279" s="1633"/>
      <c r="L279" s="1584" t="s">
        <v>3028</v>
      </c>
      <c r="M279" s="1634"/>
      <c r="N279" s="1584"/>
      <c r="O279" s="1633"/>
      <c r="P279" s="1584"/>
      <c r="Q279" s="1633"/>
      <c r="R279" s="1584"/>
      <c r="S279" s="1633"/>
      <c r="T279" s="1584"/>
      <c r="U279" s="1633"/>
      <c r="V279" s="1584"/>
      <c r="W279" s="1633"/>
      <c r="X279" s="1584"/>
      <c r="Y279" s="1633"/>
    </row>
    <row r="280" spans="1:25">
      <c r="A280" s="1585"/>
      <c r="B280" s="1674" t="s">
        <v>3878</v>
      </c>
      <c r="C280" s="1566" t="s">
        <v>4164</v>
      </c>
      <c r="D280" s="1489"/>
      <c r="E280" s="1567"/>
      <c r="F280" s="1593"/>
      <c r="G280" s="660"/>
      <c r="H280" s="1584" t="s">
        <v>3028</v>
      </c>
      <c r="I280" s="1633"/>
      <c r="J280" s="1584" t="s">
        <v>3028</v>
      </c>
      <c r="K280" s="1633"/>
      <c r="L280" s="1584" t="s">
        <v>3028</v>
      </c>
      <c r="M280" s="1634"/>
      <c r="N280" s="1584"/>
      <c r="O280" s="1633"/>
      <c r="P280" s="1584"/>
      <c r="Q280" s="1633"/>
      <c r="R280" s="1584"/>
      <c r="S280" s="1633"/>
      <c r="T280" s="1584"/>
      <c r="U280" s="1633"/>
      <c r="V280" s="1584"/>
      <c r="W280" s="1633"/>
      <c r="X280" s="1584"/>
      <c r="Y280" s="1633"/>
    </row>
    <row r="281" spans="1:25" ht="45">
      <c r="A281" s="1585"/>
      <c r="B281" s="1674" t="s">
        <v>4165</v>
      </c>
      <c r="C281" s="1513" t="s">
        <v>4166</v>
      </c>
      <c r="D281" s="1489"/>
      <c r="E281" s="1567"/>
      <c r="F281" s="1593"/>
      <c r="G281" s="660"/>
      <c r="H281" s="1584" t="s">
        <v>3028</v>
      </c>
      <c r="I281" s="1633"/>
      <c r="J281" s="1584" t="s">
        <v>3028</v>
      </c>
      <c r="K281" s="1633"/>
      <c r="L281" s="1584" t="s">
        <v>3028</v>
      </c>
      <c r="M281" s="1634"/>
      <c r="N281" s="1584"/>
      <c r="O281" s="1633"/>
      <c r="P281" s="1584"/>
      <c r="Q281" s="1633"/>
      <c r="R281" s="1584"/>
      <c r="S281" s="1633"/>
      <c r="T281" s="1584"/>
      <c r="U281" s="1633"/>
      <c r="V281" s="1584"/>
      <c r="W281" s="1633"/>
      <c r="X281" s="1584"/>
      <c r="Y281" s="1633"/>
    </row>
    <row r="282" spans="1:25">
      <c r="A282" s="1585"/>
      <c r="B282" s="1665" t="s">
        <v>4167</v>
      </c>
      <c r="C282" s="1566" t="s">
        <v>1830</v>
      </c>
      <c r="D282" s="1489"/>
      <c r="E282" s="1567"/>
      <c r="F282" s="1593"/>
      <c r="G282" s="660"/>
      <c r="H282" s="1584"/>
      <c r="I282" s="1633"/>
      <c r="J282" s="1584"/>
      <c r="K282" s="1633"/>
      <c r="L282" s="1584"/>
      <c r="M282" s="1634"/>
      <c r="N282" s="1584"/>
      <c r="O282" s="1633"/>
      <c r="P282" s="1584"/>
      <c r="Q282" s="1633"/>
      <c r="R282" s="1584"/>
      <c r="S282" s="1633"/>
      <c r="T282" s="1584"/>
      <c r="U282" s="1633"/>
      <c r="V282" s="1584"/>
      <c r="W282" s="1633"/>
      <c r="X282" s="1584"/>
      <c r="Y282" s="1633"/>
    </row>
    <row r="283" spans="1:25" ht="45">
      <c r="A283" s="1585"/>
      <c r="B283" s="1674" t="s">
        <v>3952</v>
      </c>
      <c r="C283" s="1513" t="s">
        <v>4168</v>
      </c>
      <c r="D283" s="1489"/>
      <c r="E283" s="1567"/>
      <c r="F283" s="1593"/>
      <c r="G283" s="660"/>
      <c r="H283" s="1584" t="s">
        <v>3028</v>
      </c>
      <c r="I283" s="1633"/>
      <c r="J283" s="1584" t="s">
        <v>3806</v>
      </c>
      <c r="K283" s="1633"/>
      <c r="L283" s="1584" t="s">
        <v>3028</v>
      </c>
      <c r="M283" s="1634"/>
      <c r="N283" s="1584"/>
      <c r="O283" s="1633"/>
      <c r="P283" s="1584"/>
      <c r="Q283" s="1633"/>
      <c r="R283" s="1584"/>
      <c r="S283" s="1633"/>
      <c r="T283" s="1584"/>
      <c r="U283" s="1633"/>
      <c r="V283" s="1584"/>
      <c r="W283" s="1633"/>
      <c r="X283" s="1584"/>
      <c r="Y283" s="1633"/>
    </row>
    <row r="284" spans="1:25" ht="30">
      <c r="A284" s="1585"/>
      <c r="B284" s="1674" t="s">
        <v>4169</v>
      </c>
      <c r="C284" s="1513" t="s">
        <v>4170</v>
      </c>
      <c r="D284" s="1489"/>
      <c r="E284" s="1567"/>
      <c r="F284" s="1593"/>
      <c r="G284" s="660"/>
      <c r="H284" s="1584" t="s">
        <v>3028</v>
      </c>
      <c r="I284" s="1633"/>
      <c r="J284" s="1584" t="s">
        <v>3028</v>
      </c>
      <c r="K284" s="1633"/>
      <c r="L284" s="1584" t="s">
        <v>3028</v>
      </c>
      <c r="M284" s="1634"/>
      <c r="N284" s="1584"/>
      <c r="O284" s="1633"/>
      <c r="P284" s="1584"/>
      <c r="Q284" s="1633"/>
      <c r="R284" s="1584"/>
      <c r="S284" s="1633"/>
      <c r="T284" s="1584"/>
      <c r="U284" s="1633"/>
      <c r="V284" s="1584"/>
      <c r="W284" s="1633"/>
      <c r="X284" s="1584"/>
      <c r="Y284" s="1633"/>
    </row>
    <row r="285" spans="1:25" ht="30">
      <c r="A285" s="1585"/>
      <c r="B285" s="1674" t="s">
        <v>4171</v>
      </c>
      <c r="C285" s="1513" t="s">
        <v>4172</v>
      </c>
      <c r="D285" s="1489"/>
      <c r="E285" s="1567"/>
      <c r="F285" s="1593"/>
      <c r="G285" s="660"/>
      <c r="H285" s="1584" t="s">
        <v>3028</v>
      </c>
      <c r="I285" s="1633"/>
      <c r="J285" s="1584" t="s">
        <v>3028</v>
      </c>
      <c r="K285" s="1633"/>
      <c r="L285" s="1584" t="s">
        <v>3028</v>
      </c>
      <c r="M285" s="1634"/>
      <c r="N285" s="1584"/>
      <c r="O285" s="1633"/>
      <c r="P285" s="1584"/>
      <c r="Q285" s="1633"/>
      <c r="R285" s="1584"/>
      <c r="S285" s="1633"/>
      <c r="T285" s="1584"/>
      <c r="U285" s="1633"/>
      <c r="V285" s="1584"/>
      <c r="W285" s="1633"/>
      <c r="X285" s="1584"/>
      <c r="Y285" s="1633"/>
    </row>
    <row r="286" spans="1:25">
      <c r="A286" s="1585"/>
      <c r="B286" s="1674" t="s">
        <v>3878</v>
      </c>
      <c r="C286" s="1566" t="s">
        <v>4173</v>
      </c>
      <c r="D286" s="1489"/>
      <c r="E286" s="1567"/>
      <c r="F286" s="1593"/>
      <c r="G286" s="660"/>
      <c r="H286" s="1584" t="s">
        <v>3028</v>
      </c>
      <c r="I286" s="1633"/>
      <c r="J286" s="1584" t="s">
        <v>3028</v>
      </c>
      <c r="K286" s="1633"/>
      <c r="L286" s="1584" t="s">
        <v>3028</v>
      </c>
      <c r="M286" s="1634"/>
      <c r="N286" s="1584"/>
      <c r="O286" s="1633"/>
      <c r="P286" s="1584"/>
      <c r="Q286" s="1633"/>
      <c r="R286" s="1584"/>
      <c r="S286" s="1633"/>
      <c r="T286" s="1584"/>
      <c r="U286" s="1633"/>
      <c r="V286" s="1584"/>
      <c r="W286" s="1633"/>
      <c r="X286" s="1584"/>
      <c r="Y286" s="1633"/>
    </row>
    <row r="287" spans="1:25" ht="30">
      <c r="A287" s="1585"/>
      <c r="B287" s="1674" t="s">
        <v>4039</v>
      </c>
      <c r="C287" s="1513" t="s">
        <v>4174</v>
      </c>
      <c r="D287" s="1489"/>
      <c r="E287" s="1567"/>
      <c r="F287" s="1593"/>
      <c r="G287" s="660"/>
      <c r="H287" s="1584" t="s">
        <v>3028</v>
      </c>
      <c r="I287" s="1633"/>
      <c r="J287" s="1584" t="s">
        <v>3028</v>
      </c>
      <c r="K287" s="1633"/>
      <c r="L287" s="1584" t="s">
        <v>3028</v>
      </c>
      <c r="M287" s="1634"/>
      <c r="N287" s="1584"/>
      <c r="O287" s="1633"/>
      <c r="P287" s="1584"/>
      <c r="Q287" s="1633"/>
      <c r="R287" s="1584"/>
      <c r="S287" s="1633"/>
      <c r="T287" s="1584"/>
      <c r="U287" s="1633"/>
      <c r="V287" s="1584"/>
      <c r="W287" s="1633"/>
      <c r="X287" s="1584"/>
      <c r="Y287" s="1633"/>
    </row>
    <row r="288" spans="1:25">
      <c r="A288" s="1585"/>
      <c r="B288" s="1665" t="s">
        <v>4175</v>
      </c>
      <c r="C288" s="1566" t="s">
        <v>1830</v>
      </c>
      <c r="D288" s="1489"/>
      <c r="E288" s="1567"/>
      <c r="F288" s="1593"/>
      <c r="G288" s="660"/>
      <c r="H288" s="1584"/>
      <c r="I288" s="1633"/>
      <c r="J288" s="1584"/>
      <c r="K288" s="1633"/>
      <c r="L288" s="1584"/>
      <c r="M288" s="1634"/>
      <c r="N288" s="1584"/>
      <c r="O288" s="1633"/>
      <c r="P288" s="1584"/>
      <c r="Q288" s="1633"/>
      <c r="R288" s="1584"/>
      <c r="S288" s="1633"/>
      <c r="T288" s="1584"/>
      <c r="U288" s="1633"/>
      <c r="V288" s="1584"/>
      <c r="W288" s="1633"/>
      <c r="X288" s="1584"/>
      <c r="Y288" s="1633"/>
    </row>
    <row r="289" spans="1:25">
      <c r="A289" s="1585"/>
      <c r="B289" s="1674" t="s">
        <v>4117</v>
      </c>
      <c r="C289" s="1566" t="s">
        <v>4176</v>
      </c>
      <c r="D289" s="1489"/>
      <c r="E289" s="1567"/>
      <c r="F289" s="1593"/>
      <c r="G289" s="660"/>
      <c r="H289" s="1584" t="s">
        <v>3028</v>
      </c>
      <c r="I289" s="1633"/>
      <c r="J289" s="1584" t="s">
        <v>3028</v>
      </c>
      <c r="K289" s="1633"/>
      <c r="L289" s="1584" t="s">
        <v>3028</v>
      </c>
      <c r="M289" s="1634"/>
      <c r="N289" s="1584"/>
      <c r="O289" s="1633"/>
      <c r="P289" s="1584"/>
      <c r="Q289" s="1633"/>
      <c r="R289" s="1584"/>
      <c r="S289" s="1633"/>
      <c r="T289" s="1584"/>
      <c r="U289" s="1633"/>
      <c r="V289" s="1584"/>
      <c r="W289" s="1633"/>
      <c r="X289" s="1584"/>
      <c r="Y289" s="1633"/>
    </row>
    <row r="290" spans="1:25">
      <c r="A290" s="1585"/>
      <c r="B290" s="1676" t="s">
        <v>3878</v>
      </c>
      <c r="C290" s="1566" t="s">
        <v>4177</v>
      </c>
      <c r="D290" s="1489"/>
      <c r="E290" s="1567"/>
      <c r="F290" s="1593"/>
      <c r="G290" s="660"/>
      <c r="H290" s="1584" t="s">
        <v>3028</v>
      </c>
      <c r="I290" s="1633"/>
      <c r="J290" s="1584" t="s">
        <v>3028</v>
      </c>
      <c r="K290" s="1633"/>
      <c r="L290" s="1584" t="s">
        <v>3028</v>
      </c>
      <c r="M290" s="1634"/>
      <c r="N290" s="1584"/>
      <c r="O290" s="1633"/>
      <c r="P290" s="1584"/>
      <c r="Q290" s="1633"/>
      <c r="R290" s="1584"/>
      <c r="S290" s="1633"/>
      <c r="T290" s="1584"/>
      <c r="U290" s="1633"/>
      <c r="V290" s="1584"/>
      <c r="W290" s="1633"/>
      <c r="X290" s="1584"/>
      <c r="Y290" s="1633"/>
    </row>
    <row r="291" spans="1:25" ht="45">
      <c r="A291" s="1585"/>
      <c r="B291" s="1674" t="s">
        <v>4178</v>
      </c>
      <c r="C291" s="1513" t="s">
        <v>4179</v>
      </c>
      <c r="D291" s="1489"/>
      <c r="E291" s="1567"/>
      <c r="F291" s="1593"/>
      <c r="G291" s="660"/>
      <c r="H291" s="1584" t="s">
        <v>3028</v>
      </c>
      <c r="I291" s="1633"/>
      <c r="J291" s="1584" t="s">
        <v>3028</v>
      </c>
      <c r="K291" s="1633"/>
      <c r="L291" s="1584" t="s">
        <v>3028</v>
      </c>
      <c r="M291" s="1634"/>
      <c r="N291" s="1584"/>
      <c r="O291" s="1633"/>
      <c r="P291" s="1584"/>
      <c r="Q291" s="1633"/>
      <c r="R291" s="1584"/>
      <c r="S291" s="1633"/>
      <c r="T291" s="1584"/>
      <c r="U291" s="1633"/>
      <c r="V291" s="1584"/>
      <c r="W291" s="1633"/>
      <c r="X291" s="1584"/>
      <c r="Y291" s="1633"/>
    </row>
    <row r="292" spans="1:25">
      <c r="A292" s="1585"/>
      <c r="B292" s="1665" t="s">
        <v>4180</v>
      </c>
      <c r="C292" s="1566" t="s">
        <v>1830</v>
      </c>
      <c r="D292" s="1489"/>
      <c r="E292" s="1567"/>
      <c r="F292" s="1593"/>
      <c r="G292" s="660"/>
      <c r="H292" s="1584"/>
      <c r="I292" s="1633"/>
      <c r="J292" s="1584"/>
      <c r="K292" s="1633"/>
      <c r="L292" s="1584"/>
      <c r="M292" s="1634"/>
      <c r="N292" s="1584"/>
      <c r="O292" s="1633"/>
      <c r="P292" s="1584"/>
      <c r="Q292" s="1633"/>
      <c r="R292" s="1584"/>
      <c r="S292" s="1633"/>
      <c r="T292" s="1584"/>
      <c r="U292" s="1633"/>
      <c r="V292" s="1584"/>
      <c r="W292" s="1633"/>
      <c r="X292" s="1584"/>
      <c r="Y292" s="1633"/>
    </row>
    <row r="293" spans="1:25">
      <c r="A293" s="1585"/>
      <c r="B293" s="1674" t="s">
        <v>4117</v>
      </c>
      <c r="C293" s="1566" t="s">
        <v>4181</v>
      </c>
      <c r="D293" s="1489"/>
      <c r="E293" s="1567"/>
      <c r="F293" s="1593"/>
      <c r="G293" s="660"/>
      <c r="H293" s="1584" t="s">
        <v>3028</v>
      </c>
      <c r="I293" s="1633"/>
      <c r="J293" s="1584" t="s">
        <v>3806</v>
      </c>
      <c r="K293" s="1633"/>
      <c r="L293" s="1584" t="s">
        <v>3028</v>
      </c>
      <c r="M293" s="1634"/>
      <c r="N293" s="1584"/>
      <c r="O293" s="1633"/>
      <c r="P293" s="1584"/>
      <c r="Q293" s="1633"/>
      <c r="R293" s="1584"/>
      <c r="S293" s="1633"/>
      <c r="T293" s="1584"/>
      <c r="U293" s="1633"/>
      <c r="V293" s="1584"/>
      <c r="W293" s="1633"/>
      <c r="X293" s="1584"/>
      <c r="Y293" s="1633"/>
    </row>
    <row r="294" spans="1:25">
      <c r="A294" s="1585"/>
      <c r="B294" s="1674" t="s">
        <v>3878</v>
      </c>
      <c r="C294" s="1566" t="s">
        <v>4182</v>
      </c>
      <c r="D294" s="1489"/>
      <c r="E294" s="1567"/>
      <c r="F294" s="1593"/>
      <c r="G294" s="660"/>
      <c r="H294" s="1584" t="s">
        <v>3028</v>
      </c>
      <c r="I294" s="1633"/>
      <c r="J294" s="1584" t="s">
        <v>3806</v>
      </c>
      <c r="K294" s="1633"/>
      <c r="L294" s="1584" t="s">
        <v>3028</v>
      </c>
      <c r="M294" s="1634"/>
      <c r="N294" s="1584"/>
      <c r="O294" s="1633"/>
      <c r="P294" s="1584"/>
      <c r="Q294" s="1633"/>
      <c r="R294" s="1584"/>
      <c r="S294" s="1633"/>
      <c r="T294" s="1584"/>
      <c r="U294" s="1633"/>
      <c r="V294" s="1584"/>
      <c r="W294" s="1633"/>
      <c r="X294" s="1584"/>
      <c r="Y294" s="1633"/>
    </row>
    <row r="295" spans="1:25">
      <c r="A295" s="1585"/>
      <c r="B295" s="1665" t="s">
        <v>4183</v>
      </c>
      <c r="C295" s="1566" t="s">
        <v>1830</v>
      </c>
      <c r="D295" s="1489"/>
      <c r="E295" s="1567"/>
      <c r="F295" s="1593"/>
      <c r="G295" s="660"/>
      <c r="H295" s="1584"/>
      <c r="I295" s="1633"/>
      <c r="J295" s="1584"/>
      <c r="K295" s="1633"/>
      <c r="L295" s="1584"/>
      <c r="M295" s="1634"/>
      <c r="N295" s="1584"/>
      <c r="O295" s="1633"/>
      <c r="P295" s="1584"/>
      <c r="Q295" s="1633"/>
      <c r="R295" s="1584"/>
      <c r="S295" s="1633"/>
      <c r="T295" s="1584"/>
      <c r="U295" s="1633"/>
      <c r="V295" s="1584"/>
      <c r="W295" s="1633"/>
      <c r="X295" s="1584"/>
      <c r="Y295" s="1633"/>
    </row>
    <row r="296" spans="1:25">
      <c r="A296" s="1585"/>
      <c r="B296" s="1674" t="s">
        <v>4117</v>
      </c>
      <c r="C296" s="1566" t="s">
        <v>4184</v>
      </c>
      <c r="D296" s="1489"/>
      <c r="E296" s="1567"/>
      <c r="F296" s="1593"/>
      <c r="G296" s="660"/>
      <c r="H296" s="1584" t="s">
        <v>3028</v>
      </c>
      <c r="I296" s="1633"/>
      <c r="J296" s="1584" t="s">
        <v>3806</v>
      </c>
      <c r="K296" s="1633"/>
      <c r="L296" s="1584" t="s">
        <v>3028</v>
      </c>
      <c r="M296" s="1634"/>
      <c r="N296" s="1584"/>
      <c r="O296" s="1633"/>
      <c r="P296" s="1584"/>
      <c r="Q296" s="1633"/>
      <c r="R296" s="1584"/>
      <c r="S296" s="1633"/>
      <c r="T296" s="1584"/>
      <c r="U296" s="1633"/>
      <c r="V296" s="1584"/>
      <c r="W296" s="1633"/>
      <c r="X296" s="1584"/>
      <c r="Y296" s="1633"/>
    </row>
    <row r="297" spans="1:25">
      <c r="A297" s="1585"/>
      <c r="B297" s="1674" t="s">
        <v>3878</v>
      </c>
      <c r="C297" s="1566" t="s">
        <v>4185</v>
      </c>
      <c r="D297" s="1489"/>
      <c r="E297" s="1567"/>
      <c r="F297" s="1593"/>
      <c r="G297" s="660"/>
      <c r="H297" s="1584" t="s">
        <v>3028</v>
      </c>
      <c r="I297" s="1633"/>
      <c r="J297" s="1584" t="s">
        <v>3806</v>
      </c>
      <c r="K297" s="1633"/>
      <c r="L297" s="1584" t="s">
        <v>3028</v>
      </c>
      <c r="M297" s="1634"/>
      <c r="N297" s="1584"/>
      <c r="O297" s="1633"/>
      <c r="P297" s="1584"/>
      <c r="Q297" s="1633"/>
      <c r="R297" s="1584"/>
      <c r="S297" s="1633"/>
      <c r="T297" s="1584"/>
      <c r="U297" s="1633"/>
      <c r="V297" s="1584"/>
      <c r="W297" s="1633"/>
      <c r="X297" s="1584"/>
      <c r="Y297" s="1633"/>
    </row>
    <row r="298" spans="1:25">
      <c r="A298" s="1585"/>
      <c r="B298" s="1665" t="s">
        <v>4186</v>
      </c>
      <c r="C298" s="1566" t="s">
        <v>1830</v>
      </c>
      <c r="D298" s="1489"/>
      <c r="E298" s="1567"/>
      <c r="F298" s="1593"/>
      <c r="G298" s="660"/>
      <c r="H298" s="1584"/>
      <c r="I298" s="1633"/>
      <c r="J298" s="1584"/>
      <c r="K298" s="1633"/>
      <c r="L298" s="1584"/>
      <c r="M298" s="1634"/>
      <c r="N298" s="1584"/>
      <c r="O298" s="1633"/>
      <c r="P298" s="1584"/>
      <c r="Q298" s="1633"/>
      <c r="R298" s="1584"/>
      <c r="S298" s="1633"/>
      <c r="T298" s="1584"/>
      <c r="U298" s="1633"/>
      <c r="V298" s="1584"/>
      <c r="W298" s="1633"/>
      <c r="X298" s="1584"/>
      <c r="Y298" s="1633"/>
    </row>
    <row r="299" spans="1:25">
      <c r="A299" s="1585"/>
      <c r="B299" s="1674" t="s">
        <v>4117</v>
      </c>
      <c r="C299" s="1566" t="s">
        <v>4187</v>
      </c>
      <c r="D299" s="1489"/>
      <c r="E299" s="1567"/>
      <c r="F299" s="1593"/>
      <c r="G299" s="660"/>
      <c r="H299" s="1584" t="s">
        <v>3028</v>
      </c>
      <c r="I299" s="1633"/>
      <c r="J299" s="1584" t="s">
        <v>3028</v>
      </c>
      <c r="K299" s="1633"/>
      <c r="L299" s="1584" t="s">
        <v>3028</v>
      </c>
      <c r="M299" s="1634"/>
      <c r="N299" s="1584"/>
      <c r="O299" s="1633"/>
      <c r="P299" s="1584"/>
      <c r="Q299" s="1633"/>
      <c r="R299" s="1584"/>
      <c r="S299" s="1633"/>
      <c r="T299" s="1584"/>
      <c r="U299" s="1633"/>
      <c r="V299" s="1584"/>
      <c r="W299" s="1633"/>
      <c r="X299" s="1584"/>
      <c r="Y299" s="1633"/>
    </row>
    <row r="300" spans="1:25">
      <c r="A300" s="1585"/>
      <c r="B300" s="1674" t="s">
        <v>3878</v>
      </c>
      <c r="C300" s="1566" t="s">
        <v>4188</v>
      </c>
      <c r="D300" s="1489"/>
      <c r="E300" s="1567"/>
      <c r="F300" s="1593"/>
      <c r="G300" s="660"/>
      <c r="H300" s="1584" t="s">
        <v>3028</v>
      </c>
      <c r="I300" s="1633"/>
      <c r="J300" s="1584" t="s">
        <v>3028</v>
      </c>
      <c r="K300" s="1633"/>
      <c r="L300" s="1584" t="s">
        <v>3028</v>
      </c>
      <c r="M300" s="1634"/>
      <c r="N300" s="1584"/>
      <c r="O300" s="1633"/>
      <c r="P300" s="1584"/>
      <c r="Q300" s="1633"/>
      <c r="R300" s="1584"/>
      <c r="S300" s="1633"/>
      <c r="T300" s="1584"/>
      <c r="U300" s="1633"/>
      <c r="V300" s="1584"/>
      <c r="W300" s="1633"/>
      <c r="X300" s="1584"/>
      <c r="Y300" s="1633"/>
    </row>
    <row r="301" spans="1:25" ht="45">
      <c r="A301" s="1585"/>
      <c r="B301" s="1674" t="s">
        <v>4189</v>
      </c>
      <c r="C301" s="1513" t="s">
        <v>4190</v>
      </c>
      <c r="D301" s="1489"/>
      <c r="E301" s="1567"/>
      <c r="F301" s="1593"/>
      <c r="G301" s="660"/>
      <c r="H301" s="1584" t="s">
        <v>3028</v>
      </c>
      <c r="I301" s="1633"/>
      <c r="J301" s="1584" t="s">
        <v>3028</v>
      </c>
      <c r="K301" s="1633"/>
      <c r="L301" s="1584" t="s">
        <v>3028</v>
      </c>
      <c r="M301" s="1634"/>
      <c r="N301" s="1584"/>
      <c r="O301" s="1633"/>
      <c r="P301" s="1584"/>
      <c r="Q301" s="1633"/>
      <c r="R301" s="1584"/>
      <c r="S301" s="1633"/>
      <c r="T301" s="1584"/>
      <c r="U301" s="1633"/>
      <c r="V301" s="1584"/>
      <c r="W301" s="1633"/>
      <c r="X301" s="1584"/>
      <c r="Y301" s="1633"/>
    </row>
    <row r="302" spans="1:25">
      <c r="A302" s="1585"/>
      <c r="B302" s="1665" t="s">
        <v>4191</v>
      </c>
      <c r="C302" s="1566" t="s">
        <v>1830</v>
      </c>
      <c r="D302" s="1489"/>
      <c r="E302" s="1567"/>
      <c r="F302" s="1593"/>
      <c r="G302" s="660"/>
      <c r="H302" s="1584"/>
      <c r="I302" s="1633"/>
      <c r="J302" s="1584"/>
      <c r="K302" s="1633"/>
      <c r="L302" s="1584"/>
      <c r="M302" s="1634"/>
      <c r="N302" s="1584"/>
      <c r="O302" s="1633"/>
      <c r="P302" s="1584"/>
      <c r="Q302" s="1633"/>
      <c r="R302" s="1584"/>
      <c r="S302" s="1633"/>
      <c r="T302" s="1584"/>
      <c r="U302" s="1633"/>
      <c r="V302" s="1584"/>
      <c r="W302" s="1633"/>
      <c r="X302" s="1584"/>
      <c r="Y302" s="1633"/>
    </row>
    <row r="303" spans="1:25">
      <c r="A303" s="1585"/>
      <c r="B303" s="1674" t="s">
        <v>4117</v>
      </c>
      <c r="C303" s="1566" t="s">
        <v>4192</v>
      </c>
      <c r="D303" s="1489"/>
      <c r="E303" s="1567"/>
      <c r="F303" s="1593"/>
      <c r="G303" s="660"/>
      <c r="H303" s="1584" t="s">
        <v>3028</v>
      </c>
      <c r="I303" s="1633"/>
      <c r="J303" s="1584" t="s">
        <v>3028</v>
      </c>
      <c r="K303" s="1633"/>
      <c r="L303" s="1584" t="s">
        <v>3028</v>
      </c>
      <c r="M303" s="1634"/>
      <c r="N303" s="1584"/>
      <c r="O303" s="1633"/>
      <c r="P303" s="1584"/>
      <c r="Q303" s="1633"/>
      <c r="R303" s="1584"/>
      <c r="S303" s="1633"/>
      <c r="T303" s="1584"/>
      <c r="U303" s="1633"/>
      <c r="V303" s="1584"/>
      <c r="W303" s="1633"/>
      <c r="X303" s="1584"/>
      <c r="Y303" s="1633"/>
    </row>
    <row r="304" spans="1:25">
      <c r="A304" s="1585"/>
      <c r="B304" s="1674" t="s">
        <v>3878</v>
      </c>
      <c r="C304" s="1566" t="s">
        <v>4193</v>
      </c>
      <c r="D304" s="1489"/>
      <c r="E304" s="1567"/>
      <c r="F304" s="1593"/>
      <c r="G304" s="660"/>
      <c r="H304" s="1584" t="s">
        <v>3028</v>
      </c>
      <c r="I304" s="1633"/>
      <c r="J304" s="1584" t="s">
        <v>3028</v>
      </c>
      <c r="K304" s="1633"/>
      <c r="L304" s="1584" t="s">
        <v>3028</v>
      </c>
      <c r="M304" s="1634"/>
      <c r="N304" s="1584"/>
      <c r="O304" s="1633"/>
      <c r="P304" s="1584"/>
      <c r="Q304" s="1633"/>
      <c r="R304" s="1584"/>
      <c r="S304" s="1633"/>
      <c r="T304" s="1584"/>
      <c r="U304" s="1633"/>
      <c r="V304" s="1584"/>
      <c r="W304" s="1633"/>
      <c r="X304" s="1584"/>
      <c r="Y304" s="1633"/>
    </row>
    <row r="305" spans="1:25" ht="45">
      <c r="A305" s="1585"/>
      <c r="B305" s="1674" t="s">
        <v>4189</v>
      </c>
      <c r="C305" s="1513" t="s">
        <v>4194</v>
      </c>
      <c r="D305" s="1489"/>
      <c r="E305" s="1567"/>
      <c r="F305" s="1593"/>
      <c r="G305" s="660"/>
      <c r="H305" s="1584" t="s">
        <v>3028</v>
      </c>
      <c r="I305" s="1633"/>
      <c r="J305" s="1584" t="s">
        <v>3028</v>
      </c>
      <c r="K305" s="1633"/>
      <c r="L305" s="1584" t="s">
        <v>3028</v>
      </c>
      <c r="M305" s="1634"/>
      <c r="N305" s="1584"/>
      <c r="O305" s="1633"/>
      <c r="P305" s="1584"/>
      <c r="Q305" s="1633"/>
      <c r="R305" s="1584"/>
      <c r="S305" s="1633"/>
      <c r="T305" s="1584"/>
      <c r="U305" s="1633"/>
      <c r="V305" s="1584"/>
      <c r="W305" s="1633"/>
      <c r="X305" s="1584"/>
      <c r="Y305" s="1633"/>
    </row>
    <row r="306" spans="1:25">
      <c r="A306" s="1585"/>
      <c r="B306" s="1696" t="s">
        <v>582</v>
      </c>
      <c r="C306" s="1566" t="s">
        <v>1830</v>
      </c>
      <c r="D306" s="1489"/>
      <c r="E306" s="1567"/>
      <c r="F306" s="1593"/>
      <c r="G306" s="660"/>
      <c r="H306" s="1584"/>
      <c r="I306" s="1633"/>
      <c r="J306" s="1584"/>
      <c r="K306" s="1633"/>
      <c r="L306" s="1584"/>
      <c r="M306" s="1634"/>
      <c r="N306" s="1584"/>
      <c r="O306" s="1633"/>
      <c r="P306" s="1584"/>
      <c r="Q306" s="1633"/>
      <c r="R306" s="1584"/>
      <c r="S306" s="1633"/>
      <c r="T306" s="1584"/>
      <c r="U306" s="1633"/>
      <c r="V306" s="1584"/>
      <c r="W306" s="1633"/>
      <c r="X306" s="1584"/>
      <c r="Y306" s="1633"/>
    </row>
    <row r="307" spans="1:25" s="364" customFormat="1" ht="30">
      <c r="A307" s="1657" t="s">
        <v>3833</v>
      </c>
      <c r="B307" s="1676" t="s">
        <v>4195</v>
      </c>
      <c r="C307" s="1651" t="s">
        <v>4196</v>
      </c>
      <c r="D307" s="1652"/>
      <c r="E307" s="1653"/>
      <c r="F307" s="1654"/>
      <c r="G307" s="682"/>
      <c r="H307" s="1584" t="s">
        <v>3028</v>
      </c>
      <c r="I307" s="1655"/>
      <c r="J307" s="1584" t="s">
        <v>3806</v>
      </c>
      <c r="K307" s="1655"/>
      <c r="L307" s="1584" t="s">
        <v>3028</v>
      </c>
      <c r="M307" s="1656"/>
      <c r="N307" s="1584"/>
      <c r="O307" s="1655"/>
      <c r="P307" s="1584"/>
      <c r="Q307" s="1655"/>
      <c r="R307" s="1584"/>
      <c r="S307" s="1655"/>
      <c r="T307" s="1584"/>
      <c r="U307" s="1655"/>
      <c r="V307" s="1584"/>
      <c r="W307" s="1655"/>
      <c r="X307" s="1584"/>
      <c r="Y307" s="1655"/>
    </row>
    <row r="308" spans="1:25">
      <c r="A308" s="1585"/>
      <c r="B308" s="1665" t="s">
        <v>4197</v>
      </c>
      <c r="C308" s="1566" t="s">
        <v>1830</v>
      </c>
      <c r="D308" s="1489"/>
      <c r="E308" s="1567"/>
      <c r="F308" s="1593"/>
      <c r="G308" s="660"/>
      <c r="H308" s="1584"/>
      <c r="I308" s="1633"/>
      <c r="J308" s="1584"/>
      <c r="K308" s="1633"/>
      <c r="L308" s="1584"/>
      <c r="M308" s="1634"/>
      <c r="N308" s="1584"/>
      <c r="O308" s="1633"/>
      <c r="P308" s="1584"/>
      <c r="Q308" s="1633"/>
      <c r="R308" s="1584"/>
      <c r="S308" s="1633"/>
      <c r="T308" s="1584"/>
      <c r="U308" s="1633"/>
      <c r="V308" s="1584"/>
      <c r="W308" s="1633"/>
      <c r="X308" s="1584"/>
      <c r="Y308" s="1633"/>
    </row>
    <row r="309" spans="1:25">
      <c r="A309" s="1585"/>
      <c r="B309" s="1674" t="s">
        <v>4117</v>
      </c>
      <c r="C309" s="1566" t="s">
        <v>4198</v>
      </c>
      <c r="D309" s="1489"/>
      <c r="E309" s="1567"/>
      <c r="F309" s="1593"/>
      <c r="G309" s="660"/>
      <c r="H309" s="1584" t="s">
        <v>3028</v>
      </c>
      <c r="I309" s="1633"/>
      <c r="J309" s="1584" t="s">
        <v>3028</v>
      </c>
      <c r="K309" s="1633"/>
      <c r="L309" s="1584" t="s">
        <v>3028</v>
      </c>
      <c r="M309" s="1634"/>
      <c r="N309" s="1584"/>
      <c r="O309" s="1633"/>
      <c r="P309" s="1584"/>
      <c r="Q309" s="1633"/>
      <c r="R309" s="1584"/>
      <c r="S309" s="1633"/>
      <c r="T309" s="1584"/>
      <c r="U309" s="1633"/>
      <c r="V309" s="1584"/>
      <c r="W309" s="1633"/>
      <c r="X309" s="1584"/>
      <c r="Y309" s="1633"/>
    </row>
    <row r="310" spans="1:25">
      <c r="A310" s="1585"/>
      <c r="B310" s="1674" t="s">
        <v>3878</v>
      </c>
      <c r="C310" s="1566" t="s">
        <v>4199</v>
      </c>
      <c r="D310" s="1489"/>
      <c r="E310" s="1567"/>
      <c r="F310" s="1593"/>
      <c r="G310" s="660"/>
      <c r="H310" s="1584" t="s">
        <v>3028</v>
      </c>
      <c r="I310" s="1633"/>
      <c r="J310" s="1584" t="s">
        <v>3028</v>
      </c>
      <c r="K310" s="1633"/>
      <c r="L310" s="1584" t="s">
        <v>3028</v>
      </c>
      <c r="M310" s="1634"/>
      <c r="N310" s="1584"/>
      <c r="O310" s="1633"/>
      <c r="P310" s="1584"/>
      <c r="Q310" s="1633"/>
      <c r="R310" s="1584"/>
      <c r="S310" s="1633"/>
      <c r="T310" s="1584"/>
      <c r="U310" s="1633"/>
      <c r="V310" s="1584"/>
      <c r="W310" s="1633"/>
      <c r="X310" s="1584"/>
      <c r="Y310" s="1633"/>
    </row>
    <row r="311" spans="1:25" ht="45">
      <c r="A311" s="1585"/>
      <c r="B311" s="1674" t="s">
        <v>4189</v>
      </c>
      <c r="C311" s="1513" t="s">
        <v>4200</v>
      </c>
      <c r="D311" s="1489"/>
      <c r="E311" s="1567"/>
      <c r="F311" s="1593"/>
      <c r="G311" s="660"/>
      <c r="H311" s="1584" t="s">
        <v>3028</v>
      </c>
      <c r="I311" s="1633"/>
      <c r="J311" s="1584" t="s">
        <v>3028</v>
      </c>
      <c r="K311" s="1633"/>
      <c r="L311" s="1584" t="s">
        <v>3028</v>
      </c>
      <c r="M311" s="1634"/>
      <c r="N311" s="1584"/>
      <c r="O311" s="1633"/>
      <c r="P311" s="1584"/>
      <c r="Q311" s="1633"/>
      <c r="R311" s="1584"/>
      <c r="S311" s="1633"/>
      <c r="T311" s="1584"/>
      <c r="U311" s="1633"/>
      <c r="V311" s="1584"/>
      <c r="W311" s="1633"/>
      <c r="X311" s="1584"/>
      <c r="Y311" s="1633"/>
    </row>
    <row r="312" spans="1:25">
      <c r="A312" s="1585"/>
      <c r="B312" s="1665" t="s">
        <v>4201</v>
      </c>
      <c r="C312" s="1566" t="s">
        <v>1830</v>
      </c>
      <c r="D312" s="1489"/>
      <c r="E312" s="1567"/>
      <c r="F312" s="1593"/>
      <c r="G312" s="660"/>
      <c r="H312" s="1584"/>
      <c r="I312" s="1633"/>
      <c r="J312" s="1584"/>
      <c r="K312" s="1633"/>
      <c r="L312" s="1584"/>
      <c r="M312" s="1634"/>
      <c r="N312" s="1584"/>
      <c r="O312" s="1633"/>
      <c r="P312" s="1584"/>
      <c r="Q312" s="1633"/>
      <c r="R312" s="1584"/>
      <c r="S312" s="1633"/>
      <c r="T312" s="1584"/>
      <c r="U312" s="1633"/>
      <c r="V312" s="1584"/>
      <c r="W312" s="1633"/>
      <c r="X312" s="1584"/>
      <c r="Y312" s="1633"/>
    </row>
    <row r="313" spans="1:25">
      <c r="A313" s="1585"/>
      <c r="B313" s="1674" t="s">
        <v>4117</v>
      </c>
      <c r="C313" s="1566" t="s">
        <v>4202</v>
      </c>
      <c r="D313" s="1489"/>
      <c r="E313" s="1567"/>
      <c r="F313" s="1593"/>
      <c r="G313" s="660"/>
      <c r="H313" s="1584" t="s">
        <v>3028</v>
      </c>
      <c r="I313" s="1633"/>
      <c r="J313" s="1584" t="s">
        <v>3806</v>
      </c>
      <c r="K313" s="1633"/>
      <c r="L313" s="1584" t="s">
        <v>3028</v>
      </c>
      <c r="M313" s="1634"/>
      <c r="N313" s="1584"/>
      <c r="O313" s="1633"/>
      <c r="P313" s="1584"/>
      <c r="Q313" s="1633"/>
      <c r="R313" s="1584"/>
      <c r="S313" s="1633"/>
      <c r="T313" s="1584"/>
      <c r="U313" s="1633"/>
      <c r="V313" s="1584"/>
      <c r="W313" s="1633"/>
      <c r="X313" s="1584"/>
      <c r="Y313" s="1633"/>
    </row>
    <row r="314" spans="1:25">
      <c r="A314" s="1585"/>
      <c r="B314" s="1674" t="s">
        <v>3878</v>
      </c>
      <c r="C314" s="1566" t="s">
        <v>4203</v>
      </c>
      <c r="D314" s="1489"/>
      <c r="E314" s="1567"/>
      <c r="F314" s="1593"/>
      <c r="G314" s="660"/>
      <c r="H314" s="1584" t="s">
        <v>3028</v>
      </c>
      <c r="I314" s="1633"/>
      <c r="J314" s="1584" t="s">
        <v>3806</v>
      </c>
      <c r="K314" s="1633"/>
      <c r="L314" s="1584" t="s">
        <v>3028</v>
      </c>
      <c r="M314" s="1634"/>
      <c r="N314" s="1584"/>
      <c r="O314" s="1633"/>
      <c r="P314" s="1584"/>
      <c r="Q314" s="1633"/>
      <c r="R314" s="1584"/>
      <c r="S314" s="1633"/>
      <c r="T314" s="1584"/>
      <c r="U314" s="1633"/>
      <c r="V314" s="1584"/>
      <c r="W314" s="1633"/>
      <c r="X314" s="1584"/>
      <c r="Y314" s="1633"/>
    </row>
    <row r="315" spans="1:25">
      <c r="A315" s="1585"/>
      <c r="B315" s="1665" t="s">
        <v>4204</v>
      </c>
      <c r="C315" s="1566" t="s">
        <v>1830</v>
      </c>
      <c r="D315" s="1489"/>
      <c r="E315" s="1567"/>
      <c r="F315" s="1593"/>
      <c r="G315" s="660"/>
      <c r="H315" s="1584"/>
      <c r="I315" s="1633"/>
      <c r="J315" s="1584"/>
      <c r="K315" s="1633"/>
      <c r="L315" s="1584"/>
      <c r="M315" s="1634"/>
      <c r="N315" s="1584"/>
      <c r="O315" s="1633"/>
      <c r="P315" s="1584"/>
      <c r="Q315" s="1633"/>
      <c r="R315" s="1584"/>
      <c r="S315" s="1633"/>
      <c r="T315" s="1584"/>
      <c r="U315" s="1633"/>
      <c r="V315" s="1584"/>
      <c r="W315" s="1633"/>
      <c r="X315" s="1584"/>
      <c r="Y315" s="1633"/>
    </row>
    <row r="316" spans="1:25">
      <c r="A316" s="1585"/>
      <c r="B316" s="1674" t="s">
        <v>4117</v>
      </c>
      <c r="C316" s="1566" t="s">
        <v>4205</v>
      </c>
      <c r="D316" s="1489"/>
      <c r="E316" s="1567"/>
      <c r="F316" s="1593"/>
      <c r="G316" s="660"/>
      <c r="H316" s="1584" t="s">
        <v>3028</v>
      </c>
      <c r="I316" s="1633"/>
      <c r="J316" s="1584" t="s">
        <v>3028</v>
      </c>
      <c r="K316" s="1633"/>
      <c r="L316" s="1584" t="s">
        <v>3028</v>
      </c>
      <c r="M316" s="1634"/>
      <c r="N316" s="1584"/>
      <c r="O316" s="1633"/>
      <c r="P316" s="1584"/>
      <c r="Q316" s="1633"/>
      <c r="R316" s="1584"/>
      <c r="S316" s="1633"/>
      <c r="T316" s="1584"/>
      <c r="U316" s="1633"/>
      <c r="V316" s="1584"/>
      <c r="W316" s="1633"/>
      <c r="X316" s="1584"/>
      <c r="Y316" s="1633"/>
    </row>
    <row r="317" spans="1:25">
      <c r="A317" s="1585"/>
      <c r="B317" s="1674" t="s">
        <v>3878</v>
      </c>
      <c r="C317" s="1566" t="s">
        <v>4206</v>
      </c>
      <c r="D317" s="1489"/>
      <c r="E317" s="1567"/>
      <c r="F317" s="1593"/>
      <c r="G317" s="660"/>
      <c r="H317" s="1584" t="s">
        <v>3028</v>
      </c>
      <c r="I317" s="1633"/>
      <c r="J317" s="1584" t="s">
        <v>3028</v>
      </c>
      <c r="K317" s="1633"/>
      <c r="L317" s="1584" t="s">
        <v>3028</v>
      </c>
      <c r="M317" s="1634"/>
      <c r="N317" s="1584"/>
      <c r="O317" s="1633"/>
      <c r="P317" s="1584"/>
      <c r="Q317" s="1633"/>
      <c r="R317" s="1584"/>
      <c r="S317" s="1633"/>
      <c r="T317" s="1584"/>
      <c r="U317" s="1633"/>
      <c r="V317" s="1584"/>
      <c r="W317" s="1633"/>
      <c r="X317" s="1584"/>
      <c r="Y317" s="1633"/>
    </row>
    <row r="318" spans="1:25" ht="45">
      <c r="A318" s="1585"/>
      <c r="B318" s="1674" t="s">
        <v>4207</v>
      </c>
      <c r="C318" s="1513" t="s">
        <v>4208</v>
      </c>
      <c r="D318" s="1489"/>
      <c r="E318" s="1567"/>
      <c r="F318" s="1593"/>
      <c r="G318" s="660"/>
      <c r="H318" s="1584" t="s">
        <v>3028</v>
      </c>
      <c r="I318" s="1633"/>
      <c r="J318" s="1584" t="s">
        <v>3028</v>
      </c>
      <c r="K318" s="1633"/>
      <c r="L318" s="1584" t="s">
        <v>3028</v>
      </c>
      <c r="M318" s="1634"/>
      <c r="N318" s="1584"/>
      <c r="O318" s="1633"/>
      <c r="P318" s="1584"/>
      <c r="Q318" s="1633"/>
      <c r="R318" s="1584"/>
      <c r="S318" s="1633"/>
      <c r="T318" s="1584"/>
      <c r="U318" s="1633"/>
      <c r="V318" s="1584"/>
      <c r="W318" s="1633"/>
      <c r="X318" s="1584"/>
      <c r="Y318" s="1633"/>
    </row>
    <row r="319" spans="1:25">
      <c r="A319" s="1585"/>
      <c r="B319" s="1665" t="s">
        <v>4209</v>
      </c>
      <c r="C319" s="1566" t="s">
        <v>1830</v>
      </c>
      <c r="D319" s="1489"/>
      <c r="E319" s="1567"/>
      <c r="F319" s="1593"/>
      <c r="G319" s="660"/>
      <c r="H319" s="1584"/>
      <c r="I319" s="1633"/>
      <c r="J319" s="1584"/>
      <c r="K319" s="1633"/>
      <c r="L319" s="1584"/>
      <c r="M319" s="1634"/>
      <c r="N319" s="1584"/>
      <c r="O319" s="1633"/>
      <c r="P319" s="1584"/>
      <c r="Q319" s="1633"/>
      <c r="R319" s="1584"/>
      <c r="S319" s="1633"/>
      <c r="T319" s="1584"/>
      <c r="U319" s="1633"/>
      <c r="V319" s="1584"/>
      <c r="W319" s="1633"/>
      <c r="X319" s="1584"/>
      <c r="Y319" s="1633"/>
    </row>
    <row r="320" spans="1:25" ht="30">
      <c r="A320" s="1585"/>
      <c r="B320" s="1676" t="s">
        <v>4210</v>
      </c>
      <c r="C320" s="1651" t="s">
        <v>4211</v>
      </c>
      <c r="D320" s="1489"/>
      <c r="E320" s="1567"/>
      <c r="F320" s="1593"/>
      <c r="G320" s="660"/>
      <c r="H320" s="1584" t="s">
        <v>3028</v>
      </c>
      <c r="I320" s="1633"/>
      <c r="J320" s="1584" t="s">
        <v>3028</v>
      </c>
      <c r="K320" s="1633"/>
      <c r="L320" s="1584" t="s">
        <v>3028</v>
      </c>
      <c r="M320" s="1634"/>
      <c r="N320" s="1584"/>
      <c r="O320" s="1633"/>
      <c r="P320" s="1584"/>
      <c r="Q320" s="1633"/>
      <c r="R320" s="1584"/>
      <c r="S320" s="1633"/>
      <c r="T320" s="1584"/>
      <c r="U320" s="1633"/>
      <c r="V320" s="1584"/>
      <c r="W320" s="1633"/>
      <c r="X320" s="1584"/>
      <c r="Y320" s="1633"/>
    </row>
    <row r="321" spans="1:25">
      <c r="A321" s="1585"/>
      <c r="B321" s="1674" t="s">
        <v>3878</v>
      </c>
      <c r="C321" s="1566" t="s">
        <v>4212</v>
      </c>
      <c r="D321" s="1489"/>
      <c r="E321" s="1567"/>
      <c r="F321" s="1593"/>
      <c r="G321" s="660"/>
      <c r="H321" s="1584" t="s">
        <v>3028</v>
      </c>
      <c r="I321" s="1633"/>
      <c r="J321" s="1584" t="s">
        <v>3028</v>
      </c>
      <c r="K321" s="1633"/>
      <c r="L321" s="1584" t="s">
        <v>3028</v>
      </c>
      <c r="M321" s="1634"/>
      <c r="N321" s="1584"/>
      <c r="O321" s="1633"/>
      <c r="P321" s="1584"/>
      <c r="Q321" s="1633"/>
      <c r="R321" s="1584"/>
      <c r="S321" s="1633"/>
      <c r="T321" s="1584"/>
      <c r="U321" s="1633"/>
      <c r="V321" s="1584"/>
      <c r="W321" s="1633"/>
      <c r="X321" s="1584"/>
      <c r="Y321" s="1633"/>
    </row>
    <row r="322" spans="1:25" ht="21">
      <c r="A322" s="1585"/>
      <c r="B322" s="1646" t="s">
        <v>3029</v>
      </c>
      <c r="C322" s="1566"/>
      <c r="D322" s="1489"/>
      <c r="E322" s="1567"/>
      <c r="F322" s="1593"/>
      <c r="G322" s="660"/>
      <c r="H322" s="1584"/>
      <c r="I322" s="1636">
        <v>2548754</v>
      </c>
      <c r="J322" s="1584"/>
      <c r="K322" s="1636">
        <v>2822138</v>
      </c>
      <c r="L322" s="1584"/>
      <c r="M322" s="1647">
        <f>2965622.21+(0.2*162488)</f>
        <v>2998119.81</v>
      </c>
      <c r="N322" s="1584"/>
      <c r="O322" s="1633"/>
      <c r="P322" s="1584"/>
      <c r="Q322" s="1633"/>
      <c r="R322" s="1584"/>
      <c r="S322" s="1633"/>
      <c r="T322" s="1584"/>
      <c r="U322" s="1633"/>
      <c r="V322" s="1584"/>
      <c r="W322" s="1633"/>
      <c r="X322" s="1584"/>
      <c r="Y322" s="1633"/>
    </row>
    <row r="323" spans="1:25" ht="15.75">
      <c r="A323" s="1585"/>
      <c r="B323" s="1648" t="s">
        <v>3831</v>
      </c>
      <c r="C323" s="1566"/>
      <c r="D323" s="1489"/>
      <c r="E323" s="1567"/>
      <c r="F323" s="1593"/>
      <c r="G323" s="660"/>
      <c r="H323" s="1584"/>
      <c r="I323" s="1633"/>
      <c r="J323" s="1584"/>
      <c r="K323" s="1633"/>
      <c r="L323" s="1584"/>
      <c r="M323" s="1634"/>
      <c r="N323" s="1584"/>
      <c r="O323" s="1633"/>
      <c r="P323" s="1584"/>
      <c r="Q323" s="1633"/>
      <c r="R323" s="1584"/>
      <c r="S323" s="1633"/>
      <c r="T323" s="1584"/>
      <c r="U323" s="1633"/>
      <c r="V323" s="1584"/>
      <c r="W323" s="1633"/>
      <c r="X323" s="1584"/>
      <c r="Y323" s="1633"/>
    </row>
    <row r="324" spans="1:25">
      <c r="A324" s="1585"/>
      <c r="B324" s="1665" t="s">
        <v>4213</v>
      </c>
      <c r="C324" s="1566" t="s">
        <v>1633</v>
      </c>
      <c r="D324" s="1489"/>
      <c r="E324" s="1567"/>
      <c r="F324" s="1593"/>
      <c r="G324" s="660"/>
      <c r="H324" s="1584"/>
      <c r="I324" s="1633"/>
      <c r="J324" s="1584"/>
      <c r="K324" s="1633"/>
      <c r="L324" s="1584"/>
      <c r="M324" s="1634"/>
      <c r="N324" s="1584"/>
      <c r="O324" s="1633"/>
      <c r="P324" s="1584"/>
      <c r="Q324" s="1633"/>
      <c r="R324" s="1584"/>
      <c r="S324" s="1633"/>
      <c r="T324" s="1584"/>
      <c r="U324" s="1633"/>
      <c r="V324" s="1584"/>
      <c r="W324" s="1633"/>
      <c r="X324" s="1584"/>
      <c r="Y324" s="1633"/>
    </row>
    <row r="325" spans="1:25" ht="30">
      <c r="A325" s="1585"/>
      <c r="B325" s="1666" t="s">
        <v>4214</v>
      </c>
      <c r="C325" s="1513" t="s">
        <v>4215</v>
      </c>
      <c r="D325" s="1489"/>
      <c r="E325" s="1567"/>
      <c r="F325" s="1593"/>
      <c r="G325" s="660"/>
      <c r="H325" s="1584" t="s">
        <v>3028</v>
      </c>
      <c r="I325" s="1633"/>
      <c r="J325" s="1584" t="s">
        <v>3028</v>
      </c>
      <c r="K325" s="1633"/>
      <c r="L325" s="1524" t="s">
        <v>3028</v>
      </c>
      <c r="M325" s="1638"/>
      <c r="N325" s="1584"/>
      <c r="O325" s="1633"/>
      <c r="P325" s="1584" t="s">
        <v>3806</v>
      </c>
      <c r="Q325" s="1634"/>
      <c r="R325" s="1584"/>
      <c r="S325" s="1633"/>
      <c r="T325" s="1584"/>
      <c r="U325" s="1633"/>
      <c r="V325" s="1584"/>
      <c r="W325" s="1633"/>
      <c r="X325" s="1584"/>
      <c r="Y325" s="1633"/>
    </row>
    <row r="326" spans="1:25" ht="30">
      <c r="A326" s="1585"/>
      <c r="B326" s="1666" t="s">
        <v>4216</v>
      </c>
      <c r="C326" s="1513" t="s">
        <v>4217</v>
      </c>
      <c r="D326" s="1489"/>
      <c r="E326" s="1567"/>
      <c r="F326" s="1593"/>
      <c r="G326" s="660"/>
      <c r="H326" s="1584" t="s">
        <v>3028</v>
      </c>
      <c r="I326" s="1633"/>
      <c r="J326" s="1584" t="s">
        <v>3028</v>
      </c>
      <c r="K326" s="1633"/>
      <c r="L326" s="1524" t="s">
        <v>3028</v>
      </c>
      <c r="M326" s="1638"/>
      <c r="N326" s="1584"/>
      <c r="O326" s="1633"/>
      <c r="P326" s="1584" t="s">
        <v>3806</v>
      </c>
      <c r="Q326" s="1634"/>
      <c r="R326" s="1584"/>
      <c r="S326" s="1633"/>
      <c r="T326" s="1584"/>
      <c r="U326" s="1633"/>
      <c r="V326" s="1584"/>
      <c r="W326" s="1633"/>
      <c r="X326" s="1584"/>
      <c r="Y326" s="1633"/>
    </row>
    <row r="327" spans="1:25" s="364" customFormat="1">
      <c r="A327" s="1675"/>
      <c r="B327" s="1676" t="s">
        <v>4218</v>
      </c>
      <c r="C327" s="1651" t="s">
        <v>4219</v>
      </c>
      <c r="D327" s="1652"/>
      <c r="E327" s="1653"/>
      <c r="F327" s="1654"/>
      <c r="G327" s="682"/>
      <c r="H327" s="1584" t="s">
        <v>3807</v>
      </c>
      <c r="I327" s="1642" t="s">
        <v>4220</v>
      </c>
      <c r="J327" s="1584" t="s">
        <v>3028</v>
      </c>
      <c r="K327" s="1655" t="s">
        <v>3806</v>
      </c>
      <c r="L327" s="1524" t="s">
        <v>3807</v>
      </c>
      <c r="M327" s="1697"/>
      <c r="N327" s="1584"/>
      <c r="O327" s="1655"/>
      <c r="P327" s="1584" t="s">
        <v>3028</v>
      </c>
      <c r="Q327" s="1656" t="s">
        <v>3528</v>
      </c>
      <c r="R327" s="1584"/>
      <c r="S327" s="1655"/>
      <c r="T327" s="1584"/>
      <c r="U327" s="1655"/>
      <c r="V327" s="1584"/>
      <c r="W327" s="1655"/>
      <c r="X327" s="1584"/>
      <c r="Y327" s="1655"/>
    </row>
    <row r="328" spans="1:25" s="364" customFormat="1" ht="30">
      <c r="A328" s="1649"/>
      <c r="B328" s="1676" t="s">
        <v>4221</v>
      </c>
      <c r="C328" s="1651" t="s">
        <v>4222</v>
      </c>
      <c r="D328" s="1652"/>
      <c r="E328" s="1653"/>
      <c r="F328" s="1654"/>
      <c r="G328" s="682"/>
      <c r="H328" s="1584" t="s">
        <v>3028</v>
      </c>
      <c r="I328" s="1655"/>
      <c r="J328" s="1584" t="s">
        <v>3028</v>
      </c>
      <c r="K328" s="1655"/>
      <c r="L328" s="1524" t="s">
        <v>3028</v>
      </c>
      <c r="M328" s="1697"/>
      <c r="N328" s="1584"/>
      <c r="O328" s="1655"/>
      <c r="P328" s="1584" t="s">
        <v>3028</v>
      </c>
      <c r="Q328" s="1656" t="s">
        <v>4223</v>
      </c>
      <c r="R328" s="1584"/>
      <c r="S328" s="1655"/>
      <c r="T328" s="1584"/>
      <c r="U328" s="1655"/>
      <c r="V328" s="1584"/>
      <c r="W328" s="1655"/>
      <c r="X328" s="1584"/>
      <c r="Y328" s="1655"/>
    </row>
    <row r="329" spans="1:25" s="364" customFormat="1">
      <c r="A329" s="1649"/>
      <c r="B329" s="1676" t="s">
        <v>4224</v>
      </c>
      <c r="C329" s="1651" t="s">
        <v>1647</v>
      </c>
      <c r="D329" s="1652"/>
      <c r="E329" s="1653"/>
      <c r="F329" s="1654"/>
      <c r="G329" s="682"/>
      <c r="H329" s="1584" t="s">
        <v>3028</v>
      </c>
      <c r="I329" s="1655"/>
      <c r="J329" s="1584" t="s">
        <v>3028</v>
      </c>
      <c r="K329" s="1655"/>
      <c r="L329" s="1524" t="s">
        <v>3028</v>
      </c>
      <c r="M329" s="1697"/>
      <c r="N329" s="1584"/>
      <c r="O329" s="1655"/>
      <c r="P329" s="1584" t="s">
        <v>3028</v>
      </c>
      <c r="Q329" s="1656"/>
      <c r="R329" s="1584"/>
      <c r="S329" s="1655"/>
      <c r="T329" s="1584"/>
      <c r="U329" s="1655"/>
      <c r="V329" s="1584"/>
      <c r="W329" s="1655"/>
      <c r="X329" s="1584"/>
      <c r="Y329" s="1655"/>
    </row>
    <row r="330" spans="1:25" s="364" customFormat="1">
      <c r="A330" s="1675"/>
      <c r="B330" s="1676" t="s">
        <v>4225</v>
      </c>
      <c r="C330" s="1651" t="s">
        <v>1647</v>
      </c>
      <c r="D330" s="1652"/>
      <c r="E330" s="1653"/>
      <c r="F330" s="1654"/>
      <c r="G330" s="682"/>
      <c r="H330" s="1584" t="s">
        <v>3807</v>
      </c>
      <c r="I330" s="1642" t="s">
        <v>4220</v>
      </c>
      <c r="J330" s="1584" t="s">
        <v>3028</v>
      </c>
      <c r="K330" s="1655" t="s">
        <v>3806</v>
      </c>
      <c r="L330" s="1524" t="s">
        <v>3807</v>
      </c>
      <c r="M330" s="1697"/>
      <c r="N330" s="1584"/>
      <c r="O330" s="1655"/>
      <c r="P330" s="1584" t="s">
        <v>3028</v>
      </c>
      <c r="Q330" s="1656" t="s">
        <v>3528</v>
      </c>
      <c r="R330" s="1584"/>
      <c r="S330" s="1655"/>
      <c r="T330" s="1584"/>
      <c r="U330" s="1655"/>
      <c r="V330" s="1584"/>
      <c r="W330" s="1655"/>
      <c r="X330" s="1584"/>
      <c r="Y330" s="1655"/>
    </row>
    <row r="331" spans="1:25" s="364" customFormat="1">
      <c r="A331" s="1675"/>
      <c r="B331" s="1635" t="s">
        <v>4226</v>
      </c>
      <c r="C331" s="1651" t="s">
        <v>4227</v>
      </c>
      <c r="D331" s="1652"/>
      <c r="E331" s="1653"/>
      <c r="F331" s="1654"/>
      <c r="G331" s="682"/>
      <c r="H331" s="1584" t="s">
        <v>3028</v>
      </c>
      <c r="I331" s="1655"/>
      <c r="J331" s="1584" t="s">
        <v>3028</v>
      </c>
      <c r="K331" s="1655"/>
      <c r="L331" s="1524" t="s">
        <v>3028</v>
      </c>
      <c r="M331" s="1697"/>
      <c r="N331" s="1584"/>
      <c r="O331" s="1655"/>
      <c r="P331" s="1584" t="s">
        <v>3028</v>
      </c>
      <c r="Q331" s="1656"/>
      <c r="R331" s="1584"/>
      <c r="S331" s="1655"/>
      <c r="T331" s="1584"/>
      <c r="U331" s="1655"/>
      <c r="V331" s="1584"/>
      <c r="W331" s="1655"/>
      <c r="X331" s="1584"/>
      <c r="Y331" s="1655"/>
    </row>
    <row r="332" spans="1:25">
      <c r="A332" s="1585"/>
      <c r="B332" s="1679" t="s">
        <v>4228</v>
      </c>
      <c r="C332" s="1566" t="s">
        <v>1633</v>
      </c>
      <c r="D332" s="1489"/>
      <c r="E332" s="1567"/>
      <c r="F332" s="1593"/>
      <c r="G332" s="660"/>
      <c r="H332" s="1584"/>
      <c r="I332" s="1633"/>
      <c r="J332" s="1584"/>
      <c r="K332" s="1633"/>
      <c r="L332" s="1524"/>
      <c r="M332" s="1638"/>
      <c r="N332" s="1584"/>
      <c r="O332" s="1633"/>
      <c r="P332" s="1584"/>
      <c r="Q332" s="1634"/>
      <c r="R332" s="1584"/>
      <c r="S332" s="1633"/>
      <c r="T332" s="1584"/>
      <c r="U332" s="1633"/>
      <c r="V332" s="1584"/>
      <c r="W332" s="1633"/>
      <c r="X332" s="1584"/>
      <c r="Y332" s="1633"/>
    </row>
    <row r="333" spans="1:25" s="364" customFormat="1" ht="30">
      <c r="A333" s="1649"/>
      <c r="B333" s="1674" t="s">
        <v>4229</v>
      </c>
      <c r="C333" s="1651" t="s">
        <v>4230</v>
      </c>
      <c r="D333" s="1652"/>
      <c r="E333" s="1653"/>
      <c r="F333" s="1654"/>
      <c r="G333" s="682"/>
      <c r="H333" s="1584" t="s">
        <v>3807</v>
      </c>
      <c r="I333" s="1642" t="s">
        <v>4220</v>
      </c>
      <c r="J333" s="1584" t="s">
        <v>3806</v>
      </c>
      <c r="K333" s="1655"/>
      <c r="L333" s="1524" t="s">
        <v>3807</v>
      </c>
      <c r="M333" s="1697"/>
      <c r="N333" s="1584"/>
      <c r="O333" s="1655"/>
      <c r="P333" s="1584" t="s">
        <v>3806</v>
      </c>
      <c r="Q333" s="1656"/>
      <c r="R333" s="1584"/>
      <c r="S333" s="1655"/>
      <c r="T333" s="1584"/>
      <c r="U333" s="1655"/>
      <c r="V333" s="1584"/>
      <c r="W333" s="1655"/>
      <c r="X333" s="1584"/>
      <c r="Y333" s="1655"/>
    </row>
    <row r="334" spans="1:25" s="364" customFormat="1" ht="30">
      <c r="A334" s="1649"/>
      <c r="B334" s="1674" t="s">
        <v>4231</v>
      </c>
      <c r="C334" s="1651" t="s">
        <v>4232</v>
      </c>
      <c r="D334" s="1652"/>
      <c r="E334" s="1653"/>
      <c r="F334" s="1654"/>
      <c r="G334" s="682"/>
      <c r="H334" s="1584" t="s">
        <v>3028</v>
      </c>
      <c r="I334" s="1655"/>
      <c r="J334" s="1584" t="s">
        <v>3028</v>
      </c>
      <c r="K334" s="1655"/>
      <c r="L334" s="1524" t="s">
        <v>3028</v>
      </c>
      <c r="M334" s="1697"/>
      <c r="N334" s="1584"/>
      <c r="O334" s="1655"/>
      <c r="P334" s="1584" t="s">
        <v>3028</v>
      </c>
      <c r="Q334" s="1656"/>
      <c r="R334" s="1584"/>
      <c r="S334" s="1655"/>
      <c r="T334" s="1584"/>
      <c r="U334" s="1655"/>
      <c r="V334" s="1584"/>
      <c r="W334" s="1655"/>
      <c r="X334" s="1584"/>
      <c r="Y334" s="1655"/>
    </row>
    <row r="335" spans="1:25" s="364" customFormat="1" ht="30">
      <c r="A335" s="1649"/>
      <c r="B335" s="1674" t="s">
        <v>4233</v>
      </c>
      <c r="C335" s="1651" t="s">
        <v>4234</v>
      </c>
      <c r="D335" s="1652"/>
      <c r="E335" s="1653"/>
      <c r="F335" s="1654"/>
      <c r="G335" s="682"/>
      <c r="H335" s="1584" t="s">
        <v>3028</v>
      </c>
      <c r="I335" s="1655"/>
      <c r="J335" s="1584" t="s">
        <v>3028</v>
      </c>
      <c r="K335" s="1655"/>
      <c r="L335" s="1524" t="s">
        <v>3028</v>
      </c>
      <c r="M335" s="1697"/>
      <c r="N335" s="1584"/>
      <c r="O335" s="1655"/>
      <c r="P335" s="1584" t="s">
        <v>3806</v>
      </c>
      <c r="Q335" s="1656"/>
      <c r="R335" s="1584"/>
      <c r="S335" s="1655"/>
      <c r="T335" s="1584"/>
      <c r="U335" s="1655"/>
      <c r="V335" s="1584"/>
      <c r="W335" s="1655"/>
      <c r="X335" s="1584"/>
      <c r="Y335" s="1655"/>
    </row>
    <row r="336" spans="1:25" s="364" customFormat="1" ht="45">
      <c r="A336" s="1649"/>
      <c r="B336" s="1674" t="s">
        <v>4235</v>
      </c>
      <c r="C336" s="1651" t="s">
        <v>4236</v>
      </c>
      <c r="D336" s="1652"/>
      <c r="E336" s="1653"/>
      <c r="F336" s="1654"/>
      <c r="G336" s="682"/>
      <c r="H336" s="1584" t="s">
        <v>3028</v>
      </c>
      <c r="I336" s="1655"/>
      <c r="J336" s="1584" t="s">
        <v>3028</v>
      </c>
      <c r="K336" s="1655"/>
      <c r="L336" s="1524" t="s">
        <v>3028</v>
      </c>
      <c r="M336" s="1697"/>
      <c r="N336" s="1584"/>
      <c r="O336" s="1655"/>
      <c r="P336" s="1584" t="s">
        <v>3806</v>
      </c>
      <c r="Q336" s="1656"/>
      <c r="R336" s="1584"/>
      <c r="S336" s="1655"/>
      <c r="T336" s="1584"/>
      <c r="U336" s="1655"/>
      <c r="V336" s="1584"/>
      <c r="W336" s="1655"/>
      <c r="X336" s="1584"/>
      <c r="Y336" s="1655"/>
    </row>
    <row r="337" spans="1:25" s="364" customFormat="1">
      <c r="A337" s="1675"/>
      <c r="B337" s="1676" t="s">
        <v>4237</v>
      </c>
      <c r="C337" s="1651" t="s">
        <v>4238</v>
      </c>
      <c r="D337" s="1652"/>
      <c r="E337" s="1653"/>
      <c r="F337" s="1654"/>
      <c r="G337" s="682"/>
      <c r="H337" s="1584" t="s">
        <v>3807</v>
      </c>
      <c r="I337" s="1642" t="s">
        <v>4239</v>
      </c>
      <c r="J337" s="1584" t="s">
        <v>3806</v>
      </c>
      <c r="K337" s="1655"/>
      <c r="L337" s="1524" t="s">
        <v>3807</v>
      </c>
      <c r="M337" s="1697"/>
      <c r="N337" s="1584"/>
      <c r="O337" s="1655"/>
      <c r="P337" s="1584"/>
      <c r="Q337" s="1656"/>
      <c r="R337" s="1584"/>
      <c r="S337" s="1655"/>
      <c r="T337" s="1584"/>
      <c r="U337" s="1655"/>
      <c r="V337" s="1584"/>
      <c r="W337" s="1655"/>
      <c r="X337" s="1584"/>
      <c r="Y337" s="1655"/>
    </row>
    <row r="338" spans="1:25" s="364" customFormat="1">
      <c r="A338" s="1675"/>
      <c r="B338" s="1676" t="s">
        <v>4240</v>
      </c>
      <c r="C338" s="1651"/>
      <c r="D338" s="1652"/>
      <c r="E338" s="1653"/>
      <c r="F338" s="1654"/>
      <c r="G338" s="682"/>
      <c r="H338" s="1584" t="s">
        <v>3807</v>
      </c>
      <c r="I338" s="1642" t="s">
        <v>4220</v>
      </c>
      <c r="J338" s="1584" t="s">
        <v>3028</v>
      </c>
      <c r="K338" s="1655" t="s">
        <v>3806</v>
      </c>
      <c r="L338" s="1524" t="s">
        <v>3807</v>
      </c>
      <c r="M338" s="1697"/>
      <c r="N338" s="1584"/>
      <c r="O338" s="1655"/>
      <c r="P338" s="1584" t="s">
        <v>3028</v>
      </c>
      <c r="Q338" s="1656" t="s">
        <v>3528</v>
      </c>
      <c r="R338" s="1584"/>
      <c r="S338" s="1655"/>
      <c r="T338" s="1584"/>
      <c r="U338" s="1655"/>
      <c r="V338" s="1584"/>
      <c r="W338" s="1655"/>
      <c r="X338" s="1584"/>
      <c r="Y338" s="1655"/>
    </row>
    <row r="339" spans="1:25" s="364" customFormat="1">
      <c r="A339" s="1675"/>
      <c r="B339" s="1676" t="s">
        <v>4225</v>
      </c>
      <c r="C339" s="1651" t="s">
        <v>1647</v>
      </c>
      <c r="D339" s="1652"/>
      <c r="E339" s="1653"/>
      <c r="F339" s="1654"/>
      <c r="G339" s="682"/>
      <c r="H339" s="1584" t="s">
        <v>3807</v>
      </c>
      <c r="I339" s="1642" t="s">
        <v>4220</v>
      </c>
      <c r="J339" s="1584" t="s">
        <v>3806</v>
      </c>
      <c r="K339" s="1655"/>
      <c r="L339" s="1524" t="s">
        <v>3807</v>
      </c>
      <c r="M339" s="1697"/>
      <c r="N339" s="1584"/>
      <c r="O339" s="1655"/>
      <c r="P339" s="1584" t="s">
        <v>3028</v>
      </c>
      <c r="Q339" s="1656" t="s">
        <v>3528</v>
      </c>
      <c r="R339" s="1584"/>
      <c r="S339" s="1655"/>
      <c r="T339" s="1584"/>
      <c r="U339" s="1655"/>
      <c r="V339" s="1584"/>
      <c r="W339" s="1655"/>
      <c r="X339" s="1584"/>
      <c r="Y339" s="1655"/>
    </row>
    <row r="340" spans="1:25">
      <c r="A340" s="1585" t="s">
        <v>4000</v>
      </c>
      <c r="B340" s="1679" t="s">
        <v>4241</v>
      </c>
      <c r="C340" s="1566" t="s">
        <v>1663</v>
      </c>
      <c r="D340" s="1489"/>
      <c r="E340" s="1567"/>
      <c r="F340" s="1593"/>
      <c r="G340" s="660"/>
      <c r="H340" s="1584" t="s">
        <v>3807</v>
      </c>
      <c r="I340" s="1633"/>
      <c r="J340" s="1584" t="s">
        <v>3807</v>
      </c>
      <c r="K340" s="1633"/>
      <c r="L340" s="1524" t="s">
        <v>3807</v>
      </c>
      <c r="M340" s="1638"/>
      <c r="N340" s="1584"/>
      <c r="O340" s="1633"/>
      <c r="P340" s="1584"/>
      <c r="Q340" s="1634"/>
      <c r="R340" s="1584"/>
      <c r="S340" s="1633"/>
      <c r="T340" s="1584"/>
      <c r="U340" s="1633"/>
      <c r="V340" s="1584"/>
      <c r="W340" s="1633"/>
      <c r="X340" s="1584"/>
      <c r="Y340" s="1633"/>
    </row>
    <row r="341" spans="1:25" s="364" customFormat="1">
      <c r="A341" s="1649"/>
      <c r="B341" s="1650" t="s">
        <v>4242</v>
      </c>
      <c r="C341" s="1651" t="s">
        <v>4243</v>
      </c>
      <c r="D341" s="1652"/>
      <c r="E341" s="1653"/>
      <c r="F341" s="1654"/>
      <c r="G341" s="682"/>
      <c r="H341" s="1584"/>
      <c r="I341" s="1655"/>
      <c r="J341" s="1584"/>
      <c r="K341" s="1655"/>
      <c r="L341" s="1524"/>
      <c r="M341" s="1697"/>
      <c r="N341" s="1584"/>
      <c r="O341" s="1655"/>
      <c r="P341" s="1584"/>
      <c r="Q341" s="1656"/>
      <c r="R341" s="1584"/>
      <c r="S341" s="1655"/>
      <c r="T341" s="1584"/>
      <c r="U341" s="1655"/>
      <c r="V341" s="1584"/>
      <c r="W341" s="1655"/>
      <c r="X341" s="1584"/>
      <c r="Y341" s="1655"/>
    </row>
    <row r="342" spans="1:25" ht="30">
      <c r="A342" s="1585"/>
      <c r="B342" s="1635" t="s">
        <v>4013</v>
      </c>
      <c r="C342" s="1513" t="s">
        <v>4244</v>
      </c>
      <c r="D342" s="1489"/>
      <c r="E342" s="1567"/>
      <c r="F342" s="1593"/>
      <c r="G342" s="660"/>
      <c r="H342" s="1584" t="s">
        <v>3028</v>
      </c>
      <c r="I342" s="1633"/>
      <c r="J342" s="1584" t="s">
        <v>3028</v>
      </c>
      <c r="K342" s="1633"/>
      <c r="L342" s="1524" t="s">
        <v>3028</v>
      </c>
      <c r="M342" s="1638"/>
      <c r="N342" s="1584"/>
      <c r="O342" s="1633"/>
      <c r="P342" s="1584" t="s">
        <v>3028</v>
      </c>
      <c r="Q342" s="1634"/>
      <c r="R342" s="1584"/>
      <c r="S342" s="1633"/>
      <c r="T342" s="1584"/>
      <c r="U342" s="1633"/>
      <c r="V342" s="1584"/>
      <c r="W342" s="1633"/>
      <c r="X342" s="1584"/>
      <c r="Y342" s="1633"/>
    </row>
    <row r="343" spans="1:25">
      <c r="A343" s="1585"/>
      <c r="B343" s="1635" t="s">
        <v>4245</v>
      </c>
      <c r="C343" s="1566" t="s">
        <v>1737</v>
      </c>
      <c r="D343" s="1489"/>
      <c r="E343" s="1567"/>
      <c r="F343" s="1593"/>
      <c r="G343" s="660"/>
      <c r="H343" s="1584" t="s">
        <v>3028</v>
      </c>
      <c r="I343" s="1633"/>
      <c r="J343" s="1584" t="s">
        <v>3028</v>
      </c>
      <c r="K343" s="1633"/>
      <c r="L343" s="1524" t="s">
        <v>3028</v>
      </c>
      <c r="M343" s="1638"/>
      <c r="N343" s="1584"/>
      <c r="O343" s="1633"/>
      <c r="P343" s="1584" t="s">
        <v>3028</v>
      </c>
      <c r="Q343" s="1634"/>
      <c r="R343" s="1584"/>
      <c r="S343" s="1633"/>
      <c r="T343" s="1584"/>
      <c r="U343" s="1633"/>
      <c r="V343" s="1584"/>
      <c r="W343" s="1633"/>
      <c r="X343" s="1584"/>
      <c r="Y343" s="1633"/>
    </row>
    <row r="344" spans="1:25" s="364" customFormat="1">
      <c r="A344" s="1675"/>
      <c r="B344" s="1698" t="s">
        <v>4246</v>
      </c>
      <c r="C344" s="1699" t="s">
        <v>4247</v>
      </c>
      <c r="D344" s="1652"/>
      <c r="E344" s="1653"/>
      <c r="F344" s="1654"/>
      <c r="G344" s="682"/>
      <c r="H344" s="1584" t="s">
        <v>3807</v>
      </c>
      <c r="I344" s="1642" t="s">
        <v>4220</v>
      </c>
      <c r="J344" s="1584" t="s">
        <v>3806</v>
      </c>
      <c r="K344" s="1655"/>
      <c r="L344" s="1524" t="s">
        <v>3807</v>
      </c>
      <c r="M344" s="1697"/>
      <c r="N344" s="1584"/>
      <c r="O344" s="1655"/>
      <c r="P344" s="1584" t="s">
        <v>3806</v>
      </c>
      <c r="Q344" s="1656"/>
      <c r="R344" s="1584"/>
      <c r="S344" s="1655"/>
      <c r="T344" s="1584"/>
      <c r="U344" s="1655"/>
      <c r="V344" s="1584"/>
      <c r="W344" s="1655"/>
      <c r="X344" s="1584"/>
      <c r="Y344" s="1655"/>
    </row>
    <row r="345" spans="1:25" s="364" customFormat="1" ht="30">
      <c r="A345" s="1649"/>
      <c r="B345" s="1700" t="s">
        <v>4248</v>
      </c>
      <c r="C345" s="1651" t="s">
        <v>4249</v>
      </c>
      <c r="D345" s="1652"/>
      <c r="E345" s="1653"/>
      <c r="F345" s="1654"/>
      <c r="G345" s="682"/>
      <c r="H345" s="1584" t="s">
        <v>3028</v>
      </c>
      <c r="I345" s="1655"/>
      <c r="J345" s="1584" t="s">
        <v>3028</v>
      </c>
      <c r="K345" s="1655"/>
      <c r="L345" s="1524" t="s">
        <v>3028</v>
      </c>
      <c r="M345" s="1697"/>
      <c r="N345" s="1584"/>
      <c r="O345" s="1655"/>
      <c r="P345" s="1584" t="s">
        <v>3806</v>
      </c>
      <c r="Q345" s="1656"/>
      <c r="R345" s="1584"/>
      <c r="S345" s="1655"/>
      <c r="T345" s="1584"/>
      <c r="U345" s="1655"/>
      <c r="V345" s="1584"/>
      <c r="W345" s="1655"/>
      <c r="X345" s="1584"/>
      <c r="Y345" s="1655"/>
    </row>
    <row r="346" spans="1:25" s="364" customFormat="1" ht="30">
      <c r="A346" s="1649"/>
      <c r="B346" s="1700" t="s">
        <v>4250</v>
      </c>
      <c r="C346" s="1651" t="s">
        <v>4251</v>
      </c>
      <c r="D346" s="1652"/>
      <c r="E346" s="1653"/>
      <c r="F346" s="1654"/>
      <c r="G346" s="682"/>
      <c r="H346" s="1584" t="s">
        <v>3028</v>
      </c>
      <c r="I346" s="1655"/>
      <c r="J346" s="1584" t="s">
        <v>3028</v>
      </c>
      <c r="K346" s="1655"/>
      <c r="L346" s="1524" t="s">
        <v>3028</v>
      </c>
      <c r="M346" s="1697"/>
      <c r="N346" s="1584"/>
      <c r="O346" s="1655"/>
      <c r="P346" s="1584" t="s">
        <v>3028</v>
      </c>
      <c r="Q346" s="1656"/>
      <c r="R346" s="1584"/>
      <c r="S346" s="1655"/>
      <c r="T346" s="1584"/>
      <c r="U346" s="1655"/>
      <c r="V346" s="1584"/>
      <c r="W346" s="1655"/>
      <c r="X346" s="1584"/>
      <c r="Y346" s="1655"/>
    </row>
    <row r="347" spans="1:25">
      <c r="A347" s="1585"/>
      <c r="B347" s="1650" t="s">
        <v>4252</v>
      </c>
      <c r="C347" s="1651" t="s">
        <v>4243</v>
      </c>
      <c r="D347" s="1489"/>
      <c r="E347" s="1567"/>
      <c r="F347" s="1593"/>
      <c r="G347" s="660"/>
      <c r="H347" s="1584"/>
      <c r="I347" s="1633"/>
      <c r="J347" s="1584"/>
      <c r="K347" s="1633"/>
      <c r="L347" s="1524"/>
      <c r="M347" s="1638"/>
      <c r="N347" s="1584"/>
      <c r="O347" s="1633"/>
      <c r="P347" s="1584"/>
      <c r="Q347" s="1634"/>
      <c r="R347" s="1584"/>
      <c r="S347" s="1633"/>
      <c r="T347" s="1584"/>
      <c r="U347" s="1633"/>
      <c r="V347" s="1584"/>
      <c r="W347" s="1633"/>
      <c r="X347" s="1584"/>
      <c r="Y347" s="1633"/>
    </row>
    <row r="348" spans="1:25" ht="30">
      <c r="A348" s="1585"/>
      <c r="B348" s="1635" t="s">
        <v>4013</v>
      </c>
      <c r="C348" s="1513" t="s">
        <v>4253</v>
      </c>
      <c r="D348" s="1489"/>
      <c r="E348" s="1567"/>
      <c r="F348" s="1593"/>
      <c r="G348" s="660"/>
      <c r="H348" s="1584" t="s">
        <v>3028</v>
      </c>
      <c r="I348" s="1633"/>
      <c r="J348" s="1584" t="s">
        <v>3806</v>
      </c>
      <c r="K348" s="1633"/>
      <c r="L348" s="1524" t="s">
        <v>3028</v>
      </c>
      <c r="M348" s="1638"/>
      <c r="N348" s="1584"/>
      <c r="O348" s="1633"/>
      <c r="P348" s="1584" t="s">
        <v>3806</v>
      </c>
      <c r="Q348" s="1634"/>
      <c r="R348" s="1584"/>
      <c r="S348" s="1633"/>
      <c r="T348" s="1584"/>
      <c r="U348" s="1633"/>
      <c r="V348" s="1584"/>
      <c r="W348" s="1633"/>
      <c r="X348" s="1584"/>
      <c r="Y348" s="1633"/>
    </row>
    <row r="349" spans="1:25" ht="30">
      <c r="A349" s="1585"/>
      <c r="B349" s="1635" t="s">
        <v>4254</v>
      </c>
      <c r="C349" s="1513" t="s">
        <v>4255</v>
      </c>
      <c r="D349" s="1489"/>
      <c r="E349" s="1567"/>
      <c r="F349" s="1593"/>
      <c r="G349" s="660"/>
      <c r="H349" s="1584" t="s">
        <v>3028</v>
      </c>
      <c r="I349" s="1633"/>
      <c r="J349" s="1584" t="s">
        <v>3806</v>
      </c>
      <c r="K349" s="1633"/>
      <c r="L349" s="1524" t="s">
        <v>3028</v>
      </c>
      <c r="M349" s="1638"/>
      <c r="N349" s="1584"/>
      <c r="O349" s="1633"/>
      <c r="P349" s="1584" t="s">
        <v>3806</v>
      </c>
      <c r="Q349" s="1634"/>
      <c r="R349" s="1584"/>
      <c r="S349" s="1633"/>
      <c r="T349" s="1584"/>
      <c r="U349" s="1633"/>
      <c r="V349" s="1584"/>
      <c r="W349" s="1633"/>
      <c r="X349" s="1584"/>
      <c r="Y349" s="1633"/>
    </row>
    <row r="350" spans="1:25">
      <c r="A350" s="1585"/>
      <c r="B350" s="1665" t="s">
        <v>4256</v>
      </c>
      <c r="C350" s="1651" t="s">
        <v>4243</v>
      </c>
      <c r="D350" s="1489"/>
      <c r="E350" s="1567"/>
      <c r="F350" s="1593"/>
      <c r="G350" s="660"/>
      <c r="H350" s="1584"/>
      <c r="I350" s="1633"/>
      <c r="J350" s="1584"/>
      <c r="K350" s="1633"/>
      <c r="L350" s="1524"/>
      <c r="M350" s="1638"/>
      <c r="N350" s="1584"/>
      <c r="O350" s="1633"/>
      <c r="P350" s="1584"/>
      <c r="Q350" s="1634"/>
      <c r="R350" s="1584"/>
      <c r="S350" s="1633"/>
      <c r="T350" s="1584"/>
      <c r="U350" s="1633"/>
      <c r="V350" s="1584"/>
      <c r="W350" s="1633"/>
      <c r="X350" s="1584"/>
      <c r="Y350" s="1633"/>
    </row>
    <row r="351" spans="1:25" ht="30">
      <c r="A351" s="1585"/>
      <c r="B351" s="1635" t="s">
        <v>4013</v>
      </c>
      <c r="C351" s="1513" t="s">
        <v>4257</v>
      </c>
      <c r="D351" s="1489"/>
      <c r="E351" s="1567"/>
      <c r="F351" s="1593"/>
      <c r="G351" s="660"/>
      <c r="H351" s="1584" t="s">
        <v>3028</v>
      </c>
      <c r="I351" s="1633"/>
      <c r="J351" s="1584" t="s">
        <v>3028</v>
      </c>
      <c r="K351" s="1633"/>
      <c r="L351" s="1524" t="s">
        <v>3028</v>
      </c>
      <c r="M351" s="1638"/>
      <c r="N351" s="1584"/>
      <c r="O351" s="1633"/>
      <c r="P351" s="1584" t="s">
        <v>3028</v>
      </c>
      <c r="Q351" s="1634"/>
      <c r="R351" s="1584"/>
      <c r="S351" s="1633"/>
      <c r="T351" s="1584"/>
      <c r="U351" s="1633"/>
      <c r="V351" s="1584"/>
      <c r="W351" s="1633"/>
      <c r="X351" s="1584"/>
      <c r="Y351" s="1633"/>
    </row>
    <row r="352" spans="1:25">
      <c r="A352" s="1585"/>
      <c r="B352" s="1635" t="s">
        <v>4258</v>
      </c>
      <c r="C352" s="1566" t="s">
        <v>1739</v>
      </c>
      <c r="D352" s="1489"/>
      <c r="E352" s="1567"/>
      <c r="F352" s="1593"/>
      <c r="G352" s="660"/>
      <c r="H352" s="1584" t="s">
        <v>3028</v>
      </c>
      <c r="I352" s="1633"/>
      <c r="J352" s="1584" t="s">
        <v>3028</v>
      </c>
      <c r="K352" s="1633"/>
      <c r="L352" s="1524" t="s">
        <v>3028</v>
      </c>
      <c r="M352" s="1638"/>
      <c r="N352" s="1584"/>
      <c r="O352" s="1633"/>
      <c r="P352" s="1584" t="s">
        <v>3028</v>
      </c>
      <c r="Q352" s="1634"/>
      <c r="R352" s="1584"/>
      <c r="S352" s="1633"/>
      <c r="T352" s="1584"/>
      <c r="U352" s="1633"/>
      <c r="V352" s="1584"/>
      <c r="W352" s="1633"/>
      <c r="X352" s="1584"/>
      <c r="Y352" s="1633"/>
    </row>
    <row r="353" spans="1:25">
      <c r="A353" s="1675"/>
      <c r="B353" s="1698" t="s">
        <v>4246</v>
      </c>
      <c r="C353" s="1566" t="s">
        <v>4259</v>
      </c>
      <c r="D353" s="1489"/>
      <c r="E353" s="1567"/>
      <c r="F353" s="1593"/>
      <c r="G353" s="660"/>
      <c r="H353" s="1584" t="s">
        <v>3807</v>
      </c>
      <c r="I353" s="1642" t="s">
        <v>4220</v>
      </c>
      <c r="J353" s="1584" t="s">
        <v>3806</v>
      </c>
      <c r="K353" s="1633"/>
      <c r="L353" s="1524" t="s">
        <v>3807</v>
      </c>
      <c r="M353" s="1638"/>
      <c r="N353" s="1584"/>
      <c r="O353" s="1633"/>
      <c r="P353" s="1584"/>
      <c r="Q353" s="1634"/>
      <c r="R353" s="1584"/>
      <c r="S353" s="1633"/>
      <c r="T353" s="1584"/>
      <c r="U353" s="1633"/>
      <c r="V353" s="1584"/>
      <c r="W353" s="1633"/>
      <c r="X353" s="1584"/>
      <c r="Y353" s="1633"/>
    </row>
    <row r="354" spans="1:25" s="364" customFormat="1" ht="30">
      <c r="A354" s="1649"/>
      <c r="B354" s="1700" t="s">
        <v>4250</v>
      </c>
      <c r="C354" s="1651" t="s">
        <v>4260</v>
      </c>
      <c r="D354" s="1652"/>
      <c r="E354" s="1653"/>
      <c r="F354" s="1654"/>
      <c r="G354" s="682"/>
      <c r="H354" s="1584" t="s">
        <v>3028</v>
      </c>
      <c r="I354" s="1655"/>
      <c r="J354" s="1584" t="s">
        <v>3028</v>
      </c>
      <c r="K354" s="1655"/>
      <c r="L354" s="1524" t="s">
        <v>3028</v>
      </c>
      <c r="M354" s="1697"/>
      <c r="N354" s="1584"/>
      <c r="O354" s="1655"/>
      <c r="P354" s="1584" t="s">
        <v>3028</v>
      </c>
      <c r="Q354" s="1656"/>
      <c r="R354" s="1584"/>
      <c r="S354" s="1655"/>
      <c r="T354" s="1584"/>
      <c r="U354" s="1655"/>
      <c r="V354" s="1584"/>
      <c r="W354" s="1655"/>
      <c r="X354" s="1584"/>
      <c r="Y354" s="1655"/>
    </row>
    <row r="355" spans="1:25" s="364" customFormat="1" ht="30">
      <c r="A355" s="1649"/>
      <c r="B355" s="1700" t="s">
        <v>4261</v>
      </c>
      <c r="C355" s="1651" t="s">
        <v>4262</v>
      </c>
      <c r="D355" s="1652"/>
      <c r="E355" s="1653"/>
      <c r="F355" s="1654"/>
      <c r="G355" s="682"/>
      <c r="H355" s="1584" t="s">
        <v>3028</v>
      </c>
      <c r="I355" s="1655"/>
      <c r="J355" s="1584" t="s">
        <v>3028</v>
      </c>
      <c r="K355" s="1655"/>
      <c r="L355" s="1524" t="s">
        <v>3028</v>
      </c>
      <c r="M355" s="1697"/>
      <c r="N355" s="1584"/>
      <c r="O355" s="1655"/>
      <c r="P355" s="1584" t="s">
        <v>3806</v>
      </c>
      <c r="Q355" s="1656"/>
      <c r="R355" s="1584"/>
      <c r="S355" s="1655"/>
      <c r="T355" s="1584"/>
      <c r="U355" s="1655"/>
      <c r="V355" s="1584"/>
      <c r="W355" s="1655"/>
      <c r="X355" s="1584"/>
      <c r="Y355" s="1655"/>
    </row>
    <row r="356" spans="1:25">
      <c r="A356" s="1585"/>
      <c r="B356" s="1665" t="s">
        <v>4263</v>
      </c>
      <c r="C356" s="1651" t="s">
        <v>4243</v>
      </c>
      <c r="D356" s="1489"/>
      <c r="E356" s="1567"/>
      <c r="F356" s="1593"/>
      <c r="G356" s="660"/>
      <c r="H356" s="1584"/>
      <c r="I356" s="1633"/>
      <c r="J356" s="1584"/>
      <c r="K356" s="1633"/>
      <c r="L356" s="1524"/>
      <c r="M356" s="1638"/>
      <c r="N356" s="1584"/>
      <c r="O356" s="1633"/>
      <c r="P356" s="1584"/>
      <c r="Q356" s="1634"/>
      <c r="R356" s="1584"/>
      <c r="S356" s="1633"/>
      <c r="T356" s="1584"/>
      <c r="U356" s="1633"/>
      <c r="V356" s="1584"/>
      <c r="W356" s="1633"/>
      <c r="X356" s="1584"/>
      <c r="Y356" s="1633"/>
    </row>
    <row r="357" spans="1:25" ht="30">
      <c r="A357" s="1585"/>
      <c r="B357" s="1635" t="s">
        <v>4264</v>
      </c>
      <c r="C357" s="1513" t="s">
        <v>4255</v>
      </c>
      <c r="D357" s="1489"/>
      <c r="E357" s="1567"/>
      <c r="F357" s="1593"/>
      <c r="G357" s="660"/>
      <c r="H357" s="1584" t="s">
        <v>3028</v>
      </c>
      <c r="I357" s="1633"/>
      <c r="J357" s="1584" t="s">
        <v>3806</v>
      </c>
      <c r="K357" s="1633"/>
      <c r="L357" s="1524" t="s">
        <v>3028</v>
      </c>
      <c r="M357" s="1638"/>
      <c r="N357" s="1584"/>
      <c r="O357" s="1633"/>
      <c r="P357" s="1584" t="s">
        <v>3806</v>
      </c>
      <c r="Q357" s="1634"/>
      <c r="R357" s="1584"/>
      <c r="S357" s="1633"/>
      <c r="T357" s="1584"/>
      <c r="U357" s="1633"/>
      <c r="V357" s="1584"/>
      <c r="W357" s="1633"/>
      <c r="X357" s="1584"/>
      <c r="Y357" s="1633"/>
    </row>
    <row r="358" spans="1:25" ht="30">
      <c r="A358" s="1585"/>
      <c r="B358" s="1635" t="s">
        <v>4013</v>
      </c>
      <c r="C358" s="1513" t="s">
        <v>4265</v>
      </c>
      <c r="D358" s="1489"/>
      <c r="E358" s="1567"/>
      <c r="F358" s="1593"/>
      <c r="G358" s="660"/>
      <c r="H358" s="1584" t="s">
        <v>3028</v>
      </c>
      <c r="I358" s="1633"/>
      <c r="J358" s="1584" t="s">
        <v>3806</v>
      </c>
      <c r="K358" s="1633"/>
      <c r="L358" s="1524" t="s">
        <v>3028</v>
      </c>
      <c r="M358" s="1638"/>
      <c r="N358" s="1584"/>
      <c r="O358" s="1633"/>
      <c r="P358" s="1584" t="s">
        <v>3806</v>
      </c>
      <c r="Q358" s="1634"/>
      <c r="R358" s="1584"/>
      <c r="S358" s="1633"/>
      <c r="T358" s="1584"/>
      <c r="U358" s="1633"/>
      <c r="V358" s="1584"/>
      <c r="W358" s="1633"/>
      <c r="X358" s="1584"/>
      <c r="Y358" s="1633"/>
    </row>
    <row r="359" spans="1:25">
      <c r="A359" s="1585"/>
      <c r="B359" s="1665" t="s">
        <v>4266</v>
      </c>
      <c r="C359" s="1651" t="s">
        <v>4243</v>
      </c>
      <c r="D359" s="1489"/>
      <c r="E359" s="1567"/>
      <c r="F359" s="1593"/>
      <c r="G359" s="660"/>
      <c r="H359" s="1584"/>
      <c r="I359" s="1633"/>
      <c r="J359" s="1584"/>
      <c r="K359" s="1633"/>
      <c r="L359" s="1524"/>
      <c r="M359" s="1638"/>
      <c r="N359" s="1584"/>
      <c r="O359" s="1633"/>
      <c r="P359" s="1584"/>
      <c r="Q359" s="1634"/>
      <c r="R359" s="1584"/>
      <c r="S359" s="1633"/>
      <c r="T359" s="1584"/>
      <c r="U359" s="1633"/>
      <c r="V359" s="1584"/>
      <c r="W359" s="1633"/>
      <c r="X359" s="1584"/>
      <c r="Y359" s="1633"/>
    </row>
    <row r="360" spans="1:25" s="364" customFormat="1" ht="30">
      <c r="A360" s="1649"/>
      <c r="B360" s="1700" t="s">
        <v>4013</v>
      </c>
      <c r="C360" s="1651" t="s">
        <v>4267</v>
      </c>
      <c r="D360" s="1652"/>
      <c r="E360" s="1653"/>
      <c r="F360" s="1654"/>
      <c r="G360" s="682"/>
      <c r="H360" s="1584" t="s">
        <v>3028</v>
      </c>
      <c r="I360" s="1655"/>
      <c r="J360" s="1584" t="s">
        <v>3806</v>
      </c>
      <c r="K360" s="1655"/>
      <c r="L360" s="1524" t="s">
        <v>3028</v>
      </c>
      <c r="M360" s="1697"/>
      <c r="N360" s="1584"/>
      <c r="O360" s="1655"/>
      <c r="P360" s="1584" t="s">
        <v>3806</v>
      </c>
      <c r="Q360" s="1656"/>
      <c r="R360" s="1584"/>
      <c r="S360" s="1655"/>
      <c r="T360" s="1584"/>
      <c r="U360" s="1655"/>
      <c r="V360" s="1584"/>
      <c r="W360" s="1655"/>
      <c r="X360" s="1584"/>
      <c r="Y360" s="1655"/>
    </row>
    <row r="361" spans="1:25">
      <c r="A361" s="1585"/>
      <c r="B361" s="1665" t="s">
        <v>4268</v>
      </c>
      <c r="C361" s="1513" t="s">
        <v>1633</v>
      </c>
      <c r="D361" s="1489"/>
      <c r="E361" s="1567"/>
      <c r="F361" s="1593"/>
      <c r="G361" s="660"/>
      <c r="H361" s="1584"/>
      <c r="I361" s="1633"/>
      <c r="J361" s="1584"/>
      <c r="K361" s="1633"/>
      <c r="L361" s="1524"/>
      <c r="M361" s="1638"/>
      <c r="N361" s="1584"/>
      <c r="O361" s="1633"/>
      <c r="P361" s="1584"/>
      <c r="Q361" s="1634"/>
      <c r="R361" s="1584"/>
      <c r="S361" s="1633"/>
      <c r="T361" s="1584"/>
      <c r="U361" s="1633"/>
      <c r="V361" s="1584"/>
      <c r="W361" s="1633"/>
      <c r="X361" s="1584"/>
      <c r="Y361" s="1633"/>
    </row>
    <row r="362" spans="1:25" s="364" customFormat="1">
      <c r="A362" s="1675"/>
      <c r="B362" s="1676" t="s">
        <v>4269</v>
      </c>
      <c r="C362" s="1651" t="s">
        <v>4270</v>
      </c>
      <c r="D362" s="1652"/>
      <c r="E362" s="1653"/>
      <c r="F362" s="1654"/>
      <c r="G362" s="682"/>
      <c r="H362" s="1584" t="s">
        <v>3807</v>
      </c>
      <c r="I362" s="1667" t="s">
        <v>4271</v>
      </c>
      <c r="J362" s="1584" t="s">
        <v>3806</v>
      </c>
      <c r="K362" s="1655"/>
      <c r="L362" s="1524" t="s">
        <v>3807</v>
      </c>
      <c r="M362" s="1701"/>
      <c r="N362" s="1584"/>
      <c r="O362" s="1655"/>
      <c r="P362" s="1584" t="s">
        <v>3807</v>
      </c>
      <c r="Q362" s="1667" t="s">
        <v>4272</v>
      </c>
      <c r="R362" s="1584"/>
      <c r="S362" s="1655"/>
      <c r="T362" s="1584"/>
      <c r="U362" s="1655"/>
      <c r="V362" s="1584"/>
      <c r="W362" s="1655"/>
      <c r="X362" s="1584"/>
      <c r="Y362" s="1655"/>
    </row>
    <row r="363" spans="1:25" s="364" customFormat="1" ht="30">
      <c r="A363" s="1649"/>
      <c r="B363" s="1674" t="s">
        <v>4273</v>
      </c>
      <c r="C363" s="1651" t="s">
        <v>4274</v>
      </c>
      <c r="D363" s="1652"/>
      <c r="E363" s="1653"/>
      <c r="F363" s="1654"/>
      <c r="G363" s="682"/>
      <c r="H363" s="1584" t="s">
        <v>3028</v>
      </c>
      <c r="I363" s="1655"/>
      <c r="J363" s="1584" t="s">
        <v>3806</v>
      </c>
      <c r="K363" s="1655"/>
      <c r="L363" s="1524" t="s">
        <v>3028</v>
      </c>
      <c r="M363" s="1701"/>
      <c r="N363" s="1584"/>
      <c r="O363" s="1655"/>
      <c r="P363" s="1584" t="s">
        <v>3028</v>
      </c>
      <c r="Q363" s="1655"/>
      <c r="R363" s="1584"/>
      <c r="S363" s="1655"/>
      <c r="T363" s="1584"/>
      <c r="U363" s="1655"/>
      <c r="V363" s="1584"/>
      <c r="W363" s="1655"/>
      <c r="X363" s="1584"/>
      <c r="Y363" s="1655"/>
    </row>
    <row r="364" spans="1:25" s="364" customFormat="1">
      <c r="A364" s="1649"/>
      <c r="B364" s="1698" t="s">
        <v>4246</v>
      </c>
      <c r="C364" s="1651" t="s">
        <v>4275</v>
      </c>
      <c r="D364" s="1652"/>
      <c r="E364" s="1653"/>
      <c r="F364" s="1654"/>
      <c r="G364" s="682"/>
      <c r="H364" s="1584" t="s">
        <v>3807</v>
      </c>
      <c r="I364" s="1667" t="s">
        <v>4220</v>
      </c>
      <c r="J364" s="1584" t="s">
        <v>3806</v>
      </c>
      <c r="K364" s="1655"/>
      <c r="L364" s="1524" t="s">
        <v>3807</v>
      </c>
      <c r="M364" s="1701"/>
      <c r="N364" s="1584"/>
      <c r="O364" s="1655"/>
      <c r="P364" s="1584" t="s">
        <v>3807</v>
      </c>
      <c r="Q364" s="1667" t="s">
        <v>4276</v>
      </c>
      <c r="R364" s="1584"/>
      <c r="S364" s="1655"/>
      <c r="T364" s="1584"/>
      <c r="U364" s="1655"/>
      <c r="V364" s="1584"/>
      <c r="W364" s="1655"/>
      <c r="X364" s="1584"/>
      <c r="Y364" s="1655"/>
    </row>
    <row r="365" spans="1:25" s="364" customFormat="1">
      <c r="A365" s="1649"/>
      <c r="B365" s="1650" t="s">
        <v>4277</v>
      </c>
      <c r="C365" s="1651" t="s">
        <v>1633</v>
      </c>
      <c r="D365" s="1652"/>
      <c r="E365" s="1653"/>
      <c r="F365" s="1654"/>
      <c r="G365" s="682"/>
      <c r="H365" s="1584"/>
      <c r="I365" s="1655"/>
      <c r="J365" s="1584"/>
      <c r="K365" s="1655"/>
      <c r="L365" s="1524"/>
      <c r="M365" s="1697"/>
      <c r="N365" s="1584"/>
      <c r="O365" s="1655"/>
      <c r="P365" s="1584"/>
      <c r="Q365" s="1656"/>
      <c r="R365" s="1584"/>
      <c r="S365" s="1655"/>
      <c r="T365" s="1584"/>
      <c r="U365" s="1655"/>
      <c r="V365" s="1584"/>
      <c r="W365" s="1655"/>
      <c r="X365" s="1584"/>
      <c r="Y365" s="1655"/>
    </row>
    <row r="366" spans="1:25" s="364" customFormat="1" ht="60">
      <c r="A366" s="1649"/>
      <c r="B366" s="1674" t="s">
        <v>4278</v>
      </c>
      <c r="C366" s="1651" t="s">
        <v>4279</v>
      </c>
      <c r="D366" s="1652"/>
      <c r="E366" s="1653"/>
      <c r="F366" s="1654"/>
      <c r="G366" s="682"/>
      <c r="H366" s="1584" t="s">
        <v>3028</v>
      </c>
      <c r="I366" s="1655"/>
      <c r="J366" s="1584" t="s">
        <v>3028</v>
      </c>
      <c r="K366" s="1655"/>
      <c r="L366" s="1524" t="s">
        <v>3028</v>
      </c>
      <c r="M366" s="1697"/>
      <c r="N366" s="1584"/>
      <c r="O366" s="1655"/>
      <c r="P366" s="1584" t="s">
        <v>3806</v>
      </c>
      <c r="Q366" s="1656"/>
      <c r="R366" s="1584"/>
      <c r="S366" s="1655"/>
      <c r="T366" s="1584"/>
      <c r="U366" s="1655"/>
      <c r="V366" s="1584"/>
      <c r="W366" s="1655"/>
      <c r="X366" s="1584"/>
      <c r="Y366" s="1655"/>
    </row>
    <row r="367" spans="1:25" s="364" customFormat="1" ht="45">
      <c r="A367" s="1649"/>
      <c r="B367" s="1674" t="s">
        <v>4273</v>
      </c>
      <c r="C367" s="1651" t="s">
        <v>4280</v>
      </c>
      <c r="D367" s="1652"/>
      <c r="E367" s="1653"/>
      <c r="F367" s="1654"/>
      <c r="G367" s="682"/>
      <c r="H367" s="1584" t="s">
        <v>3028</v>
      </c>
      <c r="I367" s="1655"/>
      <c r="J367" s="1584" t="s">
        <v>3806</v>
      </c>
      <c r="K367" s="1655"/>
      <c r="L367" s="1524" t="s">
        <v>3028</v>
      </c>
      <c r="M367" s="1697"/>
      <c r="N367" s="1584"/>
      <c r="O367" s="1655"/>
      <c r="P367" s="1584" t="s">
        <v>3806</v>
      </c>
      <c r="Q367" s="1656"/>
      <c r="R367" s="1584"/>
      <c r="S367" s="1655"/>
      <c r="T367" s="1584"/>
      <c r="U367" s="1655"/>
      <c r="V367" s="1584"/>
      <c r="W367" s="1655"/>
      <c r="X367" s="1584"/>
      <c r="Y367" s="1655"/>
    </row>
    <row r="368" spans="1:25" s="364" customFormat="1">
      <c r="A368" s="1649"/>
      <c r="B368" s="1674" t="s">
        <v>4281</v>
      </c>
      <c r="C368" s="1651" t="s">
        <v>4282</v>
      </c>
      <c r="D368" s="1652"/>
      <c r="E368" s="1653"/>
      <c r="F368" s="1654"/>
      <c r="G368" s="682"/>
      <c r="H368" s="1584" t="s">
        <v>3028</v>
      </c>
      <c r="I368" s="1655"/>
      <c r="J368" s="1584" t="s">
        <v>3806</v>
      </c>
      <c r="K368" s="1655"/>
      <c r="L368" s="1524" t="s">
        <v>3028</v>
      </c>
      <c r="M368" s="1697"/>
      <c r="N368" s="1584"/>
      <c r="O368" s="1655"/>
      <c r="P368" s="1584" t="s">
        <v>3806</v>
      </c>
      <c r="Q368" s="1656"/>
      <c r="R368" s="1584"/>
      <c r="S368" s="1655"/>
      <c r="T368" s="1584"/>
      <c r="U368" s="1655"/>
      <c r="V368" s="1584"/>
      <c r="W368" s="1655"/>
      <c r="X368" s="1584"/>
      <c r="Y368" s="1655"/>
    </row>
    <row r="369" spans="1:25" s="364" customFormat="1">
      <c r="A369" s="1649"/>
      <c r="B369" s="1665" t="s">
        <v>4283</v>
      </c>
      <c r="C369" s="1651" t="s">
        <v>1633</v>
      </c>
      <c r="D369" s="1652"/>
      <c r="E369" s="1653"/>
      <c r="F369" s="1654"/>
      <c r="G369" s="682"/>
      <c r="H369" s="1584"/>
      <c r="I369" s="1655"/>
      <c r="J369" s="1584"/>
      <c r="K369" s="1655"/>
      <c r="L369" s="1524"/>
      <c r="M369" s="1697"/>
      <c r="N369" s="1584"/>
      <c r="O369" s="1655"/>
      <c r="P369" s="1584"/>
      <c r="Q369" s="1656"/>
      <c r="R369" s="1584"/>
      <c r="S369" s="1655"/>
      <c r="T369" s="1584"/>
      <c r="U369" s="1655"/>
      <c r="V369" s="1584"/>
      <c r="W369" s="1655"/>
      <c r="X369" s="1584"/>
      <c r="Y369" s="1655"/>
    </row>
    <row r="370" spans="1:25" ht="30">
      <c r="A370" s="1585"/>
      <c r="B370" s="1674" t="s">
        <v>4284</v>
      </c>
      <c r="C370" s="1513" t="s">
        <v>4285</v>
      </c>
      <c r="D370" s="1489"/>
      <c r="E370" s="1567"/>
      <c r="F370" s="1593"/>
      <c r="G370" s="660"/>
      <c r="H370" s="1584" t="s">
        <v>3028</v>
      </c>
      <c r="I370" s="1633"/>
      <c r="J370" s="1584" t="s">
        <v>3028</v>
      </c>
      <c r="K370" s="1633"/>
      <c r="L370" s="1524" t="s">
        <v>3028</v>
      </c>
      <c r="M370" s="1638"/>
      <c r="N370" s="1584"/>
      <c r="O370" s="1633"/>
      <c r="P370" s="1584" t="s">
        <v>3806</v>
      </c>
      <c r="Q370" s="1634"/>
      <c r="R370" s="1584"/>
      <c r="S370" s="1633"/>
      <c r="T370" s="1584"/>
      <c r="U370" s="1633"/>
      <c r="V370" s="1584"/>
      <c r="W370" s="1633"/>
      <c r="X370" s="1584"/>
      <c r="Y370" s="1633"/>
    </row>
    <row r="371" spans="1:25">
      <c r="A371" s="1585"/>
      <c r="B371" s="1674" t="s">
        <v>4286</v>
      </c>
      <c r="C371" s="1513" t="s">
        <v>4287</v>
      </c>
      <c r="D371" s="1489"/>
      <c r="E371" s="1567"/>
      <c r="F371" s="1593"/>
      <c r="G371" s="660"/>
      <c r="H371" s="1584" t="s">
        <v>3807</v>
      </c>
      <c r="I371" s="1633"/>
      <c r="J371" s="1584" t="s">
        <v>3807</v>
      </c>
      <c r="K371" s="1633"/>
      <c r="L371" s="1524" t="s">
        <v>3028</v>
      </c>
      <c r="M371" s="1638"/>
      <c r="N371" s="1584"/>
      <c r="O371" s="1633"/>
      <c r="P371" s="1584" t="s">
        <v>3806</v>
      </c>
      <c r="Q371" s="1634"/>
      <c r="R371" s="1584"/>
      <c r="S371" s="1633"/>
      <c r="T371" s="1584"/>
      <c r="U371" s="1633"/>
      <c r="V371" s="1584"/>
      <c r="W371" s="1633"/>
      <c r="X371" s="1584"/>
      <c r="Y371" s="1633"/>
    </row>
    <row r="372" spans="1:25" ht="30">
      <c r="A372" s="1683"/>
      <c r="B372" s="1676" t="s">
        <v>4288</v>
      </c>
      <c r="C372" s="1513" t="s">
        <v>4289</v>
      </c>
      <c r="D372" s="1685"/>
      <c r="E372" s="1567"/>
      <c r="F372" s="1593"/>
      <c r="G372" s="660"/>
      <c r="H372" s="1584" t="s">
        <v>3028</v>
      </c>
      <c r="I372" s="1633"/>
      <c r="J372" s="1584" t="s">
        <v>3028</v>
      </c>
      <c r="K372" s="1633" t="s">
        <v>3806</v>
      </c>
      <c r="L372" s="1524" t="s">
        <v>3807</v>
      </c>
      <c r="M372" s="1638" t="s">
        <v>3528</v>
      </c>
      <c r="N372" s="1584"/>
      <c r="O372" s="1633"/>
      <c r="P372" s="1584" t="s">
        <v>3028</v>
      </c>
      <c r="Q372" s="1634" t="s">
        <v>3528</v>
      </c>
      <c r="R372" s="1584"/>
      <c r="S372" s="1633"/>
      <c r="T372" s="1584"/>
      <c r="U372" s="1633"/>
      <c r="V372" s="1584"/>
      <c r="W372" s="1633"/>
      <c r="X372" s="1584"/>
      <c r="Y372" s="1633"/>
    </row>
    <row r="373" spans="1:25">
      <c r="A373" s="1702"/>
      <c r="B373" s="1676" t="s">
        <v>4290</v>
      </c>
      <c r="C373" s="1513"/>
      <c r="D373" s="1685"/>
      <c r="E373" s="1567"/>
      <c r="F373" s="1593"/>
      <c r="G373" s="660"/>
      <c r="H373" s="1524" t="s">
        <v>3807</v>
      </c>
      <c r="I373" s="1633"/>
      <c r="J373" s="1584" t="s">
        <v>3807</v>
      </c>
      <c r="K373" s="1633"/>
      <c r="L373" s="1524" t="s">
        <v>3028</v>
      </c>
      <c r="M373" s="1638"/>
      <c r="N373" s="1584"/>
      <c r="O373" s="1633"/>
      <c r="P373" s="1524" t="s">
        <v>3806</v>
      </c>
      <c r="Q373" s="1638"/>
      <c r="R373" s="1524"/>
      <c r="S373" s="1637"/>
      <c r="T373" s="1524"/>
      <c r="U373" s="1637"/>
      <c r="V373" s="1524"/>
      <c r="W373" s="1637"/>
      <c r="X373" s="1584"/>
      <c r="Y373" s="1633"/>
    </row>
    <row r="374" spans="1:25" ht="108" customHeight="1">
      <c r="A374" s="1585"/>
      <c r="B374" s="1674" t="s">
        <v>4291</v>
      </c>
      <c r="C374" s="1513" t="s">
        <v>4292</v>
      </c>
      <c r="D374" s="1489"/>
      <c r="E374" s="1567"/>
      <c r="F374" s="1593"/>
      <c r="G374" s="660"/>
      <c r="H374" s="1584" t="s">
        <v>3028</v>
      </c>
      <c r="I374" s="1633" t="s">
        <v>4293</v>
      </c>
      <c r="J374" s="1584" t="s">
        <v>3028</v>
      </c>
      <c r="K374" s="1633" t="s">
        <v>4294</v>
      </c>
      <c r="L374" s="1584" t="s">
        <v>3028</v>
      </c>
      <c r="M374" s="1634" t="s">
        <v>4293</v>
      </c>
      <c r="N374" s="1584"/>
      <c r="O374" s="1633"/>
      <c r="P374" s="1584" t="s">
        <v>3028</v>
      </c>
      <c r="Q374" s="1633" t="s">
        <v>3528</v>
      </c>
      <c r="R374" s="1584"/>
      <c r="S374" s="1633"/>
      <c r="T374" s="1584"/>
      <c r="U374" s="1633"/>
      <c r="V374" s="1584"/>
      <c r="W374" s="1633"/>
      <c r="X374" s="1584"/>
      <c r="Y374" s="1633"/>
    </row>
    <row r="375" spans="1:25">
      <c r="A375" s="1585"/>
      <c r="B375" s="1674" t="s">
        <v>3963</v>
      </c>
      <c r="C375" s="1513"/>
      <c r="D375" s="1489"/>
      <c r="E375" s="1567"/>
      <c r="F375" s="1593"/>
      <c r="G375" s="660"/>
      <c r="H375" s="1584" t="s">
        <v>3807</v>
      </c>
      <c r="I375" s="1642" t="s">
        <v>3964</v>
      </c>
      <c r="J375" s="1584" t="s">
        <v>3806</v>
      </c>
      <c r="K375" s="1633"/>
      <c r="L375" s="1584" t="s">
        <v>3028</v>
      </c>
      <c r="M375" s="1634" t="s">
        <v>3528</v>
      </c>
      <c r="N375" s="1584"/>
      <c r="O375" s="1633"/>
      <c r="P375" s="1584" t="s">
        <v>3806</v>
      </c>
      <c r="Q375" s="1633"/>
      <c r="R375" s="1584"/>
      <c r="S375" s="1633"/>
      <c r="T375" s="1584"/>
      <c r="U375" s="1633"/>
      <c r="V375" s="1584"/>
      <c r="W375" s="1633"/>
      <c r="X375" s="1584"/>
      <c r="Y375" s="1633"/>
    </row>
    <row r="376" spans="1:25" ht="45">
      <c r="A376" s="1585"/>
      <c r="B376" s="1674" t="s">
        <v>4295</v>
      </c>
      <c r="C376" s="1513" t="s">
        <v>4296</v>
      </c>
      <c r="D376" s="1489"/>
      <c r="E376" s="1567"/>
      <c r="F376" s="1593"/>
      <c r="G376" s="660"/>
      <c r="H376" s="1584" t="s">
        <v>3028</v>
      </c>
      <c r="I376" s="1633"/>
      <c r="J376" s="1584" t="s">
        <v>3028</v>
      </c>
      <c r="K376" s="1633"/>
      <c r="L376" s="1584" t="s">
        <v>3028</v>
      </c>
      <c r="M376" s="1634"/>
      <c r="N376" s="1584"/>
      <c r="O376" s="1633"/>
      <c r="P376" s="1584" t="s">
        <v>3806</v>
      </c>
      <c r="Q376" s="1633"/>
      <c r="R376" s="1584"/>
      <c r="S376" s="1633"/>
      <c r="T376" s="1584"/>
      <c r="U376" s="1633"/>
      <c r="V376" s="1584"/>
      <c r="W376" s="1633"/>
      <c r="X376" s="1584"/>
      <c r="Y376" s="1633"/>
    </row>
    <row r="377" spans="1:25" ht="45">
      <c r="A377" s="1585"/>
      <c r="B377" s="1674" t="s">
        <v>4297</v>
      </c>
      <c r="C377" s="1513" t="s">
        <v>1871</v>
      </c>
      <c r="D377" s="1489"/>
      <c r="E377" s="1567"/>
      <c r="F377" s="1593"/>
      <c r="G377" s="660"/>
      <c r="H377" s="1584" t="s">
        <v>3028</v>
      </c>
      <c r="I377" s="1633"/>
      <c r="J377" s="1584" t="s">
        <v>3028</v>
      </c>
      <c r="K377" s="1633"/>
      <c r="L377" s="1584" t="s">
        <v>3028</v>
      </c>
      <c r="M377" s="1634"/>
      <c r="N377" s="1584"/>
      <c r="O377" s="1633"/>
      <c r="P377" s="1584" t="s">
        <v>3028</v>
      </c>
      <c r="Q377" s="1633" t="s">
        <v>3528</v>
      </c>
      <c r="R377" s="1584"/>
      <c r="S377" s="1633"/>
      <c r="T377" s="1584"/>
      <c r="U377" s="1633"/>
      <c r="V377" s="1584"/>
      <c r="W377" s="1633"/>
      <c r="X377" s="1584"/>
      <c r="Y377" s="1633"/>
    </row>
    <row r="378" spans="1:25" ht="45">
      <c r="A378" s="1585"/>
      <c r="B378" s="1674" t="s">
        <v>4298</v>
      </c>
      <c r="C378" s="1513" t="s">
        <v>4299</v>
      </c>
      <c r="D378" s="1489"/>
      <c r="E378" s="1567"/>
      <c r="F378" s="1593"/>
      <c r="G378" s="660"/>
      <c r="H378" s="1584" t="s">
        <v>3028</v>
      </c>
      <c r="I378" s="1633"/>
      <c r="J378" s="1584" t="s">
        <v>3028</v>
      </c>
      <c r="K378" s="1633"/>
      <c r="L378" s="1584" t="s">
        <v>3028</v>
      </c>
      <c r="M378" s="1634"/>
      <c r="N378" s="1584"/>
      <c r="O378" s="1633"/>
      <c r="P378" s="1584" t="s">
        <v>3028</v>
      </c>
      <c r="Q378" s="1633"/>
      <c r="R378" s="1584"/>
      <c r="S378" s="1633"/>
      <c r="T378" s="1584"/>
      <c r="U378" s="1633"/>
      <c r="V378" s="1584"/>
      <c r="W378" s="1633"/>
      <c r="X378" s="1584"/>
      <c r="Y378" s="1633"/>
    </row>
    <row r="379" spans="1:25" ht="45">
      <c r="A379" s="1683"/>
      <c r="B379" s="1676" t="s">
        <v>4300</v>
      </c>
      <c r="C379" s="1513" t="s">
        <v>4301</v>
      </c>
      <c r="D379" s="1489"/>
      <c r="E379" s="1567"/>
      <c r="F379" s="1593"/>
      <c r="G379" s="660"/>
      <c r="H379" s="1584" t="s">
        <v>3028</v>
      </c>
      <c r="I379" s="1633"/>
      <c r="J379" s="1584" t="s">
        <v>3806</v>
      </c>
      <c r="K379" s="1633"/>
      <c r="L379" s="1584" t="s">
        <v>3807</v>
      </c>
      <c r="M379" s="1634"/>
      <c r="N379" s="1584"/>
      <c r="O379" s="1633"/>
      <c r="P379" s="1584" t="s">
        <v>3028</v>
      </c>
      <c r="Q379" s="1633" t="s">
        <v>3528</v>
      </c>
      <c r="R379" s="1584"/>
      <c r="S379" s="1633"/>
      <c r="T379" s="1584"/>
      <c r="U379" s="1633"/>
      <c r="V379" s="1584"/>
      <c r="W379" s="1633"/>
      <c r="X379" s="1584"/>
      <c r="Y379" s="1633"/>
    </row>
    <row r="380" spans="1:25">
      <c r="A380" s="1585" t="s">
        <v>4000</v>
      </c>
      <c r="B380" s="1679" t="s">
        <v>4302</v>
      </c>
      <c r="C380" s="1566" t="s">
        <v>1661</v>
      </c>
      <c r="D380" s="1489"/>
      <c r="E380" s="1567"/>
      <c r="F380" s="1593"/>
      <c r="G380" s="660"/>
      <c r="H380" s="1584" t="s">
        <v>3807</v>
      </c>
      <c r="I380" s="1633"/>
      <c r="J380" s="1584" t="s">
        <v>3807</v>
      </c>
      <c r="K380" s="1633"/>
      <c r="L380" s="1584" t="s">
        <v>3807</v>
      </c>
      <c r="M380" s="1634"/>
      <c r="N380" s="1584"/>
      <c r="O380" s="1633"/>
      <c r="P380" s="1584"/>
      <c r="Q380" s="1633"/>
      <c r="R380" s="1584"/>
      <c r="S380" s="1633"/>
      <c r="T380" s="1584"/>
      <c r="U380" s="1633"/>
      <c r="V380" s="1584"/>
      <c r="W380" s="1633"/>
      <c r="X380" s="1584"/>
      <c r="Y380" s="1633"/>
    </row>
    <row r="381" spans="1:25">
      <c r="A381" s="1681" t="s">
        <v>3833</v>
      </c>
      <c r="B381" s="1679" t="s">
        <v>4303</v>
      </c>
      <c r="C381" s="1566" t="s">
        <v>1661</v>
      </c>
      <c r="D381" s="1489"/>
      <c r="E381" s="1567"/>
      <c r="F381" s="1593"/>
      <c r="G381" s="660"/>
      <c r="H381" s="1584" t="s">
        <v>3807</v>
      </c>
      <c r="I381" s="1633"/>
      <c r="J381" s="1584" t="s">
        <v>3807</v>
      </c>
      <c r="K381" s="1633"/>
      <c r="L381" s="1584" t="s">
        <v>3807</v>
      </c>
      <c r="M381" s="1634"/>
      <c r="N381" s="1584"/>
      <c r="O381" s="1633"/>
      <c r="P381" s="1584"/>
      <c r="Q381" s="1633"/>
      <c r="R381" s="1584"/>
      <c r="S381" s="1633"/>
      <c r="T381" s="1584"/>
      <c r="U381" s="1633"/>
      <c r="V381" s="1584"/>
      <c r="W381" s="1633"/>
      <c r="X381" s="1584"/>
      <c r="Y381" s="1633"/>
    </row>
    <row r="382" spans="1:25" ht="15.75">
      <c r="A382" s="1585"/>
      <c r="B382" s="1648" t="s">
        <v>3870</v>
      </c>
      <c r="C382" s="1566" t="s">
        <v>1635</v>
      </c>
      <c r="D382" s="1489"/>
      <c r="E382" s="1567"/>
      <c r="F382" s="1593"/>
      <c r="G382" s="660"/>
      <c r="H382" s="1584"/>
      <c r="I382" s="1633"/>
      <c r="J382" s="1584"/>
      <c r="K382" s="1633"/>
      <c r="L382" s="1584"/>
      <c r="M382" s="1634"/>
      <c r="N382" s="1584"/>
      <c r="O382" s="1633"/>
      <c r="P382" s="1584"/>
      <c r="Q382" s="1633"/>
      <c r="R382" s="1584"/>
      <c r="S382" s="1633"/>
      <c r="T382" s="1584"/>
      <c r="U382" s="1633"/>
      <c r="V382" s="1584"/>
      <c r="W382" s="1633"/>
      <c r="X382" s="1584"/>
      <c r="Y382" s="1633"/>
    </row>
    <row r="383" spans="1:25" s="364" customFormat="1" ht="30">
      <c r="A383" s="1649"/>
      <c r="B383" s="1650" t="s">
        <v>4304</v>
      </c>
      <c r="C383" s="1651" t="s">
        <v>4305</v>
      </c>
      <c r="D383" s="1652"/>
      <c r="E383" s="1653"/>
      <c r="F383" s="1654"/>
      <c r="G383" s="682"/>
      <c r="H383" s="1584"/>
      <c r="I383" s="1655"/>
      <c r="J383" s="1584"/>
      <c r="K383" s="1655"/>
      <c r="L383" s="1584"/>
      <c r="M383" s="1656"/>
      <c r="N383" s="1584"/>
      <c r="O383" s="1655"/>
      <c r="P383" s="1584"/>
      <c r="Q383" s="1655"/>
      <c r="R383" s="1584"/>
      <c r="S383" s="1655"/>
      <c r="T383" s="1584"/>
      <c r="U383" s="1655"/>
      <c r="V383" s="1584"/>
      <c r="W383" s="1655"/>
      <c r="X383" s="1584"/>
      <c r="Y383" s="1655"/>
    </row>
    <row r="384" spans="1:25" ht="45">
      <c r="A384" s="1585"/>
      <c r="B384" s="1674" t="s">
        <v>3886</v>
      </c>
      <c r="C384" s="1513" t="s">
        <v>4306</v>
      </c>
      <c r="D384" s="1489"/>
      <c r="E384" s="1567"/>
      <c r="F384" s="1593"/>
      <c r="G384" s="660"/>
      <c r="H384" s="1584" t="s">
        <v>3028</v>
      </c>
      <c r="I384" s="1633"/>
      <c r="J384" s="1584" t="s">
        <v>3806</v>
      </c>
      <c r="K384" s="1633"/>
      <c r="L384" s="1584" t="s">
        <v>3028</v>
      </c>
      <c r="M384" s="1634"/>
      <c r="N384" s="1584"/>
      <c r="O384" s="1633"/>
      <c r="P384" s="1584" t="s">
        <v>3028</v>
      </c>
      <c r="Q384" s="1633" t="s">
        <v>3528</v>
      </c>
      <c r="R384" s="1584"/>
      <c r="S384" s="1633"/>
      <c r="T384" s="1584"/>
      <c r="U384" s="1633"/>
      <c r="V384" s="1584"/>
      <c r="W384" s="1633"/>
      <c r="X384" s="1584"/>
      <c r="Y384" s="1633"/>
    </row>
    <row r="385" spans="1:25" s="364" customFormat="1" ht="109.5" customHeight="1">
      <c r="A385" s="1649"/>
      <c r="B385" s="1676" t="s">
        <v>4307</v>
      </c>
      <c r="C385" s="1651" t="s">
        <v>4308</v>
      </c>
      <c r="D385" s="1652"/>
      <c r="E385" s="1653"/>
      <c r="F385" s="1654"/>
      <c r="G385" s="682"/>
      <c r="H385" s="1584" t="s">
        <v>3028</v>
      </c>
      <c r="I385" s="1655" t="s">
        <v>4293</v>
      </c>
      <c r="J385" s="1584" t="s">
        <v>3028</v>
      </c>
      <c r="K385" s="1655"/>
      <c r="L385" s="1584" t="s">
        <v>3028</v>
      </c>
      <c r="M385" s="1656" t="s">
        <v>4293</v>
      </c>
      <c r="N385" s="1584"/>
      <c r="O385" s="1655"/>
      <c r="P385" s="1584" t="s">
        <v>3028</v>
      </c>
      <c r="Q385" s="1655" t="s">
        <v>3528</v>
      </c>
      <c r="R385" s="1584"/>
      <c r="S385" s="1655"/>
      <c r="T385" s="1584"/>
      <c r="U385" s="1655"/>
      <c r="V385" s="1584"/>
      <c r="W385" s="1655"/>
      <c r="X385" s="1584"/>
      <c r="Y385" s="1655"/>
    </row>
    <row r="386" spans="1:25" s="364" customFormat="1">
      <c r="A386" s="1649"/>
      <c r="B386" s="1676" t="s">
        <v>3963</v>
      </c>
      <c r="C386" s="1651"/>
      <c r="D386" s="1652"/>
      <c r="E386" s="1653"/>
      <c r="F386" s="1654"/>
      <c r="G386" s="682"/>
      <c r="H386" s="1584" t="s">
        <v>3807</v>
      </c>
      <c r="I386" s="1667" t="s">
        <v>3964</v>
      </c>
      <c r="J386" s="1584" t="s">
        <v>3806</v>
      </c>
      <c r="K386" s="1655"/>
      <c r="L386" s="1584" t="s">
        <v>3028</v>
      </c>
      <c r="M386" s="1656" t="s">
        <v>3528</v>
      </c>
      <c r="N386" s="1584"/>
      <c r="O386" s="1655"/>
      <c r="P386" s="1584" t="s">
        <v>3806</v>
      </c>
      <c r="Q386" s="1655"/>
      <c r="R386" s="1584"/>
      <c r="S386" s="1655"/>
      <c r="T386" s="1584"/>
      <c r="U386" s="1655"/>
      <c r="V386" s="1584"/>
      <c r="W386" s="1655"/>
      <c r="X386" s="1584"/>
      <c r="Y386" s="1655"/>
    </row>
    <row r="387" spans="1:25" s="364" customFormat="1" ht="30">
      <c r="A387" s="1675"/>
      <c r="B387" s="1676" t="s">
        <v>4309</v>
      </c>
      <c r="C387" s="1651" t="s">
        <v>4310</v>
      </c>
      <c r="D387" s="1652"/>
      <c r="E387" s="1653"/>
      <c r="F387" s="1654"/>
      <c r="G387" s="682"/>
      <c r="H387" s="1584" t="s">
        <v>3807</v>
      </c>
      <c r="I387" s="1667" t="s">
        <v>4311</v>
      </c>
      <c r="J387" s="1584" t="s">
        <v>3028</v>
      </c>
      <c r="K387" s="1655"/>
      <c r="L387" s="1584" t="s">
        <v>3807</v>
      </c>
      <c r="M387" s="1656"/>
      <c r="N387" s="1584"/>
      <c r="O387" s="1655"/>
      <c r="P387" s="1584" t="s">
        <v>3807</v>
      </c>
      <c r="Q387" s="1655"/>
      <c r="R387" s="1584"/>
      <c r="S387" s="1655"/>
      <c r="T387" s="1584"/>
      <c r="U387" s="1655"/>
      <c r="V387" s="1584"/>
      <c r="W387" s="1655"/>
      <c r="X387" s="1584"/>
      <c r="Y387" s="1655"/>
    </row>
    <row r="388" spans="1:25" s="364" customFormat="1">
      <c r="A388" s="1649"/>
      <c r="B388" s="1696" t="s">
        <v>4312</v>
      </c>
      <c r="C388" s="1651" t="s">
        <v>4313</v>
      </c>
      <c r="D388" s="1652"/>
      <c r="E388" s="1653"/>
      <c r="F388" s="1654"/>
      <c r="G388" s="682"/>
      <c r="H388" s="1584"/>
      <c r="I388" s="1655"/>
      <c r="J388" s="1584"/>
      <c r="K388" s="1655"/>
      <c r="L388" s="1584"/>
      <c r="M388" s="1656"/>
      <c r="N388" s="1584"/>
      <c r="O388" s="1655"/>
      <c r="P388" s="1584"/>
      <c r="Q388" s="1655"/>
      <c r="R388" s="1584"/>
      <c r="S388" s="1655"/>
      <c r="T388" s="1584"/>
      <c r="U388" s="1655"/>
      <c r="V388" s="1584"/>
      <c r="W388" s="1655"/>
      <c r="X388" s="1584"/>
      <c r="Y388" s="1655"/>
    </row>
    <row r="389" spans="1:25" s="364" customFormat="1" ht="30">
      <c r="A389" s="1649"/>
      <c r="B389" s="1676" t="s">
        <v>4314</v>
      </c>
      <c r="C389" s="1651" t="s">
        <v>4315</v>
      </c>
      <c r="D389" s="1652"/>
      <c r="E389" s="1653"/>
      <c r="F389" s="1654"/>
      <c r="G389" s="682"/>
      <c r="H389" s="1584" t="s">
        <v>3028</v>
      </c>
      <c r="I389" s="1655"/>
      <c r="J389" s="1584" t="s">
        <v>3028</v>
      </c>
      <c r="K389" s="1655"/>
      <c r="L389" s="1584" t="s">
        <v>3028</v>
      </c>
      <c r="M389" s="1656"/>
      <c r="N389" s="1584"/>
      <c r="O389" s="1655"/>
      <c r="P389" s="1584" t="s">
        <v>3028</v>
      </c>
      <c r="Q389" s="1655"/>
      <c r="R389" s="1584"/>
      <c r="S389" s="1655"/>
      <c r="T389" s="1584"/>
      <c r="U389" s="1655"/>
      <c r="V389" s="1584"/>
      <c r="W389" s="1655"/>
      <c r="X389" s="1584"/>
      <c r="Y389" s="1655"/>
    </row>
    <row r="390" spans="1:25" s="364" customFormat="1">
      <c r="A390" s="1649"/>
      <c r="B390" s="1676" t="s">
        <v>4316</v>
      </c>
      <c r="C390" s="1651" t="s">
        <v>4317</v>
      </c>
      <c r="D390" s="1652"/>
      <c r="E390" s="1653"/>
      <c r="F390" s="1654"/>
      <c r="G390" s="682"/>
      <c r="H390" s="1584" t="s">
        <v>3028</v>
      </c>
      <c r="I390" s="1655"/>
      <c r="J390" s="1584" t="s">
        <v>3028</v>
      </c>
      <c r="K390" s="1655"/>
      <c r="L390" s="1584" t="s">
        <v>3028</v>
      </c>
      <c r="M390" s="1656"/>
      <c r="N390" s="1584"/>
      <c r="O390" s="1655"/>
      <c r="P390" s="1584" t="s">
        <v>3028</v>
      </c>
      <c r="Q390" s="1655"/>
      <c r="R390" s="1584"/>
      <c r="S390" s="1655"/>
      <c r="T390" s="1584"/>
      <c r="U390" s="1655"/>
      <c r="V390" s="1584"/>
      <c r="W390" s="1655"/>
      <c r="X390" s="1584"/>
      <c r="Y390" s="1655"/>
    </row>
    <row r="391" spans="1:25" s="364" customFormat="1">
      <c r="A391" s="1649"/>
      <c r="B391" s="1676" t="s">
        <v>4318</v>
      </c>
      <c r="C391" s="1651" t="s">
        <v>4319</v>
      </c>
      <c r="D391" s="1652"/>
      <c r="E391" s="1653"/>
      <c r="F391" s="1654"/>
      <c r="G391" s="682"/>
      <c r="H391" s="1584" t="s">
        <v>3028</v>
      </c>
      <c r="I391" s="1655"/>
      <c r="J391" s="1584" t="s">
        <v>3806</v>
      </c>
      <c r="K391" s="1655"/>
      <c r="L391" s="1584" t="s">
        <v>3028</v>
      </c>
      <c r="M391" s="1656"/>
      <c r="N391" s="1584"/>
      <c r="O391" s="1655"/>
      <c r="P391" s="1584" t="s">
        <v>3028</v>
      </c>
      <c r="Q391" s="1655"/>
      <c r="R391" s="1584"/>
      <c r="S391" s="1655"/>
      <c r="T391" s="1584"/>
      <c r="U391" s="1655"/>
      <c r="V391" s="1584"/>
      <c r="W391" s="1655"/>
      <c r="X391" s="1584"/>
      <c r="Y391" s="1655"/>
    </row>
    <row r="392" spans="1:25" s="364" customFormat="1">
      <c r="A392" s="1649"/>
      <c r="B392" s="1696" t="s">
        <v>4320</v>
      </c>
      <c r="C392" s="1651" t="s">
        <v>1635</v>
      </c>
      <c r="D392" s="1652"/>
      <c r="E392" s="1653"/>
      <c r="F392" s="1654"/>
      <c r="G392" s="682"/>
      <c r="H392" s="1584"/>
      <c r="I392" s="1655"/>
      <c r="J392" s="1584"/>
      <c r="K392" s="1655"/>
      <c r="L392" s="1584"/>
      <c r="M392" s="1656"/>
      <c r="N392" s="1584"/>
      <c r="O392" s="1655"/>
      <c r="P392" s="1584"/>
      <c r="Q392" s="1655"/>
      <c r="R392" s="1584"/>
      <c r="S392" s="1655"/>
      <c r="T392" s="1584"/>
      <c r="U392" s="1655"/>
      <c r="V392" s="1584"/>
      <c r="W392" s="1655"/>
      <c r="X392" s="1584"/>
      <c r="Y392" s="1655"/>
    </row>
    <row r="393" spans="1:25" ht="45">
      <c r="A393" s="1585"/>
      <c r="B393" s="1676" t="s">
        <v>4321</v>
      </c>
      <c r="C393" s="1651" t="s">
        <v>4322</v>
      </c>
      <c r="D393" s="1489"/>
      <c r="E393" s="1567"/>
      <c r="F393" s="1593"/>
      <c r="G393" s="660"/>
      <c r="H393" s="1584" t="s">
        <v>3028</v>
      </c>
      <c r="I393" s="1633"/>
      <c r="J393" s="1584" t="s">
        <v>3028</v>
      </c>
      <c r="K393" s="1633"/>
      <c r="L393" s="1584" t="s">
        <v>3028</v>
      </c>
      <c r="M393" s="1634"/>
      <c r="N393" s="1584"/>
      <c r="O393" s="1633"/>
      <c r="P393" s="1584" t="s">
        <v>3028</v>
      </c>
      <c r="Q393" s="1633"/>
      <c r="R393" s="1584"/>
      <c r="S393" s="1633"/>
      <c r="T393" s="1584"/>
      <c r="U393" s="1633"/>
      <c r="V393" s="1584"/>
      <c r="W393" s="1633"/>
      <c r="X393" s="1584"/>
      <c r="Y393" s="1633"/>
    </row>
    <row r="394" spans="1:25">
      <c r="A394" s="1585"/>
      <c r="B394" s="1676" t="s">
        <v>4323</v>
      </c>
      <c r="C394" s="1651" t="s">
        <v>4324</v>
      </c>
      <c r="D394" s="1489"/>
      <c r="E394" s="1567"/>
      <c r="F394" s="1593"/>
      <c r="G394" s="660"/>
      <c r="H394" s="1584" t="s">
        <v>3807</v>
      </c>
      <c r="I394" s="1642">
        <v>10200</v>
      </c>
      <c r="J394" s="1584" t="s">
        <v>3028</v>
      </c>
      <c r="K394" s="1633"/>
      <c r="L394" s="1584" t="s">
        <v>3028</v>
      </c>
      <c r="M394" s="1647" t="s">
        <v>4325</v>
      </c>
      <c r="N394" s="1584"/>
      <c r="O394" s="1633"/>
      <c r="P394" s="1584" t="s">
        <v>3806</v>
      </c>
      <c r="Q394" s="1633"/>
      <c r="R394" s="1584"/>
      <c r="S394" s="1633"/>
      <c r="T394" s="1584"/>
      <c r="U394" s="1633"/>
      <c r="V394" s="1584"/>
      <c r="W394" s="1633"/>
      <c r="X394" s="1584"/>
      <c r="Y394" s="1633"/>
    </row>
    <row r="395" spans="1:25" ht="45">
      <c r="A395" s="1585"/>
      <c r="B395" s="1674" t="s">
        <v>3886</v>
      </c>
      <c r="C395" s="1703" t="s">
        <v>4326</v>
      </c>
      <c r="D395" s="1489"/>
      <c r="E395" s="1567"/>
      <c r="F395" s="1593"/>
      <c r="G395" s="660"/>
      <c r="H395" s="1584" t="s">
        <v>3028</v>
      </c>
      <c r="I395" s="1633"/>
      <c r="J395" s="1584" t="s">
        <v>3806</v>
      </c>
      <c r="K395" s="1633"/>
      <c r="L395" s="1584" t="s">
        <v>3028</v>
      </c>
      <c r="M395" s="1634"/>
      <c r="N395" s="1584"/>
      <c r="O395" s="1633"/>
      <c r="P395" s="1584" t="s">
        <v>3028</v>
      </c>
      <c r="Q395" s="1633"/>
      <c r="R395" s="1584"/>
      <c r="S395" s="1633"/>
      <c r="T395" s="1584"/>
      <c r="U395" s="1633"/>
      <c r="V395" s="1584"/>
      <c r="W395" s="1633"/>
      <c r="X395" s="1584"/>
      <c r="Y395" s="1633"/>
    </row>
    <row r="396" spans="1:25" ht="45">
      <c r="A396" s="1585"/>
      <c r="B396" s="1674" t="s">
        <v>4327</v>
      </c>
      <c r="C396" s="1513" t="s">
        <v>4328</v>
      </c>
      <c r="D396" s="1489"/>
      <c r="E396" s="1567"/>
      <c r="F396" s="1593"/>
      <c r="G396" s="660"/>
      <c r="H396" s="1584" t="s">
        <v>3028</v>
      </c>
      <c r="I396" s="1633"/>
      <c r="J396" s="1584" t="s">
        <v>3028</v>
      </c>
      <c r="K396" s="1633"/>
      <c r="L396" s="1584" t="s">
        <v>3028</v>
      </c>
      <c r="M396" s="1634"/>
      <c r="N396" s="1584"/>
      <c r="O396" s="1633"/>
      <c r="P396" s="1584" t="s">
        <v>3806</v>
      </c>
      <c r="Q396" s="1633"/>
      <c r="R396" s="1584"/>
      <c r="S396" s="1633"/>
      <c r="T396" s="1584"/>
      <c r="U396" s="1633"/>
      <c r="V396" s="1584"/>
      <c r="W396" s="1633"/>
      <c r="X396" s="1584"/>
      <c r="Y396" s="1633"/>
    </row>
    <row r="397" spans="1:25">
      <c r="A397" s="1585"/>
      <c r="B397" s="1676" t="s">
        <v>4290</v>
      </c>
      <c r="C397" s="1513"/>
      <c r="D397" s="1489"/>
      <c r="E397" s="1567"/>
      <c r="F397" s="1593"/>
      <c r="G397" s="660"/>
      <c r="H397" s="1584" t="s">
        <v>3807</v>
      </c>
      <c r="I397" s="1633"/>
      <c r="J397" s="1584" t="s">
        <v>3807</v>
      </c>
      <c r="K397" s="1633"/>
      <c r="L397" s="1584" t="s">
        <v>3028</v>
      </c>
      <c r="M397" s="1634"/>
      <c r="N397" s="1584"/>
      <c r="O397" s="1633"/>
      <c r="P397" s="1584" t="s">
        <v>3806</v>
      </c>
      <c r="Q397" s="1633"/>
      <c r="R397" s="1584"/>
      <c r="S397" s="1633"/>
      <c r="T397" s="1584"/>
      <c r="U397" s="1633"/>
      <c r="V397" s="1584"/>
      <c r="W397" s="1633"/>
      <c r="X397" s="1584"/>
      <c r="Y397" s="1633"/>
    </row>
    <row r="398" spans="1:25">
      <c r="A398" s="1585"/>
      <c r="B398" s="1674" t="s">
        <v>4329</v>
      </c>
      <c r="C398" s="1513"/>
      <c r="D398" s="1489"/>
      <c r="E398" s="1567"/>
      <c r="F398" s="1593"/>
      <c r="G398" s="660"/>
      <c r="H398" s="1584" t="s">
        <v>3028</v>
      </c>
      <c r="I398" s="1633"/>
      <c r="J398" s="1584" t="s">
        <v>3806</v>
      </c>
      <c r="K398" s="1633"/>
      <c r="L398" s="1584" t="s">
        <v>3028</v>
      </c>
      <c r="M398" s="1634"/>
      <c r="N398" s="1584"/>
      <c r="O398" s="1633"/>
      <c r="P398" s="1584" t="s">
        <v>3806</v>
      </c>
      <c r="Q398" s="1633"/>
      <c r="R398" s="1584"/>
      <c r="S398" s="1633"/>
      <c r="T398" s="1584"/>
      <c r="U398" s="1633"/>
      <c r="V398" s="1584"/>
      <c r="W398" s="1633"/>
      <c r="X398" s="1584"/>
      <c r="Y398" s="1633"/>
    </row>
    <row r="399" spans="1:25" ht="30">
      <c r="A399" s="1585"/>
      <c r="B399" s="1674" t="s">
        <v>4330</v>
      </c>
      <c r="C399" s="1566" t="s">
        <v>1876</v>
      </c>
      <c r="D399" s="1489"/>
      <c r="E399" s="1567"/>
      <c r="F399" s="1593"/>
      <c r="G399" s="660"/>
      <c r="H399" s="1584" t="s">
        <v>3028</v>
      </c>
      <c r="I399" s="1633"/>
      <c r="J399" s="1584" t="s">
        <v>3028</v>
      </c>
      <c r="K399" s="1633"/>
      <c r="L399" s="1584" t="s">
        <v>3028</v>
      </c>
      <c r="M399" s="1634"/>
      <c r="N399" s="1584"/>
      <c r="O399" s="1633"/>
      <c r="P399" s="1584" t="s">
        <v>3806</v>
      </c>
      <c r="Q399" s="1633"/>
      <c r="R399" s="1584"/>
      <c r="S399" s="1633"/>
      <c r="T399" s="1584"/>
      <c r="U399" s="1633"/>
      <c r="V399" s="1584"/>
      <c r="W399" s="1633"/>
      <c r="X399" s="1584"/>
      <c r="Y399" s="1633"/>
    </row>
    <row r="400" spans="1:25" ht="30">
      <c r="A400" s="1585"/>
      <c r="B400" s="1674" t="s">
        <v>4331</v>
      </c>
      <c r="C400" s="1513" t="s">
        <v>4332</v>
      </c>
      <c r="D400" s="1489"/>
      <c r="E400" s="1567"/>
      <c r="F400" s="1593"/>
      <c r="G400" s="660"/>
      <c r="H400" s="1584" t="s">
        <v>3028</v>
      </c>
      <c r="I400" s="1633"/>
      <c r="J400" s="1584" t="s">
        <v>3028</v>
      </c>
      <c r="K400" s="1633"/>
      <c r="L400" s="1584" t="s">
        <v>3028</v>
      </c>
      <c r="M400" s="1634"/>
      <c r="N400" s="1584"/>
      <c r="O400" s="1633"/>
      <c r="P400" s="1584" t="s">
        <v>3028</v>
      </c>
      <c r="Q400" s="1633"/>
      <c r="R400" s="1584"/>
      <c r="S400" s="1633"/>
      <c r="T400" s="1584"/>
      <c r="U400" s="1633"/>
      <c r="V400" s="1584"/>
      <c r="W400" s="1633"/>
      <c r="X400" s="1584"/>
      <c r="Y400" s="1633"/>
    </row>
    <row r="401" spans="1:25">
      <c r="A401" s="1585"/>
      <c r="B401" s="1674" t="s">
        <v>4333</v>
      </c>
      <c r="C401" s="1566" t="s">
        <v>4334</v>
      </c>
      <c r="D401" s="1489"/>
      <c r="E401" s="1567"/>
      <c r="F401" s="1593"/>
      <c r="G401" s="660"/>
      <c r="H401" s="1584" t="s">
        <v>3028</v>
      </c>
      <c r="I401" s="1633"/>
      <c r="J401" s="1584" t="s">
        <v>3028</v>
      </c>
      <c r="K401" s="1633"/>
      <c r="L401" s="1584" t="s">
        <v>3028</v>
      </c>
      <c r="M401" s="1634"/>
      <c r="N401" s="1584"/>
      <c r="O401" s="1633"/>
      <c r="P401" s="1584" t="s">
        <v>3028</v>
      </c>
      <c r="Q401" s="1633"/>
      <c r="R401" s="1584"/>
      <c r="S401" s="1633"/>
      <c r="T401" s="1584"/>
      <c r="U401" s="1633"/>
      <c r="V401" s="1584"/>
      <c r="W401" s="1633"/>
      <c r="X401" s="1584"/>
      <c r="Y401" s="1633"/>
    </row>
    <row r="402" spans="1:25" ht="30">
      <c r="A402" s="1585"/>
      <c r="B402" s="1674" t="s">
        <v>4335</v>
      </c>
      <c r="C402" s="1513" t="s">
        <v>4336</v>
      </c>
      <c r="D402" s="1489"/>
      <c r="E402" s="1567"/>
      <c r="F402" s="1593"/>
      <c r="G402" s="660"/>
      <c r="H402" s="1584" t="s">
        <v>3028</v>
      </c>
      <c r="I402" s="1633"/>
      <c r="J402" s="1584" t="s">
        <v>3028</v>
      </c>
      <c r="K402" s="1633"/>
      <c r="L402" s="1584" t="s">
        <v>3028</v>
      </c>
      <c r="M402" s="1634"/>
      <c r="N402" s="1584"/>
      <c r="O402" s="1633"/>
      <c r="P402" s="1584" t="s">
        <v>3806</v>
      </c>
      <c r="Q402" s="1633"/>
      <c r="R402" s="1584"/>
      <c r="S402" s="1633"/>
      <c r="T402" s="1584"/>
      <c r="U402" s="1633"/>
      <c r="V402" s="1584"/>
      <c r="W402" s="1633"/>
      <c r="X402" s="1584"/>
      <c r="Y402" s="1633"/>
    </row>
    <row r="403" spans="1:25" ht="45">
      <c r="A403" s="1585"/>
      <c r="B403" s="1674" t="s">
        <v>4337</v>
      </c>
      <c r="C403" s="1513" t="s">
        <v>4338</v>
      </c>
      <c r="D403" s="1489"/>
      <c r="E403" s="1567"/>
      <c r="F403" s="1593"/>
      <c r="G403" s="660"/>
      <c r="H403" s="1584" t="s">
        <v>3028</v>
      </c>
      <c r="I403" s="1633"/>
      <c r="J403" s="1584" t="s">
        <v>3028</v>
      </c>
      <c r="K403" s="1633" t="s">
        <v>4339</v>
      </c>
      <c r="L403" s="1584" t="s">
        <v>3028</v>
      </c>
      <c r="M403" s="1634"/>
      <c r="N403" s="1584"/>
      <c r="O403" s="1633"/>
      <c r="P403" s="1584" t="s">
        <v>3806</v>
      </c>
      <c r="Q403" s="1633"/>
      <c r="R403" s="1584"/>
      <c r="S403" s="1633"/>
      <c r="T403" s="1584"/>
      <c r="U403" s="1633"/>
      <c r="V403" s="1584"/>
      <c r="W403" s="1633"/>
      <c r="X403" s="1584"/>
      <c r="Y403" s="1633"/>
    </row>
    <row r="404" spans="1:25" ht="30">
      <c r="A404" s="1585"/>
      <c r="B404" s="1674" t="s">
        <v>4340</v>
      </c>
      <c r="C404" s="1513" t="s">
        <v>4341</v>
      </c>
      <c r="D404" s="1489"/>
      <c r="E404" s="1567"/>
      <c r="F404" s="1593"/>
      <c r="G404" s="660"/>
      <c r="H404" s="1584" t="s">
        <v>3028</v>
      </c>
      <c r="I404" s="1633"/>
      <c r="J404" s="1584" t="s">
        <v>3028</v>
      </c>
      <c r="K404" s="1633"/>
      <c r="L404" s="1584" t="s">
        <v>3028</v>
      </c>
      <c r="M404" s="1634"/>
      <c r="N404" s="1584"/>
      <c r="O404" s="1633"/>
      <c r="P404" s="1584" t="s">
        <v>3806</v>
      </c>
      <c r="Q404" s="1633"/>
      <c r="R404" s="1584"/>
      <c r="S404" s="1633"/>
      <c r="T404" s="1584"/>
      <c r="U404" s="1633"/>
      <c r="V404" s="1584"/>
      <c r="W404" s="1633"/>
      <c r="X404" s="1584"/>
      <c r="Y404" s="1633"/>
    </row>
    <row r="405" spans="1:25">
      <c r="A405" s="1683"/>
      <c r="B405" s="1676" t="s">
        <v>4342</v>
      </c>
      <c r="C405" s="1513" t="s">
        <v>1649</v>
      </c>
      <c r="D405" s="1489"/>
      <c r="E405" s="1567"/>
      <c r="F405" s="1593"/>
      <c r="G405" s="660"/>
      <c r="H405" s="1584" t="s">
        <v>3028</v>
      </c>
      <c r="I405" s="1633"/>
      <c r="J405" s="1584" t="s">
        <v>3807</v>
      </c>
      <c r="K405" s="1633"/>
      <c r="L405" s="1584" t="s">
        <v>3028</v>
      </c>
      <c r="M405" s="1634"/>
      <c r="N405" s="1584"/>
      <c r="O405" s="1633"/>
      <c r="P405" s="1584" t="s">
        <v>3806</v>
      </c>
      <c r="Q405" s="1633"/>
      <c r="R405" s="1584"/>
      <c r="S405" s="1633"/>
      <c r="T405" s="1584"/>
      <c r="U405" s="1633"/>
      <c r="V405" s="1584"/>
      <c r="W405" s="1633"/>
      <c r="X405" s="1584"/>
      <c r="Y405" s="1633"/>
    </row>
    <row r="406" spans="1:25">
      <c r="A406" s="1585"/>
      <c r="B406" s="1665" t="s">
        <v>4343</v>
      </c>
      <c r="C406" s="1513" t="s">
        <v>1635</v>
      </c>
      <c r="D406" s="1489"/>
      <c r="E406" s="1567"/>
      <c r="F406" s="1593"/>
      <c r="G406" s="660"/>
      <c r="H406" s="1584"/>
      <c r="I406" s="1633"/>
      <c r="J406" s="1584"/>
      <c r="K406" s="1633"/>
      <c r="L406" s="1584"/>
      <c r="M406" s="1634"/>
      <c r="N406" s="1584"/>
      <c r="O406" s="1633"/>
      <c r="P406" s="1584"/>
      <c r="Q406" s="1633"/>
      <c r="R406" s="1584"/>
      <c r="S406" s="1633"/>
      <c r="T406" s="1584"/>
      <c r="U406" s="1633"/>
      <c r="V406" s="1584"/>
      <c r="W406" s="1633"/>
      <c r="X406" s="1584"/>
      <c r="Y406" s="1633"/>
    </row>
    <row r="407" spans="1:25" ht="60">
      <c r="A407" s="1585"/>
      <c r="B407" s="1674" t="s">
        <v>4344</v>
      </c>
      <c r="C407" s="1513" t="s">
        <v>4345</v>
      </c>
      <c r="D407" s="1489"/>
      <c r="E407" s="1567"/>
      <c r="F407" s="1593"/>
      <c r="G407" s="660"/>
      <c r="H407" s="1584" t="s">
        <v>3028</v>
      </c>
      <c r="I407" s="1633" t="s">
        <v>4293</v>
      </c>
      <c r="J407" s="1584" t="s">
        <v>3028</v>
      </c>
      <c r="K407" s="1633"/>
      <c r="L407" s="1584" t="s">
        <v>3028</v>
      </c>
      <c r="M407" s="1634" t="s">
        <v>4293</v>
      </c>
      <c r="N407" s="1584"/>
      <c r="O407" s="1633"/>
      <c r="P407" s="1584" t="s">
        <v>3028</v>
      </c>
      <c r="Q407" s="1633" t="s">
        <v>3528</v>
      </c>
      <c r="R407" s="1584"/>
      <c r="S407" s="1633"/>
      <c r="T407" s="1584"/>
      <c r="U407" s="1633"/>
      <c r="V407" s="1584"/>
      <c r="W407" s="1633"/>
      <c r="X407" s="1584"/>
      <c r="Y407" s="1633"/>
    </row>
    <row r="408" spans="1:25">
      <c r="A408" s="1585"/>
      <c r="B408" s="1674" t="s">
        <v>3963</v>
      </c>
      <c r="C408" s="1513"/>
      <c r="D408" s="1489"/>
      <c r="E408" s="1567"/>
      <c r="F408" s="1593"/>
      <c r="G408" s="660"/>
      <c r="H408" s="1584" t="s">
        <v>3807</v>
      </c>
      <c r="I408" s="1642" t="s">
        <v>3964</v>
      </c>
      <c r="J408" s="1584" t="s">
        <v>3806</v>
      </c>
      <c r="K408" s="1633"/>
      <c r="L408" s="1584" t="s">
        <v>3028</v>
      </c>
      <c r="M408" s="1634" t="s">
        <v>3528</v>
      </c>
      <c r="N408" s="1584"/>
      <c r="O408" s="1633"/>
      <c r="P408" s="1584" t="s">
        <v>3806</v>
      </c>
      <c r="Q408" s="1633"/>
      <c r="R408" s="1584"/>
      <c r="S408" s="1633"/>
      <c r="T408" s="1584"/>
      <c r="U408" s="1633"/>
      <c r="V408" s="1584"/>
      <c r="W408" s="1633"/>
      <c r="X408" s="1584"/>
      <c r="Y408" s="1633"/>
    </row>
    <row r="409" spans="1:25">
      <c r="A409" s="1585"/>
      <c r="B409" s="1674" t="s">
        <v>4346</v>
      </c>
      <c r="C409" s="1513" t="s">
        <v>4347</v>
      </c>
      <c r="D409" s="1489"/>
      <c r="E409" s="1567"/>
      <c r="F409" s="1593"/>
      <c r="G409" s="660"/>
      <c r="H409" s="1584" t="s">
        <v>3807</v>
      </c>
      <c r="I409" s="1636">
        <v>14726</v>
      </c>
      <c r="J409" s="1584" t="s">
        <v>3028</v>
      </c>
      <c r="K409" s="1633"/>
      <c r="L409" s="1584" t="s">
        <v>3028</v>
      </c>
      <c r="M409" s="1634" t="s">
        <v>4348</v>
      </c>
      <c r="N409" s="1584"/>
      <c r="O409" s="1633"/>
      <c r="P409" s="1584" t="s">
        <v>3806</v>
      </c>
      <c r="Q409" s="1633"/>
      <c r="R409" s="1584"/>
      <c r="S409" s="1633"/>
      <c r="T409" s="1584"/>
      <c r="U409" s="1633"/>
      <c r="V409" s="1584"/>
      <c r="W409" s="1633"/>
      <c r="X409" s="1584"/>
      <c r="Y409" s="1633"/>
    </row>
    <row r="410" spans="1:25">
      <c r="A410" s="1585"/>
      <c r="B410" s="1674" t="s">
        <v>4340</v>
      </c>
      <c r="C410" s="1513" t="s">
        <v>4349</v>
      </c>
      <c r="D410" s="1489"/>
      <c r="E410" s="1567"/>
      <c r="F410" s="1593"/>
      <c r="G410" s="660"/>
      <c r="H410" s="1584" t="s">
        <v>3028</v>
      </c>
      <c r="I410" s="1633"/>
      <c r="J410" s="1584" t="s">
        <v>3028</v>
      </c>
      <c r="K410" s="1633"/>
      <c r="L410" s="1584" t="s">
        <v>3028</v>
      </c>
      <c r="M410" s="1634"/>
      <c r="N410" s="1584"/>
      <c r="O410" s="1633"/>
      <c r="P410" s="1584" t="s">
        <v>3806</v>
      </c>
      <c r="Q410" s="1633"/>
      <c r="R410" s="1584"/>
      <c r="S410" s="1633"/>
      <c r="T410" s="1584"/>
      <c r="U410" s="1633"/>
      <c r="V410" s="1584"/>
      <c r="W410" s="1633"/>
      <c r="X410" s="1584"/>
      <c r="Y410" s="1633"/>
    </row>
    <row r="411" spans="1:25">
      <c r="A411" s="1683"/>
      <c r="B411" s="1676" t="s">
        <v>4342</v>
      </c>
      <c r="C411" s="1513" t="s">
        <v>1649</v>
      </c>
      <c r="D411" s="1489"/>
      <c r="E411" s="1567"/>
      <c r="F411" s="1593"/>
      <c r="G411" s="660"/>
      <c r="H411" s="1584" t="s">
        <v>3028</v>
      </c>
      <c r="I411" s="1633"/>
      <c r="J411" s="1584" t="s">
        <v>3807</v>
      </c>
      <c r="K411" s="1633"/>
      <c r="L411" s="1584" t="s">
        <v>3028</v>
      </c>
      <c r="M411" s="1634"/>
      <c r="N411" s="1584"/>
      <c r="O411" s="1633"/>
      <c r="P411" s="1584"/>
      <c r="Q411" s="1633"/>
      <c r="R411" s="1584"/>
      <c r="S411" s="1633"/>
      <c r="T411" s="1584"/>
      <c r="U411" s="1633"/>
      <c r="V411" s="1584"/>
      <c r="W411" s="1633"/>
      <c r="X411" s="1584"/>
      <c r="Y411" s="1633"/>
    </row>
    <row r="412" spans="1:25">
      <c r="A412" s="1585"/>
      <c r="B412" s="1665" t="s">
        <v>4350</v>
      </c>
      <c r="C412" s="1566" t="s">
        <v>1635</v>
      </c>
      <c r="D412" s="1489"/>
      <c r="E412" s="1567"/>
      <c r="F412" s="1593"/>
      <c r="G412" s="660"/>
      <c r="H412" s="1584"/>
      <c r="I412" s="1633"/>
      <c r="J412" s="1584"/>
      <c r="K412" s="1633"/>
      <c r="L412" s="1584"/>
      <c r="M412" s="1634"/>
      <c r="N412" s="1584"/>
      <c r="O412" s="1633"/>
      <c r="P412" s="1584"/>
      <c r="Q412" s="1633"/>
      <c r="R412" s="1584"/>
      <c r="S412" s="1633"/>
      <c r="T412" s="1584"/>
      <c r="U412" s="1633"/>
      <c r="V412" s="1584"/>
      <c r="W412" s="1633"/>
      <c r="X412" s="1584"/>
      <c r="Y412" s="1633"/>
    </row>
    <row r="413" spans="1:25" ht="30">
      <c r="A413" s="1585"/>
      <c r="B413" s="1704" t="s">
        <v>4351</v>
      </c>
      <c r="C413" s="1513" t="s">
        <v>4352</v>
      </c>
      <c r="D413" s="1489"/>
      <c r="E413" s="1567"/>
      <c r="F413" s="1593"/>
      <c r="G413" s="660"/>
      <c r="H413" s="1584" t="s">
        <v>3028</v>
      </c>
      <c r="I413" s="1633"/>
      <c r="J413" s="1584" t="s">
        <v>3028</v>
      </c>
      <c r="K413" s="1633"/>
      <c r="L413" s="1584" t="s">
        <v>3028</v>
      </c>
      <c r="M413" s="1634"/>
      <c r="N413" s="1584"/>
      <c r="O413" s="1633"/>
      <c r="P413" s="1584" t="s">
        <v>3806</v>
      </c>
      <c r="Q413" s="1633"/>
      <c r="R413" s="1584"/>
      <c r="S413" s="1633"/>
      <c r="T413" s="1584"/>
      <c r="U413" s="1633"/>
      <c r="V413" s="1584"/>
      <c r="W413" s="1633"/>
      <c r="X413" s="1584"/>
      <c r="Y413" s="1633"/>
    </row>
    <row r="414" spans="1:25" ht="30">
      <c r="A414" s="1585"/>
      <c r="B414" s="1704" t="s">
        <v>4353</v>
      </c>
      <c r="C414" s="1513" t="s">
        <v>4354</v>
      </c>
      <c r="D414" s="1489"/>
      <c r="E414" s="1567"/>
      <c r="F414" s="1593"/>
      <c r="G414" s="660"/>
      <c r="H414" s="1584" t="s">
        <v>3028</v>
      </c>
      <c r="I414" s="1633"/>
      <c r="J414" s="1584" t="s">
        <v>3806</v>
      </c>
      <c r="K414" s="1633"/>
      <c r="L414" s="1584" t="s">
        <v>3028</v>
      </c>
      <c r="M414" s="1634"/>
      <c r="N414" s="1584"/>
      <c r="O414" s="1633"/>
      <c r="P414" s="1584" t="s">
        <v>3028</v>
      </c>
      <c r="Q414" s="1633"/>
      <c r="R414" s="1584"/>
      <c r="S414" s="1633"/>
      <c r="T414" s="1584"/>
      <c r="U414" s="1633"/>
      <c r="V414" s="1584"/>
      <c r="W414" s="1633"/>
      <c r="X414" s="1584"/>
      <c r="Y414" s="1633"/>
    </row>
    <row r="415" spans="1:25" ht="30">
      <c r="A415" s="1585"/>
      <c r="B415" s="1704" t="s">
        <v>4355</v>
      </c>
      <c r="C415" s="1513" t="s">
        <v>4356</v>
      </c>
      <c r="D415" s="1489"/>
      <c r="E415" s="1567"/>
      <c r="F415" s="1593"/>
      <c r="G415" s="660"/>
      <c r="H415" s="1584" t="s">
        <v>3028</v>
      </c>
      <c r="I415" s="1633"/>
      <c r="J415" s="1584" t="s">
        <v>3806</v>
      </c>
      <c r="K415" s="1633"/>
      <c r="L415" s="1584" t="s">
        <v>3028</v>
      </c>
      <c r="M415" s="1634"/>
      <c r="N415" s="1584"/>
      <c r="O415" s="1633"/>
      <c r="P415" s="1584" t="s">
        <v>3806</v>
      </c>
      <c r="Q415" s="1633"/>
      <c r="R415" s="1584"/>
      <c r="S415" s="1633"/>
      <c r="T415" s="1584"/>
      <c r="U415" s="1633"/>
      <c r="V415" s="1584"/>
      <c r="W415" s="1633"/>
      <c r="X415" s="1584"/>
      <c r="Y415" s="1633"/>
    </row>
    <row r="416" spans="1:25" ht="30">
      <c r="A416" s="1585"/>
      <c r="B416" s="1704" t="s">
        <v>4357</v>
      </c>
      <c r="C416" s="1513" t="s">
        <v>4358</v>
      </c>
      <c r="D416" s="1489"/>
      <c r="E416" s="1567"/>
      <c r="F416" s="1593"/>
      <c r="G416" s="660"/>
      <c r="H416" s="1584" t="s">
        <v>3028</v>
      </c>
      <c r="I416" s="1633"/>
      <c r="J416" s="1584" t="s">
        <v>3028</v>
      </c>
      <c r="K416" s="1633"/>
      <c r="L416" s="1584" t="s">
        <v>3028</v>
      </c>
      <c r="M416" s="1634"/>
      <c r="N416" s="1584"/>
      <c r="O416" s="1633"/>
      <c r="P416" s="1584" t="s">
        <v>3028</v>
      </c>
      <c r="Q416" s="1633" t="s">
        <v>3528</v>
      </c>
      <c r="R416" s="1584"/>
      <c r="S416" s="1633"/>
      <c r="T416" s="1584"/>
      <c r="U416" s="1633"/>
      <c r="V416" s="1584"/>
      <c r="W416" s="1633"/>
      <c r="X416" s="1584"/>
      <c r="Y416" s="1633"/>
    </row>
    <row r="417" spans="1:25" ht="30">
      <c r="A417" s="1585"/>
      <c r="B417" s="1674" t="s">
        <v>4340</v>
      </c>
      <c r="C417" s="1513" t="s">
        <v>4359</v>
      </c>
      <c r="D417" s="1489"/>
      <c r="E417" s="1567"/>
      <c r="F417" s="1593"/>
      <c r="G417" s="660"/>
      <c r="H417" s="1584" t="s">
        <v>3028</v>
      </c>
      <c r="I417" s="1633"/>
      <c r="J417" s="1584" t="s">
        <v>3028</v>
      </c>
      <c r="K417" s="1633"/>
      <c r="L417" s="1584" t="s">
        <v>3028</v>
      </c>
      <c r="M417" s="1634"/>
      <c r="N417" s="1584"/>
      <c r="O417" s="1633"/>
      <c r="P417" s="1584" t="s">
        <v>3806</v>
      </c>
      <c r="Q417" s="1633"/>
      <c r="R417" s="1584"/>
      <c r="S417" s="1633"/>
      <c r="T417" s="1584"/>
      <c r="U417" s="1633"/>
      <c r="V417" s="1584"/>
      <c r="W417" s="1633"/>
      <c r="X417" s="1584"/>
      <c r="Y417" s="1633"/>
    </row>
    <row r="418" spans="1:25">
      <c r="A418" s="1683"/>
      <c r="B418" s="1676" t="s">
        <v>4342</v>
      </c>
      <c r="C418" s="1513" t="s">
        <v>1649</v>
      </c>
      <c r="D418" s="1489"/>
      <c r="E418" s="1567"/>
      <c r="F418" s="1593"/>
      <c r="G418" s="660"/>
      <c r="H418" s="1584" t="s">
        <v>3028</v>
      </c>
      <c r="I418" s="1633"/>
      <c r="J418" s="1584" t="s">
        <v>3807</v>
      </c>
      <c r="K418" s="1633"/>
      <c r="L418" s="1584" t="s">
        <v>3028</v>
      </c>
      <c r="M418" s="1634"/>
      <c r="N418" s="1584"/>
      <c r="O418" s="1633"/>
      <c r="P418" s="1584"/>
      <c r="Q418" s="1633"/>
      <c r="R418" s="1584"/>
      <c r="S418" s="1633"/>
      <c r="T418" s="1584"/>
      <c r="U418" s="1633"/>
      <c r="V418" s="1584"/>
      <c r="W418" s="1633"/>
      <c r="X418" s="1584"/>
      <c r="Y418" s="1633"/>
    </row>
    <row r="419" spans="1:25">
      <c r="A419" s="1585"/>
      <c r="B419" s="1665" t="s">
        <v>4360</v>
      </c>
      <c r="C419" s="1513" t="s">
        <v>1635</v>
      </c>
      <c r="D419" s="1489"/>
      <c r="E419" s="1567"/>
      <c r="F419" s="1593"/>
      <c r="G419" s="660"/>
      <c r="H419" s="1584"/>
      <c r="I419" s="1633"/>
      <c r="J419" s="1584"/>
      <c r="K419" s="1633"/>
      <c r="L419" s="1584"/>
      <c r="M419" s="1634"/>
      <c r="N419" s="1584"/>
      <c r="O419" s="1633"/>
      <c r="P419" s="1584"/>
      <c r="Q419" s="1633"/>
      <c r="R419" s="1584"/>
      <c r="S419" s="1633"/>
      <c r="T419" s="1584"/>
      <c r="U419" s="1633"/>
      <c r="V419" s="1584"/>
      <c r="W419" s="1633"/>
      <c r="X419" s="1584"/>
      <c r="Y419" s="1633"/>
    </row>
    <row r="420" spans="1:25" ht="45">
      <c r="A420" s="1585"/>
      <c r="B420" s="1674" t="s">
        <v>4361</v>
      </c>
      <c r="C420" s="1513" t="s">
        <v>4362</v>
      </c>
      <c r="D420" s="1489"/>
      <c r="E420" s="1567"/>
      <c r="F420" s="1593"/>
      <c r="G420" s="660"/>
      <c r="H420" s="1584" t="s">
        <v>3028</v>
      </c>
      <c r="I420" s="1633"/>
      <c r="J420" s="1584" t="s">
        <v>3028</v>
      </c>
      <c r="K420" s="1633"/>
      <c r="L420" s="1584" t="s">
        <v>3028</v>
      </c>
      <c r="M420" s="1634"/>
      <c r="N420" s="1584"/>
      <c r="O420" s="1633"/>
      <c r="P420" s="1584" t="s">
        <v>3028</v>
      </c>
      <c r="Q420" s="1633"/>
      <c r="R420" s="1584"/>
      <c r="S420" s="1633"/>
      <c r="T420" s="1584"/>
      <c r="U420" s="1633"/>
      <c r="V420" s="1584"/>
      <c r="W420" s="1633"/>
      <c r="X420" s="1584"/>
      <c r="Y420" s="1633"/>
    </row>
    <row r="421" spans="1:25">
      <c r="A421" s="1585"/>
      <c r="B421" s="1665" t="s">
        <v>4363</v>
      </c>
      <c r="C421" s="1513" t="s">
        <v>4364</v>
      </c>
      <c r="D421" s="1489"/>
      <c r="E421" s="1567"/>
      <c r="F421" s="1593"/>
      <c r="G421" s="660"/>
      <c r="H421" s="1584"/>
      <c r="I421" s="1633"/>
      <c r="J421" s="1584"/>
      <c r="K421" s="1633"/>
      <c r="L421" s="1584"/>
      <c r="M421" s="1634"/>
      <c r="N421" s="1584"/>
      <c r="O421" s="1633"/>
      <c r="P421" s="1584"/>
      <c r="Q421" s="1633"/>
      <c r="R421" s="1584"/>
      <c r="S421" s="1633"/>
      <c r="T421" s="1584"/>
      <c r="U421" s="1633"/>
      <c r="V421" s="1584"/>
      <c r="W421" s="1633"/>
      <c r="X421" s="1584"/>
      <c r="Y421" s="1633"/>
    </row>
    <row r="422" spans="1:25">
      <c r="A422" s="1585"/>
      <c r="B422" s="1705" t="s">
        <v>3878</v>
      </c>
      <c r="C422" s="1513" t="s">
        <v>4365</v>
      </c>
      <c r="D422" s="1489"/>
      <c r="E422" s="1567"/>
      <c r="F422" s="1593"/>
      <c r="G422" s="660"/>
      <c r="H422" s="1584" t="s">
        <v>3028</v>
      </c>
      <c r="I422" s="1633"/>
      <c r="J422" s="1584" t="s">
        <v>3806</v>
      </c>
      <c r="K422" s="1633"/>
      <c r="L422" s="1584" t="s">
        <v>3028</v>
      </c>
      <c r="M422" s="1634"/>
      <c r="N422" s="1584"/>
      <c r="O422" s="1633"/>
      <c r="P422" s="1584" t="s">
        <v>3806</v>
      </c>
      <c r="Q422" s="1633"/>
      <c r="R422" s="1584"/>
      <c r="S422" s="1633"/>
      <c r="T422" s="1584"/>
      <c r="U422" s="1633"/>
      <c r="V422" s="1584"/>
      <c r="W422" s="1633"/>
      <c r="X422" s="1584"/>
      <c r="Y422" s="1633"/>
    </row>
    <row r="423" spans="1:25">
      <c r="A423" s="1585"/>
      <c r="B423" s="1665" t="s">
        <v>4366</v>
      </c>
      <c r="C423" s="1513" t="s">
        <v>1743</v>
      </c>
      <c r="D423" s="1489"/>
      <c r="E423" s="1567"/>
      <c r="F423" s="1593"/>
      <c r="G423" s="660"/>
      <c r="H423" s="1584"/>
      <c r="I423" s="1633"/>
      <c r="J423" s="1584"/>
      <c r="K423" s="1633"/>
      <c r="L423" s="1584"/>
      <c r="M423" s="1634"/>
      <c r="N423" s="1584"/>
      <c r="O423" s="1633"/>
      <c r="P423" s="1584"/>
      <c r="Q423" s="1633"/>
      <c r="R423" s="1584"/>
      <c r="S423" s="1633"/>
      <c r="T423" s="1584"/>
      <c r="U423" s="1633"/>
      <c r="V423" s="1584"/>
      <c r="W423" s="1633"/>
      <c r="X423" s="1584"/>
      <c r="Y423" s="1633"/>
    </row>
    <row r="424" spans="1:25" ht="30">
      <c r="A424" s="1585"/>
      <c r="B424" s="1674" t="s">
        <v>4367</v>
      </c>
      <c r="C424" s="1513" t="s">
        <v>4368</v>
      </c>
      <c r="D424" s="1489"/>
      <c r="E424" s="1567"/>
      <c r="F424" s="1593"/>
      <c r="G424" s="660"/>
      <c r="H424" s="1584" t="s">
        <v>3028</v>
      </c>
      <c r="I424" s="1633"/>
      <c r="J424" s="1584" t="s">
        <v>3028</v>
      </c>
      <c r="K424" s="1633"/>
      <c r="L424" s="1584" t="s">
        <v>3028</v>
      </c>
      <c r="M424" s="1634"/>
      <c r="N424" s="1584"/>
      <c r="O424" s="1633"/>
      <c r="P424" s="1584" t="s">
        <v>3028</v>
      </c>
      <c r="Q424" s="1633" t="s">
        <v>3528</v>
      </c>
      <c r="R424" s="1584"/>
      <c r="S424" s="1633"/>
      <c r="T424" s="1584"/>
      <c r="U424" s="1633"/>
      <c r="V424" s="1584"/>
      <c r="W424" s="1633"/>
      <c r="X424" s="1584"/>
      <c r="Y424" s="1633"/>
    </row>
    <row r="425" spans="1:25" ht="30">
      <c r="A425" s="1585"/>
      <c r="B425" s="1674" t="s">
        <v>4369</v>
      </c>
      <c r="C425" s="1703" t="s">
        <v>4370</v>
      </c>
      <c r="D425" s="1489"/>
      <c r="E425" s="1567"/>
      <c r="F425" s="1593"/>
      <c r="G425" s="660"/>
      <c r="H425" s="1584" t="s">
        <v>3028</v>
      </c>
      <c r="I425" s="1633"/>
      <c r="J425" s="1584" t="s">
        <v>3028</v>
      </c>
      <c r="K425" s="1633"/>
      <c r="L425" s="1584" t="s">
        <v>3028</v>
      </c>
      <c r="M425" s="1634"/>
      <c r="N425" s="1584"/>
      <c r="O425" s="1633"/>
      <c r="P425" s="1584" t="s">
        <v>3028</v>
      </c>
      <c r="Q425" s="1633"/>
      <c r="R425" s="1584"/>
      <c r="S425" s="1633"/>
      <c r="T425" s="1584"/>
      <c r="U425" s="1633"/>
      <c r="V425" s="1584"/>
      <c r="W425" s="1633"/>
      <c r="X425" s="1584"/>
      <c r="Y425" s="1633"/>
    </row>
    <row r="426" spans="1:25">
      <c r="A426" s="1585"/>
      <c r="B426" s="1665" t="s">
        <v>4371</v>
      </c>
      <c r="C426" s="1513" t="s">
        <v>1743</v>
      </c>
      <c r="D426" s="1489"/>
      <c r="E426" s="1567"/>
      <c r="F426" s="1593"/>
      <c r="G426" s="660"/>
      <c r="H426" s="1584"/>
      <c r="I426" s="1633"/>
      <c r="J426" s="1584"/>
      <c r="K426" s="1633"/>
      <c r="L426" s="1584"/>
      <c r="M426" s="1634"/>
      <c r="N426" s="1584"/>
      <c r="O426" s="1633"/>
      <c r="P426" s="1584"/>
      <c r="Q426" s="1633"/>
      <c r="R426" s="1584"/>
      <c r="S426" s="1633"/>
      <c r="T426" s="1584"/>
      <c r="U426" s="1633"/>
      <c r="V426" s="1584"/>
      <c r="W426" s="1633"/>
      <c r="X426" s="1584"/>
      <c r="Y426" s="1633"/>
    </row>
    <row r="427" spans="1:25" ht="30">
      <c r="A427" s="1585"/>
      <c r="B427" s="1674" t="s">
        <v>4372</v>
      </c>
      <c r="C427" s="1513" t="s">
        <v>4373</v>
      </c>
      <c r="D427" s="1489"/>
      <c r="E427" s="1567"/>
      <c r="F427" s="1593"/>
      <c r="G427" s="660"/>
      <c r="H427" s="1584" t="s">
        <v>3028</v>
      </c>
      <c r="I427" s="1633"/>
      <c r="J427" s="1584" t="s">
        <v>3806</v>
      </c>
      <c r="K427" s="1633"/>
      <c r="L427" s="1584" t="s">
        <v>3028</v>
      </c>
      <c r="M427" s="1634"/>
      <c r="N427" s="1584"/>
      <c r="O427" s="1633"/>
      <c r="P427" s="1584" t="s">
        <v>3806</v>
      </c>
      <c r="Q427" s="1633"/>
      <c r="R427" s="1584"/>
      <c r="S427" s="1633"/>
      <c r="T427" s="1584"/>
      <c r="U427" s="1633"/>
      <c r="V427" s="1584"/>
      <c r="W427" s="1633"/>
      <c r="X427" s="1584"/>
      <c r="Y427" s="1633"/>
    </row>
    <row r="428" spans="1:25">
      <c r="A428" s="1585"/>
      <c r="B428" s="1665" t="s">
        <v>4374</v>
      </c>
      <c r="C428" s="1513" t="s">
        <v>1743</v>
      </c>
      <c r="D428" s="1489"/>
      <c r="E428" s="1567"/>
      <c r="F428" s="1593"/>
      <c r="G428" s="660"/>
      <c r="H428" s="1584"/>
      <c r="I428" s="1633"/>
      <c r="J428" s="1584"/>
      <c r="K428" s="1633"/>
      <c r="L428" s="1584"/>
      <c r="M428" s="1634"/>
      <c r="N428" s="1584"/>
      <c r="O428" s="1633"/>
      <c r="P428" s="1584"/>
      <c r="Q428" s="1633"/>
      <c r="R428" s="1584"/>
      <c r="S428" s="1633"/>
      <c r="T428" s="1584"/>
      <c r="U428" s="1633"/>
      <c r="V428" s="1584"/>
      <c r="W428" s="1633"/>
      <c r="X428" s="1584"/>
      <c r="Y428" s="1633"/>
    </row>
    <row r="429" spans="1:25" ht="30">
      <c r="A429" s="1585"/>
      <c r="B429" s="1674" t="s">
        <v>4367</v>
      </c>
      <c r="C429" s="1513" t="s">
        <v>4375</v>
      </c>
      <c r="D429" s="1489"/>
      <c r="E429" s="1567"/>
      <c r="F429" s="1593"/>
      <c r="G429" s="660"/>
      <c r="H429" s="1584" t="s">
        <v>3028</v>
      </c>
      <c r="I429" s="1633"/>
      <c r="J429" s="1584" t="s">
        <v>3028</v>
      </c>
      <c r="K429" s="1633"/>
      <c r="L429" s="1584" t="s">
        <v>3028</v>
      </c>
      <c r="M429" s="1634"/>
      <c r="N429" s="1584"/>
      <c r="O429" s="1633"/>
      <c r="P429" s="1584" t="s">
        <v>3028</v>
      </c>
      <c r="Q429" s="1633" t="s">
        <v>3528</v>
      </c>
      <c r="R429" s="1584"/>
      <c r="S429" s="1633"/>
      <c r="T429" s="1584"/>
      <c r="U429" s="1633"/>
      <c r="V429" s="1584"/>
      <c r="W429" s="1633"/>
      <c r="X429" s="1584"/>
      <c r="Y429" s="1633"/>
    </row>
    <row r="430" spans="1:25" ht="30">
      <c r="A430" s="1585"/>
      <c r="B430" s="1674" t="s">
        <v>4376</v>
      </c>
      <c r="C430" s="1513" t="s">
        <v>4377</v>
      </c>
      <c r="D430" s="1489"/>
      <c r="E430" s="1567"/>
      <c r="F430" s="1593"/>
      <c r="G430" s="660"/>
      <c r="H430" s="1584" t="s">
        <v>3028</v>
      </c>
      <c r="I430" s="1633"/>
      <c r="J430" s="1584" t="s">
        <v>3028</v>
      </c>
      <c r="K430" s="1633"/>
      <c r="L430" s="1584" t="s">
        <v>3028</v>
      </c>
      <c r="M430" s="1634"/>
      <c r="N430" s="1584"/>
      <c r="O430" s="1633"/>
      <c r="P430" s="1584" t="s">
        <v>3028</v>
      </c>
      <c r="Q430" s="1633"/>
      <c r="R430" s="1584"/>
      <c r="S430" s="1633"/>
      <c r="T430" s="1584"/>
      <c r="U430" s="1633"/>
      <c r="V430" s="1584"/>
      <c r="W430" s="1633"/>
      <c r="X430" s="1584"/>
      <c r="Y430" s="1633"/>
    </row>
    <row r="431" spans="1:25" ht="30">
      <c r="A431" s="1585"/>
      <c r="B431" s="1674" t="s">
        <v>4369</v>
      </c>
      <c r="C431" s="1513" t="s">
        <v>4378</v>
      </c>
      <c r="D431" s="1489"/>
      <c r="E431" s="1567"/>
      <c r="F431" s="1593"/>
      <c r="G431" s="660"/>
      <c r="H431" s="1584" t="s">
        <v>3028</v>
      </c>
      <c r="I431" s="1633"/>
      <c r="J431" s="1584" t="s">
        <v>3028</v>
      </c>
      <c r="K431" s="1633"/>
      <c r="L431" s="1584" t="s">
        <v>3028</v>
      </c>
      <c r="M431" s="1634"/>
      <c r="N431" s="1584"/>
      <c r="O431" s="1633"/>
      <c r="P431" s="1584" t="s">
        <v>3028</v>
      </c>
      <c r="Q431" s="1633"/>
      <c r="R431" s="1584"/>
      <c r="S431" s="1633"/>
      <c r="T431" s="1584"/>
      <c r="U431" s="1633"/>
      <c r="V431" s="1584"/>
      <c r="W431" s="1633"/>
      <c r="X431" s="1584"/>
      <c r="Y431" s="1633"/>
    </row>
    <row r="432" spans="1:25">
      <c r="A432" s="1585"/>
      <c r="B432" s="1665" t="s">
        <v>4379</v>
      </c>
      <c r="C432" s="1513" t="s">
        <v>1743</v>
      </c>
      <c r="D432" s="1489"/>
      <c r="E432" s="1567"/>
      <c r="F432" s="1593"/>
      <c r="G432" s="660"/>
      <c r="H432" s="1584"/>
      <c r="I432" s="1633"/>
      <c r="J432" s="1584"/>
      <c r="K432" s="1633"/>
      <c r="L432" s="1584"/>
      <c r="M432" s="1634"/>
      <c r="N432" s="1584"/>
      <c r="O432" s="1633"/>
      <c r="P432" s="1584"/>
      <c r="Q432" s="1633"/>
      <c r="R432" s="1584"/>
      <c r="S432" s="1633"/>
      <c r="T432" s="1584"/>
      <c r="U432" s="1633"/>
      <c r="V432" s="1584"/>
      <c r="W432" s="1633"/>
      <c r="X432" s="1584"/>
      <c r="Y432" s="1633"/>
    </row>
    <row r="433" spans="1:25" ht="30">
      <c r="A433" s="1585"/>
      <c r="B433" s="1674" t="s">
        <v>4380</v>
      </c>
      <c r="C433" s="1513" t="s">
        <v>4373</v>
      </c>
      <c r="D433" s="1489"/>
      <c r="E433" s="1567"/>
      <c r="F433" s="1593"/>
      <c r="G433" s="660"/>
      <c r="H433" s="1584" t="s">
        <v>3028</v>
      </c>
      <c r="I433" s="1633"/>
      <c r="J433" s="1584" t="s">
        <v>3806</v>
      </c>
      <c r="K433" s="1633"/>
      <c r="L433" s="1584" t="s">
        <v>3028</v>
      </c>
      <c r="M433" s="1634"/>
      <c r="N433" s="1584"/>
      <c r="O433" s="1633"/>
      <c r="P433" s="1584" t="s">
        <v>3028</v>
      </c>
      <c r="Q433" s="1633" t="s">
        <v>3528</v>
      </c>
      <c r="R433" s="1584"/>
      <c r="S433" s="1633"/>
      <c r="T433" s="1584"/>
      <c r="U433" s="1633"/>
      <c r="V433" s="1584"/>
      <c r="W433" s="1633"/>
      <c r="X433" s="1584"/>
      <c r="Y433" s="1633"/>
    </row>
    <row r="434" spans="1:25" ht="15.75">
      <c r="A434" s="1585"/>
      <c r="B434" s="1648" t="s">
        <v>4092</v>
      </c>
      <c r="C434" s="1566" t="s">
        <v>4381</v>
      </c>
      <c r="D434" s="1489"/>
      <c r="E434" s="1567"/>
      <c r="F434" s="1593"/>
      <c r="G434" s="660"/>
      <c r="H434" s="1584"/>
      <c r="I434" s="1633"/>
      <c r="J434" s="1584"/>
      <c r="K434" s="1633"/>
      <c r="L434" s="1584"/>
      <c r="M434" s="1634"/>
      <c r="N434" s="1584"/>
      <c r="O434" s="1633"/>
      <c r="P434" s="1584"/>
      <c r="Q434" s="1633"/>
      <c r="R434" s="1584"/>
      <c r="S434" s="1633"/>
      <c r="T434" s="1584"/>
      <c r="U434" s="1633"/>
      <c r="V434" s="1584"/>
      <c r="W434" s="1633"/>
      <c r="X434" s="1584"/>
      <c r="Y434" s="1633"/>
    </row>
    <row r="435" spans="1:25">
      <c r="A435" s="1585"/>
      <c r="B435" s="1665" t="s">
        <v>4382</v>
      </c>
      <c r="C435" s="1513" t="s">
        <v>1637</v>
      </c>
      <c r="D435" s="1489"/>
      <c r="E435" s="1567"/>
      <c r="F435" s="1593"/>
      <c r="G435" s="660"/>
      <c r="H435" s="1584"/>
      <c r="I435" s="1633"/>
      <c r="J435" s="1584"/>
      <c r="K435" s="1633"/>
      <c r="L435" s="1584"/>
      <c r="M435" s="1634"/>
      <c r="N435" s="1584"/>
      <c r="O435" s="1633"/>
      <c r="P435" s="1584"/>
      <c r="Q435" s="1633"/>
      <c r="R435" s="1584"/>
      <c r="S435" s="1633"/>
      <c r="T435" s="1584"/>
      <c r="U435" s="1633"/>
      <c r="V435" s="1584"/>
      <c r="W435" s="1633"/>
      <c r="X435" s="1584"/>
      <c r="Y435" s="1633"/>
    </row>
    <row r="436" spans="1:25" ht="30">
      <c r="A436" s="1585"/>
      <c r="B436" s="1674" t="s">
        <v>3886</v>
      </c>
      <c r="C436" s="1703" t="s">
        <v>4383</v>
      </c>
      <c r="D436" s="1489"/>
      <c r="E436" s="1567"/>
      <c r="F436" s="1593"/>
      <c r="G436" s="660"/>
      <c r="H436" s="1584" t="s">
        <v>3028</v>
      </c>
      <c r="I436" s="1633"/>
      <c r="J436" s="1584" t="s">
        <v>3806</v>
      </c>
      <c r="K436" s="1633"/>
      <c r="L436" s="1584" t="s">
        <v>3028</v>
      </c>
      <c r="M436" s="1634"/>
      <c r="N436" s="1584"/>
      <c r="O436" s="1633"/>
      <c r="P436" s="1584" t="s">
        <v>3806</v>
      </c>
      <c r="Q436" s="1633"/>
      <c r="R436" s="1584"/>
      <c r="S436" s="1633"/>
      <c r="T436" s="1584"/>
      <c r="U436" s="1633"/>
      <c r="V436" s="1584"/>
      <c r="W436" s="1633"/>
      <c r="X436" s="1584"/>
      <c r="Y436" s="1633"/>
    </row>
    <row r="437" spans="1:25">
      <c r="A437" s="1585"/>
      <c r="B437" s="1674" t="s">
        <v>4384</v>
      </c>
      <c r="C437" s="1513" t="s">
        <v>4385</v>
      </c>
      <c r="D437" s="1489"/>
      <c r="E437" s="1567"/>
      <c r="F437" s="1593"/>
      <c r="G437" s="660"/>
      <c r="H437" s="1584" t="s">
        <v>3028</v>
      </c>
      <c r="I437" s="1633"/>
      <c r="J437" s="1584" t="s">
        <v>3028</v>
      </c>
      <c r="K437" s="1633"/>
      <c r="L437" s="1584" t="s">
        <v>3028</v>
      </c>
      <c r="M437" s="1634"/>
      <c r="N437" s="1584"/>
      <c r="O437" s="1633"/>
      <c r="P437" s="1584" t="s">
        <v>3806</v>
      </c>
      <c r="Q437" s="1633"/>
      <c r="R437" s="1584"/>
      <c r="S437" s="1633"/>
      <c r="T437" s="1584"/>
      <c r="U437" s="1633"/>
      <c r="V437" s="1584"/>
      <c r="W437" s="1633"/>
      <c r="X437" s="1584"/>
      <c r="Y437" s="1633"/>
    </row>
    <row r="438" spans="1:25" ht="105">
      <c r="A438" s="1585"/>
      <c r="B438" s="1674" t="s">
        <v>4386</v>
      </c>
      <c r="C438" s="1513" t="s">
        <v>4387</v>
      </c>
      <c r="D438" s="1489"/>
      <c r="E438" s="1567"/>
      <c r="F438" s="1593"/>
      <c r="G438" s="660"/>
      <c r="H438" s="1584" t="s">
        <v>3028</v>
      </c>
      <c r="I438" s="1633" t="s">
        <v>4388</v>
      </c>
      <c r="J438" s="1584" t="s">
        <v>3028</v>
      </c>
      <c r="K438" s="1633"/>
      <c r="L438" s="1584" t="s">
        <v>3028</v>
      </c>
      <c r="M438" s="1634" t="s">
        <v>4388</v>
      </c>
      <c r="N438" s="1584"/>
      <c r="O438" s="1633"/>
      <c r="P438" s="1584" t="s">
        <v>3028</v>
      </c>
      <c r="Q438" s="1633" t="s">
        <v>3528</v>
      </c>
      <c r="R438" s="1584"/>
      <c r="S438" s="1633"/>
      <c r="T438" s="1584"/>
      <c r="U438" s="1633"/>
      <c r="V438" s="1584"/>
      <c r="W438" s="1633"/>
      <c r="X438" s="1584"/>
      <c r="Y438" s="1633"/>
    </row>
    <row r="439" spans="1:25">
      <c r="A439" s="1585"/>
      <c r="B439" s="1674" t="s">
        <v>3963</v>
      </c>
      <c r="C439" s="1513"/>
      <c r="D439" s="1489"/>
      <c r="E439" s="1567"/>
      <c r="F439" s="1593"/>
      <c r="G439" s="660"/>
      <c r="H439" s="1584" t="s">
        <v>3807</v>
      </c>
      <c r="I439" s="1642" t="s">
        <v>3964</v>
      </c>
      <c r="J439" s="1584" t="s">
        <v>3806</v>
      </c>
      <c r="K439" s="1633"/>
      <c r="L439" s="1584" t="s">
        <v>3028</v>
      </c>
      <c r="M439" s="1634" t="s">
        <v>3528</v>
      </c>
      <c r="N439" s="1584"/>
      <c r="O439" s="1633"/>
      <c r="P439" s="1584" t="s">
        <v>3806</v>
      </c>
      <c r="Q439" s="1633"/>
      <c r="R439" s="1584"/>
      <c r="S439" s="1633"/>
      <c r="T439" s="1584"/>
      <c r="U439" s="1633"/>
      <c r="V439" s="1584"/>
      <c r="W439" s="1633"/>
      <c r="X439" s="1584"/>
      <c r="Y439" s="1633"/>
    </row>
    <row r="440" spans="1:25">
      <c r="A440" s="1585"/>
      <c r="B440" s="1674" t="s">
        <v>4369</v>
      </c>
      <c r="C440" s="1566" t="s">
        <v>4389</v>
      </c>
      <c r="D440" s="1489"/>
      <c r="E440" s="1567"/>
      <c r="F440" s="1593"/>
      <c r="G440" s="660"/>
      <c r="H440" s="1584" t="s">
        <v>3028</v>
      </c>
      <c r="I440" s="1633"/>
      <c r="J440" s="1584" t="s">
        <v>3028</v>
      </c>
      <c r="K440" s="1633"/>
      <c r="L440" s="1584" t="s">
        <v>3028</v>
      </c>
      <c r="M440" s="1634"/>
      <c r="N440" s="1584"/>
      <c r="O440" s="1633"/>
      <c r="P440" s="1584" t="s">
        <v>3028</v>
      </c>
      <c r="Q440" s="1633"/>
      <c r="R440" s="1584"/>
      <c r="S440" s="1633"/>
      <c r="T440" s="1584"/>
      <c r="U440" s="1633"/>
      <c r="V440" s="1584"/>
      <c r="W440" s="1633"/>
      <c r="X440" s="1584"/>
      <c r="Y440" s="1633"/>
    </row>
    <row r="441" spans="1:25">
      <c r="A441" s="1585"/>
      <c r="B441" s="1665" t="s">
        <v>4390</v>
      </c>
      <c r="C441" s="1566" t="s">
        <v>1749</v>
      </c>
      <c r="D441" s="1489"/>
      <c r="E441" s="1567"/>
      <c r="F441" s="1593"/>
      <c r="G441" s="660"/>
      <c r="H441" s="1584"/>
      <c r="I441" s="1633"/>
      <c r="J441" s="1584"/>
      <c r="K441" s="1633"/>
      <c r="L441" s="1584"/>
      <c r="M441" s="1634"/>
      <c r="N441" s="1584"/>
      <c r="O441" s="1633"/>
      <c r="P441" s="1584"/>
      <c r="Q441" s="1633"/>
      <c r="R441" s="1584"/>
      <c r="S441" s="1633"/>
      <c r="T441" s="1584"/>
      <c r="U441" s="1633"/>
      <c r="V441" s="1584"/>
      <c r="W441" s="1633"/>
      <c r="X441" s="1584"/>
      <c r="Y441" s="1633"/>
    </row>
    <row r="442" spans="1:25">
      <c r="A442" s="1585"/>
      <c r="B442" s="1674" t="s">
        <v>4369</v>
      </c>
      <c r="C442" s="1699" t="s">
        <v>4391</v>
      </c>
      <c r="D442" s="1489"/>
      <c r="E442" s="1567"/>
      <c r="F442" s="1593"/>
      <c r="G442" s="660"/>
      <c r="H442" s="1584" t="s">
        <v>3028</v>
      </c>
      <c r="I442" s="1633"/>
      <c r="J442" s="1584" t="s">
        <v>3806</v>
      </c>
      <c r="K442" s="1633"/>
      <c r="L442" s="1584" t="s">
        <v>3028</v>
      </c>
      <c r="M442" s="1634"/>
      <c r="N442" s="1584"/>
      <c r="O442" s="1633"/>
      <c r="P442" s="1584" t="s">
        <v>3806</v>
      </c>
      <c r="Q442" s="1633"/>
      <c r="R442" s="1584"/>
      <c r="S442" s="1633"/>
      <c r="T442" s="1584"/>
      <c r="U442" s="1633"/>
      <c r="V442" s="1584"/>
      <c r="W442" s="1633"/>
      <c r="X442" s="1584"/>
      <c r="Y442" s="1633"/>
    </row>
    <row r="443" spans="1:25">
      <c r="A443" s="1585"/>
      <c r="B443" s="1674" t="s">
        <v>4384</v>
      </c>
      <c r="C443" s="1566" t="s">
        <v>4392</v>
      </c>
      <c r="D443" s="1489"/>
      <c r="E443" s="1567"/>
      <c r="F443" s="1593"/>
      <c r="G443" s="660"/>
      <c r="H443" s="1584" t="s">
        <v>3028</v>
      </c>
      <c r="I443" s="1633"/>
      <c r="J443" s="1584" t="s">
        <v>3806</v>
      </c>
      <c r="K443" s="1633"/>
      <c r="L443" s="1584" t="s">
        <v>3028</v>
      </c>
      <c r="M443" s="1634"/>
      <c r="N443" s="1584"/>
      <c r="O443" s="1633"/>
      <c r="P443" s="1584" t="s">
        <v>3806</v>
      </c>
      <c r="Q443" s="1633"/>
      <c r="R443" s="1584"/>
      <c r="S443" s="1633"/>
      <c r="T443" s="1584"/>
      <c r="U443" s="1633"/>
      <c r="V443" s="1584"/>
      <c r="W443" s="1633"/>
      <c r="X443" s="1584"/>
      <c r="Y443" s="1633"/>
    </row>
    <row r="444" spans="1:25">
      <c r="A444" s="1585"/>
      <c r="B444" s="1665" t="s">
        <v>4393</v>
      </c>
      <c r="C444" s="1566" t="s">
        <v>1749</v>
      </c>
      <c r="D444" s="1489"/>
      <c r="E444" s="1567"/>
      <c r="F444" s="1593"/>
      <c r="G444" s="660"/>
      <c r="H444" s="1584"/>
      <c r="I444" s="1633"/>
      <c r="J444" s="1584"/>
      <c r="K444" s="1633"/>
      <c r="L444" s="1584"/>
      <c r="M444" s="1634"/>
      <c r="N444" s="1584"/>
      <c r="O444" s="1633"/>
      <c r="P444" s="1584"/>
      <c r="Q444" s="1633"/>
      <c r="R444" s="1584"/>
      <c r="S444" s="1633"/>
      <c r="T444" s="1584"/>
      <c r="U444" s="1633"/>
      <c r="V444" s="1584"/>
      <c r="W444" s="1633"/>
      <c r="X444" s="1584"/>
      <c r="Y444" s="1633"/>
    </row>
    <row r="445" spans="1:25">
      <c r="A445" s="1585"/>
      <c r="B445" s="1674" t="s">
        <v>4369</v>
      </c>
      <c r="C445" s="1566" t="s">
        <v>4394</v>
      </c>
      <c r="D445" s="1489"/>
      <c r="E445" s="1567"/>
      <c r="F445" s="1593"/>
      <c r="G445" s="660"/>
      <c r="H445" s="1584" t="s">
        <v>3028</v>
      </c>
      <c r="I445" s="1633"/>
      <c r="J445" s="1584" t="s">
        <v>3028</v>
      </c>
      <c r="K445" s="1633"/>
      <c r="L445" s="1584" t="s">
        <v>3028</v>
      </c>
      <c r="M445" s="1634"/>
      <c r="N445" s="1584"/>
      <c r="O445" s="1633"/>
      <c r="P445" s="1584" t="s">
        <v>3806</v>
      </c>
      <c r="Q445" s="1633"/>
      <c r="R445" s="1584"/>
      <c r="S445" s="1633"/>
      <c r="T445" s="1584"/>
      <c r="U445" s="1633"/>
      <c r="V445" s="1584"/>
      <c r="W445" s="1633"/>
      <c r="X445" s="1584"/>
      <c r="Y445" s="1633"/>
    </row>
    <row r="446" spans="1:25" ht="30">
      <c r="A446" s="1585"/>
      <c r="B446" s="1674" t="s">
        <v>4395</v>
      </c>
      <c r="C446" s="1513" t="s">
        <v>4396</v>
      </c>
      <c r="D446" s="1489"/>
      <c r="E446" s="1567"/>
      <c r="F446" s="1593"/>
      <c r="G446" s="660"/>
      <c r="H446" s="1584" t="s">
        <v>3028</v>
      </c>
      <c r="I446" s="1633"/>
      <c r="J446" s="1584" t="s">
        <v>3028</v>
      </c>
      <c r="K446" s="1633"/>
      <c r="L446" s="1584" t="s">
        <v>3028</v>
      </c>
      <c r="M446" s="1634"/>
      <c r="N446" s="1584"/>
      <c r="O446" s="1633"/>
      <c r="P446" s="1584" t="s">
        <v>3028</v>
      </c>
      <c r="Q446" s="1633"/>
      <c r="R446" s="1584"/>
      <c r="S446" s="1633"/>
      <c r="T446" s="1584"/>
      <c r="U446" s="1633"/>
      <c r="V446" s="1584"/>
      <c r="W446" s="1633"/>
      <c r="X446" s="1584"/>
      <c r="Y446" s="1633"/>
    </row>
    <row r="447" spans="1:25" s="364" customFormat="1">
      <c r="A447" s="1675"/>
      <c r="B447" s="1676" t="s">
        <v>4397</v>
      </c>
      <c r="C447" s="1699" t="s">
        <v>4398</v>
      </c>
      <c r="D447" s="1652"/>
      <c r="E447" s="1653"/>
      <c r="F447" s="1654"/>
      <c r="G447" s="682"/>
      <c r="H447" s="1584" t="s">
        <v>3807</v>
      </c>
      <c r="I447" s="1667" t="s">
        <v>3902</v>
      </c>
      <c r="J447" s="1584" t="s">
        <v>3028</v>
      </c>
      <c r="K447" s="1655"/>
      <c r="L447" s="1584" t="s">
        <v>3807</v>
      </c>
      <c r="M447" s="1656"/>
      <c r="N447" s="1584"/>
      <c r="O447" s="1655"/>
      <c r="P447" s="1584" t="s">
        <v>3028</v>
      </c>
      <c r="Q447" s="1655" t="s">
        <v>3528</v>
      </c>
      <c r="R447" s="1584"/>
      <c r="S447" s="1655"/>
      <c r="T447" s="1584"/>
      <c r="U447" s="1655"/>
      <c r="V447" s="1584"/>
      <c r="W447" s="1655"/>
      <c r="X447" s="1584"/>
      <c r="Y447" s="1655"/>
    </row>
    <row r="448" spans="1:25" ht="30">
      <c r="A448" s="1683"/>
      <c r="B448" s="1676" t="s">
        <v>4399</v>
      </c>
      <c r="C448" s="1513" t="s">
        <v>4400</v>
      </c>
      <c r="D448" s="1489"/>
      <c r="E448" s="1567"/>
      <c r="F448" s="1593"/>
      <c r="G448" s="660"/>
      <c r="H448" s="1584" t="s">
        <v>3807</v>
      </c>
      <c r="I448" s="1667" t="s">
        <v>4220</v>
      </c>
      <c r="J448" s="1584" t="s">
        <v>3807</v>
      </c>
      <c r="K448" s="1633"/>
      <c r="L448" s="1584" t="s">
        <v>3807</v>
      </c>
      <c r="M448" s="1634"/>
      <c r="N448" s="1584"/>
      <c r="O448" s="1633"/>
      <c r="P448" s="1584" t="s">
        <v>3807</v>
      </c>
      <c r="Q448" s="1633" t="s">
        <v>3528</v>
      </c>
      <c r="R448" s="1584"/>
      <c r="S448" s="1633"/>
      <c r="T448" s="1584"/>
      <c r="U448" s="1633"/>
      <c r="V448" s="1584"/>
      <c r="W448" s="1633"/>
      <c r="X448" s="1584"/>
      <c r="Y448" s="1633"/>
    </row>
    <row r="449" spans="1:25">
      <c r="A449" s="1585"/>
      <c r="B449" s="1665" t="s">
        <v>4401</v>
      </c>
      <c r="C449" s="1566" t="s">
        <v>1749</v>
      </c>
      <c r="D449" s="1489"/>
      <c r="E449" s="1567"/>
      <c r="F449" s="1593"/>
      <c r="G449" s="660"/>
      <c r="H449" s="1584"/>
      <c r="I449" s="1633"/>
      <c r="J449" s="1584"/>
      <c r="K449" s="1633"/>
      <c r="L449" s="1584"/>
      <c r="M449" s="1634"/>
      <c r="N449" s="1584"/>
      <c r="O449" s="1633"/>
      <c r="P449" s="1584"/>
      <c r="Q449" s="1633"/>
      <c r="R449" s="1584"/>
      <c r="S449" s="1633"/>
      <c r="T449" s="1584"/>
      <c r="U449" s="1633"/>
      <c r="V449" s="1584"/>
      <c r="W449" s="1633"/>
      <c r="X449" s="1584"/>
      <c r="Y449" s="1633"/>
    </row>
    <row r="450" spans="1:25">
      <c r="A450" s="1585"/>
      <c r="B450" s="1674" t="s">
        <v>4369</v>
      </c>
      <c r="C450" s="1566" t="s">
        <v>4402</v>
      </c>
      <c r="D450" s="1489"/>
      <c r="E450" s="1567"/>
      <c r="F450" s="1593"/>
      <c r="G450" s="660"/>
      <c r="H450" s="1584" t="s">
        <v>3028</v>
      </c>
      <c r="I450" s="1633"/>
      <c r="J450" s="1584" t="s">
        <v>3028</v>
      </c>
      <c r="K450" s="1633"/>
      <c r="L450" s="1584" t="s">
        <v>3028</v>
      </c>
      <c r="M450" s="1634"/>
      <c r="N450" s="1584"/>
      <c r="O450" s="1633"/>
      <c r="P450" s="1584" t="s">
        <v>3806</v>
      </c>
      <c r="Q450" s="1633"/>
      <c r="R450" s="1584"/>
      <c r="S450" s="1633"/>
      <c r="T450" s="1584"/>
      <c r="U450" s="1633"/>
      <c r="V450" s="1584"/>
      <c r="W450" s="1633"/>
      <c r="X450" s="1584"/>
      <c r="Y450" s="1633"/>
    </row>
    <row r="451" spans="1:25" ht="30">
      <c r="A451" s="1585"/>
      <c r="B451" s="1674" t="s">
        <v>4395</v>
      </c>
      <c r="C451" s="1513" t="s">
        <v>4403</v>
      </c>
      <c r="D451" s="1489"/>
      <c r="E451" s="1567"/>
      <c r="F451" s="1593"/>
      <c r="G451" s="660"/>
      <c r="H451" s="1584" t="s">
        <v>3028</v>
      </c>
      <c r="I451" s="1633"/>
      <c r="J451" s="1584" t="s">
        <v>3028</v>
      </c>
      <c r="K451" s="1633"/>
      <c r="L451" s="1584" t="s">
        <v>3028</v>
      </c>
      <c r="M451" s="1634"/>
      <c r="N451" s="1584"/>
      <c r="O451" s="1633"/>
      <c r="P451" s="1584" t="s">
        <v>3028</v>
      </c>
      <c r="Q451" s="1633"/>
      <c r="R451" s="1584"/>
      <c r="S451" s="1633"/>
      <c r="T451" s="1584"/>
      <c r="U451" s="1633"/>
      <c r="V451" s="1584"/>
      <c r="W451" s="1633"/>
      <c r="X451" s="1584"/>
      <c r="Y451" s="1633"/>
    </row>
    <row r="452" spans="1:25">
      <c r="A452" s="1683"/>
      <c r="B452" s="1674" t="s">
        <v>4397</v>
      </c>
      <c r="C452" s="1513" t="s">
        <v>4404</v>
      </c>
      <c r="D452" s="1489"/>
      <c r="E452" s="1567"/>
      <c r="F452" s="1593"/>
      <c r="G452" s="660"/>
      <c r="H452" s="1584" t="s">
        <v>3807</v>
      </c>
      <c r="I452" s="1667" t="s">
        <v>3902</v>
      </c>
      <c r="J452" s="1584" t="s">
        <v>3028</v>
      </c>
      <c r="K452" s="1633"/>
      <c r="L452" s="1584" t="s">
        <v>3807</v>
      </c>
      <c r="M452" s="1634"/>
      <c r="N452" s="1584"/>
      <c r="O452" s="1633"/>
      <c r="P452" s="1584" t="s">
        <v>3028</v>
      </c>
      <c r="Q452" s="1633" t="s">
        <v>3528</v>
      </c>
      <c r="R452" s="1584"/>
      <c r="S452" s="1633"/>
      <c r="T452" s="1584"/>
      <c r="U452" s="1633"/>
      <c r="V452" s="1584"/>
      <c r="W452" s="1633"/>
      <c r="X452" s="1584"/>
      <c r="Y452" s="1633"/>
    </row>
    <row r="453" spans="1:25" ht="30">
      <c r="A453" s="1683"/>
      <c r="B453" s="1676" t="s">
        <v>4399</v>
      </c>
      <c r="C453" s="1513" t="s">
        <v>4405</v>
      </c>
      <c r="D453" s="1489"/>
      <c r="E453" s="1567"/>
      <c r="F453" s="1593"/>
      <c r="G453" s="660"/>
      <c r="H453" s="1584" t="s">
        <v>3807</v>
      </c>
      <c r="I453" s="1667" t="s">
        <v>4220</v>
      </c>
      <c r="J453" s="1584" t="s">
        <v>3807</v>
      </c>
      <c r="K453" s="1633"/>
      <c r="L453" s="1584" t="s">
        <v>3807</v>
      </c>
      <c r="M453" s="1634"/>
      <c r="N453" s="1584"/>
      <c r="O453" s="1633"/>
      <c r="P453" s="1584" t="s">
        <v>3028</v>
      </c>
      <c r="Q453" s="1633" t="s">
        <v>3528</v>
      </c>
      <c r="R453" s="1584"/>
      <c r="S453" s="1633"/>
      <c r="T453" s="1584"/>
      <c r="U453" s="1633"/>
      <c r="V453" s="1584"/>
      <c r="W453" s="1633"/>
      <c r="X453" s="1584"/>
      <c r="Y453" s="1633"/>
    </row>
    <row r="454" spans="1:25" ht="21">
      <c r="A454" s="1585"/>
      <c r="B454" s="1646" t="s">
        <v>3080</v>
      </c>
      <c r="C454" s="1566" t="s">
        <v>4406</v>
      </c>
      <c r="D454" s="1489"/>
      <c r="E454" s="1567"/>
      <c r="F454" s="1593"/>
      <c r="G454" s="660"/>
      <c r="H454" s="1584"/>
      <c r="I454" s="1636">
        <v>1105667</v>
      </c>
      <c r="J454" s="1584"/>
      <c r="K454" s="1636">
        <v>409310</v>
      </c>
      <c r="L454" s="1584"/>
      <c r="M454" s="1647">
        <f>1646779.6+(0.2*162488)</f>
        <v>1679277.2000000002</v>
      </c>
      <c r="N454" s="1584"/>
      <c r="O454" s="1633"/>
      <c r="P454" s="1584"/>
      <c r="Q454" s="1633"/>
      <c r="R454" s="1584"/>
      <c r="S454" s="1633"/>
      <c r="T454" s="1584"/>
      <c r="U454" s="1633"/>
      <c r="V454" s="1584"/>
      <c r="W454" s="1633"/>
      <c r="X454" s="1584"/>
      <c r="Y454" s="1633"/>
    </row>
    <row r="455" spans="1:25" ht="15.75">
      <c r="A455" s="1585"/>
      <c r="B455" s="1648" t="s">
        <v>3831</v>
      </c>
      <c r="C455" s="1566" t="s">
        <v>1683</v>
      </c>
      <c r="D455" s="1489"/>
      <c r="E455" s="1567"/>
      <c r="F455" s="1593"/>
      <c r="G455" s="660"/>
      <c r="H455" s="1584"/>
      <c r="I455" s="1633"/>
      <c r="J455" s="1584"/>
      <c r="K455" s="1633"/>
      <c r="L455" s="1584"/>
      <c r="M455" s="1634"/>
      <c r="N455" s="1584"/>
      <c r="O455" s="1633"/>
      <c r="P455" s="1584"/>
      <c r="Q455" s="1633"/>
      <c r="R455" s="1584"/>
      <c r="S455" s="1633"/>
      <c r="T455" s="1584"/>
      <c r="U455" s="1633"/>
      <c r="V455" s="1584"/>
      <c r="W455" s="1633"/>
      <c r="X455" s="1584"/>
      <c r="Y455" s="1633"/>
    </row>
    <row r="456" spans="1:25">
      <c r="A456" s="1681" t="s">
        <v>3833</v>
      </c>
      <c r="B456" s="1679" t="s">
        <v>4407</v>
      </c>
      <c r="C456" s="1566" t="s">
        <v>1687</v>
      </c>
      <c r="D456" s="1489"/>
      <c r="E456" s="1567"/>
      <c r="F456" s="1593"/>
      <c r="G456" s="660"/>
      <c r="H456" s="1584" t="s">
        <v>3807</v>
      </c>
      <c r="I456" s="1633"/>
      <c r="J456" s="1584" t="s">
        <v>3807</v>
      </c>
      <c r="K456" s="1633"/>
      <c r="L456" s="1584" t="s">
        <v>3807</v>
      </c>
      <c r="M456" s="1634"/>
      <c r="N456" s="1584"/>
      <c r="O456" s="1633"/>
      <c r="P456" s="1584"/>
      <c r="Q456" s="1633"/>
      <c r="R456" s="1584"/>
      <c r="S456" s="1633"/>
      <c r="T456" s="1584"/>
      <c r="U456" s="1633"/>
      <c r="V456" s="1584"/>
      <c r="W456" s="1633"/>
      <c r="X456" s="1584"/>
      <c r="Y456" s="1633"/>
    </row>
    <row r="457" spans="1:25" ht="15.75">
      <c r="A457" s="1585"/>
      <c r="B457" s="1648" t="s">
        <v>3870</v>
      </c>
      <c r="C457" s="1566" t="s">
        <v>4408</v>
      </c>
      <c r="D457" s="1489"/>
      <c r="E457" s="1567"/>
      <c r="F457" s="1593"/>
      <c r="G457" s="660"/>
      <c r="H457" s="1584"/>
      <c r="I457" s="1633"/>
      <c r="J457" s="1584"/>
      <c r="K457" s="1633"/>
      <c r="L457" s="1584"/>
      <c r="M457" s="1634"/>
      <c r="N457" s="1584"/>
      <c r="O457" s="1633"/>
      <c r="P457" s="1584"/>
      <c r="Q457" s="1633"/>
      <c r="R457" s="1584"/>
      <c r="S457" s="1633"/>
      <c r="T457" s="1584"/>
      <c r="U457" s="1633"/>
      <c r="V457" s="1584"/>
      <c r="W457" s="1633"/>
      <c r="X457" s="1584"/>
      <c r="Y457" s="1633"/>
    </row>
    <row r="458" spans="1:25">
      <c r="A458" s="1585"/>
      <c r="B458" s="1665" t="s">
        <v>4409</v>
      </c>
      <c r="C458" s="1566" t="s">
        <v>1754</v>
      </c>
      <c r="D458" s="1489"/>
      <c r="E458" s="1567"/>
      <c r="F458" s="1593"/>
      <c r="G458" s="660"/>
      <c r="H458" s="1584"/>
      <c r="I458" s="1633"/>
      <c r="J458" s="1584"/>
      <c r="K458" s="1633"/>
      <c r="L458" s="1584"/>
      <c r="M458" s="1634"/>
      <c r="N458" s="1584"/>
      <c r="O458" s="1633"/>
      <c r="P458" s="1584"/>
      <c r="Q458" s="1633"/>
      <c r="R458" s="1584"/>
      <c r="S458" s="1633"/>
      <c r="T458" s="1584"/>
      <c r="U458" s="1633"/>
      <c r="V458" s="1584"/>
      <c r="W458" s="1633"/>
      <c r="X458" s="1584"/>
      <c r="Y458" s="1633"/>
    </row>
    <row r="459" spans="1:25" ht="30">
      <c r="A459" s="1585"/>
      <c r="B459" s="1674" t="s">
        <v>3878</v>
      </c>
      <c r="C459" s="1513" t="s">
        <v>4410</v>
      </c>
      <c r="D459" s="1489"/>
      <c r="E459" s="1567"/>
      <c r="F459" s="1593"/>
      <c r="G459" s="660"/>
      <c r="H459" s="1584" t="s">
        <v>3028</v>
      </c>
      <c r="I459" s="1633"/>
      <c r="J459" s="1584" t="s">
        <v>3806</v>
      </c>
      <c r="K459" s="1633"/>
      <c r="L459" s="1584" t="s">
        <v>3028</v>
      </c>
      <c r="M459" s="1634"/>
      <c r="N459" s="1584"/>
      <c r="O459" s="1633"/>
      <c r="P459" s="1584"/>
      <c r="Q459" s="1633"/>
      <c r="R459" s="1584"/>
      <c r="S459" s="1633"/>
      <c r="T459" s="1584"/>
      <c r="U459" s="1633"/>
      <c r="V459" s="1584"/>
      <c r="W459" s="1633"/>
      <c r="X459" s="1584"/>
      <c r="Y459" s="1633"/>
    </row>
    <row r="460" spans="1:25" s="364" customFormat="1">
      <c r="A460" s="1675"/>
      <c r="B460" s="1676" t="s">
        <v>4411</v>
      </c>
      <c r="C460" s="1699" t="s">
        <v>1653</v>
      </c>
      <c r="D460" s="1652"/>
      <c r="E460" s="1653"/>
      <c r="F460" s="1654"/>
      <c r="G460" s="682"/>
      <c r="H460" s="1584" t="s">
        <v>3028</v>
      </c>
      <c r="I460" s="1633"/>
      <c r="J460" s="1584" t="s">
        <v>3807</v>
      </c>
      <c r="K460" s="1655"/>
      <c r="L460" s="1584" t="s">
        <v>3028</v>
      </c>
      <c r="M460" s="1656"/>
      <c r="N460" s="1584"/>
      <c r="O460" s="1655"/>
      <c r="P460" s="1584"/>
      <c r="Q460" s="1655"/>
      <c r="R460" s="1584"/>
      <c r="S460" s="1655"/>
      <c r="T460" s="1584"/>
      <c r="U460" s="1655"/>
      <c r="V460" s="1584"/>
      <c r="W460" s="1655"/>
      <c r="X460" s="1584"/>
      <c r="Y460" s="1655"/>
    </row>
    <row r="461" spans="1:25" s="364" customFormat="1">
      <c r="A461" s="1675"/>
      <c r="B461" s="1665" t="s">
        <v>4412</v>
      </c>
      <c r="C461" s="1699"/>
      <c r="D461" s="1652"/>
      <c r="E461" s="1653"/>
      <c r="F461" s="1654"/>
      <c r="G461" s="682"/>
      <c r="H461" s="1584"/>
      <c r="I461" s="1655"/>
      <c r="J461" s="1584"/>
      <c r="K461" s="1655"/>
      <c r="L461" s="1584"/>
      <c r="M461" s="1656"/>
      <c r="N461" s="1584"/>
      <c r="O461" s="1655"/>
      <c r="P461" s="1584"/>
      <c r="Q461" s="1655"/>
      <c r="R461" s="1584"/>
      <c r="S461" s="1655"/>
      <c r="T461" s="1584"/>
      <c r="U461" s="1655"/>
      <c r="V461" s="1584"/>
      <c r="W461" s="1655"/>
      <c r="X461" s="1584"/>
      <c r="Y461" s="1655"/>
    </row>
    <row r="462" spans="1:25" s="364" customFormat="1" ht="30">
      <c r="A462" s="1675"/>
      <c r="B462" s="1674" t="s">
        <v>3878</v>
      </c>
      <c r="C462" s="1513" t="s">
        <v>4410</v>
      </c>
      <c r="D462" s="1652"/>
      <c r="E462" s="1653"/>
      <c r="F462" s="1654"/>
      <c r="G462" s="682"/>
      <c r="H462" s="1584" t="s">
        <v>3028</v>
      </c>
      <c r="I462" s="1655"/>
      <c r="J462" s="1584" t="s">
        <v>3806</v>
      </c>
      <c r="K462" s="1655"/>
      <c r="L462" s="1584" t="s">
        <v>3028</v>
      </c>
      <c r="M462" s="1656"/>
      <c r="N462" s="1584"/>
      <c r="O462" s="1655"/>
      <c r="P462" s="1584" t="s">
        <v>3806</v>
      </c>
      <c r="Q462" s="1655"/>
      <c r="R462" s="1584"/>
      <c r="S462" s="1655"/>
      <c r="T462" s="1584"/>
      <c r="U462" s="1655"/>
      <c r="V462" s="1584"/>
      <c r="W462" s="1655"/>
      <c r="X462" s="1584"/>
      <c r="Y462" s="1655"/>
    </row>
    <row r="463" spans="1:25" ht="30">
      <c r="A463" s="1585"/>
      <c r="B463" s="1665" t="s">
        <v>4413</v>
      </c>
      <c r="C463" s="1513" t="s">
        <v>4414</v>
      </c>
      <c r="D463" s="1489"/>
      <c r="E463" s="1567"/>
      <c r="F463" s="1593"/>
      <c r="G463" s="660"/>
      <c r="H463" s="1584"/>
      <c r="I463" s="1633"/>
      <c r="J463" s="1584"/>
      <c r="K463" s="1633"/>
      <c r="L463" s="1584"/>
      <c r="M463" s="1634"/>
      <c r="N463" s="1584"/>
      <c r="O463" s="1633"/>
      <c r="P463" s="1584"/>
      <c r="Q463" s="1633"/>
      <c r="R463" s="1584"/>
      <c r="S463" s="1633"/>
      <c r="T463" s="1584"/>
      <c r="U463" s="1633"/>
      <c r="V463" s="1584"/>
      <c r="W463" s="1633"/>
      <c r="X463" s="1584"/>
      <c r="Y463" s="1633"/>
    </row>
    <row r="464" spans="1:25">
      <c r="A464" s="1585"/>
      <c r="B464" s="1674" t="s">
        <v>3878</v>
      </c>
      <c r="C464" s="1513" t="s">
        <v>4415</v>
      </c>
      <c r="D464" s="1489"/>
      <c r="E464" s="1567"/>
      <c r="F464" s="1593"/>
      <c r="G464" s="660"/>
      <c r="H464" s="1584" t="s">
        <v>3028</v>
      </c>
      <c r="I464" s="1633"/>
      <c r="J464" s="1584" t="s">
        <v>3806</v>
      </c>
      <c r="K464" s="1633"/>
      <c r="L464" s="1584" t="s">
        <v>3028</v>
      </c>
      <c r="M464" s="1634"/>
      <c r="N464" s="1584"/>
      <c r="O464" s="1633"/>
      <c r="P464" s="1584" t="s">
        <v>3028</v>
      </c>
      <c r="Q464" s="1633"/>
      <c r="R464" s="1584"/>
      <c r="S464" s="1633"/>
      <c r="T464" s="1584"/>
      <c r="U464" s="1633"/>
      <c r="V464" s="1584"/>
      <c r="W464" s="1633"/>
      <c r="X464" s="1584"/>
      <c r="Y464" s="1633"/>
    </row>
    <row r="465" spans="1:25" ht="30">
      <c r="A465" s="1585"/>
      <c r="B465" s="1674" t="s">
        <v>4416</v>
      </c>
      <c r="C465" s="1513" t="s">
        <v>4417</v>
      </c>
      <c r="D465" s="1489"/>
      <c r="E465" s="1567"/>
      <c r="F465" s="1593"/>
      <c r="G465" s="660"/>
      <c r="H465" s="1584" t="s">
        <v>3028</v>
      </c>
      <c r="I465" s="1633"/>
      <c r="J465" s="1584" t="s">
        <v>3028</v>
      </c>
      <c r="K465" s="1633"/>
      <c r="L465" s="1584" t="s">
        <v>3028</v>
      </c>
      <c r="M465" s="1634"/>
      <c r="N465" s="1584"/>
      <c r="O465" s="1633"/>
      <c r="P465" s="1584" t="s">
        <v>3028</v>
      </c>
      <c r="Q465" s="1633"/>
      <c r="R465" s="1584"/>
      <c r="S465" s="1633"/>
      <c r="T465" s="1584"/>
      <c r="U465" s="1633"/>
      <c r="V465" s="1584"/>
      <c r="W465" s="1633"/>
      <c r="X465" s="1584"/>
      <c r="Y465" s="1633"/>
    </row>
    <row r="466" spans="1:25" ht="30">
      <c r="A466" s="1585"/>
      <c r="B466" s="1674" t="s">
        <v>4418</v>
      </c>
      <c r="C466" s="1513" t="s">
        <v>4419</v>
      </c>
      <c r="D466" s="1489"/>
      <c r="E466" s="1567"/>
      <c r="F466" s="1593"/>
      <c r="G466" s="660"/>
      <c r="H466" s="1584" t="s">
        <v>3028</v>
      </c>
      <c r="I466" s="1633"/>
      <c r="J466" s="1584" t="s">
        <v>3806</v>
      </c>
      <c r="K466" s="1633"/>
      <c r="L466" s="1584" t="s">
        <v>3028</v>
      </c>
      <c r="M466" s="1634"/>
      <c r="N466" s="1584"/>
      <c r="O466" s="1633"/>
      <c r="P466" s="1584" t="s">
        <v>3806</v>
      </c>
      <c r="Q466" s="1633"/>
      <c r="R466" s="1584"/>
      <c r="S466" s="1633"/>
      <c r="T466" s="1584"/>
      <c r="U466" s="1633"/>
      <c r="V466" s="1584"/>
      <c r="W466" s="1633"/>
      <c r="X466" s="1584"/>
      <c r="Y466" s="1633"/>
    </row>
    <row r="467" spans="1:25" s="364" customFormat="1" ht="45">
      <c r="A467" s="1649"/>
      <c r="B467" s="1706" t="s">
        <v>4420</v>
      </c>
      <c r="C467" s="1651" t="s">
        <v>4421</v>
      </c>
      <c r="D467" s="1652"/>
      <c r="E467" s="1653"/>
      <c r="F467" s="1654"/>
      <c r="G467" s="682"/>
      <c r="H467" s="1584" t="s">
        <v>3028</v>
      </c>
      <c r="I467" s="1655" t="s">
        <v>4293</v>
      </c>
      <c r="J467" s="1584" t="s">
        <v>3028</v>
      </c>
      <c r="K467" s="1655"/>
      <c r="L467" s="1584" t="s">
        <v>3028</v>
      </c>
      <c r="M467" s="1656" t="s">
        <v>4293</v>
      </c>
      <c r="N467" s="1584"/>
      <c r="O467" s="1655"/>
      <c r="P467" s="1584" t="s">
        <v>3028</v>
      </c>
      <c r="Q467" s="1655" t="s">
        <v>3528</v>
      </c>
      <c r="R467" s="1584"/>
      <c r="S467" s="1655"/>
      <c r="T467" s="1584"/>
      <c r="U467" s="1655"/>
      <c r="V467" s="1584"/>
      <c r="W467" s="1655"/>
      <c r="X467" s="1584"/>
      <c r="Y467" s="1655"/>
    </row>
    <row r="468" spans="1:25">
      <c r="A468" s="1585"/>
      <c r="B468" s="523" t="s">
        <v>3963</v>
      </c>
      <c r="C468" s="1513"/>
      <c r="D468" s="1489"/>
      <c r="E468" s="1567"/>
      <c r="F468" s="1593"/>
      <c r="G468" s="660"/>
      <c r="H468" s="1584" t="s">
        <v>3807</v>
      </c>
      <c r="I468" s="1642" t="s">
        <v>3964</v>
      </c>
      <c r="J468" s="1584" t="s">
        <v>3806</v>
      </c>
      <c r="K468" s="1633"/>
      <c r="L468" s="1584" t="s">
        <v>3028</v>
      </c>
      <c r="M468" s="1634" t="s">
        <v>3528</v>
      </c>
      <c r="N468" s="1584"/>
      <c r="O468" s="1633"/>
      <c r="P468" s="1584" t="s">
        <v>3806</v>
      </c>
      <c r="Q468" s="1633"/>
      <c r="R468" s="1584"/>
      <c r="S468" s="1633"/>
      <c r="T468" s="1584"/>
      <c r="U468" s="1633"/>
      <c r="V468" s="1584"/>
      <c r="W468" s="1633"/>
      <c r="X468" s="1584"/>
      <c r="Y468" s="1633"/>
    </row>
    <row r="469" spans="1:25" ht="30">
      <c r="A469" s="1585"/>
      <c r="B469" s="1674" t="s">
        <v>4422</v>
      </c>
      <c r="C469" s="1513" t="s">
        <v>4423</v>
      </c>
      <c r="D469" s="1489"/>
      <c r="E469" s="1567"/>
      <c r="F469" s="1593"/>
      <c r="G469" s="660"/>
      <c r="H469" s="1584" t="s">
        <v>3028</v>
      </c>
      <c r="I469" s="1633"/>
      <c r="J469" s="1584" t="s">
        <v>3028</v>
      </c>
      <c r="K469" s="1633"/>
      <c r="L469" s="1584" t="s">
        <v>3028</v>
      </c>
      <c r="M469" s="1634"/>
      <c r="N469" s="1584"/>
      <c r="O469" s="1633"/>
      <c r="P469" s="1584" t="s">
        <v>3806</v>
      </c>
      <c r="Q469" s="1633"/>
      <c r="R469" s="1584"/>
      <c r="S469" s="1633"/>
      <c r="T469" s="1584"/>
      <c r="U469" s="1633"/>
      <c r="V469" s="1584"/>
      <c r="W469" s="1633"/>
      <c r="X469" s="1584"/>
      <c r="Y469" s="1633"/>
    </row>
    <row r="470" spans="1:25">
      <c r="A470" s="1585"/>
      <c r="B470" s="1674" t="s">
        <v>4424</v>
      </c>
      <c r="C470" s="1513"/>
      <c r="D470" s="1489"/>
      <c r="E470" s="1567"/>
      <c r="F470" s="1593"/>
      <c r="G470" s="660"/>
      <c r="H470" s="1584" t="s">
        <v>3028</v>
      </c>
      <c r="I470" s="1633"/>
      <c r="J470" s="1584" t="s">
        <v>3028</v>
      </c>
      <c r="K470" s="1633"/>
      <c r="L470" s="1584" t="s">
        <v>3028</v>
      </c>
      <c r="M470" s="1634"/>
      <c r="N470" s="1584"/>
      <c r="O470" s="1633"/>
      <c r="P470" s="1584" t="s">
        <v>3806</v>
      </c>
      <c r="Q470" s="1633"/>
      <c r="R470" s="1584"/>
      <c r="S470" s="1633"/>
      <c r="T470" s="1584"/>
      <c r="U470" s="1633"/>
      <c r="V470" s="1584"/>
      <c r="W470" s="1633"/>
      <c r="X470" s="1584"/>
      <c r="Y470" s="1633"/>
    </row>
    <row r="471" spans="1:25">
      <c r="A471" s="1585"/>
      <c r="B471" s="1674" t="s">
        <v>4286</v>
      </c>
      <c r="C471" s="1513"/>
      <c r="D471" s="1489"/>
      <c r="E471" s="1567"/>
      <c r="F471" s="1593"/>
      <c r="G471" s="660"/>
      <c r="H471" s="1584" t="s">
        <v>3028</v>
      </c>
      <c r="I471" s="1633"/>
      <c r="J471" s="1584" t="s">
        <v>3028</v>
      </c>
      <c r="K471" s="1633"/>
      <c r="L471" s="1584" t="s">
        <v>3028</v>
      </c>
      <c r="M471" s="1634"/>
      <c r="N471" s="1584"/>
      <c r="O471" s="1633"/>
      <c r="P471" s="1584" t="s">
        <v>3806</v>
      </c>
      <c r="Q471" s="1633"/>
      <c r="R471" s="1584"/>
      <c r="S471" s="1633"/>
      <c r="T471" s="1584"/>
      <c r="U471" s="1633"/>
      <c r="V471" s="1584"/>
      <c r="W471" s="1633"/>
      <c r="X471" s="1584"/>
      <c r="Y471" s="1633"/>
    </row>
    <row r="472" spans="1:25">
      <c r="A472" s="1585"/>
      <c r="B472" s="1674" t="s">
        <v>4425</v>
      </c>
      <c r="C472" s="1513"/>
      <c r="D472" s="1489"/>
      <c r="E472" s="1567"/>
      <c r="F472" s="1593"/>
      <c r="G472" s="660"/>
      <c r="H472" s="1584" t="s">
        <v>3807</v>
      </c>
      <c r="I472" s="1695">
        <v>2500</v>
      </c>
      <c r="J472" s="1584"/>
      <c r="K472" s="1633"/>
      <c r="L472" s="1584" t="s">
        <v>3806</v>
      </c>
      <c r="M472" s="1634"/>
      <c r="N472" s="1584"/>
      <c r="O472" s="1633"/>
      <c r="P472" s="1584"/>
      <c r="Q472" s="1633"/>
      <c r="R472" s="1584"/>
      <c r="S472" s="1633"/>
      <c r="T472" s="1584"/>
      <c r="U472" s="1633"/>
      <c r="V472" s="1584"/>
      <c r="W472" s="1633"/>
      <c r="X472" s="1584"/>
      <c r="Y472" s="1633"/>
    </row>
    <row r="473" spans="1:25">
      <c r="A473" s="1675"/>
      <c r="B473" s="1676" t="s">
        <v>4411</v>
      </c>
      <c r="C473" s="1699" t="s">
        <v>1653</v>
      </c>
      <c r="D473" s="1652"/>
      <c r="E473" s="1653"/>
      <c r="F473" s="1654"/>
      <c r="G473" s="682"/>
      <c r="H473" s="1584" t="s">
        <v>3028</v>
      </c>
      <c r="I473" s="1633"/>
      <c r="J473" s="1584" t="s">
        <v>3807</v>
      </c>
      <c r="K473" s="1633"/>
      <c r="L473" s="1584" t="s">
        <v>3028</v>
      </c>
      <c r="M473" s="1634"/>
      <c r="N473" s="1584"/>
      <c r="O473" s="1633"/>
      <c r="P473" s="1584" t="s">
        <v>3806</v>
      </c>
      <c r="Q473" s="1633"/>
      <c r="R473" s="1584"/>
      <c r="S473" s="1633"/>
      <c r="T473" s="1584"/>
      <c r="U473" s="1633"/>
      <c r="V473" s="1584"/>
      <c r="W473" s="1633"/>
      <c r="X473" s="1584"/>
      <c r="Y473" s="1633"/>
    </row>
    <row r="474" spans="1:25">
      <c r="A474" s="1585"/>
      <c r="B474" s="1665" t="s">
        <v>579</v>
      </c>
      <c r="C474" s="1513" t="s">
        <v>1756</v>
      </c>
      <c r="D474" s="1489"/>
      <c r="E474" s="1567"/>
      <c r="F474" s="1593"/>
      <c r="G474" s="660"/>
      <c r="H474" s="1584"/>
      <c r="I474" s="1633"/>
      <c r="J474" s="1584"/>
      <c r="K474" s="1633"/>
      <c r="L474" s="1584"/>
      <c r="M474" s="1634"/>
      <c r="N474" s="1584"/>
      <c r="O474" s="1633"/>
      <c r="P474" s="1584"/>
      <c r="Q474" s="1633"/>
      <c r="R474" s="1584"/>
      <c r="S474" s="1633"/>
      <c r="T474" s="1584"/>
      <c r="U474" s="1633"/>
      <c r="V474" s="1584"/>
      <c r="W474" s="1633"/>
      <c r="X474" s="1584"/>
      <c r="Y474" s="1633"/>
    </row>
    <row r="475" spans="1:25" ht="30">
      <c r="A475" s="1585"/>
      <c r="B475" s="1674" t="s">
        <v>4426</v>
      </c>
      <c r="C475" s="1513" t="s">
        <v>4427</v>
      </c>
      <c r="D475" s="1489"/>
      <c r="E475" s="1567"/>
      <c r="F475" s="1593"/>
      <c r="G475" s="660"/>
      <c r="H475" s="1584" t="s">
        <v>3028</v>
      </c>
      <c r="I475" s="1633"/>
      <c r="J475" s="1584" t="s">
        <v>3028</v>
      </c>
      <c r="K475" s="1633"/>
      <c r="L475" s="1584" t="s">
        <v>3028</v>
      </c>
      <c r="M475" s="1634"/>
      <c r="N475" s="1584"/>
      <c r="O475" s="1633"/>
      <c r="P475" s="1584" t="s">
        <v>3028</v>
      </c>
      <c r="Q475" s="1633"/>
      <c r="R475" s="1584"/>
      <c r="S475" s="1633"/>
      <c r="T475" s="1584"/>
      <c r="U475" s="1633"/>
      <c r="V475" s="1584"/>
      <c r="W475" s="1633"/>
      <c r="X475" s="1584"/>
      <c r="Y475" s="1633"/>
    </row>
    <row r="476" spans="1:25" ht="30">
      <c r="A476" s="1585"/>
      <c r="B476" s="1674" t="s">
        <v>4428</v>
      </c>
      <c r="C476" s="1513" t="s">
        <v>4429</v>
      </c>
      <c r="D476" s="1489"/>
      <c r="E476" s="1567"/>
      <c r="F476" s="1593"/>
      <c r="G476" s="660"/>
      <c r="H476" s="1584" t="s">
        <v>3028</v>
      </c>
      <c r="I476" s="1633"/>
      <c r="J476" s="1584" t="s">
        <v>3028</v>
      </c>
      <c r="K476" s="1633"/>
      <c r="L476" s="1584" t="s">
        <v>3028</v>
      </c>
      <c r="M476" s="1634"/>
      <c r="N476" s="1584"/>
      <c r="O476" s="1633"/>
      <c r="P476" s="1584" t="s">
        <v>3028</v>
      </c>
      <c r="Q476" s="1633"/>
      <c r="R476" s="1584"/>
      <c r="S476" s="1633"/>
      <c r="T476" s="1584"/>
      <c r="U476" s="1633"/>
      <c r="V476" s="1584"/>
      <c r="W476" s="1633"/>
      <c r="X476" s="1584"/>
      <c r="Y476" s="1633"/>
    </row>
    <row r="477" spans="1:25" ht="30">
      <c r="A477" s="1585"/>
      <c r="B477" s="1680" t="s">
        <v>4430</v>
      </c>
      <c r="C477" s="1513" t="s">
        <v>4429</v>
      </c>
      <c r="D477" s="1489"/>
      <c r="E477" s="1567"/>
      <c r="F477" s="1593"/>
      <c r="G477" s="660"/>
      <c r="H477" s="1584" t="s">
        <v>3028</v>
      </c>
      <c r="I477" s="1633"/>
      <c r="J477" s="1584" t="s">
        <v>3028</v>
      </c>
      <c r="K477" s="1633"/>
      <c r="L477" s="1584" t="s">
        <v>3028</v>
      </c>
      <c r="M477" s="1634"/>
      <c r="N477" s="1584"/>
      <c r="O477" s="1633"/>
      <c r="P477" s="1584" t="s">
        <v>3028</v>
      </c>
      <c r="Q477" s="1633"/>
      <c r="R477" s="1584"/>
      <c r="S477" s="1633"/>
      <c r="T477" s="1584"/>
      <c r="U477" s="1633"/>
      <c r="V477" s="1584"/>
      <c r="W477" s="1633"/>
      <c r="X477" s="1584"/>
      <c r="Y477" s="1633"/>
    </row>
    <row r="478" spans="1:25" ht="30">
      <c r="A478" s="1585"/>
      <c r="B478" s="1674" t="s">
        <v>4431</v>
      </c>
      <c r="C478" s="1513" t="s">
        <v>4432</v>
      </c>
      <c r="D478" s="1489"/>
      <c r="E478" s="1567"/>
      <c r="F478" s="1593"/>
      <c r="G478" s="660"/>
      <c r="H478" s="1584" t="s">
        <v>3028</v>
      </c>
      <c r="I478" s="1633"/>
      <c r="J478" s="1584" t="s">
        <v>3806</v>
      </c>
      <c r="K478" s="1633"/>
      <c r="L478" s="1584" t="s">
        <v>3028</v>
      </c>
      <c r="M478" s="1634"/>
      <c r="N478" s="1584"/>
      <c r="O478" s="1633"/>
      <c r="P478" s="1584" t="s">
        <v>3806</v>
      </c>
      <c r="Q478" s="1633"/>
      <c r="R478" s="1584"/>
      <c r="S478" s="1633"/>
      <c r="T478" s="1584"/>
      <c r="U478" s="1633"/>
      <c r="V478" s="1584"/>
      <c r="W478" s="1633"/>
      <c r="X478" s="1584"/>
      <c r="Y478" s="1633"/>
    </row>
    <row r="479" spans="1:25">
      <c r="A479" s="1585"/>
      <c r="B479" s="1687" t="s">
        <v>4433</v>
      </c>
      <c r="C479" s="1513" t="s">
        <v>4434</v>
      </c>
      <c r="D479" s="1489"/>
      <c r="E479" s="1567"/>
      <c r="F479" s="1593"/>
      <c r="G479" s="660"/>
      <c r="H479" s="1584" t="s">
        <v>3028</v>
      </c>
      <c r="I479" s="1633"/>
      <c r="J479" s="1584" t="s">
        <v>3806</v>
      </c>
      <c r="K479" s="1633"/>
      <c r="L479" s="1584" t="s">
        <v>3028</v>
      </c>
      <c r="M479" s="1634"/>
      <c r="N479" s="1584"/>
      <c r="O479" s="1633"/>
      <c r="P479" s="1584" t="s">
        <v>3806</v>
      </c>
      <c r="Q479" s="1633"/>
      <c r="R479" s="1584"/>
      <c r="S479" s="1633"/>
      <c r="T479" s="1584"/>
      <c r="U479" s="1633"/>
      <c r="V479" s="1584"/>
      <c r="W479" s="1633"/>
      <c r="X479" s="1584"/>
      <c r="Y479" s="1633"/>
    </row>
    <row r="480" spans="1:25">
      <c r="A480" s="1585"/>
      <c r="B480" s="1674" t="s">
        <v>4435</v>
      </c>
      <c r="C480" s="1513" t="s">
        <v>4436</v>
      </c>
      <c r="D480" s="1489"/>
      <c r="E480" s="1567"/>
      <c r="F480" s="1593"/>
      <c r="G480" s="660"/>
      <c r="H480" s="1584" t="s">
        <v>3028</v>
      </c>
      <c r="I480" s="1633"/>
      <c r="J480" s="1584" t="s">
        <v>3806</v>
      </c>
      <c r="K480" s="1633"/>
      <c r="L480" s="1584" t="s">
        <v>3028</v>
      </c>
      <c r="M480" s="1634"/>
      <c r="N480" s="1584"/>
      <c r="O480" s="1633"/>
      <c r="P480" s="1584" t="s">
        <v>3806</v>
      </c>
      <c r="Q480" s="1633"/>
      <c r="R480" s="1584"/>
      <c r="S480" s="1633"/>
      <c r="T480" s="1584"/>
      <c r="U480" s="1633"/>
      <c r="V480" s="1584"/>
      <c r="W480" s="1633"/>
      <c r="X480" s="1584"/>
      <c r="Y480" s="1633"/>
    </row>
    <row r="481" spans="1:25" ht="30">
      <c r="A481" s="1585"/>
      <c r="B481" s="1674" t="s">
        <v>4437</v>
      </c>
      <c r="C481" s="1513" t="s">
        <v>4438</v>
      </c>
      <c r="D481" s="1489"/>
      <c r="E481" s="1567"/>
      <c r="F481" s="1593"/>
      <c r="G481" s="660"/>
      <c r="H481" s="1584" t="s">
        <v>3028</v>
      </c>
      <c r="I481" s="1633"/>
      <c r="J481" s="1584" t="s">
        <v>3028</v>
      </c>
      <c r="K481" s="1633"/>
      <c r="L481" s="1584" t="s">
        <v>3028</v>
      </c>
      <c r="M481" s="1634"/>
      <c r="N481" s="1584"/>
      <c r="O481" s="1633"/>
      <c r="P481" s="1584" t="s">
        <v>3806</v>
      </c>
      <c r="Q481" s="1633"/>
      <c r="R481" s="1584"/>
      <c r="S481" s="1633"/>
      <c r="T481" s="1584"/>
      <c r="U481" s="1633"/>
      <c r="V481" s="1584"/>
      <c r="W481" s="1633"/>
      <c r="X481" s="1584"/>
      <c r="Y481" s="1633"/>
    </row>
    <row r="482" spans="1:25">
      <c r="A482" s="1585"/>
      <c r="B482" s="1674" t="s">
        <v>4439</v>
      </c>
      <c r="C482" s="1513" t="s">
        <v>4440</v>
      </c>
      <c r="D482" s="1489"/>
      <c r="E482" s="1567"/>
      <c r="F482" s="1593"/>
      <c r="G482" s="660"/>
      <c r="H482" s="1584" t="s">
        <v>3028</v>
      </c>
      <c r="I482" s="1633"/>
      <c r="J482" s="1584" t="s">
        <v>3806</v>
      </c>
      <c r="K482" s="1633"/>
      <c r="L482" s="1584" t="s">
        <v>3028</v>
      </c>
      <c r="M482" s="1634"/>
      <c r="N482" s="1584"/>
      <c r="O482" s="1633"/>
      <c r="P482" s="1584" t="s">
        <v>3806</v>
      </c>
      <c r="Q482" s="1633"/>
      <c r="R482" s="1584"/>
      <c r="S482" s="1633"/>
      <c r="T482" s="1584"/>
      <c r="U482" s="1633"/>
      <c r="V482" s="1584"/>
      <c r="W482" s="1633"/>
      <c r="X482" s="1584"/>
      <c r="Y482" s="1633"/>
    </row>
    <row r="483" spans="1:25" ht="30">
      <c r="A483" s="1585"/>
      <c r="B483" s="1674" t="s">
        <v>3886</v>
      </c>
      <c r="C483" s="1513" t="s">
        <v>4441</v>
      </c>
      <c r="D483" s="1489"/>
      <c r="E483" s="1567"/>
      <c r="F483" s="1593"/>
      <c r="G483" s="660"/>
      <c r="H483" s="1584" t="s">
        <v>3028</v>
      </c>
      <c r="I483" s="1633"/>
      <c r="J483" s="1584" t="s">
        <v>3806</v>
      </c>
      <c r="K483" s="1633"/>
      <c r="L483" s="1584" t="s">
        <v>3028</v>
      </c>
      <c r="M483" s="1634"/>
      <c r="N483" s="1584"/>
      <c r="O483" s="1633"/>
      <c r="P483" s="1584" t="s">
        <v>3806</v>
      </c>
      <c r="Q483" s="1633"/>
      <c r="R483" s="1584"/>
      <c r="S483" s="1633"/>
      <c r="T483" s="1584"/>
      <c r="U483" s="1633"/>
      <c r="V483" s="1584"/>
      <c r="W483" s="1633"/>
      <c r="X483" s="1584"/>
      <c r="Y483" s="1633"/>
    </row>
    <row r="484" spans="1:25" ht="30">
      <c r="A484" s="1585"/>
      <c r="B484" s="1674" t="s">
        <v>4039</v>
      </c>
      <c r="C484" s="1513" t="s">
        <v>4442</v>
      </c>
      <c r="D484" s="1489"/>
      <c r="E484" s="1567"/>
      <c r="F484" s="1593"/>
      <c r="G484" s="660"/>
      <c r="H484" s="1584" t="s">
        <v>3028</v>
      </c>
      <c r="I484" s="1633"/>
      <c r="J484" s="1584" t="s">
        <v>3806</v>
      </c>
      <c r="K484" s="1633"/>
      <c r="L484" s="1584" t="s">
        <v>3028</v>
      </c>
      <c r="M484" s="1634"/>
      <c r="N484" s="1584"/>
      <c r="O484" s="1633"/>
      <c r="P484" s="1584" t="s">
        <v>3028</v>
      </c>
      <c r="Q484" s="1633"/>
      <c r="R484" s="1584"/>
      <c r="S484" s="1633"/>
      <c r="T484" s="1584"/>
      <c r="U484" s="1633"/>
      <c r="V484" s="1584"/>
      <c r="W484" s="1633"/>
      <c r="X484" s="1584"/>
      <c r="Y484" s="1633"/>
    </row>
    <row r="485" spans="1:25">
      <c r="A485" s="1675"/>
      <c r="B485" s="1676" t="s">
        <v>4411</v>
      </c>
      <c r="C485" s="1699" t="s">
        <v>1653</v>
      </c>
      <c r="D485" s="1489"/>
      <c r="E485" s="1567"/>
      <c r="F485" s="1593"/>
      <c r="G485" s="660"/>
      <c r="H485" s="1584" t="s">
        <v>3028</v>
      </c>
      <c r="I485" s="1633"/>
      <c r="J485" s="1584" t="s">
        <v>3807</v>
      </c>
      <c r="K485" s="1633"/>
      <c r="L485" s="1584" t="s">
        <v>3028</v>
      </c>
      <c r="M485" s="1634"/>
      <c r="N485" s="1584"/>
      <c r="O485" s="1633"/>
      <c r="P485" s="1584" t="s">
        <v>3806</v>
      </c>
      <c r="Q485" s="1633"/>
      <c r="R485" s="1584"/>
      <c r="S485" s="1633"/>
      <c r="T485" s="1584"/>
      <c r="U485" s="1633"/>
      <c r="V485" s="1584"/>
      <c r="W485" s="1633"/>
      <c r="X485" s="1584"/>
      <c r="Y485" s="1633"/>
    </row>
    <row r="486" spans="1:25">
      <c r="A486" s="1585"/>
      <c r="B486" s="1665" t="s">
        <v>4443</v>
      </c>
      <c r="C486" s="1513" t="s">
        <v>1757</v>
      </c>
      <c r="D486" s="1489"/>
      <c r="E486" s="1567"/>
      <c r="F486" s="1593"/>
      <c r="G486" s="660"/>
      <c r="H486" s="1584"/>
      <c r="I486" s="1633"/>
      <c r="J486" s="1584"/>
      <c r="K486" s="1633"/>
      <c r="L486" s="1584"/>
      <c r="M486" s="1634"/>
      <c r="N486" s="1584"/>
      <c r="O486" s="1633"/>
      <c r="P486" s="1584"/>
      <c r="Q486" s="1633"/>
      <c r="R486" s="1584"/>
      <c r="S486" s="1633"/>
      <c r="T486" s="1584"/>
      <c r="U486" s="1633"/>
      <c r="V486" s="1584"/>
      <c r="W486" s="1633"/>
      <c r="X486" s="1584"/>
      <c r="Y486" s="1633"/>
    </row>
    <row r="487" spans="1:25">
      <c r="A487" s="1585"/>
      <c r="B487" s="1674" t="s">
        <v>4426</v>
      </c>
      <c r="C487" s="1513" t="s">
        <v>1757</v>
      </c>
      <c r="D487" s="1489"/>
      <c r="E487" s="1567"/>
      <c r="F487" s="1593"/>
      <c r="G487" s="660"/>
      <c r="H487" s="1584" t="s">
        <v>3028</v>
      </c>
      <c r="I487" s="1633"/>
      <c r="J487" s="1584" t="s">
        <v>3028</v>
      </c>
      <c r="K487" s="1633"/>
      <c r="L487" s="1584" t="s">
        <v>3028</v>
      </c>
      <c r="M487" s="1634"/>
      <c r="N487" s="1584"/>
      <c r="O487" s="1633"/>
      <c r="P487" s="1584" t="s">
        <v>3028</v>
      </c>
      <c r="Q487" s="1633" t="s">
        <v>3528</v>
      </c>
      <c r="R487" s="1584"/>
      <c r="S487" s="1633"/>
      <c r="T487" s="1584"/>
      <c r="U487" s="1633"/>
      <c r="V487" s="1584"/>
      <c r="W487" s="1633"/>
      <c r="X487" s="1584"/>
      <c r="Y487" s="1633"/>
    </row>
    <row r="488" spans="1:25" ht="30">
      <c r="A488" s="1585"/>
      <c r="B488" s="1674" t="s">
        <v>3878</v>
      </c>
      <c r="C488" s="1513" t="s">
        <v>4444</v>
      </c>
      <c r="D488" s="1489"/>
      <c r="E488" s="1567"/>
      <c r="F488" s="1593"/>
      <c r="G488" s="660"/>
      <c r="H488" s="1584" t="s">
        <v>3028</v>
      </c>
      <c r="I488" s="1633"/>
      <c r="J488" s="1584" t="s">
        <v>3806</v>
      </c>
      <c r="K488" s="1633"/>
      <c r="L488" s="1584" t="s">
        <v>3028</v>
      </c>
      <c r="M488" s="1634"/>
      <c r="N488" s="1584"/>
      <c r="O488" s="1633"/>
      <c r="P488" s="1584" t="s">
        <v>3028</v>
      </c>
      <c r="Q488" s="1633"/>
      <c r="R488" s="1584"/>
      <c r="S488" s="1633"/>
      <c r="T488" s="1584"/>
      <c r="U488" s="1633"/>
      <c r="V488" s="1584"/>
      <c r="W488" s="1633"/>
      <c r="X488" s="1584"/>
      <c r="Y488" s="1633"/>
    </row>
    <row r="489" spans="1:25" ht="30">
      <c r="A489" s="1585"/>
      <c r="B489" s="1674" t="s">
        <v>4445</v>
      </c>
      <c r="C489" s="1513" t="s">
        <v>4446</v>
      </c>
      <c r="D489" s="1489"/>
      <c r="E489" s="1567"/>
      <c r="F489" s="1593"/>
      <c r="G489" s="660"/>
      <c r="H489" s="1584" t="s">
        <v>3028</v>
      </c>
      <c r="I489" s="1633"/>
      <c r="J489" s="1584" t="s">
        <v>3028</v>
      </c>
      <c r="K489" s="1633"/>
      <c r="L489" s="1584" t="s">
        <v>3028</v>
      </c>
      <c r="M489" s="1634"/>
      <c r="N489" s="1584"/>
      <c r="O489" s="1633"/>
      <c r="P489" s="1584" t="s">
        <v>3028</v>
      </c>
      <c r="Q489" s="1633"/>
      <c r="R489" s="1584"/>
      <c r="S489" s="1633"/>
      <c r="T489" s="1584"/>
      <c r="U489" s="1633"/>
      <c r="V489" s="1584"/>
      <c r="W489" s="1633"/>
      <c r="X489" s="1584"/>
      <c r="Y489" s="1633"/>
    </row>
    <row r="490" spans="1:25" ht="30">
      <c r="A490" s="1585"/>
      <c r="B490" s="1674" t="s">
        <v>4447</v>
      </c>
      <c r="C490" s="1513" t="s">
        <v>4448</v>
      </c>
      <c r="D490" s="1489"/>
      <c r="E490" s="1567"/>
      <c r="F490" s="1593"/>
      <c r="G490" s="660"/>
      <c r="H490" s="1584" t="s">
        <v>3028</v>
      </c>
      <c r="I490" s="1633"/>
      <c r="J490" s="1584" t="s">
        <v>3028</v>
      </c>
      <c r="K490" s="1633"/>
      <c r="L490" s="1584" t="s">
        <v>3028</v>
      </c>
      <c r="M490" s="1634"/>
      <c r="N490" s="1584"/>
      <c r="O490" s="1633"/>
      <c r="P490" s="1584" t="s">
        <v>3028</v>
      </c>
      <c r="Q490" s="1633" t="s">
        <v>3528</v>
      </c>
      <c r="R490" s="1584"/>
      <c r="S490" s="1633"/>
      <c r="T490" s="1584"/>
      <c r="U490" s="1633"/>
      <c r="V490" s="1584"/>
      <c r="W490" s="1633"/>
      <c r="X490" s="1584"/>
      <c r="Y490" s="1633"/>
    </row>
    <row r="491" spans="1:25">
      <c r="A491" s="1675"/>
      <c r="B491" s="1676" t="s">
        <v>4411</v>
      </c>
      <c r="C491" s="1699" t="s">
        <v>1653</v>
      </c>
      <c r="D491" s="1489"/>
      <c r="E491" s="1567"/>
      <c r="F491" s="1593"/>
      <c r="G491" s="660"/>
      <c r="H491" s="1584" t="s">
        <v>3028</v>
      </c>
      <c r="I491" s="1633"/>
      <c r="J491" s="1584"/>
      <c r="K491" s="1633"/>
      <c r="L491" s="1584" t="s">
        <v>3028</v>
      </c>
      <c r="M491" s="1634"/>
      <c r="N491" s="1584"/>
      <c r="O491" s="1633"/>
      <c r="P491" s="1584" t="s">
        <v>3806</v>
      </c>
      <c r="Q491" s="1633"/>
      <c r="R491" s="1584"/>
      <c r="S491" s="1633"/>
      <c r="T491" s="1584"/>
      <c r="U491" s="1633"/>
      <c r="V491" s="1584"/>
      <c r="W491" s="1633"/>
      <c r="X491" s="1584"/>
      <c r="Y491" s="1633"/>
    </row>
    <row r="492" spans="1:25" s="364" customFormat="1">
      <c r="A492" s="1649"/>
      <c r="B492" s="1696" t="s">
        <v>4449</v>
      </c>
      <c r="C492" s="1651" t="s">
        <v>1639</v>
      </c>
      <c r="D492" s="1652"/>
      <c r="E492" s="1653"/>
      <c r="F492" s="1654"/>
      <c r="G492" s="682"/>
      <c r="H492" s="1584"/>
      <c r="I492" s="1655"/>
      <c r="J492" s="1584"/>
      <c r="K492" s="1655"/>
      <c r="L492" s="1584"/>
      <c r="M492" s="1656"/>
      <c r="N492" s="1584"/>
      <c r="O492" s="1655"/>
      <c r="P492" s="1584"/>
      <c r="Q492" s="1655"/>
      <c r="R492" s="1584"/>
      <c r="S492" s="1655"/>
      <c r="T492" s="1584"/>
      <c r="U492" s="1655"/>
      <c r="V492" s="1584"/>
      <c r="W492" s="1655"/>
      <c r="X492" s="1584"/>
      <c r="Y492" s="1655"/>
    </row>
    <row r="493" spans="1:25" s="364" customFormat="1" ht="30">
      <c r="A493" s="1585"/>
      <c r="B493" s="1674" t="s">
        <v>3878</v>
      </c>
      <c r="C493" s="1513" t="s">
        <v>4444</v>
      </c>
      <c r="D493" s="1652"/>
      <c r="E493" s="1653"/>
      <c r="F493" s="1654"/>
      <c r="G493" s="682"/>
      <c r="H493" s="1584" t="s">
        <v>3028</v>
      </c>
      <c r="I493" s="1655"/>
      <c r="J493" s="1584" t="s">
        <v>3806</v>
      </c>
      <c r="K493" s="1655"/>
      <c r="L493" s="1584" t="s">
        <v>3028</v>
      </c>
      <c r="M493" s="1656"/>
      <c r="N493" s="1584"/>
      <c r="O493" s="1655"/>
      <c r="P493" s="1584" t="s">
        <v>3806</v>
      </c>
      <c r="Q493" s="1655"/>
      <c r="R493" s="1584"/>
      <c r="S493" s="1655"/>
      <c r="T493" s="1584"/>
      <c r="U493" s="1655"/>
      <c r="V493" s="1584"/>
      <c r="W493" s="1655"/>
      <c r="X493" s="1584"/>
      <c r="Y493" s="1655"/>
    </row>
    <row r="494" spans="1:25">
      <c r="A494" s="1585"/>
      <c r="B494" s="1665" t="s">
        <v>4450</v>
      </c>
      <c r="C494" s="1513" t="s">
        <v>1758</v>
      </c>
      <c r="D494" s="1489"/>
      <c r="E494" s="1567"/>
      <c r="F494" s="1593"/>
      <c r="G494" s="660"/>
      <c r="H494" s="1584"/>
      <c r="I494" s="1633"/>
      <c r="J494" s="1584"/>
      <c r="K494" s="1633"/>
      <c r="L494" s="1584"/>
      <c r="M494" s="1634"/>
      <c r="N494" s="1584"/>
      <c r="O494" s="1633"/>
      <c r="P494" s="1584"/>
      <c r="Q494" s="1633"/>
      <c r="R494" s="1584"/>
      <c r="S494" s="1633"/>
      <c r="T494" s="1584"/>
      <c r="U494" s="1633"/>
      <c r="V494" s="1584"/>
      <c r="W494" s="1633"/>
      <c r="X494" s="1584"/>
      <c r="Y494" s="1633"/>
    </row>
    <row r="495" spans="1:25">
      <c r="A495" s="1585"/>
      <c r="B495" s="1674" t="s">
        <v>4117</v>
      </c>
      <c r="C495" s="1513" t="s">
        <v>4451</v>
      </c>
      <c r="D495" s="1489"/>
      <c r="E495" s="1567"/>
      <c r="F495" s="1593"/>
      <c r="G495" s="660"/>
      <c r="H495" s="1584" t="s">
        <v>3028</v>
      </c>
      <c r="I495" s="1633"/>
      <c r="J495" s="1584" t="s">
        <v>3806</v>
      </c>
      <c r="K495" s="1633"/>
      <c r="L495" s="1584" t="s">
        <v>3028</v>
      </c>
      <c r="M495" s="1634"/>
      <c r="N495" s="1584"/>
      <c r="O495" s="1633"/>
      <c r="P495" s="1584" t="s">
        <v>3028</v>
      </c>
      <c r="Q495" s="1633"/>
      <c r="R495" s="1584"/>
      <c r="S495" s="1633"/>
      <c r="T495" s="1584"/>
      <c r="U495" s="1633"/>
      <c r="V495" s="1584"/>
      <c r="W495" s="1633"/>
      <c r="X495" s="1584"/>
      <c r="Y495" s="1633"/>
    </row>
    <row r="496" spans="1:25" ht="30">
      <c r="A496" s="1585"/>
      <c r="B496" s="1674" t="s">
        <v>3878</v>
      </c>
      <c r="C496" s="1513" t="s">
        <v>4452</v>
      </c>
      <c r="D496" s="1489"/>
      <c r="E496" s="1567"/>
      <c r="F496" s="1593"/>
      <c r="G496" s="660"/>
      <c r="H496" s="1584" t="s">
        <v>3028</v>
      </c>
      <c r="I496" s="1633"/>
      <c r="J496" s="1584" t="s">
        <v>3806</v>
      </c>
      <c r="K496" s="1633"/>
      <c r="L496" s="1584" t="s">
        <v>3028</v>
      </c>
      <c r="M496" s="1634"/>
      <c r="N496" s="1584"/>
      <c r="O496" s="1633"/>
      <c r="P496" s="1584" t="s">
        <v>3028</v>
      </c>
      <c r="Q496" s="1633"/>
      <c r="R496" s="1584"/>
      <c r="S496" s="1633"/>
      <c r="T496" s="1584"/>
      <c r="U496" s="1633"/>
      <c r="V496" s="1584"/>
      <c r="W496" s="1633"/>
      <c r="X496" s="1584"/>
      <c r="Y496" s="1633"/>
    </row>
    <row r="497" spans="1:25">
      <c r="A497" s="1585" t="s">
        <v>4000</v>
      </c>
      <c r="B497" s="1676" t="s">
        <v>4453</v>
      </c>
      <c r="C497" s="1513" t="s">
        <v>1653</v>
      </c>
      <c r="D497" s="1489"/>
      <c r="E497" s="1567"/>
      <c r="F497" s="1593"/>
      <c r="G497" s="660"/>
      <c r="H497" s="1584" t="s">
        <v>3807</v>
      </c>
      <c r="I497" s="1633"/>
      <c r="J497" s="1584" t="s">
        <v>3807</v>
      </c>
      <c r="K497" s="1633"/>
      <c r="L497" s="1584" t="s">
        <v>3807</v>
      </c>
      <c r="M497" s="1634"/>
      <c r="N497" s="1584"/>
      <c r="O497" s="1633"/>
      <c r="P497" s="1584" t="s">
        <v>3806</v>
      </c>
      <c r="Q497" s="1633"/>
      <c r="R497" s="1584"/>
      <c r="S497" s="1633"/>
      <c r="T497" s="1584"/>
      <c r="U497" s="1633"/>
      <c r="V497" s="1584"/>
      <c r="W497" s="1633"/>
      <c r="X497" s="1584"/>
      <c r="Y497" s="1633"/>
    </row>
    <row r="498" spans="1:25">
      <c r="A498" s="1585"/>
      <c r="B498" s="1665" t="s">
        <v>4454</v>
      </c>
      <c r="C498" s="1513" t="s">
        <v>1758</v>
      </c>
      <c r="D498" s="1489"/>
      <c r="E498" s="1567"/>
      <c r="F498" s="1593"/>
      <c r="G498" s="660"/>
      <c r="H498" s="1584"/>
      <c r="I498" s="1633"/>
      <c r="J498" s="1584"/>
      <c r="K498" s="1633"/>
      <c r="L498" s="1584"/>
      <c r="M498" s="1634"/>
      <c r="N498" s="1584"/>
      <c r="O498" s="1633"/>
      <c r="P498" s="1584"/>
      <c r="Q498" s="1633"/>
      <c r="R498" s="1584"/>
      <c r="S498" s="1633"/>
      <c r="T498" s="1584"/>
      <c r="U498" s="1633"/>
      <c r="V498" s="1584"/>
      <c r="W498" s="1633"/>
      <c r="X498" s="1584"/>
      <c r="Y498" s="1633"/>
    </row>
    <row r="499" spans="1:25">
      <c r="A499" s="1585"/>
      <c r="B499" s="1674" t="s">
        <v>4117</v>
      </c>
      <c r="C499" s="1513" t="s">
        <v>4455</v>
      </c>
      <c r="D499" s="1489"/>
      <c r="E499" s="1567"/>
      <c r="F499" s="1593"/>
      <c r="G499" s="660"/>
      <c r="H499" s="1584" t="s">
        <v>3028</v>
      </c>
      <c r="I499" s="1633"/>
      <c r="J499" s="1584" t="s">
        <v>3806</v>
      </c>
      <c r="K499" s="1633"/>
      <c r="L499" s="1584" t="s">
        <v>3028</v>
      </c>
      <c r="M499" s="1634"/>
      <c r="N499" s="1584"/>
      <c r="O499" s="1633"/>
      <c r="P499" s="1584" t="s">
        <v>3028</v>
      </c>
      <c r="Q499" s="1633"/>
      <c r="R499" s="1584"/>
      <c r="S499" s="1633"/>
      <c r="T499" s="1584"/>
      <c r="U499" s="1633"/>
      <c r="V499" s="1584"/>
      <c r="W499" s="1633"/>
      <c r="X499" s="1584"/>
      <c r="Y499" s="1633"/>
    </row>
    <row r="500" spans="1:25">
      <c r="A500" s="1585"/>
      <c r="B500" s="1674" t="s">
        <v>3878</v>
      </c>
      <c r="C500" s="1513" t="s">
        <v>4456</v>
      </c>
      <c r="D500" s="1489"/>
      <c r="E500" s="1567"/>
      <c r="F500" s="1593"/>
      <c r="G500" s="660"/>
      <c r="H500" s="1584" t="s">
        <v>3028</v>
      </c>
      <c r="I500" s="1633"/>
      <c r="J500" s="1584" t="s">
        <v>3806</v>
      </c>
      <c r="K500" s="1633"/>
      <c r="L500" s="1584" t="s">
        <v>3028</v>
      </c>
      <c r="M500" s="1634"/>
      <c r="N500" s="1584"/>
      <c r="O500" s="1633"/>
      <c r="P500" s="1584" t="s">
        <v>3028</v>
      </c>
      <c r="Q500" s="1633"/>
      <c r="R500" s="1584"/>
      <c r="S500" s="1633"/>
      <c r="T500" s="1584"/>
      <c r="U500" s="1633"/>
      <c r="V500" s="1584"/>
      <c r="W500" s="1633"/>
      <c r="X500" s="1584"/>
      <c r="Y500" s="1633"/>
    </row>
    <row r="501" spans="1:25">
      <c r="A501" s="1585" t="s">
        <v>4000</v>
      </c>
      <c r="B501" s="1676" t="s">
        <v>4453</v>
      </c>
      <c r="C501" s="1513" t="s">
        <v>1653</v>
      </c>
      <c r="D501" s="1489"/>
      <c r="E501" s="1567"/>
      <c r="F501" s="1593"/>
      <c r="G501" s="660"/>
      <c r="H501" s="1584" t="s">
        <v>3807</v>
      </c>
      <c r="I501" s="1633"/>
      <c r="J501" s="1584" t="s">
        <v>3807</v>
      </c>
      <c r="K501" s="1633"/>
      <c r="L501" s="1584" t="s">
        <v>3807</v>
      </c>
      <c r="M501" s="1634"/>
      <c r="N501" s="1584"/>
      <c r="O501" s="1633"/>
      <c r="P501" s="1584" t="s">
        <v>3806</v>
      </c>
      <c r="Q501" s="1633"/>
      <c r="R501" s="1584"/>
      <c r="S501" s="1633"/>
      <c r="T501" s="1584"/>
      <c r="U501" s="1633"/>
      <c r="V501" s="1584"/>
      <c r="W501" s="1633"/>
      <c r="X501" s="1584"/>
      <c r="Y501" s="1633"/>
    </row>
    <row r="502" spans="1:25">
      <c r="A502" s="1585"/>
      <c r="B502" s="1665" t="s">
        <v>4457</v>
      </c>
      <c r="C502" s="1513" t="s">
        <v>4458</v>
      </c>
      <c r="D502" s="1489"/>
      <c r="E502" s="1567"/>
      <c r="F502" s="1593"/>
      <c r="G502" s="660"/>
      <c r="H502" s="1584"/>
      <c r="I502" s="1633"/>
      <c r="J502" s="1584"/>
      <c r="K502" s="1633"/>
      <c r="L502" s="1584"/>
      <c r="M502" s="1634"/>
      <c r="N502" s="1584"/>
      <c r="O502" s="1633"/>
      <c r="P502" s="1584"/>
      <c r="Q502" s="1633"/>
      <c r="R502" s="1584"/>
      <c r="S502" s="1633"/>
      <c r="T502" s="1584"/>
      <c r="U502" s="1633"/>
      <c r="V502" s="1584"/>
      <c r="W502" s="1633"/>
      <c r="X502" s="1584"/>
      <c r="Y502" s="1633"/>
    </row>
    <row r="503" spans="1:25" ht="30">
      <c r="A503" s="1585"/>
      <c r="B503" s="1674" t="s">
        <v>3878</v>
      </c>
      <c r="C503" s="1651" t="s">
        <v>4459</v>
      </c>
      <c r="D503" s="1489"/>
      <c r="E503" s="1567"/>
      <c r="F503" s="1593"/>
      <c r="G503" s="660"/>
      <c r="H503" s="1584" t="s">
        <v>3028</v>
      </c>
      <c r="I503" s="1633"/>
      <c r="J503" s="1584" t="s">
        <v>3028</v>
      </c>
      <c r="K503" s="1633"/>
      <c r="L503" s="1584" t="s">
        <v>3028</v>
      </c>
      <c r="M503" s="1634"/>
      <c r="N503" s="1584"/>
      <c r="O503" s="1633"/>
      <c r="P503" s="1584" t="s">
        <v>3028</v>
      </c>
      <c r="Q503" s="1633"/>
      <c r="R503" s="1584"/>
      <c r="S503" s="1633"/>
      <c r="T503" s="1584"/>
      <c r="U503" s="1633"/>
      <c r="V503" s="1584"/>
      <c r="W503" s="1633"/>
      <c r="X503" s="1584"/>
      <c r="Y503" s="1633"/>
    </row>
    <row r="504" spans="1:25">
      <c r="A504" s="1585"/>
      <c r="B504" s="1674" t="s">
        <v>4460</v>
      </c>
      <c r="C504" s="1513" t="s">
        <v>4461</v>
      </c>
      <c r="D504" s="1489"/>
      <c r="E504" s="1567"/>
      <c r="F504" s="1593"/>
      <c r="G504" s="660"/>
      <c r="H504" s="1584" t="s">
        <v>3028</v>
      </c>
      <c r="I504" s="1633"/>
      <c r="J504" s="1584" t="s">
        <v>3028</v>
      </c>
      <c r="K504" s="1633"/>
      <c r="L504" s="1584" t="s">
        <v>3028</v>
      </c>
      <c r="M504" s="1634"/>
      <c r="N504" s="1584"/>
      <c r="O504" s="1633"/>
      <c r="P504" s="1584" t="s">
        <v>3028</v>
      </c>
      <c r="Q504" s="1633" t="s">
        <v>3528</v>
      </c>
      <c r="R504" s="1584"/>
      <c r="S504" s="1633"/>
      <c r="T504" s="1584"/>
      <c r="U504" s="1633"/>
      <c r="V504" s="1584"/>
      <c r="W504" s="1633"/>
      <c r="X504" s="1584"/>
      <c r="Y504" s="1633"/>
    </row>
    <row r="505" spans="1:25" s="364" customFormat="1">
      <c r="A505" s="1649"/>
      <c r="B505" s="1696" t="s">
        <v>4462</v>
      </c>
      <c r="C505" s="1651" t="s">
        <v>1689</v>
      </c>
      <c r="D505" s="1652"/>
      <c r="E505" s="1653"/>
      <c r="F505" s="1654"/>
      <c r="G505" s="682"/>
      <c r="H505" s="1584"/>
      <c r="I505" s="1655"/>
      <c r="J505" s="1584"/>
      <c r="K505" s="1655"/>
      <c r="L505" s="1584"/>
      <c r="M505" s="1656"/>
      <c r="N505" s="1584"/>
      <c r="O505" s="1655"/>
      <c r="P505" s="1584"/>
      <c r="Q505" s="1655"/>
      <c r="R505" s="1584"/>
      <c r="S505" s="1655"/>
      <c r="T505" s="1584"/>
      <c r="U505" s="1655"/>
      <c r="V505" s="1584"/>
      <c r="W505" s="1655"/>
      <c r="X505" s="1584"/>
      <c r="Y505" s="1655"/>
    </row>
    <row r="506" spans="1:25" s="364" customFormat="1" ht="30">
      <c r="A506" s="1649"/>
      <c r="B506" s="1674" t="s">
        <v>3878</v>
      </c>
      <c r="C506" s="1651" t="s">
        <v>4463</v>
      </c>
      <c r="D506" s="1652"/>
      <c r="E506" s="1653"/>
      <c r="F506" s="1654"/>
      <c r="G506" s="682"/>
      <c r="H506" s="1584" t="s">
        <v>3028</v>
      </c>
      <c r="I506" s="1655"/>
      <c r="J506" s="1584" t="s">
        <v>3806</v>
      </c>
      <c r="K506" s="1655"/>
      <c r="L506" s="1584" t="s">
        <v>3028</v>
      </c>
      <c r="M506" s="1656"/>
      <c r="N506" s="1584"/>
      <c r="O506" s="1655"/>
      <c r="P506" s="1584" t="s">
        <v>3806</v>
      </c>
      <c r="Q506" s="1655"/>
      <c r="R506" s="1584"/>
      <c r="S506" s="1655"/>
      <c r="T506" s="1584"/>
      <c r="U506" s="1655"/>
      <c r="V506" s="1584"/>
      <c r="W506" s="1655"/>
      <c r="X506" s="1584"/>
      <c r="Y506" s="1655"/>
    </row>
    <row r="507" spans="1:25">
      <c r="A507" s="1585"/>
      <c r="B507" s="1665" t="s">
        <v>4464</v>
      </c>
      <c r="C507" s="1513" t="s">
        <v>4458</v>
      </c>
      <c r="D507" s="1489"/>
      <c r="E507" s="1567"/>
      <c r="F507" s="1593"/>
      <c r="G507" s="660"/>
      <c r="H507" s="1584"/>
      <c r="I507" s="1633"/>
      <c r="J507" s="1584"/>
      <c r="K507" s="1633"/>
      <c r="L507" s="1584"/>
      <c r="M507" s="1634"/>
      <c r="N507" s="1584"/>
      <c r="O507" s="1633"/>
      <c r="P507" s="1584"/>
      <c r="Q507" s="1633"/>
      <c r="R507" s="1584"/>
      <c r="S507" s="1633"/>
      <c r="T507" s="1584"/>
      <c r="U507" s="1633"/>
      <c r="V507" s="1584"/>
      <c r="W507" s="1633"/>
      <c r="X507" s="1584"/>
      <c r="Y507" s="1633"/>
    </row>
    <row r="508" spans="1:25" ht="30">
      <c r="A508" s="1585"/>
      <c r="B508" s="1674" t="s">
        <v>3878</v>
      </c>
      <c r="C508" s="1651" t="s">
        <v>4459</v>
      </c>
      <c r="D508" s="1489"/>
      <c r="E508" s="1567"/>
      <c r="F508" s="1593"/>
      <c r="G508" s="660"/>
      <c r="H508" s="1584" t="s">
        <v>3028</v>
      </c>
      <c r="I508" s="1633"/>
      <c r="J508" s="1584" t="s">
        <v>3028</v>
      </c>
      <c r="K508" s="1633"/>
      <c r="L508" s="1584" t="s">
        <v>3028</v>
      </c>
      <c r="M508" s="1634"/>
      <c r="N508" s="1584"/>
      <c r="O508" s="1633"/>
      <c r="P508" s="1584" t="s">
        <v>3028</v>
      </c>
      <c r="Q508" s="1633"/>
      <c r="R508" s="1584"/>
      <c r="S508" s="1633"/>
      <c r="T508" s="1584"/>
      <c r="U508" s="1633"/>
      <c r="V508" s="1584"/>
      <c r="W508" s="1633"/>
      <c r="X508" s="1584"/>
      <c r="Y508" s="1633"/>
    </row>
    <row r="509" spans="1:25">
      <c r="A509" s="1585"/>
      <c r="B509" s="1674" t="s">
        <v>4460</v>
      </c>
      <c r="C509" s="1513" t="s">
        <v>4461</v>
      </c>
      <c r="D509" s="1489"/>
      <c r="E509" s="1567"/>
      <c r="F509" s="1593"/>
      <c r="G509" s="660"/>
      <c r="H509" s="1584" t="s">
        <v>3028</v>
      </c>
      <c r="I509" s="1633"/>
      <c r="J509" s="1584" t="s">
        <v>3028</v>
      </c>
      <c r="K509" s="1633"/>
      <c r="L509" s="1584" t="s">
        <v>3028</v>
      </c>
      <c r="M509" s="1634"/>
      <c r="N509" s="1584"/>
      <c r="O509" s="1633"/>
      <c r="P509" s="1584" t="s">
        <v>3028</v>
      </c>
      <c r="Q509" s="1633" t="s">
        <v>3528</v>
      </c>
      <c r="R509" s="1584"/>
      <c r="S509" s="1633"/>
      <c r="T509" s="1584"/>
      <c r="U509" s="1633"/>
      <c r="V509" s="1584"/>
      <c r="W509" s="1633"/>
      <c r="X509" s="1584"/>
      <c r="Y509" s="1633"/>
    </row>
    <row r="510" spans="1:25">
      <c r="A510" s="1585"/>
      <c r="B510" s="1696" t="s">
        <v>4465</v>
      </c>
      <c r="C510" s="1651" t="s">
        <v>1689</v>
      </c>
      <c r="D510" s="1489"/>
      <c r="E510" s="1567"/>
      <c r="F510" s="1593"/>
      <c r="G510" s="660"/>
      <c r="H510" s="1584"/>
      <c r="I510" s="1633"/>
      <c r="J510" s="1584"/>
      <c r="K510" s="1633"/>
      <c r="L510" s="1584"/>
      <c r="M510" s="1634"/>
      <c r="N510" s="1584"/>
      <c r="O510" s="1633"/>
      <c r="P510" s="1584"/>
      <c r="Q510" s="1633"/>
      <c r="R510" s="1584"/>
      <c r="S510" s="1633"/>
      <c r="T510" s="1584"/>
      <c r="U510" s="1633"/>
      <c r="V510" s="1584"/>
      <c r="W510" s="1633"/>
      <c r="X510" s="1584"/>
      <c r="Y510" s="1633"/>
    </row>
    <row r="511" spans="1:25" ht="30">
      <c r="A511" s="1649"/>
      <c r="B511" s="1674" t="s">
        <v>3878</v>
      </c>
      <c r="C511" s="1651" t="s">
        <v>4463</v>
      </c>
      <c r="D511" s="1489"/>
      <c r="E511" s="1567"/>
      <c r="F511" s="1593"/>
      <c r="G511" s="660"/>
      <c r="H511" s="1584" t="s">
        <v>3028</v>
      </c>
      <c r="I511" s="1633"/>
      <c r="J511" s="1584" t="s">
        <v>3806</v>
      </c>
      <c r="K511" s="1633"/>
      <c r="L511" s="1584" t="s">
        <v>3028</v>
      </c>
      <c r="M511" s="1634"/>
      <c r="N511" s="1584"/>
      <c r="O511" s="1633"/>
      <c r="P511" s="1584" t="s">
        <v>3806</v>
      </c>
      <c r="Q511" s="1633"/>
      <c r="R511" s="1584"/>
      <c r="S511" s="1633"/>
      <c r="T511" s="1584"/>
      <c r="U511" s="1633"/>
      <c r="V511" s="1584"/>
      <c r="W511" s="1633"/>
      <c r="X511" s="1584"/>
      <c r="Y511" s="1633"/>
    </row>
    <row r="512" spans="1:25" ht="26.25">
      <c r="A512" s="1585"/>
      <c r="B512" s="1644" t="s">
        <v>4466</v>
      </c>
      <c r="C512" s="1566"/>
      <c r="D512" s="1489"/>
      <c r="E512" s="1567"/>
      <c r="F512" s="1593"/>
      <c r="G512" s="660"/>
      <c r="H512" s="1584"/>
      <c r="I512" s="1636">
        <v>540240</v>
      </c>
      <c r="J512" s="1584"/>
      <c r="K512" s="1636">
        <v>352704</v>
      </c>
      <c r="L512" s="1584"/>
      <c r="M512" s="1647">
        <f>617706.89+(0.1*162488)</f>
        <v>633955.69000000006</v>
      </c>
      <c r="N512" s="1584"/>
      <c r="O512" s="1633"/>
      <c r="P512" s="1584"/>
      <c r="Q512" s="1633"/>
      <c r="R512" s="1584"/>
      <c r="S512" s="1633"/>
      <c r="T512" s="1584"/>
      <c r="U512" s="1633"/>
      <c r="V512" s="1584"/>
      <c r="W512" s="1633"/>
      <c r="X512" s="1584"/>
      <c r="Y512" s="1633"/>
    </row>
    <row r="513" spans="1:25">
      <c r="A513" s="1585"/>
      <c r="B513" s="1635" t="s">
        <v>3825</v>
      </c>
      <c r="C513" s="1566" t="s">
        <v>2358</v>
      </c>
      <c r="D513" s="1489"/>
      <c r="E513" s="1567"/>
      <c r="F513" s="1593"/>
      <c r="G513" s="660"/>
      <c r="H513" s="1645" t="s">
        <v>3827</v>
      </c>
      <c r="I513" s="1642" t="s">
        <v>3828</v>
      </c>
      <c r="J513" s="1584" t="s">
        <v>3806</v>
      </c>
      <c r="K513" s="1633"/>
      <c r="L513" s="1584" t="s">
        <v>3807</v>
      </c>
      <c r="M513" s="1634"/>
      <c r="N513" s="1584"/>
      <c r="O513" s="1633"/>
      <c r="P513" s="1584"/>
      <c r="Q513" s="1633"/>
      <c r="R513" s="1584"/>
      <c r="S513" s="1633"/>
      <c r="T513" s="1584"/>
      <c r="U513" s="1633"/>
      <c r="V513" s="1584"/>
      <c r="W513" s="1633"/>
      <c r="X513" s="1584"/>
      <c r="Y513" s="1633"/>
    </row>
    <row r="514" spans="1:25">
      <c r="A514" s="1585"/>
      <c r="B514" s="1635" t="s">
        <v>3829</v>
      </c>
      <c r="C514" s="1566" t="s">
        <v>4467</v>
      </c>
      <c r="D514" s="1489"/>
      <c r="E514" s="1567"/>
      <c r="F514" s="1593"/>
      <c r="G514" s="660"/>
      <c r="H514" s="1584" t="s">
        <v>3028</v>
      </c>
      <c r="I514" s="1633"/>
      <c r="J514" s="1584" t="s">
        <v>3806</v>
      </c>
      <c r="K514" s="1633"/>
      <c r="L514" s="1584" t="s">
        <v>3028</v>
      </c>
      <c r="M514" s="1634"/>
      <c r="N514" s="1584"/>
      <c r="O514" s="1633"/>
      <c r="P514" s="1584"/>
      <c r="Q514" s="1633"/>
      <c r="R514" s="1584"/>
      <c r="S514" s="1633"/>
      <c r="T514" s="1584"/>
      <c r="U514" s="1633"/>
      <c r="V514" s="1584"/>
      <c r="W514" s="1633"/>
      <c r="X514" s="1584"/>
      <c r="Y514" s="1633"/>
    </row>
    <row r="515" spans="1:25" ht="21">
      <c r="A515" s="1585"/>
      <c r="B515" s="1646" t="s">
        <v>3253</v>
      </c>
      <c r="C515" s="1566" t="s">
        <v>4468</v>
      </c>
      <c r="D515" s="1489"/>
      <c r="E515" s="1567"/>
      <c r="F515" s="1593"/>
      <c r="G515" s="660"/>
      <c r="H515" s="1584"/>
      <c r="I515" s="1633"/>
      <c r="J515" s="1584"/>
      <c r="K515" s="1633"/>
      <c r="L515" s="1584"/>
      <c r="M515" s="1634"/>
      <c r="N515" s="1584"/>
      <c r="O515" s="1633"/>
      <c r="P515" s="1584"/>
      <c r="Q515" s="1633"/>
      <c r="R515" s="1584"/>
      <c r="S515" s="1633"/>
      <c r="T515" s="1584"/>
      <c r="U515" s="1633"/>
      <c r="V515" s="1584"/>
      <c r="W515" s="1633"/>
      <c r="X515" s="1584"/>
      <c r="Y515" s="1633"/>
    </row>
    <row r="516" spans="1:25">
      <c r="A516" s="1585"/>
      <c r="B516" s="1665" t="s">
        <v>4469</v>
      </c>
      <c r="C516" s="1566" t="s">
        <v>1633</v>
      </c>
      <c r="D516" s="1489"/>
      <c r="E516" s="1567"/>
      <c r="F516" s="1593"/>
      <c r="G516" s="660"/>
      <c r="H516" s="1584"/>
      <c r="I516" s="1633"/>
      <c r="J516" s="1584"/>
      <c r="K516" s="1633"/>
      <c r="L516" s="1584"/>
      <c r="M516" s="1634"/>
      <c r="N516" s="1584"/>
      <c r="O516" s="1633"/>
      <c r="P516" s="1584"/>
      <c r="Q516" s="1633"/>
      <c r="R516" s="1584"/>
      <c r="S516" s="1633"/>
      <c r="T516" s="1584"/>
      <c r="U516" s="1633"/>
      <c r="V516" s="1584"/>
      <c r="W516" s="1633"/>
      <c r="X516" s="1584"/>
      <c r="Y516" s="1633"/>
    </row>
    <row r="517" spans="1:25" ht="45">
      <c r="A517" s="1585"/>
      <c r="B517" s="1707" t="s">
        <v>4470</v>
      </c>
      <c r="C517" s="1513" t="s">
        <v>4471</v>
      </c>
      <c r="D517" s="1489"/>
      <c r="E517" s="1567"/>
      <c r="F517" s="1593"/>
      <c r="G517" s="660"/>
      <c r="H517" s="1584" t="s">
        <v>3028</v>
      </c>
      <c r="I517" s="1633"/>
      <c r="J517" s="1584" t="s">
        <v>3028</v>
      </c>
      <c r="K517" s="1633"/>
      <c r="L517" s="1584" t="s">
        <v>3028</v>
      </c>
      <c r="M517" s="1634"/>
      <c r="N517" s="1584"/>
      <c r="O517" s="1633"/>
      <c r="P517" s="1584"/>
      <c r="Q517" s="1633"/>
      <c r="R517" s="1584"/>
      <c r="S517" s="1633"/>
      <c r="T517" s="1584"/>
      <c r="U517" s="1633"/>
      <c r="V517" s="1584"/>
      <c r="W517" s="1633"/>
      <c r="X517" s="1584"/>
      <c r="Y517" s="1633"/>
    </row>
    <row r="518" spans="1:25">
      <c r="A518" s="1585"/>
      <c r="B518" s="1635" t="s">
        <v>4472</v>
      </c>
      <c r="C518" s="1513" t="s">
        <v>4473</v>
      </c>
      <c r="D518" s="1489"/>
      <c r="E518" s="1567"/>
      <c r="F518" s="1593"/>
      <c r="G518" s="660"/>
      <c r="H518" s="1584" t="s">
        <v>3028</v>
      </c>
      <c r="I518" s="1633"/>
      <c r="J518" s="1584" t="s">
        <v>3028</v>
      </c>
      <c r="K518" s="1633"/>
      <c r="L518" s="1584" t="s">
        <v>3028</v>
      </c>
      <c r="M518" s="1634"/>
      <c r="N518" s="1584"/>
      <c r="O518" s="1633"/>
      <c r="P518" s="1584"/>
      <c r="Q518" s="1633"/>
      <c r="R518" s="1584"/>
      <c r="S518" s="1633"/>
      <c r="T518" s="1584"/>
      <c r="U518" s="1633"/>
      <c r="V518" s="1584"/>
      <c r="W518" s="1633"/>
      <c r="X518" s="1584"/>
      <c r="Y518" s="1633"/>
    </row>
    <row r="519" spans="1:25">
      <c r="A519" s="1585"/>
      <c r="B519" s="1635" t="s">
        <v>4474</v>
      </c>
      <c r="C519" s="1513" t="s">
        <v>4475</v>
      </c>
      <c r="D519" s="1489"/>
      <c r="E519" s="1567"/>
      <c r="F519" s="1593"/>
      <c r="G519" s="660"/>
      <c r="H519" s="1584" t="s">
        <v>3028</v>
      </c>
      <c r="I519" s="1633"/>
      <c r="J519" s="1584" t="s">
        <v>3028</v>
      </c>
      <c r="K519" s="1633"/>
      <c r="L519" s="1584" t="s">
        <v>3028</v>
      </c>
      <c r="M519" s="1634"/>
      <c r="N519" s="1584"/>
      <c r="O519" s="1633"/>
      <c r="P519" s="1584"/>
      <c r="Q519" s="1633"/>
      <c r="R519" s="1584"/>
      <c r="S519" s="1633"/>
      <c r="T519" s="1584"/>
      <c r="U519" s="1633"/>
      <c r="V519" s="1584"/>
      <c r="W519" s="1633"/>
      <c r="X519" s="1584"/>
      <c r="Y519" s="1633"/>
    </row>
    <row r="520" spans="1:25" s="364" customFormat="1" ht="30">
      <c r="A520" s="1675"/>
      <c r="B520" s="1698" t="s">
        <v>4476</v>
      </c>
      <c r="C520" s="1651" t="s">
        <v>4477</v>
      </c>
      <c r="D520" s="1652"/>
      <c r="E520" s="1653"/>
      <c r="F520" s="1654"/>
      <c r="G520" s="682"/>
      <c r="H520" s="1584" t="s">
        <v>3807</v>
      </c>
      <c r="I520" s="1708">
        <v>50617</v>
      </c>
      <c r="J520" s="1584" t="s">
        <v>3807</v>
      </c>
      <c r="K520" s="1667">
        <v>50617</v>
      </c>
      <c r="L520" s="1584" t="s">
        <v>3028</v>
      </c>
      <c r="M520" s="1656"/>
      <c r="N520" s="1584"/>
      <c r="O520" s="1655"/>
      <c r="P520" s="1584"/>
      <c r="Q520" s="1655"/>
      <c r="R520" s="1584"/>
      <c r="S520" s="1655"/>
      <c r="T520" s="1584"/>
      <c r="U520" s="1655"/>
      <c r="V520" s="1584"/>
      <c r="W520" s="1655"/>
      <c r="X520" s="1584"/>
      <c r="Y520" s="1655"/>
    </row>
    <row r="521" spans="1:25" s="364" customFormat="1" ht="30">
      <c r="A521" s="1649"/>
      <c r="B521" s="1700" t="s">
        <v>4478</v>
      </c>
      <c r="C521" s="1651" t="s">
        <v>4477</v>
      </c>
      <c r="D521" s="1652"/>
      <c r="E521" s="1653"/>
      <c r="F521" s="1654"/>
      <c r="G521" s="682"/>
      <c r="H521" s="1584" t="s">
        <v>3028</v>
      </c>
      <c r="I521" s="1655"/>
      <c r="J521" s="1584" t="s">
        <v>3028</v>
      </c>
      <c r="K521" s="1655"/>
      <c r="L521" s="1584" t="s">
        <v>3028</v>
      </c>
      <c r="M521" s="1656"/>
      <c r="N521" s="1584"/>
      <c r="O521" s="1655"/>
      <c r="P521" s="1584"/>
      <c r="Q521" s="1655"/>
      <c r="R521" s="1584"/>
      <c r="S521" s="1655"/>
      <c r="T521" s="1584"/>
      <c r="U521" s="1655"/>
      <c r="V521" s="1584"/>
      <c r="W521" s="1655"/>
      <c r="X521" s="1584"/>
      <c r="Y521" s="1655"/>
    </row>
    <row r="522" spans="1:25" s="364" customFormat="1" ht="30">
      <c r="A522" s="1649"/>
      <c r="B522" s="1700" t="s">
        <v>4479</v>
      </c>
      <c r="C522" s="1651" t="s">
        <v>4480</v>
      </c>
      <c r="D522" s="1652"/>
      <c r="E522" s="1653"/>
      <c r="F522" s="1654"/>
      <c r="G522" s="682"/>
      <c r="H522" s="1584" t="s">
        <v>3028</v>
      </c>
      <c r="I522" s="1655"/>
      <c r="J522" s="1584" t="s">
        <v>3028</v>
      </c>
      <c r="K522" s="1655"/>
      <c r="L522" s="1584" t="s">
        <v>3028</v>
      </c>
      <c r="M522" s="1656"/>
      <c r="N522" s="1584"/>
      <c r="O522" s="1655"/>
      <c r="P522" s="1584"/>
      <c r="Q522" s="1655"/>
      <c r="R522" s="1584"/>
      <c r="S522" s="1655"/>
      <c r="T522" s="1584"/>
      <c r="U522" s="1655"/>
      <c r="V522" s="1584"/>
      <c r="W522" s="1655"/>
      <c r="X522" s="1584"/>
      <c r="Y522" s="1655"/>
    </row>
    <row r="523" spans="1:25">
      <c r="A523" s="1683"/>
      <c r="B523" s="1707" t="s">
        <v>4481</v>
      </c>
      <c r="C523" s="1566" t="s">
        <v>4482</v>
      </c>
      <c r="D523" s="1489"/>
      <c r="E523" s="1567"/>
      <c r="F523" s="1593"/>
      <c r="G523" s="660"/>
      <c r="H523" s="1584" t="s">
        <v>3028</v>
      </c>
      <c r="I523" s="1655"/>
      <c r="J523" s="1584" t="s">
        <v>3807</v>
      </c>
      <c r="K523" s="1633"/>
      <c r="L523" s="1584" t="s">
        <v>3806</v>
      </c>
      <c r="M523" s="1634"/>
      <c r="N523" s="1584"/>
      <c r="O523" s="1633"/>
      <c r="P523" s="1584"/>
      <c r="Q523" s="1633"/>
      <c r="R523" s="1584"/>
      <c r="S523" s="1633"/>
      <c r="T523" s="1584"/>
      <c r="U523" s="1633"/>
      <c r="V523" s="1584"/>
      <c r="W523" s="1633"/>
      <c r="X523" s="1584"/>
      <c r="Y523" s="1633"/>
    </row>
    <row r="524" spans="1:25">
      <c r="A524" s="1585"/>
      <c r="B524" s="1665" t="s">
        <v>4483</v>
      </c>
      <c r="C524" s="1566"/>
      <c r="D524" s="1489"/>
      <c r="E524" s="1567"/>
      <c r="F524" s="1593"/>
      <c r="G524" s="660"/>
      <c r="H524" s="1584"/>
      <c r="I524" s="1633"/>
      <c r="J524" s="1584"/>
      <c r="K524" s="1633"/>
      <c r="L524" s="1584"/>
      <c r="M524" s="1634"/>
      <c r="N524" s="1584"/>
      <c r="O524" s="1633"/>
      <c r="P524" s="1584"/>
      <c r="Q524" s="1633"/>
      <c r="R524" s="1584"/>
      <c r="S524" s="1633"/>
      <c r="T524" s="1584"/>
      <c r="U524" s="1633"/>
      <c r="V524" s="1584"/>
      <c r="W524" s="1633"/>
      <c r="X524" s="1584"/>
      <c r="Y524" s="1633"/>
    </row>
    <row r="525" spans="1:25" ht="30">
      <c r="A525" s="1585"/>
      <c r="B525" s="1635" t="s">
        <v>4484</v>
      </c>
      <c r="C525" s="1513" t="s">
        <v>4485</v>
      </c>
      <c r="D525" s="1489"/>
      <c r="E525" s="1567"/>
      <c r="F525" s="1593"/>
      <c r="G525" s="660"/>
      <c r="H525" s="1584" t="s">
        <v>3028</v>
      </c>
      <c r="I525" s="1633"/>
      <c r="J525" s="1584" t="s">
        <v>3028</v>
      </c>
      <c r="K525" s="1633"/>
      <c r="L525" s="1584" t="s">
        <v>3028</v>
      </c>
      <c r="M525" s="1634"/>
      <c r="N525" s="1584"/>
      <c r="O525" s="1633"/>
      <c r="P525" s="1584"/>
      <c r="Q525" s="1633"/>
      <c r="R525" s="1584"/>
      <c r="S525" s="1633"/>
      <c r="T525" s="1584"/>
      <c r="U525" s="1633"/>
      <c r="V525" s="1584"/>
      <c r="W525" s="1633"/>
      <c r="X525" s="1584"/>
      <c r="Y525" s="1633"/>
    </row>
    <row r="526" spans="1:25" ht="30">
      <c r="A526" s="1585"/>
      <c r="B526" s="1635" t="s">
        <v>4486</v>
      </c>
      <c r="C526" s="1513" t="s">
        <v>4487</v>
      </c>
      <c r="D526" s="1489"/>
      <c r="E526" s="1567"/>
      <c r="F526" s="1593"/>
      <c r="G526" s="660"/>
      <c r="H526" s="1584" t="s">
        <v>3028</v>
      </c>
      <c r="I526" s="1633"/>
      <c r="J526" s="1584" t="s">
        <v>3028</v>
      </c>
      <c r="K526" s="1633"/>
      <c r="L526" s="1584" t="s">
        <v>3028</v>
      </c>
      <c r="M526" s="1634"/>
      <c r="N526" s="1584"/>
      <c r="O526" s="1633"/>
      <c r="P526" s="1584"/>
      <c r="Q526" s="1633"/>
      <c r="R526" s="1584"/>
      <c r="S526" s="1633"/>
      <c r="T526" s="1584"/>
      <c r="U526" s="1633"/>
      <c r="V526" s="1584"/>
      <c r="W526" s="1633"/>
      <c r="X526" s="1584"/>
      <c r="Y526" s="1633"/>
    </row>
    <row r="527" spans="1:25" s="364" customFormat="1" ht="45">
      <c r="A527" s="1649"/>
      <c r="B527" s="1700" t="s">
        <v>4478</v>
      </c>
      <c r="C527" s="1651" t="s">
        <v>4488</v>
      </c>
      <c r="D527" s="1652"/>
      <c r="E527" s="1653"/>
      <c r="F527" s="1654"/>
      <c r="G527" s="682"/>
      <c r="H527" s="1584" t="s">
        <v>3028</v>
      </c>
      <c r="I527" s="1655"/>
      <c r="J527" s="1584" t="s">
        <v>3028</v>
      </c>
      <c r="K527" s="1655"/>
      <c r="L527" s="1584" t="s">
        <v>3028</v>
      </c>
      <c r="M527" s="1656"/>
      <c r="N527" s="1584"/>
      <c r="O527" s="1655"/>
      <c r="P527" s="1584"/>
      <c r="Q527" s="1655"/>
      <c r="R527" s="1584"/>
      <c r="S527" s="1655"/>
      <c r="T527" s="1584"/>
      <c r="U527" s="1655"/>
      <c r="V527" s="1584"/>
      <c r="W527" s="1655"/>
      <c r="X527" s="1584"/>
      <c r="Y527" s="1655"/>
    </row>
    <row r="528" spans="1:25">
      <c r="A528" s="1585" t="s">
        <v>4000</v>
      </c>
      <c r="B528" s="1707" t="s">
        <v>4481</v>
      </c>
      <c r="C528" s="1566" t="s">
        <v>4482</v>
      </c>
      <c r="D528" s="1489"/>
      <c r="E528" s="1567"/>
      <c r="F528" s="1593"/>
      <c r="G528" s="660"/>
      <c r="H528" s="1584" t="s">
        <v>3807</v>
      </c>
      <c r="I528" s="1655"/>
      <c r="J528" s="1584" t="s">
        <v>3807</v>
      </c>
      <c r="K528" s="1633"/>
      <c r="L528" s="1584" t="s">
        <v>3807</v>
      </c>
      <c r="M528" s="1634"/>
      <c r="N528" s="1584"/>
      <c r="O528" s="1633"/>
      <c r="P528" s="1584"/>
      <c r="Q528" s="1633"/>
      <c r="R528" s="1584"/>
      <c r="S528" s="1633"/>
      <c r="T528" s="1584"/>
      <c r="U528" s="1633"/>
      <c r="V528" s="1584"/>
      <c r="W528" s="1633"/>
      <c r="X528" s="1584"/>
      <c r="Y528" s="1633"/>
    </row>
    <row r="529" spans="1:25">
      <c r="A529" s="1585"/>
      <c r="B529" s="1679" t="s">
        <v>4489</v>
      </c>
      <c r="C529" s="1566"/>
      <c r="D529" s="1489"/>
      <c r="E529" s="1567"/>
      <c r="F529" s="1593"/>
      <c r="G529" s="660"/>
      <c r="H529" s="1584"/>
      <c r="I529" s="1633"/>
      <c r="J529" s="1584"/>
      <c r="K529" s="1633"/>
      <c r="L529" s="1584"/>
      <c r="M529" s="1634"/>
      <c r="N529" s="1584"/>
      <c r="O529" s="1633"/>
      <c r="P529" s="1584"/>
      <c r="Q529" s="1633"/>
      <c r="R529" s="1584"/>
      <c r="S529" s="1633"/>
      <c r="T529" s="1584"/>
      <c r="U529" s="1633"/>
      <c r="V529" s="1584"/>
      <c r="W529" s="1633"/>
      <c r="X529" s="1584"/>
      <c r="Y529" s="1633"/>
    </row>
    <row r="530" spans="1:25" ht="30">
      <c r="A530" s="1585"/>
      <c r="B530" s="1707" t="s">
        <v>4478</v>
      </c>
      <c r="C530" s="1513" t="s">
        <v>4490</v>
      </c>
      <c r="D530" s="1489"/>
      <c r="E530" s="1567"/>
      <c r="F530" s="1593"/>
      <c r="G530" s="660"/>
      <c r="H530" s="1584" t="s">
        <v>3028</v>
      </c>
      <c r="I530" s="1633"/>
      <c r="J530" s="1584" t="s">
        <v>3028</v>
      </c>
      <c r="K530" s="1633"/>
      <c r="L530" s="1584" t="s">
        <v>3028</v>
      </c>
      <c r="M530" s="1634"/>
      <c r="N530" s="1584"/>
      <c r="O530" s="1633"/>
      <c r="P530" s="1584"/>
      <c r="Q530" s="1633"/>
      <c r="R530" s="1584"/>
      <c r="S530" s="1633"/>
      <c r="T530" s="1584"/>
      <c r="U530" s="1633"/>
      <c r="V530" s="1584"/>
      <c r="W530" s="1633"/>
      <c r="X530" s="1584"/>
      <c r="Y530" s="1633"/>
    </row>
    <row r="531" spans="1:25">
      <c r="A531" s="1585" t="s">
        <v>4000</v>
      </c>
      <c r="B531" s="1707" t="s">
        <v>4481</v>
      </c>
      <c r="C531" s="1566" t="s">
        <v>4482</v>
      </c>
      <c r="D531" s="1489"/>
      <c r="E531" s="1567"/>
      <c r="F531" s="1593"/>
      <c r="G531" s="660"/>
      <c r="H531" s="1584" t="s">
        <v>3807</v>
      </c>
      <c r="I531" s="1633"/>
      <c r="J531" s="1584" t="s">
        <v>3807</v>
      </c>
      <c r="K531" s="1633"/>
      <c r="L531" s="1584" t="s">
        <v>3807</v>
      </c>
      <c r="M531" s="1634"/>
      <c r="N531" s="1584"/>
      <c r="O531" s="1633"/>
      <c r="P531" s="1584"/>
      <c r="Q531" s="1633"/>
      <c r="R531" s="1584"/>
      <c r="S531" s="1633"/>
      <c r="T531" s="1584"/>
      <c r="U531" s="1633"/>
      <c r="V531" s="1584"/>
      <c r="W531" s="1633"/>
      <c r="X531" s="1584"/>
      <c r="Y531" s="1633"/>
    </row>
    <row r="532" spans="1:25" ht="21">
      <c r="A532" s="1585"/>
      <c r="B532" s="1646" t="s">
        <v>4491</v>
      </c>
      <c r="C532" s="1566" t="s">
        <v>4492</v>
      </c>
      <c r="D532" s="1489"/>
      <c r="E532" s="1567"/>
      <c r="F532" s="1593"/>
      <c r="G532" s="660"/>
      <c r="H532" s="1584"/>
      <c r="I532" s="1633"/>
      <c r="J532" s="1584"/>
      <c r="K532" s="1633"/>
      <c r="L532" s="1584"/>
      <c r="M532" s="1634"/>
      <c r="N532" s="1584"/>
      <c r="O532" s="1633"/>
      <c r="P532" s="1584"/>
      <c r="Q532" s="1633"/>
      <c r="R532" s="1584"/>
      <c r="S532" s="1633"/>
      <c r="T532" s="1584"/>
      <c r="U532" s="1633"/>
      <c r="V532" s="1584"/>
      <c r="W532" s="1633"/>
      <c r="X532" s="1584"/>
      <c r="Y532" s="1633"/>
    </row>
    <row r="533" spans="1:25">
      <c r="A533" s="1585"/>
      <c r="B533" s="1665" t="s">
        <v>4493</v>
      </c>
      <c r="C533" s="1566"/>
      <c r="D533" s="1489"/>
      <c r="E533" s="1567"/>
      <c r="F533" s="1593"/>
      <c r="G533" s="660"/>
      <c r="H533" s="1584"/>
      <c r="I533" s="1633"/>
      <c r="J533" s="1584"/>
      <c r="K533" s="1633"/>
      <c r="L533" s="1584"/>
      <c r="M533" s="1634"/>
      <c r="N533" s="1584"/>
      <c r="O533" s="1633"/>
      <c r="P533" s="1584"/>
      <c r="Q533" s="1633"/>
      <c r="R533" s="1584"/>
      <c r="S533" s="1633"/>
      <c r="T533" s="1584"/>
      <c r="U533" s="1633"/>
      <c r="V533" s="1584"/>
      <c r="W533" s="1633"/>
      <c r="X533" s="1584"/>
      <c r="Y533" s="1633"/>
    </row>
    <row r="534" spans="1:25" ht="45">
      <c r="A534" s="1585"/>
      <c r="B534" s="1635" t="s">
        <v>4470</v>
      </c>
      <c r="C534" s="1513" t="s">
        <v>4494</v>
      </c>
      <c r="D534" s="1489"/>
      <c r="E534" s="1567"/>
      <c r="F534" s="1593"/>
      <c r="G534" s="660"/>
      <c r="H534" s="1584" t="s">
        <v>3028</v>
      </c>
      <c r="I534" s="1633"/>
      <c r="J534" s="1584" t="s">
        <v>3028</v>
      </c>
      <c r="K534" s="1633"/>
      <c r="L534" s="1584" t="s">
        <v>3028</v>
      </c>
      <c r="M534" s="1634"/>
      <c r="N534" s="1584"/>
      <c r="O534" s="1633"/>
      <c r="P534" s="1584"/>
      <c r="Q534" s="1633"/>
      <c r="R534" s="1584"/>
      <c r="S534" s="1633"/>
      <c r="T534" s="1584"/>
      <c r="U534" s="1633"/>
      <c r="V534" s="1584"/>
      <c r="W534" s="1633"/>
      <c r="X534" s="1584"/>
      <c r="Y534" s="1633"/>
    </row>
    <row r="535" spans="1:25">
      <c r="A535" s="1585"/>
      <c r="B535" s="1635" t="s">
        <v>4472</v>
      </c>
      <c r="C535" s="1513" t="s">
        <v>4473</v>
      </c>
      <c r="D535" s="1489"/>
      <c r="E535" s="1567"/>
      <c r="F535" s="1593"/>
      <c r="G535" s="660"/>
      <c r="H535" s="1584" t="s">
        <v>3028</v>
      </c>
      <c r="I535" s="1633"/>
      <c r="J535" s="1584" t="s">
        <v>3028</v>
      </c>
      <c r="K535" s="1633"/>
      <c r="L535" s="1584" t="s">
        <v>3028</v>
      </c>
      <c r="M535" s="1634"/>
      <c r="N535" s="1584"/>
      <c r="O535" s="1633"/>
      <c r="P535" s="1584"/>
      <c r="Q535" s="1633"/>
      <c r="R535" s="1584"/>
      <c r="S535" s="1633"/>
      <c r="T535" s="1584"/>
      <c r="U535" s="1633"/>
      <c r="V535" s="1584"/>
      <c r="W535" s="1633"/>
      <c r="X535" s="1584"/>
      <c r="Y535" s="1633"/>
    </row>
    <row r="536" spans="1:25">
      <c r="A536" s="1585"/>
      <c r="B536" s="1635" t="s">
        <v>4474</v>
      </c>
      <c r="C536" s="1513" t="s">
        <v>4475</v>
      </c>
      <c r="D536" s="1489"/>
      <c r="E536" s="1567"/>
      <c r="F536" s="1593"/>
      <c r="G536" s="660"/>
      <c r="H536" s="1584" t="s">
        <v>3028</v>
      </c>
      <c r="I536" s="1633"/>
      <c r="J536" s="1584" t="s">
        <v>3028</v>
      </c>
      <c r="K536" s="1633"/>
      <c r="L536" s="1584" t="s">
        <v>3028</v>
      </c>
      <c r="M536" s="1634"/>
      <c r="N536" s="1584"/>
      <c r="O536" s="1633"/>
      <c r="P536" s="1584"/>
      <c r="Q536" s="1633"/>
      <c r="R536" s="1584"/>
      <c r="S536" s="1633"/>
      <c r="T536" s="1584"/>
      <c r="U536" s="1633"/>
      <c r="V536" s="1584"/>
      <c r="W536" s="1633"/>
      <c r="X536" s="1584"/>
      <c r="Y536" s="1633"/>
    </row>
    <row r="537" spans="1:25" ht="30">
      <c r="A537" s="1683"/>
      <c r="B537" s="1698" t="s">
        <v>4476</v>
      </c>
      <c r="C537" s="1513" t="s">
        <v>4477</v>
      </c>
      <c r="D537" s="1489"/>
      <c r="E537" s="1567"/>
      <c r="F537" s="1593"/>
      <c r="G537" s="660"/>
      <c r="H537" s="1584" t="s">
        <v>3807</v>
      </c>
      <c r="I537" s="1633"/>
      <c r="J537" s="1584" t="s">
        <v>3807</v>
      </c>
      <c r="K537" s="1633"/>
      <c r="L537" s="1584" t="s">
        <v>3028</v>
      </c>
      <c r="M537" s="1634"/>
      <c r="N537" s="1584"/>
      <c r="O537" s="1633"/>
      <c r="P537" s="1584"/>
      <c r="Q537" s="1633"/>
      <c r="R537" s="1584"/>
      <c r="S537" s="1633"/>
      <c r="T537" s="1584"/>
      <c r="U537" s="1633"/>
      <c r="V537" s="1584"/>
      <c r="W537" s="1633"/>
      <c r="X537" s="1584"/>
      <c r="Y537" s="1633"/>
    </row>
    <row r="538" spans="1:25" ht="30">
      <c r="A538" s="1585"/>
      <c r="B538" s="1700" t="s">
        <v>4478</v>
      </c>
      <c r="C538" s="1513" t="s">
        <v>4477</v>
      </c>
      <c r="D538" s="1489"/>
      <c r="E538" s="1567"/>
      <c r="F538" s="1593"/>
      <c r="G538" s="660"/>
      <c r="H538" s="1584" t="s">
        <v>3028</v>
      </c>
      <c r="I538" s="1633"/>
      <c r="J538" s="1584" t="s">
        <v>3028</v>
      </c>
      <c r="K538" s="1633"/>
      <c r="L538" s="1584" t="s">
        <v>3028</v>
      </c>
      <c r="M538" s="1634"/>
      <c r="N538" s="1584"/>
      <c r="O538" s="1633"/>
      <c r="P538" s="1584"/>
      <c r="Q538" s="1633"/>
      <c r="R538" s="1584"/>
      <c r="S538" s="1633"/>
      <c r="T538" s="1584"/>
      <c r="U538" s="1633"/>
      <c r="V538" s="1584"/>
      <c r="W538" s="1633"/>
      <c r="X538" s="1584"/>
      <c r="Y538" s="1633"/>
    </row>
    <row r="539" spans="1:25" ht="30">
      <c r="A539" s="1585"/>
      <c r="B539" s="1635" t="s">
        <v>4479</v>
      </c>
      <c r="C539" s="1513" t="s">
        <v>4480</v>
      </c>
      <c r="D539" s="1489"/>
      <c r="E539" s="1567"/>
      <c r="F539" s="1593"/>
      <c r="G539" s="660"/>
      <c r="H539" s="1584" t="s">
        <v>3028</v>
      </c>
      <c r="I539" s="1633"/>
      <c r="J539" s="1584" t="s">
        <v>3028</v>
      </c>
      <c r="K539" s="1633"/>
      <c r="L539" s="1584" t="s">
        <v>3028</v>
      </c>
      <c r="M539" s="1634"/>
      <c r="N539" s="1584"/>
      <c r="O539" s="1633"/>
      <c r="P539" s="1584"/>
      <c r="Q539" s="1633"/>
      <c r="R539" s="1584"/>
      <c r="S539" s="1633"/>
      <c r="T539" s="1584"/>
      <c r="U539" s="1633"/>
      <c r="V539" s="1584"/>
      <c r="W539" s="1633"/>
      <c r="X539" s="1584"/>
      <c r="Y539" s="1633"/>
    </row>
    <row r="540" spans="1:25">
      <c r="A540" s="1693"/>
      <c r="B540" s="1707" t="s">
        <v>4481</v>
      </c>
      <c r="C540" s="1566" t="s">
        <v>4482</v>
      </c>
      <c r="D540" s="1489"/>
      <c r="E540" s="1567"/>
      <c r="F540" s="1593"/>
      <c r="G540" s="660"/>
      <c r="H540" s="1584" t="s">
        <v>3028</v>
      </c>
      <c r="I540" s="1633"/>
      <c r="J540" s="1584" t="s">
        <v>3807</v>
      </c>
      <c r="K540" s="1633"/>
      <c r="L540" s="1584" t="s">
        <v>3806</v>
      </c>
      <c r="M540" s="1634"/>
      <c r="N540" s="1584"/>
      <c r="O540" s="1633"/>
      <c r="P540" s="1584"/>
      <c r="Q540" s="1633"/>
      <c r="R540" s="1584"/>
      <c r="S540" s="1633"/>
      <c r="T540" s="1584"/>
      <c r="U540" s="1633"/>
      <c r="V540" s="1584"/>
      <c r="W540" s="1633"/>
      <c r="X540" s="1584"/>
      <c r="Y540" s="1633"/>
    </row>
    <row r="541" spans="1:25">
      <c r="A541" s="1585"/>
      <c r="B541" s="1665" t="s">
        <v>4495</v>
      </c>
      <c r="C541" s="1566"/>
      <c r="D541" s="1489"/>
      <c r="E541" s="1567"/>
      <c r="F541" s="1593"/>
      <c r="G541" s="660"/>
      <c r="H541" s="1584"/>
      <c r="I541" s="1633"/>
      <c r="J541" s="1584"/>
      <c r="K541" s="1633"/>
      <c r="L541" s="1584"/>
      <c r="M541" s="1634"/>
      <c r="N541" s="1584"/>
      <c r="O541" s="1633"/>
      <c r="P541" s="1584"/>
      <c r="Q541" s="1633"/>
      <c r="R541" s="1584"/>
      <c r="S541" s="1633"/>
      <c r="T541" s="1584"/>
      <c r="U541" s="1633"/>
      <c r="V541" s="1584"/>
      <c r="W541" s="1633"/>
      <c r="X541" s="1584"/>
      <c r="Y541" s="1633"/>
    </row>
    <row r="542" spans="1:25" ht="30">
      <c r="A542" s="1585"/>
      <c r="B542" s="1635" t="s">
        <v>4496</v>
      </c>
      <c r="C542" s="1513" t="s">
        <v>4497</v>
      </c>
      <c r="D542" s="1489"/>
      <c r="E542" s="1567"/>
      <c r="F542" s="1593"/>
      <c r="G542" s="660"/>
      <c r="H542" s="1584" t="s">
        <v>3028</v>
      </c>
      <c r="I542" s="1633"/>
      <c r="J542" s="1584" t="s">
        <v>3028</v>
      </c>
      <c r="K542" s="1633"/>
      <c r="L542" s="1584" t="s">
        <v>3028</v>
      </c>
      <c r="M542" s="1634"/>
      <c r="N542" s="1584"/>
      <c r="O542" s="1633"/>
      <c r="P542" s="1584"/>
      <c r="Q542" s="1633"/>
      <c r="R542" s="1584"/>
      <c r="S542" s="1633"/>
      <c r="T542" s="1584"/>
      <c r="U542" s="1633"/>
      <c r="V542" s="1584"/>
      <c r="W542" s="1633"/>
      <c r="X542" s="1584"/>
      <c r="Y542" s="1633"/>
    </row>
    <row r="543" spans="1:25" ht="30">
      <c r="A543" s="1683"/>
      <c r="B543" s="1635" t="s">
        <v>4478</v>
      </c>
      <c r="C543" s="1513" t="s">
        <v>4498</v>
      </c>
      <c r="D543" s="1489"/>
      <c r="E543" s="1567"/>
      <c r="F543" s="1593"/>
      <c r="G543" s="660"/>
      <c r="H543" s="1584" t="s">
        <v>3028</v>
      </c>
      <c r="I543" s="1633"/>
      <c r="J543" s="1584" t="s">
        <v>3028</v>
      </c>
      <c r="K543" s="1633"/>
      <c r="L543" s="1584" t="s">
        <v>3028</v>
      </c>
      <c r="M543" s="1634"/>
      <c r="N543" s="1584"/>
      <c r="O543" s="1633"/>
      <c r="P543" s="1584"/>
      <c r="Q543" s="1633"/>
      <c r="R543" s="1584"/>
      <c r="S543" s="1633"/>
      <c r="T543" s="1584"/>
      <c r="U543" s="1633"/>
      <c r="V543" s="1584"/>
      <c r="W543" s="1633"/>
      <c r="X543" s="1584"/>
      <c r="Y543" s="1633"/>
    </row>
    <row r="544" spans="1:25">
      <c r="A544" s="1585" t="s">
        <v>4000</v>
      </c>
      <c r="B544" s="1707" t="s">
        <v>4481</v>
      </c>
      <c r="C544" s="1566" t="s">
        <v>4482</v>
      </c>
      <c r="D544" s="1489"/>
      <c r="E544" s="1567"/>
      <c r="F544" s="1593"/>
      <c r="G544" s="660"/>
      <c r="H544" s="1584" t="s">
        <v>3807</v>
      </c>
      <c r="I544" s="1633"/>
      <c r="J544" s="1584"/>
      <c r="K544" s="1633"/>
      <c r="L544" s="1584" t="s">
        <v>3807</v>
      </c>
      <c r="M544" s="1634"/>
      <c r="N544" s="1584"/>
      <c r="O544" s="1633"/>
      <c r="P544" s="1584"/>
      <c r="Q544" s="1633"/>
      <c r="R544" s="1584"/>
      <c r="S544" s="1633"/>
      <c r="T544" s="1584"/>
      <c r="U544" s="1633"/>
      <c r="V544" s="1584"/>
      <c r="W544" s="1633"/>
      <c r="X544" s="1584"/>
      <c r="Y544" s="1633"/>
    </row>
    <row r="545" spans="1:25" ht="21">
      <c r="A545" s="1585"/>
      <c r="B545" s="1646" t="s">
        <v>3251</v>
      </c>
      <c r="C545" s="1566"/>
      <c r="D545" s="1489"/>
      <c r="E545" s="1567"/>
      <c r="F545" s="1593"/>
      <c r="G545" s="660"/>
      <c r="H545" s="1584"/>
      <c r="I545" s="1633"/>
      <c r="J545" s="1584"/>
      <c r="K545" s="1633"/>
      <c r="L545" s="1584"/>
      <c r="M545" s="1634"/>
      <c r="N545" s="1584"/>
      <c r="O545" s="1633"/>
      <c r="P545" s="1584"/>
      <c r="Q545" s="1633"/>
      <c r="R545" s="1584"/>
      <c r="S545" s="1633"/>
      <c r="T545" s="1584"/>
      <c r="U545" s="1633"/>
      <c r="V545" s="1584"/>
      <c r="W545" s="1633"/>
      <c r="X545" s="1584"/>
      <c r="Y545" s="1633"/>
    </row>
    <row r="546" spans="1:25" ht="30">
      <c r="A546" s="1585"/>
      <c r="B546" s="1665" t="s">
        <v>4499</v>
      </c>
      <c r="C546" s="1513" t="s">
        <v>4500</v>
      </c>
      <c r="D546" s="1489"/>
      <c r="E546" s="1567"/>
      <c r="F546" s="1593"/>
      <c r="G546" s="660"/>
      <c r="H546" s="1584"/>
      <c r="I546" s="1633"/>
      <c r="J546" s="1584"/>
      <c r="K546" s="1633"/>
      <c r="L546" s="1584"/>
      <c r="M546" s="1634"/>
      <c r="N546" s="1584"/>
      <c r="O546" s="1633"/>
      <c r="P546" s="1584"/>
      <c r="Q546" s="1633"/>
      <c r="R546" s="1584"/>
      <c r="S546" s="1633"/>
      <c r="T546" s="1584"/>
      <c r="U546" s="1633"/>
      <c r="V546" s="1584"/>
      <c r="W546" s="1633"/>
      <c r="X546" s="1584"/>
      <c r="Y546" s="1633"/>
    </row>
    <row r="547" spans="1:25" ht="45">
      <c r="A547" s="1585"/>
      <c r="B547" s="1635" t="s">
        <v>4501</v>
      </c>
      <c r="C547" s="1513" t="s">
        <v>4502</v>
      </c>
      <c r="D547" s="1489"/>
      <c r="E547" s="1567"/>
      <c r="F547" s="1593"/>
      <c r="G547" s="660"/>
      <c r="H547" s="1584" t="s">
        <v>3028</v>
      </c>
      <c r="I547" s="1633"/>
      <c r="J547" s="1584" t="s">
        <v>3028</v>
      </c>
      <c r="K547" s="1633"/>
      <c r="L547" s="1584" t="s">
        <v>3028</v>
      </c>
      <c r="M547" s="1634"/>
      <c r="N547" s="1584"/>
      <c r="O547" s="1633"/>
      <c r="P547" s="1584"/>
      <c r="Q547" s="1633"/>
      <c r="R547" s="1584"/>
      <c r="S547" s="1633"/>
      <c r="T547" s="1584"/>
      <c r="U547" s="1633"/>
      <c r="V547" s="1584"/>
      <c r="W547" s="1633"/>
      <c r="X547" s="1584"/>
      <c r="Y547" s="1633"/>
    </row>
    <row r="548" spans="1:25">
      <c r="A548" s="1585"/>
      <c r="B548" s="1635" t="s">
        <v>4472</v>
      </c>
      <c r="C548" s="1513" t="s">
        <v>4503</v>
      </c>
      <c r="D548" s="1489"/>
      <c r="E548" s="1567"/>
      <c r="F548" s="1593"/>
      <c r="G548" s="660"/>
      <c r="H548" s="1584" t="s">
        <v>3028</v>
      </c>
      <c r="I548" s="1633"/>
      <c r="J548" s="1584" t="s">
        <v>3028</v>
      </c>
      <c r="K548" s="1633"/>
      <c r="L548" s="1584" t="s">
        <v>3028</v>
      </c>
      <c r="M548" s="1634"/>
      <c r="N548" s="1584"/>
      <c r="O548" s="1633"/>
      <c r="P548" s="1584"/>
      <c r="Q548" s="1633"/>
      <c r="R548" s="1584"/>
      <c r="S548" s="1633"/>
      <c r="T548" s="1584"/>
      <c r="U548" s="1633"/>
      <c r="V548" s="1584"/>
      <c r="W548" s="1633"/>
      <c r="X548" s="1584"/>
      <c r="Y548" s="1633"/>
    </row>
    <row r="549" spans="1:25">
      <c r="A549" s="1585"/>
      <c r="B549" s="1635" t="s">
        <v>4474</v>
      </c>
      <c r="C549" s="1513" t="s">
        <v>4504</v>
      </c>
      <c r="D549" s="1489"/>
      <c r="E549" s="1567"/>
      <c r="F549" s="1593"/>
      <c r="G549" s="660"/>
      <c r="H549" s="1584" t="s">
        <v>3028</v>
      </c>
      <c r="I549" s="1633"/>
      <c r="J549" s="1584" t="s">
        <v>3028</v>
      </c>
      <c r="K549" s="1633"/>
      <c r="L549" s="1584" t="s">
        <v>3028</v>
      </c>
      <c r="M549" s="1634"/>
      <c r="N549" s="1584"/>
      <c r="O549" s="1633"/>
      <c r="P549" s="1584"/>
      <c r="Q549" s="1633"/>
      <c r="R549" s="1584"/>
      <c r="S549" s="1633"/>
      <c r="T549" s="1584"/>
      <c r="U549" s="1633"/>
      <c r="V549" s="1584"/>
      <c r="W549" s="1633"/>
      <c r="X549" s="1584"/>
      <c r="Y549" s="1633"/>
    </row>
    <row r="550" spans="1:25" ht="30">
      <c r="A550" s="1683"/>
      <c r="B550" s="1698" t="s">
        <v>4476</v>
      </c>
      <c r="C550" s="1513" t="s">
        <v>4505</v>
      </c>
      <c r="D550" s="1489"/>
      <c r="E550" s="1567"/>
      <c r="F550" s="1593"/>
      <c r="G550" s="660"/>
      <c r="H550" s="1584" t="s">
        <v>3807</v>
      </c>
      <c r="I550" s="1633"/>
      <c r="J550" s="1584" t="s">
        <v>3807</v>
      </c>
      <c r="K550" s="1633"/>
      <c r="L550" s="1584" t="s">
        <v>3028</v>
      </c>
      <c r="M550" s="1634"/>
      <c r="N550" s="1584"/>
      <c r="O550" s="1633"/>
      <c r="P550" s="1584"/>
      <c r="Q550" s="1633"/>
      <c r="R550" s="1584"/>
      <c r="S550" s="1633"/>
      <c r="T550" s="1584"/>
      <c r="U550" s="1633"/>
      <c r="V550" s="1584"/>
      <c r="W550" s="1633"/>
      <c r="X550" s="1584"/>
      <c r="Y550" s="1633"/>
    </row>
    <row r="551" spans="1:25" ht="30">
      <c r="A551" s="1585"/>
      <c r="B551" s="1700" t="s">
        <v>4478</v>
      </c>
      <c r="C551" s="1513" t="s">
        <v>4505</v>
      </c>
      <c r="D551" s="1489"/>
      <c r="E551" s="1567"/>
      <c r="F551" s="1593"/>
      <c r="G551" s="660"/>
      <c r="H551" s="1584" t="s">
        <v>3028</v>
      </c>
      <c r="I551" s="1633"/>
      <c r="J551" s="1584" t="s">
        <v>3028</v>
      </c>
      <c r="K551" s="1633"/>
      <c r="L551" s="1584" t="s">
        <v>3028</v>
      </c>
      <c r="M551" s="1634"/>
      <c r="N551" s="1584"/>
      <c r="O551" s="1633"/>
      <c r="P551" s="1584"/>
      <c r="Q551" s="1633"/>
      <c r="R551" s="1584"/>
      <c r="S551" s="1633"/>
      <c r="T551" s="1584"/>
      <c r="U551" s="1633"/>
      <c r="V551" s="1584"/>
      <c r="W551" s="1633"/>
      <c r="X551" s="1584"/>
      <c r="Y551" s="1633"/>
    </row>
    <row r="552" spans="1:25" ht="30">
      <c r="A552" s="1585"/>
      <c r="B552" s="1635" t="s">
        <v>4479</v>
      </c>
      <c r="C552" s="1513" t="s">
        <v>4506</v>
      </c>
      <c r="D552" s="1489"/>
      <c r="E552" s="1567"/>
      <c r="F552" s="1593"/>
      <c r="G552" s="660"/>
      <c r="H552" s="1584" t="s">
        <v>3028</v>
      </c>
      <c r="I552" s="1633"/>
      <c r="J552" s="1584" t="s">
        <v>3028</v>
      </c>
      <c r="K552" s="1633"/>
      <c r="L552" s="1584" t="s">
        <v>3028</v>
      </c>
      <c r="M552" s="1634"/>
      <c r="N552" s="1584"/>
      <c r="O552" s="1633"/>
      <c r="P552" s="1584"/>
      <c r="Q552" s="1633"/>
      <c r="R552" s="1584"/>
      <c r="S552" s="1633"/>
      <c r="T552" s="1584"/>
      <c r="U552" s="1633"/>
      <c r="V552" s="1584"/>
      <c r="W552" s="1633"/>
      <c r="X552" s="1584"/>
      <c r="Y552" s="1633"/>
    </row>
    <row r="553" spans="1:25">
      <c r="A553" s="1683"/>
      <c r="B553" s="1707" t="s">
        <v>4481</v>
      </c>
      <c r="C553" s="1566" t="s">
        <v>4507</v>
      </c>
      <c r="D553" s="1489"/>
      <c r="E553" s="1567"/>
      <c r="F553" s="1593"/>
      <c r="G553" s="660"/>
      <c r="H553" s="1584" t="s">
        <v>3028</v>
      </c>
      <c r="I553" s="1633"/>
      <c r="J553" s="1584" t="s">
        <v>3807</v>
      </c>
      <c r="K553" s="1633"/>
      <c r="L553" s="1584" t="s">
        <v>3806</v>
      </c>
      <c r="M553" s="1634"/>
      <c r="N553" s="1584"/>
      <c r="O553" s="1633"/>
      <c r="P553" s="1584"/>
      <c r="Q553" s="1633"/>
      <c r="R553" s="1584"/>
      <c r="S553" s="1633"/>
      <c r="T553" s="1584"/>
      <c r="U553" s="1633"/>
      <c r="V553" s="1584"/>
      <c r="W553" s="1633"/>
      <c r="X553" s="1584"/>
      <c r="Y553" s="1633"/>
    </row>
    <row r="554" spans="1:25" ht="30">
      <c r="A554" s="1585"/>
      <c r="B554" s="1665" t="s">
        <v>4508</v>
      </c>
      <c r="C554" s="1513" t="s">
        <v>4509</v>
      </c>
      <c r="D554" s="1489"/>
      <c r="E554" s="1567"/>
      <c r="F554" s="1593"/>
      <c r="G554" s="660"/>
      <c r="H554" s="1584"/>
      <c r="I554" s="1633"/>
      <c r="J554" s="1584"/>
      <c r="K554" s="1633"/>
      <c r="L554" s="1584"/>
      <c r="M554" s="1634"/>
      <c r="N554" s="1584"/>
      <c r="O554" s="1633"/>
      <c r="P554" s="1584"/>
      <c r="Q554" s="1633"/>
      <c r="R554" s="1584"/>
      <c r="S554" s="1633"/>
      <c r="T554" s="1584"/>
      <c r="U554" s="1633"/>
      <c r="V554" s="1584"/>
      <c r="W554" s="1633"/>
      <c r="X554" s="1584"/>
      <c r="Y554" s="1633"/>
    </row>
    <row r="555" spans="1:25" ht="30">
      <c r="A555" s="1585"/>
      <c r="B555" s="1635" t="s">
        <v>4484</v>
      </c>
      <c r="C555" s="1513" t="s">
        <v>4510</v>
      </c>
      <c r="D555" s="1489"/>
      <c r="E555" s="1567"/>
      <c r="F555" s="1593"/>
      <c r="G555" s="660"/>
      <c r="H555" s="1584" t="s">
        <v>3028</v>
      </c>
      <c r="I555" s="1633"/>
      <c r="J555" s="1584" t="s">
        <v>3028</v>
      </c>
      <c r="K555" s="1633"/>
      <c r="L555" s="1584" t="s">
        <v>3028</v>
      </c>
      <c r="M555" s="1634"/>
      <c r="N555" s="1584"/>
      <c r="O555" s="1633"/>
      <c r="P555" s="1584"/>
      <c r="Q555" s="1633"/>
      <c r="R555" s="1584"/>
      <c r="S555" s="1633"/>
      <c r="T555" s="1584"/>
      <c r="U555" s="1633"/>
      <c r="V555" s="1584"/>
      <c r="W555" s="1633"/>
      <c r="X555" s="1584"/>
      <c r="Y555" s="1633"/>
    </row>
    <row r="556" spans="1:25" ht="30">
      <c r="A556" s="1585"/>
      <c r="B556" s="1635" t="s">
        <v>4486</v>
      </c>
      <c r="C556" s="1513" t="s">
        <v>4511</v>
      </c>
      <c r="D556" s="1489"/>
      <c r="E556" s="1567"/>
      <c r="F556" s="1593"/>
      <c r="G556" s="660"/>
      <c r="H556" s="1584" t="s">
        <v>3028</v>
      </c>
      <c r="I556" s="1633"/>
      <c r="J556" s="1584" t="s">
        <v>3028</v>
      </c>
      <c r="K556" s="1633"/>
      <c r="L556" s="1584" t="s">
        <v>3028</v>
      </c>
      <c r="M556" s="1634"/>
      <c r="N556" s="1584"/>
      <c r="O556" s="1633"/>
      <c r="P556" s="1584"/>
      <c r="Q556" s="1633"/>
      <c r="R556" s="1584"/>
      <c r="S556" s="1633"/>
      <c r="T556" s="1584"/>
      <c r="U556" s="1633"/>
      <c r="V556" s="1584"/>
      <c r="W556" s="1633"/>
      <c r="X556" s="1584"/>
      <c r="Y556" s="1633"/>
    </row>
    <row r="557" spans="1:25" ht="30">
      <c r="A557" s="1585"/>
      <c r="B557" s="1707" t="s">
        <v>4478</v>
      </c>
      <c r="C557" s="1513" t="s">
        <v>4512</v>
      </c>
      <c r="D557" s="1489"/>
      <c r="E557" s="1567"/>
      <c r="F557" s="1593"/>
      <c r="G557" s="660"/>
      <c r="H557" s="1584" t="s">
        <v>3028</v>
      </c>
      <c r="I557" s="1633"/>
      <c r="J557" s="1584" t="s">
        <v>3028</v>
      </c>
      <c r="K557" s="1633"/>
      <c r="L557" s="1584" t="s">
        <v>3028</v>
      </c>
      <c r="M557" s="1634"/>
      <c r="N557" s="1584"/>
      <c r="O557" s="1633"/>
      <c r="P557" s="1584"/>
      <c r="Q557" s="1633"/>
      <c r="R557" s="1584"/>
      <c r="S557" s="1633"/>
      <c r="T557" s="1584"/>
      <c r="U557" s="1633"/>
      <c r="V557" s="1584"/>
      <c r="W557" s="1633"/>
      <c r="X557" s="1584"/>
      <c r="Y557" s="1633"/>
    </row>
    <row r="558" spans="1:25">
      <c r="A558" s="1585" t="s">
        <v>4000</v>
      </c>
      <c r="B558" s="1707" t="s">
        <v>4481</v>
      </c>
      <c r="C558" s="1566" t="s">
        <v>4507</v>
      </c>
      <c r="D558" s="1489"/>
      <c r="E558" s="1567"/>
      <c r="F558" s="1593"/>
      <c r="G558" s="660"/>
      <c r="H558" s="1584" t="s">
        <v>3807</v>
      </c>
      <c r="I558" s="1633"/>
      <c r="J558" s="1584" t="s">
        <v>3807</v>
      </c>
      <c r="K558" s="1633"/>
      <c r="L558" s="1584" t="s">
        <v>3807</v>
      </c>
      <c r="M558" s="1634"/>
      <c r="N558" s="1584"/>
      <c r="O558" s="1633"/>
      <c r="P558" s="1584"/>
      <c r="Q558" s="1633"/>
      <c r="R558" s="1584"/>
      <c r="S558" s="1633"/>
      <c r="T558" s="1584"/>
      <c r="U558" s="1633"/>
      <c r="V558" s="1584"/>
      <c r="W558" s="1633"/>
      <c r="X558" s="1584"/>
      <c r="Y558" s="1633"/>
    </row>
    <row r="559" spans="1:25" ht="30">
      <c r="A559" s="1585"/>
      <c r="B559" s="1665" t="s">
        <v>4513</v>
      </c>
      <c r="C559" s="1513" t="s">
        <v>4514</v>
      </c>
      <c r="D559" s="1489"/>
      <c r="E559" s="1567"/>
      <c r="F559" s="1593"/>
      <c r="G559" s="660"/>
      <c r="H559" s="1584"/>
      <c r="I559" s="1633"/>
      <c r="J559" s="1584"/>
      <c r="K559" s="1633"/>
      <c r="L559" s="1584"/>
      <c r="M559" s="1634"/>
      <c r="N559" s="1584"/>
      <c r="O559" s="1633"/>
      <c r="P559" s="1584"/>
      <c r="Q559" s="1633"/>
      <c r="R559" s="1584"/>
      <c r="S559" s="1633"/>
      <c r="T559" s="1584"/>
      <c r="U559" s="1633"/>
      <c r="V559" s="1584"/>
      <c r="W559" s="1633"/>
      <c r="X559" s="1584"/>
      <c r="Y559" s="1633"/>
    </row>
    <row r="560" spans="1:25" ht="30">
      <c r="A560" s="1585"/>
      <c r="B560" s="1635" t="s">
        <v>4478</v>
      </c>
      <c r="C560" s="1513" t="s">
        <v>4490</v>
      </c>
      <c r="D560" s="1489"/>
      <c r="E560" s="1567"/>
      <c r="F560" s="1593"/>
      <c r="G560" s="660"/>
      <c r="H560" s="1584" t="s">
        <v>3028</v>
      </c>
      <c r="I560" s="1633"/>
      <c r="J560" s="1584" t="s">
        <v>3028</v>
      </c>
      <c r="K560" s="1633"/>
      <c r="L560" s="1584" t="s">
        <v>3028</v>
      </c>
      <c r="M560" s="1634"/>
      <c r="N560" s="1584"/>
      <c r="O560" s="1633"/>
      <c r="P560" s="1584"/>
      <c r="Q560" s="1633"/>
      <c r="R560" s="1584"/>
      <c r="S560" s="1633"/>
      <c r="T560" s="1584"/>
      <c r="U560" s="1633"/>
      <c r="V560" s="1584"/>
      <c r="W560" s="1633"/>
      <c r="X560" s="1584"/>
      <c r="Y560" s="1633"/>
    </row>
    <row r="561" spans="1:25">
      <c r="A561" s="1585" t="s">
        <v>4000</v>
      </c>
      <c r="B561" s="1707" t="s">
        <v>4481</v>
      </c>
      <c r="C561" s="1566" t="s">
        <v>4507</v>
      </c>
      <c r="D561" s="1489"/>
      <c r="E561" s="1567"/>
      <c r="F561" s="1593"/>
      <c r="G561" s="660"/>
      <c r="H561" s="1584" t="s">
        <v>3807</v>
      </c>
      <c r="I561" s="1633"/>
      <c r="J561" s="1584" t="s">
        <v>3807</v>
      </c>
      <c r="K561" s="1633"/>
      <c r="L561" s="1584" t="s">
        <v>3807</v>
      </c>
      <c r="M561" s="1634"/>
      <c r="N561" s="1584"/>
      <c r="O561" s="1633"/>
      <c r="P561" s="1584"/>
      <c r="Q561" s="1633"/>
      <c r="R561" s="1584"/>
      <c r="S561" s="1633"/>
      <c r="T561" s="1584"/>
      <c r="U561" s="1633"/>
      <c r="V561" s="1584"/>
      <c r="W561" s="1633"/>
      <c r="X561" s="1584"/>
      <c r="Y561" s="1633"/>
    </row>
    <row r="562" spans="1:25">
      <c r="A562" s="1585"/>
      <c r="B562" s="1665" t="s">
        <v>4515</v>
      </c>
      <c r="C562" s="1566"/>
      <c r="D562" s="1489"/>
      <c r="E562" s="1567"/>
      <c r="F562" s="1593"/>
      <c r="G562" s="660"/>
      <c r="H562" s="1584"/>
      <c r="I562" s="1633"/>
      <c r="J562" s="1584"/>
      <c r="K562" s="1633"/>
      <c r="L562" s="1584"/>
      <c r="M562" s="1634"/>
      <c r="N562" s="1584"/>
      <c r="O562" s="1633"/>
      <c r="P562" s="1584"/>
      <c r="Q562" s="1633"/>
      <c r="R562" s="1584"/>
      <c r="S562" s="1633"/>
      <c r="T562" s="1584"/>
      <c r="U562" s="1633"/>
      <c r="V562" s="1584"/>
      <c r="W562" s="1633"/>
      <c r="X562" s="1584"/>
      <c r="Y562" s="1633"/>
    </row>
    <row r="563" spans="1:25" ht="45">
      <c r="A563" s="1585"/>
      <c r="B563" s="1635" t="s">
        <v>4501</v>
      </c>
      <c r="C563" s="1513" t="s">
        <v>4502</v>
      </c>
      <c r="D563" s="1489"/>
      <c r="E563" s="1567"/>
      <c r="F563" s="1593"/>
      <c r="G563" s="660"/>
      <c r="H563" s="1584" t="s">
        <v>3028</v>
      </c>
      <c r="I563" s="1633"/>
      <c r="J563" s="1584" t="s">
        <v>3028</v>
      </c>
      <c r="K563" s="1633"/>
      <c r="L563" s="1584" t="s">
        <v>3028</v>
      </c>
      <c r="M563" s="1634"/>
      <c r="N563" s="1584"/>
      <c r="O563" s="1633"/>
      <c r="P563" s="1584"/>
      <c r="Q563" s="1633"/>
      <c r="R563" s="1584"/>
      <c r="S563" s="1633"/>
      <c r="T563" s="1584"/>
      <c r="U563" s="1633"/>
      <c r="V563" s="1584"/>
      <c r="W563" s="1633"/>
      <c r="X563" s="1584"/>
      <c r="Y563" s="1633"/>
    </row>
    <row r="564" spans="1:25">
      <c r="A564" s="1585"/>
      <c r="B564" s="1635" t="s">
        <v>4472</v>
      </c>
      <c r="C564" s="1513" t="s">
        <v>4503</v>
      </c>
      <c r="D564" s="1489"/>
      <c r="E564" s="1567"/>
      <c r="F564" s="1593"/>
      <c r="G564" s="660"/>
      <c r="H564" s="1584" t="s">
        <v>3028</v>
      </c>
      <c r="I564" s="1633"/>
      <c r="J564" s="1584" t="s">
        <v>3028</v>
      </c>
      <c r="K564" s="1633"/>
      <c r="L564" s="1584" t="s">
        <v>3028</v>
      </c>
      <c r="M564" s="1634"/>
      <c r="N564" s="1584"/>
      <c r="O564" s="1633"/>
      <c r="P564" s="1584"/>
      <c r="Q564" s="1633"/>
      <c r="R564" s="1584"/>
      <c r="S564" s="1633"/>
      <c r="T564" s="1584"/>
      <c r="U564" s="1633"/>
      <c r="V564" s="1584"/>
      <c r="W564" s="1633"/>
      <c r="X564" s="1584"/>
      <c r="Y564" s="1633"/>
    </row>
    <row r="565" spans="1:25">
      <c r="A565" s="1585"/>
      <c r="B565" s="1635" t="s">
        <v>4474</v>
      </c>
      <c r="C565" s="1513" t="s">
        <v>4504</v>
      </c>
      <c r="D565" s="1489"/>
      <c r="E565" s="1567"/>
      <c r="F565" s="1593"/>
      <c r="G565" s="660"/>
      <c r="H565" s="1584" t="s">
        <v>3028</v>
      </c>
      <c r="I565" s="1633"/>
      <c r="J565" s="1584" t="s">
        <v>3028</v>
      </c>
      <c r="K565" s="1633"/>
      <c r="L565" s="1584" t="s">
        <v>3028</v>
      </c>
      <c r="M565" s="1634"/>
      <c r="N565" s="1584"/>
      <c r="O565" s="1633"/>
      <c r="P565" s="1584"/>
      <c r="Q565" s="1633"/>
      <c r="R565" s="1584"/>
      <c r="S565" s="1633"/>
      <c r="T565" s="1584"/>
      <c r="U565" s="1633"/>
      <c r="V565" s="1584"/>
      <c r="W565" s="1633"/>
      <c r="X565" s="1584"/>
      <c r="Y565" s="1633"/>
    </row>
    <row r="566" spans="1:25" ht="30">
      <c r="A566" s="1683"/>
      <c r="B566" s="1698" t="s">
        <v>4476</v>
      </c>
      <c r="C566" s="1513" t="s">
        <v>4505</v>
      </c>
      <c r="D566" s="1489"/>
      <c r="E566" s="1567"/>
      <c r="F566" s="1593"/>
      <c r="G566" s="660"/>
      <c r="H566" s="1584" t="s">
        <v>3807</v>
      </c>
      <c r="I566" s="1633"/>
      <c r="J566" s="1584" t="s">
        <v>3807</v>
      </c>
      <c r="K566" s="1633"/>
      <c r="L566" s="1584" t="s">
        <v>3028</v>
      </c>
      <c r="M566" s="1634"/>
      <c r="N566" s="1584"/>
      <c r="O566" s="1633"/>
      <c r="P566" s="1584"/>
      <c r="Q566" s="1633"/>
      <c r="R566" s="1584"/>
      <c r="S566" s="1633"/>
      <c r="T566" s="1584"/>
      <c r="U566" s="1633"/>
      <c r="V566" s="1584"/>
      <c r="W566" s="1633"/>
      <c r="X566" s="1584"/>
      <c r="Y566" s="1633"/>
    </row>
    <row r="567" spans="1:25" ht="30">
      <c r="A567" s="1585"/>
      <c r="B567" s="1700" t="s">
        <v>4478</v>
      </c>
      <c r="C567" s="1513" t="s">
        <v>4505</v>
      </c>
      <c r="D567" s="1489"/>
      <c r="E567" s="1567"/>
      <c r="F567" s="1593"/>
      <c r="G567" s="660"/>
      <c r="H567" s="1584" t="s">
        <v>3028</v>
      </c>
      <c r="I567" s="1633"/>
      <c r="J567" s="1584" t="s">
        <v>3028</v>
      </c>
      <c r="K567" s="1633"/>
      <c r="L567" s="1584" t="s">
        <v>3028</v>
      </c>
      <c r="M567" s="1634"/>
      <c r="N567" s="1584"/>
      <c r="O567" s="1633"/>
      <c r="P567" s="1584"/>
      <c r="Q567" s="1633"/>
      <c r="R567" s="1584"/>
      <c r="S567" s="1633"/>
      <c r="T567" s="1584"/>
      <c r="U567" s="1633"/>
      <c r="V567" s="1584"/>
      <c r="W567" s="1633"/>
      <c r="X567" s="1584"/>
      <c r="Y567" s="1633"/>
    </row>
    <row r="568" spans="1:25" ht="30">
      <c r="A568" s="1585"/>
      <c r="B568" s="1635" t="s">
        <v>4479</v>
      </c>
      <c r="C568" s="1513" t="s">
        <v>4506</v>
      </c>
      <c r="D568" s="1489"/>
      <c r="E568" s="1567"/>
      <c r="F568" s="1593"/>
      <c r="G568" s="660"/>
      <c r="H568" s="1584" t="s">
        <v>3028</v>
      </c>
      <c r="I568" s="1633"/>
      <c r="J568" s="1584" t="s">
        <v>3028</v>
      </c>
      <c r="K568" s="1633"/>
      <c r="L568" s="1584" t="s">
        <v>3028</v>
      </c>
      <c r="M568" s="1634"/>
      <c r="N568" s="1584"/>
      <c r="O568" s="1633"/>
      <c r="P568" s="1584"/>
      <c r="Q568" s="1633"/>
      <c r="R568" s="1584"/>
      <c r="S568" s="1633"/>
      <c r="T568" s="1584"/>
      <c r="U568" s="1633"/>
      <c r="V568" s="1584"/>
      <c r="W568" s="1633"/>
      <c r="X568" s="1584"/>
      <c r="Y568" s="1633"/>
    </row>
    <row r="569" spans="1:25">
      <c r="A569" s="1693"/>
      <c r="B569" s="1707" t="s">
        <v>4481</v>
      </c>
      <c r="C569" s="1566" t="s">
        <v>4507</v>
      </c>
      <c r="D569" s="1489"/>
      <c r="E569" s="1567"/>
      <c r="F569" s="1593"/>
      <c r="G569" s="660"/>
      <c r="H569" s="1584" t="s">
        <v>3028</v>
      </c>
      <c r="I569" s="1633"/>
      <c r="J569" s="1584" t="s">
        <v>3807</v>
      </c>
      <c r="K569" s="1633"/>
      <c r="L569" s="1584" t="s">
        <v>3806</v>
      </c>
      <c r="M569" s="1634"/>
      <c r="N569" s="1584"/>
      <c r="O569" s="1633"/>
      <c r="P569" s="1584"/>
      <c r="Q569" s="1633"/>
      <c r="R569" s="1584"/>
      <c r="S569" s="1633"/>
      <c r="T569" s="1584"/>
      <c r="U569" s="1633"/>
      <c r="V569" s="1584"/>
      <c r="W569" s="1633"/>
      <c r="X569" s="1584"/>
      <c r="Y569" s="1633"/>
    </row>
    <row r="570" spans="1:25">
      <c r="A570" s="1585"/>
      <c r="B570" s="1665" t="s">
        <v>4516</v>
      </c>
      <c r="C570" s="1566"/>
      <c r="D570" s="1489"/>
      <c r="E570" s="1567"/>
      <c r="F570" s="1593"/>
      <c r="G570" s="660"/>
      <c r="H570" s="1584"/>
      <c r="I570" s="1633"/>
      <c r="J570" s="1584"/>
      <c r="K570" s="1633"/>
      <c r="L570" s="1584"/>
      <c r="M570" s="1634"/>
      <c r="N570" s="1584"/>
      <c r="O570" s="1633"/>
      <c r="P570" s="1584"/>
      <c r="Q570" s="1633"/>
      <c r="R570" s="1584"/>
      <c r="S570" s="1633"/>
      <c r="T570" s="1584"/>
      <c r="U570" s="1633"/>
      <c r="V570" s="1584"/>
      <c r="W570" s="1633"/>
      <c r="X570" s="1584"/>
      <c r="Y570" s="1633"/>
    </row>
    <row r="571" spans="1:25" ht="30">
      <c r="A571" s="1585"/>
      <c r="B571" s="1635" t="s">
        <v>4484</v>
      </c>
      <c r="C571" s="1513" t="s">
        <v>4510</v>
      </c>
      <c r="D571" s="1489"/>
      <c r="E571" s="1567"/>
      <c r="F571" s="1593"/>
      <c r="G571" s="660"/>
      <c r="H571" s="1584" t="s">
        <v>3028</v>
      </c>
      <c r="I571" s="1633"/>
      <c r="J571" s="1584" t="s">
        <v>3028</v>
      </c>
      <c r="K571" s="1633"/>
      <c r="L571" s="1584" t="s">
        <v>3028</v>
      </c>
      <c r="M571" s="1634"/>
      <c r="N571" s="1584"/>
      <c r="O571" s="1633"/>
      <c r="P571" s="1584"/>
      <c r="Q571" s="1633"/>
      <c r="R571" s="1584"/>
      <c r="S571" s="1633"/>
      <c r="T571" s="1584"/>
      <c r="U571" s="1633"/>
      <c r="V571" s="1584"/>
      <c r="W571" s="1633"/>
      <c r="X571" s="1584"/>
      <c r="Y571" s="1633"/>
    </row>
    <row r="572" spans="1:25" ht="30">
      <c r="A572" s="1585"/>
      <c r="B572" s="1635" t="s">
        <v>4486</v>
      </c>
      <c r="C572" s="1513" t="s">
        <v>4511</v>
      </c>
      <c r="D572" s="1489"/>
      <c r="E572" s="1567"/>
      <c r="F572" s="1593"/>
      <c r="G572" s="660"/>
      <c r="H572" s="1584" t="s">
        <v>3028</v>
      </c>
      <c r="I572" s="1633"/>
      <c r="J572" s="1584" t="s">
        <v>3028</v>
      </c>
      <c r="K572" s="1633"/>
      <c r="L572" s="1584" t="s">
        <v>3028</v>
      </c>
      <c r="M572" s="1634"/>
      <c r="N572" s="1584"/>
      <c r="O572" s="1633"/>
      <c r="P572" s="1584"/>
      <c r="Q572" s="1633"/>
      <c r="R572" s="1584"/>
      <c r="S572" s="1633"/>
      <c r="T572" s="1584"/>
      <c r="U572" s="1633"/>
      <c r="V572" s="1584"/>
      <c r="W572" s="1633"/>
      <c r="X572" s="1584"/>
      <c r="Y572" s="1633"/>
    </row>
    <row r="573" spans="1:25" ht="30">
      <c r="A573" s="1585"/>
      <c r="B573" s="1707" t="s">
        <v>4478</v>
      </c>
      <c r="C573" s="1513" t="s">
        <v>4512</v>
      </c>
      <c r="D573" s="1489"/>
      <c r="E573" s="1567"/>
      <c r="F573" s="1593"/>
      <c r="G573" s="660"/>
      <c r="H573" s="1584" t="s">
        <v>3028</v>
      </c>
      <c r="I573" s="1633"/>
      <c r="J573" s="1584" t="s">
        <v>3028</v>
      </c>
      <c r="K573" s="1633"/>
      <c r="L573" s="1584" t="s">
        <v>3028</v>
      </c>
      <c r="M573" s="1634"/>
      <c r="N573" s="1584"/>
      <c r="O573" s="1633"/>
      <c r="P573" s="1584"/>
      <c r="Q573" s="1633"/>
      <c r="R573" s="1584"/>
      <c r="S573" s="1633"/>
      <c r="T573" s="1584"/>
      <c r="U573" s="1633"/>
      <c r="V573" s="1584"/>
      <c r="W573" s="1633"/>
      <c r="X573" s="1584"/>
      <c r="Y573" s="1633"/>
    </row>
    <row r="574" spans="1:25">
      <c r="A574" s="1585" t="s">
        <v>4000</v>
      </c>
      <c r="B574" s="1707" t="s">
        <v>4481</v>
      </c>
      <c r="C574" s="1566" t="s">
        <v>4507</v>
      </c>
      <c r="D574" s="1489"/>
      <c r="E574" s="1567"/>
      <c r="F574" s="1593"/>
      <c r="G574" s="660"/>
      <c r="H574" s="1584" t="s">
        <v>3807</v>
      </c>
      <c r="I574" s="1633"/>
      <c r="J574" s="1584" t="s">
        <v>3807</v>
      </c>
      <c r="K574" s="1633"/>
      <c r="L574" s="1584" t="s">
        <v>3807</v>
      </c>
      <c r="M574" s="1634"/>
      <c r="N574" s="1584"/>
      <c r="O574" s="1633"/>
      <c r="P574" s="1584"/>
      <c r="Q574" s="1633"/>
      <c r="R574" s="1584"/>
      <c r="S574" s="1633"/>
      <c r="T574" s="1584"/>
      <c r="U574" s="1633"/>
      <c r="V574" s="1584"/>
      <c r="W574" s="1633"/>
      <c r="X574" s="1584"/>
      <c r="Y574" s="1633"/>
    </row>
    <row r="575" spans="1:25">
      <c r="A575" s="1585"/>
      <c r="B575" s="1665" t="s">
        <v>4517</v>
      </c>
      <c r="C575" s="1566"/>
      <c r="D575" s="1489"/>
      <c r="E575" s="1567"/>
      <c r="F575" s="1593"/>
      <c r="G575" s="660"/>
      <c r="H575" s="1584"/>
      <c r="I575" s="1633"/>
      <c r="J575" s="1584"/>
      <c r="K575" s="1633"/>
      <c r="L575" s="1584"/>
      <c r="M575" s="1634"/>
      <c r="N575" s="1584"/>
      <c r="O575" s="1633"/>
      <c r="P575" s="1584"/>
      <c r="Q575" s="1633"/>
      <c r="R575" s="1584"/>
      <c r="S575" s="1633"/>
      <c r="T575" s="1584"/>
      <c r="U575" s="1633"/>
      <c r="V575" s="1584"/>
      <c r="W575" s="1633"/>
      <c r="X575" s="1584"/>
      <c r="Y575" s="1633"/>
    </row>
    <row r="576" spans="1:25" ht="30">
      <c r="A576" s="1585"/>
      <c r="B576" s="1707" t="s">
        <v>4478</v>
      </c>
      <c r="C576" s="1513" t="s">
        <v>4490</v>
      </c>
      <c r="D576" s="1489"/>
      <c r="E576" s="1567"/>
      <c r="F576" s="1593"/>
      <c r="G576" s="660"/>
      <c r="H576" s="1584" t="s">
        <v>3028</v>
      </c>
      <c r="I576" s="1633"/>
      <c r="J576" s="1584" t="s">
        <v>3028</v>
      </c>
      <c r="K576" s="1633"/>
      <c r="L576" s="1584" t="s">
        <v>3028</v>
      </c>
      <c r="M576" s="1634"/>
      <c r="N576" s="1584"/>
      <c r="O576" s="1633"/>
      <c r="P576" s="1584"/>
      <c r="Q576" s="1633"/>
      <c r="R576" s="1584"/>
      <c r="S576" s="1633"/>
      <c r="T576" s="1584"/>
      <c r="U576" s="1633"/>
      <c r="V576" s="1584"/>
      <c r="W576" s="1633"/>
      <c r="X576" s="1584"/>
      <c r="Y576" s="1633"/>
    </row>
    <row r="577" spans="1:25">
      <c r="A577" s="1585" t="s">
        <v>4000</v>
      </c>
      <c r="B577" s="1707" t="s">
        <v>4481</v>
      </c>
      <c r="C577" s="1566" t="s">
        <v>4507</v>
      </c>
      <c r="D577" s="1489"/>
      <c r="E577" s="1567"/>
      <c r="F577" s="1593"/>
      <c r="G577" s="660"/>
      <c r="H577" s="1584" t="s">
        <v>3807</v>
      </c>
      <c r="I577" s="1633"/>
      <c r="J577" s="1584" t="s">
        <v>3807</v>
      </c>
      <c r="K577" s="1633"/>
      <c r="L577" s="1584" t="s">
        <v>3807</v>
      </c>
      <c r="M577" s="1634"/>
      <c r="N577" s="1584"/>
      <c r="O577" s="1633"/>
      <c r="P577" s="1584"/>
      <c r="Q577" s="1633"/>
      <c r="R577" s="1584"/>
      <c r="S577" s="1633"/>
      <c r="T577" s="1584"/>
      <c r="U577" s="1633"/>
      <c r="V577" s="1584"/>
      <c r="W577" s="1633"/>
      <c r="X577" s="1584"/>
      <c r="Y577" s="1633"/>
    </row>
    <row r="578" spans="1:25" ht="21">
      <c r="A578" s="1585"/>
      <c r="B578" s="1646" t="s">
        <v>4518</v>
      </c>
      <c r="C578" s="1566"/>
      <c r="D578" s="1489"/>
      <c r="E578" s="1567"/>
      <c r="F578" s="1593"/>
      <c r="G578" s="660"/>
      <c r="H578" s="1584"/>
      <c r="I578" s="1633"/>
      <c r="J578" s="1584"/>
      <c r="K578" s="1633"/>
      <c r="L578" s="1584"/>
      <c r="M578" s="1634"/>
      <c r="N578" s="1584"/>
      <c r="O578" s="1633"/>
      <c r="P578" s="1584"/>
      <c r="Q578" s="1633"/>
      <c r="R578" s="1584"/>
      <c r="S578" s="1633"/>
      <c r="T578" s="1584"/>
      <c r="U578" s="1633"/>
      <c r="V578" s="1584"/>
      <c r="W578" s="1633"/>
      <c r="X578" s="1584"/>
      <c r="Y578" s="1633"/>
    </row>
    <row r="579" spans="1:25" ht="30">
      <c r="A579" s="1585"/>
      <c r="B579" s="1665" t="s">
        <v>4519</v>
      </c>
      <c r="C579" s="1513" t="s">
        <v>4520</v>
      </c>
      <c r="D579" s="1489"/>
      <c r="E579" s="1567"/>
      <c r="F579" s="1593"/>
      <c r="G579" s="660"/>
      <c r="H579" s="1584"/>
      <c r="I579" s="1633"/>
      <c r="J579" s="1584"/>
      <c r="K579" s="1633"/>
      <c r="L579" s="1584"/>
      <c r="M579" s="1634"/>
      <c r="N579" s="1584"/>
      <c r="O579" s="1633"/>
      <c r="P579" s="1584"/>
      <c r="Q579" s="1633"/>
      <c r="R579" s="1584"/>
      <c r="S579" s="1633"/>
      <c r="T579" s="1584"/>
      <c r="U579" s="1633"/>
      <c r="V579" s="1584"/>
      <c r="W579" s="1633"/>
      <c r="X579" s="1584"/>
      <c r="Y579" s="1633"/>
    </row>
    <row r="580" spans="1:25" ht="45">
      <c r="A580" s="1585"/>
      <c r="B580" s="1635" t="s">
        <v>4521</v>
      </c>
      <c r="C580" s="1513" t="s">
        <v>4522</v>
      </c>
      <c r="D580" s="1489"/>
      <c r="E580" s="1567"/>
      <c r="F580" s="1593"/>
      <c r="G580" s="660"/>
      <c r="H580" s="1584" t="s">
        <v>3028</v>
      </c>
      <c r="I580" s="1633"/>
      <c r="J580" s="1584" t="s">
        <v>3028</v>
      </c>
      <c r="K580" s="1633"/>
      <c r="L580" s="1584" t="s">
        <v>3028</v>
      </c>
      <c r="M580" s="1634"/>
      <c r="N580" s="1584"/>
      <c r="O580" s="1633"/>
      <c r="P580" s="1584"/>
      <c r="Q580" s="1633"/>
      <c r="R580" s="1584"/>
      <c r="S580" s="1633"/>
      <c r="T580" s="1584"/>
      <c r="U580" s="1633"/>
      <c r="V580" s="1584"/>
      <c r="W580" s="1633"/>
      <c r="X580" s="1584"/>
      <c r="Y580" s="1633"/>
    </row>
    <row r="581" spans="1:25">
      <c r="A581" s="1585"/>
      <c r="B581" s="1635" t="s">
        <v>4472</v>
      </c>
      <c r="C581" s="1513" t="s">
        <v>4523</v>
      </c>
      <c r="D581" s="1489"/>
      <c r="E581" s="1567"/>
      <c r="F581" s="1593"/>
      <c r="G581" s="660"/>
      <c r="H581" s="1584" t="s">
        <v>3028</v>
      </c>
      <c r="I581" s="1633"/>
      <c r="J581" s="1584" t="s">
        <v>3028</v>
      </c>
      <c r="K581" s="1633"/>
      <c r="L581" s="1584" t="s">
        <v>3028</v>
      </c>
      <c r="M581" s="1634"/>
      <c r="N581" s="1584"/>
      <c r="O581" s="1633"/>
      <c r="P581" s="1584"/>
      <c r="Q581" s="1633"/>
      <c r="R581" s="1584"/>
      <c r="S581" s="1633"/>
      <c r="T581" s="1584"/>
      <c r="U581" s="1633"/>
      <c r="V581" s="1584"/>
      <c r="W581" s="1633"/>
      <c r="X581" s="1584"/>
      <c r="Y581" s="1633"/>
    </row>
    <row r="582" spans="1:25">
      <c r="A582" s="1585"/>
      <c r="B582" s="1635" t="s">
        <v>4474</v>
      </c>
      <c r="C582" s="1513" t="s">
        <v>4524</v>
      </c>
      <c r="D582" s="1489"/>
      <c r="E582" s="1567"/>
      <c r="F582" s="1593"/>
      <c r="G582" s="660"/>
      <c r="H582" s="1584" t="s">
        <v>3028</v>
      </c>
      <c r="I582" s="1633"/>
      <c r="J582" s="1584" t="s">
        <v>3028</v>
      </c>
      <c r="K582" s="1633"/>
      <c r="L582" s="1584" t="s">
        <v>3028</v>
      </c>
      <c r="M582" s="1634"/>
      <c r="N582" s="1584"/>
      <c r="O582" s="1633"/>
      <c r="P582" s="1584"/>
      <c r="Q582" s="1633"/>
      <c r="R582" s="1584"/>
      <c r="S582" s="1633"/>
      <c r="T582" s="1584"/>
      <c r="U582" s="1633"/>
      <c r="V582" s="1584"/>
      <c r="W582" s="1633"/>
      <c r="X582" s="1584"/>
      <c r="Y582" s="1633"/>
    </row>
    <row r="583" spans="1:25" ht="30">
      <c r="A583" s="1683"/>
      <c r="B583" s="1698" t="s">
        <v>4476</v>
      </c>
      <c r="C583" s="1513" t="s">
        <v>4525</v>
      </c>
      <c r="D583" s="1489"/>
      <c r="E583" s="1567"/>
      <c r="F583" s="1593"/>
      <c r="G583" s="660"/>
      <c r="H583" s="1584" t="s">
        <v>3807</v>
      </c>
      <c r="I583" s="1633"/>
      <c r="J583" s="1584" t="s">
        <v>3807</v>
      </c>
      <c r="K583" s="1633"/>
      <c r="L583" s="1584" t="s">
        <v>3028</v>
      </c>
      <c r="M583" s="1634"/>
      <c r="N583" s="1584"/>
      <c r="O583" s="1633"/>
      <c r="P583" s="1584"/>
      <c r="Q583" s="1633"/>
      <c r="R583" s="1584"/>
      <c r="S583" s="1633"/>
      <c r="T583" s="1584"/>
      <c r="U583" s="1633"/>
      <c r="V583" s="1584"/>
      <c r="W583" s="1633"/>
      <c r="X583" s="1584"/>
      <c r="Y583" s="1633"/>
    </row>
    <row r="584" spans="1:25" ht="30">
      <c r="A584" s="1585"/>
      <c r="B584" s="1700" t="s">
        <v>4478</v>
      </c>
      <c r="C584" s="1513" t="s">
        <v>4525</v>
      </c>
      <c r="D584" s="1489"/>
      <c r="E584" s="1567"/>
      <c r="F584" s="1593"/>
      <c r="G584" s="660"/>
      <c r="H584" s="1584" t="s">
        <v>3028</v>
      </c>
      <c r="I584" s="1633"/>
      <c r="J584" s="1584" t="s">
        <v>3028</v>
      </c>
      <c r="K584" s="1633"/>
      <c r="L584" s="1584" t="s">
        <v>3028</v>
      </c>
      <c r="M584" s="1634"/>
      <c r="N584" s="1584"/>
      <c r="O584" s="1633"/>
      <c r="P584" s="1584"/>
      <c r="Q584" s="1633"/>
      <c r="R584" s="1584"/>
      <c r="S584" s="1633"/>
      <c r="T584" s="1584"/>
      <c r="U584" s="1633"/>
      <c r="V584" s="1584"/>
      <c r="W584" s="1633"/>
      <c r="X584" s="1584"/>
      <c r="Y584" s="1633"/>
    </row>
    <row r="585" spans="1:25" ht="30">
      <c r="A585" s="1585"/>
      <c r="B585" s="1635" t="s">
        <v>4479</v>
      </c>
      <c r="C585" s="1513" t="s">
        <v>4526</v>
      </c>
      <c r="D585" s="1489"/>
      <c r="E585" s="1567"/>
      <c r="F585" s="1593"/>
      <c r="G585" s="660"/>
      <c r="H585" s="1584" t="s">
        <v>3028</v>
      </c>
      <c r="I585" s="1633"/>
      <c r="J585" s="1584" t="s">
        <v>3028</v>
      </c>
      <c r="K585" s="1633"/>
      <c r="L585" s="1584" t="s">
        <v>3028</v>
      </c>
      <c r="M585" s="1634"/>
      <c r="N585" s="1584"/>
      <c r="O585" s="1633"/>
      <c r="P585" s="1584"/>
      <c r="Q585" s="1633"/>
      <c r="R585" s="1584"/>
      <c r="S585" s="1633"/>
      <c r="T585" s="1584"/>
      <c r="U585" s="1633"/>
      <c r="V585" s="1584"/>
      <c r="W585" s="1633"/>
      <c r="X585" s="1584"/>
      <c r="Y585" s="1633"/>
    </row>
    <row r="586" spans="1:25">
      <c r="A586" s="1693"/>
      <c r="B586" s="1707" t="s">
        <v>4481</v>
      </c>
      <c r="C586" s="1566" t="s">
        <v>4527</v>
      </c>
      <c r="D586" s="1489"/>
      <c r="E586" s="1567"/>
      <c r="F586" s="1593"/>
      <c r="G586" s="660"/>
      <c r="H586" s="1584" t="s">
        <v>3028</v>
      </c>
      <c r="I586" s="1633"/>
      <c r="J586" s="1584" t="s">
        <v>3807</v>
      </c>
      <c r="K586" s="1633"/>
      <c r="L586" s="1584" t="s">
        <v>3806</v>
      </c>
      <c r="M586" s="1634"/>
      <c r="N586" s="1584"/>
      <c r="O586" s="1633"/>
      <c r="P586" s="1584"/>
      <c r="Q586" s="1633"/>
      <c r="R586" s="1584"/>
      <c r="S586" s="1633"/>
      <c r="T586" s="1584"/>
      <c r="U586" s="1633"/>
      <c r="V586" s="1584"/>
      <c r="W586" s="1633"/>
      <c r="X586" s="1584"/>
      <c r="Y586" s="1633"/>
    </row>
    <row r="587" spans="1:25" ht="30">
      <c r="A587" s="1585"/>
      <c r="B587" s="1665" t="s">
        <v>4528</v>
      </c>
      <c r="C587" s="1513" t="s">
        <v>4529</v>
      </c>
      <c r="D587" s="1489"/>
      <c r="E587" s="1567"/>
      <c r="F587" s="1593"/>
      <c r="G587" s="660"/>
      <c r="H587" s="1584"/>
      <c r="I587" s="1633"/>
      <c r="J587" s="1584"/>
      <c r="K587" s="1633"/>
      <c r="L587" s="1584"/>
      <c r="M587" s="1634"/>
      <c r="N587" s="1584"/>
      <c r="O587" s="1633"/>
      <c r="P587" s="1584"/>
      <c r="Q587" s="1633"/>
      <c r="R587" s="1584"/>
      <c r="S587" s="1633"/>
      <c r="T587" s="1584"/>
      <c r="U587" s="1633"/>
      <c r="V587" s="1584"/>
      <c r="W587" s="1633"/>
      <c r="X587" s="1584"/>
      <c r="Y587" s="1633"/>
    </row>
    <row r="588" spans="1:25" ht="30">
      <c r="A588" s="1585"/>
      <c r="B588" s="1635" t="s">
        <v>4484</v>
      </c>
      <c r="C588" s="1513" t="s">
        <v>4530</v>
      </c>
      <c r="D588" s="1489"/>
      <c r="E588" s="1567"/>
      <c r="F588" s="1593"/>
      <c r="G588" s="660"/>
      <c r="H588" s="1584" t="s">
        <v>3028</v>
      </c>
      <c r="I588" s="1633"/>
      <c r="J588" s="1584" t="s">
        <v>3028</v>
      </c>
      <c r="K588" s="1633"/>
      <c r="L588" s="1584" t="s">
        <v>3028</v>
      </c>
      <c r="M588" s="1634"/>
      <c r="N588" s="1584"/>
      <c r="O588" s="1633"/>
      <c r="P588" s="1584"/>
      <c r="Q588" s="1633"/>
      <c r="R588" s="1584"/>
      <c r="S588" s="1633"/>
      <c r="T588" s="1584"/>
      <c r="U588" s="1633"/>
      <c r="V588" s="1584"/>
      <c r="W588" s="1633"/>
      <c r="X588" s="1584"/>
      <c r="Y588" s="1633"/>
    </row>
    <row r="589" spans="1:25" ht="30">
      <c r="A589" s="1585"/>
      <c r="B589" s="1635" t="s">
        <v>4486</v>
      </c>
      <c r="C589" s="1513" t="s">
        <v>4531</v>
      </c>
      <c r="D589" s="1489"/>
      <c r="E589" s="1567"/>
      <c r="F589" s="1593"/>
      <c r="G589" s="660"/>
      <c r="H589" s="1584" t="s">
        <v>3028</v>
      </c>
      <c r="I589" s="1633"/>
      <c r="J589" s="1584" t="s">
        <v>3028</v>
      </c>
      <c r="K589" s="1633"/>
      <c r="L589" s="1584" t="s">
        <v>3028</v>
      </c>
      <c r="M589" s="1634"/>
      <c r="N589" s="1584"/>
      <c r="O589" s="1633"/>
      <c r="P589" s="1584"/>
      <c r="Q589" s="1633"/>
      <c r="R589" s="1584"/>
      <c r="S589" s="1633"/>
      <c r="T589" s="1584"/>
      <c r="U589" s="1633"/>
      <c r="V589" s="1584"/>
      <c r="W589" s="1633"/>
      <c r="X589" s="1584"/>
      <c r="Y589" s="1633"/>
    </row>
    <row r="590" spans="1:25" ht="30">
      <c r="A590" s="1585"/>
      <c r="B590" s="1707" t="s">
        <v>4478</v>
      </c>
      <c r="C590" s="1513" t="s">
        <v>4532</v>
      </c>
      <c r="D590" s="1489"/>
      <c r="E590" s="1567"/>
      <c r="F590" s="1593"/>
      <c r="G590" s="660"/>
      <c r="H590" s="1584" t="s">
        <v>3028</v>
      </c>
      <c r="I590" s="1633"/>
      <c r="J590" s="1584" t="s">
        <v>3028</v>
      </c>
      <c r="K590" s="1633"/>
      <c r="L590" s="1584" t="s">
        <v>3028</v>
      </c>
      <c r="M590" s="1634"/>
      <c r="N590" s="1584"/>
      <c r="O590" s="1633"/>
      <c r="P590" s="1584"/>
      <c r="Q590" s="1633"/>
      <c r="R590" s="1584"/>
      <c r="S590" s="1633"/>
      <c r="T590" s="1584"/>
      <c r="U590" s="1633"/>
      <c r="V590" s="1584"/>
      <c r="W590" s="1633"/>
      <c r="X590" s="1584"/>
      <c r="Y590" s="1633"/>
    </row>
    <row r="591" spans="1:25">
      <c r="A591" s="1585" t="s">
        <v>4000</v>
      </c>
      <c r="B591" s="1707" t="s">
        <v>4481</v>
      </c>
      <c r="C591" s="1566" t="s">
        <v>4507</v>
      </c>
      <c r="D591" s="1489"/>
      <c r="E591" s="1567"/>
      <c r="F591" s="1593"/>
      <c r="G591" s="660"/>
      <c r="H591" s="1584" t="s">
        <v>3807</v>
      </c>
      <c r="I591" s="1633"/>
      <c r="J591" s="1584" t="s">
        <v>3807</v>
      </c>
      <c r="K591" s="1633"/>
      <c r="L591" s="1584" t="s">
        <v>3807</v>
      </c>
      <c r="M591" s="1634"/>
      <c r="N591" s="1584"/>
      <c r="O591" s="1633"/>
      <c r="P591" s="1584"/>
      <c r="Q591" s="1633"/>
      <c r="R591" s="1584"/>
      <c r="S591" s="1633"/>
      <c r="T591" s="1584"/>
      <c r="U591" s="1633"/>
      <c r="V591" s="1584"/>
      <c r="W591" s="1633"/>
      <c r="X591" s="1584"/>
      <c r="Y591" s="1633"/>
    </row>
    <row r="592" spans="1:25" ht="30">
      <c r="A592" s="1585"/>
      <c r="B592" s="1665" t="s">
        <v>4533</v>
      </c>
      <c r="C592" s="1513" t="s">
        <v>4514</v>
      </c>
      <c r="D592" s="1489"/>
      <c r="E592" s="1567"/>
      <c r="F592" s="1593"/>
      <c r="G592" s="660"/>
      <c r="H592" s="1584"/>
      <c r="I592" s="1633"/>
      <c r="J592" s="1584"/>
      <c r="K592" s="1633"/>
      <c r="L592" s="1584"/>
      <c r="M592" s="1634"/>
      <c r="N592" s="1584"/>
      <c r="O592" s="1633"/>
      <c r="P592" s="1584"/>
      <c r="Q592" s="1633"/>
      <c r="R592" s="1584"/>
      <c r="S592" s="1633"/>
      <c r="T592" s="1584"/>
      <c r="U592" s="1633"/>
      <c r="V592" s="1584"/>
      <c r="W592" s="1633"/>
      <c r="X592" s="1584"/>
      <c r="Y592" s="1633"/>
    </row>
    <row r="593" spans="1:25" ht="30">
      <c r="A593" s="1585"/>
      <c r="B593" s="1707" t="s">
        <v>4478</v>
      </c>
      <c r="C593" s="1513" t="s">
        <v>4490</v>
      </c>
      <c r="D593" s="1489"/>
      <c r="E593" s="1567"/>
      <c r="F593" s="1593"/>
      <c r="G593" s="660"/>
      <c r="H593" s="1584" t="s">
        <v>3028</v>
      </c>
      <c r="I593" s="1633"/>
      <c r="J593" s="1584" t="s">
        <v>3028</v>
      </c>
      <c r="K593" s="1633"/>
      <c r="L593" s="1584" t="s">
        <v>3028</v>
      </c>
      <c r="M593" s="1634"/>
      <c r="N593" s="1584"/>
      <c r="O593" s="1633"/>
      <c r="P593" s="1584"/>
      <c r="Q593" s="1633"/>
      <c r="R593" s="1584"/>
      <c r="S593" s="1633"/>
      <c r="T593" s="1584"/>
      <c r="U593" s="1633"/>
      <c r="V593" s="1584"/>
      <c r="W593" s="1633"/>
      <c r="X593" s="1584"/>
      <c r="Y593" s="1633"/>
    </row>
    <row r="594" spans="1:25">
      <c r="A594" s="1585" t="s">
        <v>4000</v>
      </c>
      <c r="B594" s="1707" t="s">
        <v>4481</v>
      </c>
      <c r="C594" s="1566" t="s">
        <v>4507</v>
      </c>
      <c r="D594" s="1489"/>
      <c r="E594" s="1567"/>
      <c r="F594" s="1593"/>
      <c r="G594" s="660"/>
      <c r="H594" s="1584" t="s">
        <v>3807</v>
      </c>
      <c r="I594" s="1633"/>
      <c r="J594" s="1584" t="s">
        <v>3807</v>
      </c>
      <c r="K594" s="1633"/>
      <c r="L594" s="1584" t="s">
        <v>3807</v>
      </c>
      <c r="M594" s="1634"/>
      <c r="N594" s="1584"/>
      <c r="O594" s="1633"/>
      <c r="P594" s="1584"/>
      <c r="Q594" s="1633"/>
      <c r="R594" s="1584"/>
      <c r="S594" s="1633"/>
      <c r="T594" s="1584"/>
      <c r="U594" s="1633"/>
      <c r="V594" s="1584"/>
      <c r="W594" s="1633"/>
      <c r="X594" s="1584"/>
      <c r="Y594" s="1633"/>
    </row>
    <row r="595" spans="1:25" ht="21">
      <c r="A595" s="1585"/>
      <c r="B595" s="1646" t="s">
        <v>3252</v>
      </c>
      <c r="C595" s="1566" t="s">
        <v>4534</v>
      </c>
      <c r="D595" s="1489"/>
      <c r="E595" s="1567"/>
      <c r="F595" s="1593"/>
      <c r="G595" s="660"/>
      <c r="H595" s="1584"/>
      <c r="I595" s="1633"/>
      <c r="J595" s="1584"/>
      <c r="K595" s="1633"/>
      <c r="L595" s="1584"/>
      <c r="M595" s="1634"/>
      <c r="N595" s="1584"/>
      <c r="O595" s="1633"/>
      <c r="P595" s="1584"/>
      <c r="Q595" s="1633"/>
      <c r="R595" s="1584"/>
      <c r="S595" s="1633"/>
      <c r="T595" s="1584"/>
      <c r="U595" s="1633"/>
      <c r="V595" s="1584"/>
      <c r="W595" s="1633"/>
      <c r="X595" s="1584"/>
      <c r="Y595" s="1633"/>
    </row>
    <row r="596" spans="1:25">
      <c r="A596" s="1585"/>
      <c r="B596" s="1709" t="s">
        <v>4535</v>
      </c>
      <c r="C596" s="1566"/>
      <c r="D596" s="1489"/>
      <c r="E596" s="1567"/>
      <c r="F596" s="1593"/>
      <c r="G596" s="660"/>
      <c r="H596" s="1584" t="s">
        <v>3807</v>
      </c>
      <c r="I596" s="1642" t="s">
        <v>4536</v>
      </c>
      <c r="J596" s="1584" t="s">
        <v>3807</v>
      </c>
      <c r="K596" s="1633"/>
      <c r="L596" s="1584" t="s">
        <v>3807</v>
      </c>
      <c r="M596" s="1634"/>
      <c r="N596" s="1584"/>
      <c r="O596" s="1633"/>
      <c r="P596" s="1584"/>
      <c r="Q596" s="1633"/>
      <c r="R596" s="1584"/>
      <c r="S596" s="1633"/>
      <c r="T596" s="1584"/>
      <c r="U596" s="1633"/>
      <c r="V596" s="1584"/>
      <c r="W596" s="1633"/>
      <c r="X596" s="1584"/>
      <c r="Y596" s="1633"/>
    </row>
    <row r="597" spans="1:25" s="364" customFormat="1" ht="30">
      <c r="A597" s="1649"/>
      <c r="B597" s="1710" t="s">
        <v>4537</v>
      </c>
      <c r="C597" s="1651" t="s">
        <v>4538</v>
      </c>
      <c r="D597" s="1652"/>
      <c r="E597" s="1653"/>
      <c r="F597" s="1654"/>
      <c r="G597" s="682"/>
      <c r="H597" s="1584"/>
      <c r="I597" s="1655"/>
      <c r="J597" s="1584"/>
      <c r="K597" s="1655"/>
      <c r="L597" s="1584"/>
      <c r="M597" s="1656"/>
      <c r="N597" s="1584"/>
      <c r="O597" s="1655"/>
      <c r="P597" s="1584"/>
      <c r="Q597" s="1655"/>
      <c r="R597" s="1584"/>
      <c r="S597" s="1655"/>
      <c r="T597" s="1584"/>
      <c r="U597" s="1655"/>
      <c r="V597" s="1584"/>
      <c r="W597" s="1655"/>
      <c r="X597" s="1584"/>
      <c r="Y597" s="1655"/>
    </row>
    <row r="598" spans="1:25">
      <c r="A598" s="1585"/>
      <c r="B598" s="1665" t="s">
        <v>4539</v>
      </c>
      <c r="C598" s="1566" t="s">
        <v>1637</v>
      </c>
      <c r="D598" s="1489"/>
      <c r="E598" s="1567"/>
      <c r="F598" s="1593"/>
      <c r="G598" s="660"/>
      <c r="H598" s="1584"/>
      <c r="I598" s="1633"/>
      <c r="J598" s="1584"/>
      <c r="K598" s="1633"/>
      <c r="L598" s="1584"/>
      <c r="M598" s="1634"/>
      <c r="N598" s="1584"/>
      <c r="O598" s="1633"/>
      <c r="P598" s="1584"/>
      <c r="Q598" s="1633"/>
      <c r="R598" s="1584"/>
      <c r="S598" s="1633"/>
      <c r="T598" s="1584"/>
      <c r="U598" s="1633"/>
      <c r="V598" s="1584"/>
      <c r="W598" s="1633"/>
      <c r="X598" s="1584"/>
      <c r="Y598" s="1633"/>
    </row>
    <row r="599" spans="1:25" ht="45">
      <c r="A599" s="1657" t="s">
        <v>3833</v>
      </c>
      <c r="B599" s="1635" t="s">
        <v>4540</v>
      </c>
      <c r="C599" s="1513" t="s">
        <v>4541</v>
      </c>
      <c r="D599" s="1489"/>
      <c r="E599" s="1567"/>
      <c r="F599" s="1593"/>
      <c r="G599" s="660"/>
      <c r="H599" s="1584" t="s">
        <v>3028</v>
      </c>
      <c r="I599" s="1633"/>
      <c r="J599" s="1584" t="s">
        <v>3806</v>
      </c>
      <c r="K599" s="1633"/>
      <c r="L599" s="1584" t="s">
        <v>3028</v>
      </c>
      <c r="M599" s="1634"/>
      <c r="N599" s="1584"/>
      <c r="O599" s="1633"/>
      <c r="P599" s="1584"/>
      <c r="Q599" s="1633"/>
      <c r="R599" s="1584"/>
      <c r="S599" s="1633"/>
      <c r="T599" s="1584"/>
      <c r="U599" s="1633"/>
      <c r="V599" s="1584"/>
      <c r="W599" s="1633"/>
      <c r="X599" s="1584"/>
      <c r="Y599" s="1633"/>
    </row>
    <row r="600" spans="1:25">
      <c r="A600" s="1585"/>
      <c r="B600" s="1635" t="s">
        <v>4542</v>
      </c>
      <c r="C600" s="1513" t="s">
        <v>4543</v>
      </c>
      <c r="D600" s="1489"/>
      <c r="E600" s="1567"/>
      <c r="F600" s="1593"/>
      <c r="G600" s="660"/>
      <c r="H600" s="1584" t="s">
        <v>3028</v>
      </c>
      <c r="I600" s="1633"/>
      <c r="J600" s="1584" t="s">
        <v>3806</v>
      </c>
      <c r="K600" s="1633"/>
      <c r="L600" s="1584" t="s">
        <v>3028</v>
      </c>
      <c r="M600" s="1634"/>
      <c r="N600" s="1584"/>
      <c r="O600" s="1633"/>
      <c r="P600" s="1584"/>
      <c r="Q600" s="1633"/>
      <c r="R600" s="1584"/>
      <c r="S600" s="1633"/>
      <c r="T600" s="1584"/>
      <c r="U600" s="1633"/>
      <c r="V600" s="1584"/>
      <c r="W600" s="1633"/>
      <c r="X600" s="1584"/>
      <c r="Y600" s="1633"/>
    </row>
    <row r="601" spans="1:25">
      <c r="A601" s="1585"/>
      <c r="B601" s="1665" t="s">
        <v>4544</v>
      </c>
      <c r="C601" s="1513" t="s">
        <v>1526</v>
      </c>
      <c r="D601" s="1489"/>
      <c r="E601" s="1567"/>
      <c r="F601" s="1593"/>
      <c r="G601" s="660"/>
      <c r="H601" s="1584"/>
      <c r="I601" s="1633"/>
      <c r="J601" s="1584"/>
      <c r="K601" s="1633"/>
      <c r="L601" s="1584"/>
      <c r="M601" s="1634"/>
      <c r="N601" s="1584"/>
      <c r="O601" s="1633"/>
      <c r="P601" s="1584"/>
      <c r="Q601" s="1633"/>
      <c r="R601" s="1584"/>
      <c r="S601" s="1633"/>
      <c r="T601" s="1584"/>
      <c r="U601" s="1633"/>
      <c r="V601" s="1584"/>
      <c r="W601" s="1633"/>
      <c r="X601" s="1584"/>
      <c r="Y601" s="1633"/>
    </row>
    <row r="602" spans="1:25" s="364" customFormat="1" ht="30">
      <c r="A602" s="1585"/>
      <c r="B602" s="1671" t="s">
        <v>4545</v>
      </c>
      <c r="C602" s="1651" t="s">
        <v>4546</v>
      </c>
      <c r="D602" s="1652"/>
      <c r="E602" s="1653"/>
      <c r="F602" s="1654"/>
      <c r="G602" s="682"/>
      <c r="H602" s="1584" t="s">
        <v>3028</v>
      </c>
      <c r="I602" s="1655"/>
      <c r="J602" s="1584" t="s">
        <v>3028</v>
      </c>
      <c r="K602" s="1655" t="s">
        <v>3806</v>
      </c>
      <c r="L602" s="1584" t="s">
        <v>3028</v>
      </c>
      <c r="M602" s="1656"/>
      <c r="N602" s="1584"/>
      <c r="O602" s="1655"/>
      <c r="P602" s="1584"/>
      <c r="Q602" s="1655"/>
      <c r="R602" s="1584"/>
      <c r="S602" s="1655"/>
      <c r="T602" s="1584"/>
      <c r="U602" s="1655"/>
      <c r="V602" s="1584"/>
      <c r="W602" s="1655"/>
      <c r="X602" s="1584"/>
      <c r="Y602" s="1655"/>
    </row>
    <row r="603" spans="1:25" s="364" customFormat="1" ht="30">
      <c r="A603" s="1585"/>
      <c r="B603" s="1663" t="s">
        <v>4547</v>
      </c>
      <c r="C603" s="1651" t="s">
        <v>4548</v>
      </c>
      <c r="D603" s="1652"/>
      <c r="E603" s="1653"/>
      <c r="F603" s="1654"/>
      <c r="G603" s="682"/>
      <c r="H603" s="1584" t="s">
        <v>3028</v>
      </c>
      <c r="I603" s="1655"/>
      <c r="J603" s="1584" t="s">
        <v>3028</v>
      </c>
      <c r="K603" s="1655" t="s">
        <v>3806</v>
      </c>
      <c r="L603" s="1584" t="s">
        <v>3028</v>
      </c>
      <c r="M603" s="1656"/>
      <c r="N603" s="1584"/>
      <c r="O603" s="1655"/>
      <c r="P603" s="1584"/>
      <c r="Q603" s="1655"/>
      <c r="R603" s="1584"/>
      <c r="S603" s="1655"/>
      <c r="T603" s="1584"/>
      <c r="U603" s="1655"/>
      <c r="V603" s="1584"/>
      <c r="W603" s="1655"/>
      <c r="X603" s="1584"/>
      <c r="Y603" s="1655"/>
    </row>
    <row r="604" spans="1:25" s="364" customFormat="1" ht="45">
      <c r="A604" s="1585"/>
      <c r="B604" s="1671" t="s">
        <v>4549</v>
      </c>
      <c r="C604" s="1651" t="s">
        <v>4550</v>
      </c>
      <c r="D604" s="1652"/>
      <c r="E604" s="1653"/>
      <c r="F604" s="1654"/>
      <c r="G604" s="682"/>
      <c r="H604" s="1584" t="s">
        <v>3028</v>
      </c>
      <c r="I604" s="1655"/>
      <c r="J604" s="1584" t="s">
        <v>3028</v>
      </c>
      <c r="K604" s="1655" t="s">
        <v>3806</v>
      </c>
      <c r="L604" s="1584" t="s">
        <v>3028</v>
      </c>
      <c r="M604" s="1656"/>
      <c r="N604" s="1584"/>
      <c r="O604" s="1655"/>
      <c r="P604" s="1584"/>
      <c r="Q604" s="1655"/>
      <c r="R604" s="1584"/>
      <c r="S604" s="1655"/>
      <c r="T604" s="1584"/>
      <c r="U604" s="1655"/>
      <c r="V604" s="1584"/>
      <c r="W604" s="1655"/>
      <c r="X604" s="1584"/>
      <c r="Y604" s="1655"/>
    </row>
    <row r="605" spans="1:25" s="364" customFormat="1" ht="30">
      <c r="A605" s="1585"/>
      <c r="B605" s="1671" t="s">
        <v>4013</v>
      </c>
      <c r="C605" s="1651" t="s">
        <v>4551</v>
      </c>
      <c r="D605" s="1652"/>
      <c r="E605" s="1653"/>
      <c r="F605" s="1654"/>
      <c r="G605" s="682"/>
      <c r="H605" s="1584" t="s">
        <v>3028</v>
      </c>
      <c r="I605" s="1655"/>
      <c r="J605" s="1584" t="s">
        <v>3806</v>
      </c>
      <c r="K605" s="1655"/>
      <c r="L605" s="1584" t="s">
        <v>3028</v>
      </c>
      <c r="M605" s="1656"/>
      <c r="N605" s="1584"/>
      <c r="O605" s="1655"/>
      <c r="P605" s="1584"/>
      <c r="Q605" s="1655"/>
      <c r="R605" s="1584"/>
      <c r="S605" s="1655"/>
      <c r="T605" s="1584"/>
      <c r="U605" s="1655"/>
      <c r="V605" s="1584"/>
      <c r="W605" s="1655"/>
      <c r="X605" s="1584"/>
      <c r="Y605" s="1655"/>
    </row>
    <row r="606" spans="1:25">
      <c r="A606" s="1585"/>
      <c r="B606" s="1665" t="s">
        <v>4552</v>
      </c>
      <c r="C606" s="1513" t="s">
        <v>1526</v>
      </c>
      <c r="D606" s="1489"/>
      <c r="E606" s="1567"/>
      <c r="F606" s="1593"/>
      <c r="G606" s="660"/>
      <c r="H606" s="1584"/>
      <c r="I606" s="1633"/>
      <c r="J606" s="1584"/>
      <c r="K606" s="1633"/>
      <c r="L606" s="1584"/>
      <c r="M606" s="1634"/>
      <c r="N606" s="1584"/>
      <c r="O606" s="1633"/>
      <c r="P606" s="1584"/>
      <c r="Q606" s="1633"/>
      <c r="R606" s="1584"/>
      <c r="S606" s="1633"/>
      <c r="T606" s="1584"/>
      <c r="U606" s="1633"/>
      <c r="V606" s="1584"/>
      <c r="W606" s="1633"/>
      <c r="X606" s="1584"/>
      <c r="Y606" s="1633"/>
    </row>
    <row r="607" spans="1:25" s="364" customFormat="1" ht="30">
      <c r="A607" s="1649"/>
      <c r="B607" s="1700" t="s">
        <v>4553</v>
      </c>
      <c r="C607" s="1651" t="s">
        <v>4554</v>
      </c>
      <c r="D607" s="1652"/>
      <c r="E607" s="1653"/>
      <c r="F607" s="1654"/>
      <c r="G607" s="682"/>
      <c r="H607" s="1584" t="s">
        <v>3028</v>
      </c>
      <c r="I607" s="1655"/>
      <c r="J607" s="1584" t="s">
        <v>3028</v>
      </c>
      <c r="K607" s="1655" t="s">
        <v>3806</v>
      </c>
      <c r="L607" s="1584" t="s">
        <v>3028</v>
      </c>
      <c r="M607" s="1656"/>
      <c r="N607" s="1584"/>
      <c r="O607" s="1655"/>
      <c r="P607" s="1584"/>
      <c r="Q607" s="1655"/>
      <c r="R607" s="1584"/>
      <c r="S607" s="1655"/>
      <c r="T607" s="1584"/>
      <c r="U607" s="1655"/>
      <c r="V607" s="1584"/>
      <c r="W607" s="1655"/>
      <c r="X607" s="1584"/>
      <c r="Y607" s="1655"/>
    </row>
    <row r="608" spans="1:25" ht="30">
      <c r="A608" s="1585"/>
      <c r="B608" s="1700" t="s">
        <v>4013</v>
      </c>
      <c r="C608" s="1651" t="s">
        <v>4555</v>
      </c>
      <c r="D608" s="1489"/>
      <c r="E608" s="1567"/>
      <c r="F608" s="1593"/>
      <c r="G608" s="660"/>
      <c r="H608" s="1584" t="s">
        <v>3028</v>
      </c>
      <c r="I608" s="1633"/>
      <c r="J608" s="1584" t="s">
        <v>3806</v>
      </c>
      <c r="K608" s="1633"/>
      <c r="L608" s="1584" t="s">
        <v>3028</v>
      </c>
      <c r="M608" s="1634"/>
      <c r="N608" s="1584"/>
      <c r="O608" s="1633"/>
      <c r="P608" s="1584"/>
      <c r="Q608" s="1633"/>
      <c r="R608" s="1584"/>
      <c r="S608" s="1633"/>
      <c r="T608" s="1584"/>
      <c r="U608" s="1633"/>
      <c r="V608" s="1584"/>
      <c r="W608" s="1633"/>
      <c r="X608" s="1584"/>
      <c r="Y608" s="1633"/>
    </row>
    <row r="609" spans="1:25">
      <c r="A609" s="1585"/>
      <c r="B609" s="1665" t="s">
        <v>4556</v>
      </c>
      <c r="C609" s="1513" t="s">
        <v>1526</v>
      </c>
      <c r="D609" s="1489"/>
      <c r="E609" s="1567"/>
      <c r="F609" s="1593"/>
      <c r="G609" s="660"/>
      <c r="H609" s="1584"/>
      <c r="I609" s="1633"/>
      <c r="J609" s="1584"/>
      <c r="K609" s="1633"/>
      <c r="L609" s="1584"/>
      <c r="M609" s="1634"/>
      <c r="N609" s="1584"/>
      <c r="O609" s="1633"/>
      <c r="P609" s="1584"/>
      <c r="Q609" s="1633"/>
      <c r="R609" s="1584"/>
      <c r="S609" s="1633"/>
      <c r="T609" s="1584"/>
      <c r="U609" s="1633"/>
      <c r="V609" s="1584"/>
      <c r="W609" s="1633"/>
      <c r="X609" s="1584"/>
      <c r="Y609" s="1633"/>
    </row>
    <row r="610" spans="1:25" s="364" customFormat="1" ht="30">
      <c r="A610" s="1711"/>
      <c r="B610" s="1671" t="s">
        <v>4013</v>
      </c>
      <c r="C610" s="1651" t="s">
        <v>4557</v>
      </c>
      <c r="D610" s="1652"/>
      <c r="E610" s="1653"/>
      <c r="F610" s="1654"/>
      <c r="G610" s="682"/>
      <c r="H610" s="1584" t="s">
        <v>3028</v>
      </c>
      <c r="I610" s="1655"/>
      <c r="J610" s="1584"/>
      <c r="K610" s="1655"/>
      <c r="L610" s="1584" t="s">
        <v>3028</v>
      </c>
      <c r="M610" s="1656"/>
      <c r="N610" s="1584"/>
      <c r="O610" s="1655"/>
      <c r="P610" s="1584"/>
      <c r="Q610" s="1655"/>
      <c r="R610" s="1584"/>
      <c r="S610" s="1655"/>
      <c r="T610" s="1584"/>
      <c r="U610" s="1655"/>
      <c r="V610" s="1584"/>
      <c r="W610" s="1655"/>
      <c r="X610" s="1584"/>
      <c r="Y610" s="1655"/>
    </row>
    <row r="611" spans="1:25" ht="26.25">
      <c r="A611" s="1711"/>
      <c r="B611" s="1712" t="s">
        <v>3235</v>
      </c>
      <c r="C611" s="1566"/>
      <c r="D611" s="1489"/>
      <c r="E611" s="1567"/>
      <c r="F611" s="1593"/>
      <c r="G611" s="662"/>
      <c r="H611" s="1584"/>
      <c r="I611" s="1647">
        <v>194657</v>
      </c>
      <c r="J611" s="1584"/>
      <c r="K611" s="1636">
        <v>118282</v>
      </c>
      <c r="L611" s="1584"/>
      <c r="M611" s="1647">
        <f>241824.29+(0.1*162488)</f>
        <v>258073.09</v>
      </c>
      <c r="N611" s="1584"/>
      <c r="O611" s="1633"/>
      <c r="P611" s="1584"/>
      <c r="Q611" s="1633"/>
      <c r="R611" s="1584"/>
      <c r="S611" s="1633"/>
      <c r="T611" s="1584"/>
      <c r="U611" s="1633"/>
      <c r="V611" s="1584"/>
      <c r="W611" s="1633"/>
      <c r="X611" s="1584"/>
      <c r="Y611" s="1633"/>
    </row>
    <row r="612" spans="1:25">
      <c r="A612" s="1711"/>
      <c r="B612" s="1707" t="s">
        <v>3825</v>
      </c>
      <c r="C612" s="1566" t="s">
        <v>2358</v>
      </c>
      <c r="D612" s="1489"/>
      <c r="E612" s="1567"/>
      <c r="F612" s="1593"/>
      <c r="G612" s="662"/>
      <c r="H612" s="1645" t="s">
        <v>3827</v>
      </c>
      <c r="I612" s="1642" t="s">
        <v>3828</v>
      </c>
      <c r="J612" s="1584" t="s">
        <v>3806</v>
      </c>
      <c r="K612" s="1633"/>
      <c r="L612" s="1584" t="s">
        <v>3807</v>
      </c>
      <c r="M612" s="1634"/>
      <c r="N612" s="1584"/>
      <c r="O612" s="1633"/>
      <c r="P612" s="1584"/>
      <c r="Q612" s="1633"/>
      <c r="R612" s="1584"/>
      <c r="S612" s="1633"/>
      <c r="T612" s="1584"/>
      <c r="U612" s="1633"/>
      <c r="V612" s="1584"/>
      <c r="W612" s="1633"/>
      <c r="X612" s="1584"/>
      <c r="Y612" s="1633"/>
    </row>
    <row r="613" spans="1:25">
      <c r="A613" s="1711"/>
      <c r="B613" s="1635" t="s">
        <v>3829</v>
      </c>
      <c r="C613" s="1566" t="s">
        <v>4467</v>
      </c>
      <c r="D613" s="1489"/>
      <c r="E613" s="1567"/>
      <c r="F613" s="1593"/>
      <c r="G613" s="662"/>
      <c r="H613" s="1584" t="s">
        <v>3028</v>
      </c>
      <c r="I613" s="1634"/>
      <c r="J613" s="1584" t="s">
        <v>3806</v>
      </c>
      <c r="K613" s="1633"/>
      <c r="L613" s="1584" t="s">
        <v>3028</v>
      </c>
      <c r="M613" s="1634"/>
      <c r="N613" s="1584"/>
      <c r="O613" s="1633"/>
      <c r="P613" s="1584"/>
      <c r="Q613" s="1633"/>
      <c r="R613" s="1584"/>
      <c r="S613" s="1633"/>
      <c r="T613" s="1584"/>
      <c r="U613" s="1633"/>
      <c r="V613" s="1584"/>
      <c r="W613" s="1633"/>
      <c r="X613" s="1584"/>
      <c r="Y613" s="1633"/>
    </row>
    <row r="614" spans="1:25">
      <c r="A614" s="1711"/>
      <c r="B614" s="1679" t="s">
        <v>571</v>
      </c>
      <c r="C614" s="1566"/>
      <c r="D614" s="1489"/>
      <c r="E614" s="1567"/>
      <c r="F614" s="1593"/>
      <c r="G614" s="662"/>
      <c r="H614" s="1584"/>
      <c r="I614" s="1634"/>
      <c r="J614" s="1584"/>
      <c r="K614" s="1633"/>
      <c r="L614" s="1584"/>
      <c r="M614" s="1634"/>
      <c r="N614" s="1584"/>
      <c r="O614" s="1633"/>
      <c r="P614" s="1584"/>
      <c r="Q614" s="1633"/>
      <c r="R614" s="1584"/>
      <c r="S614" s="1633"/>
      <c r="T614" s="1584"/>
      <c r="U614" s="1633"/>
      <c r="V614" s="1584"/>
      <c r="W614" s="1633"/>
      <c r="X614" s="1584"/>
      <c r="Y614" s="1633"/>
    </row>
    <row r="615" spans="1:25" s="364" customFormat="1" ht="60">
      <c r="A615" s="1649"/>
      <c r="B615" s="1698" t="s">
        <v>4558</v>
      </c>
      <c r="C615" s="1651" t="s">
        <v>4559</v>
      </c>
      <c r="D615" s="1652"/>
      <c r="E615" s="1653"/>
      <c r="F615" s="1654"/>
      <c r="G615" s="683"/>
      <c r="H615" s="1584" t="s">
        <v>3028</v>
      </c>
      <c r="I615" s="1656"/>
      <c r="J615" s="1584" t="s">
        <v>3028</v>
      </c>
      <c r="K615" s="1655"/>
      <c r="L615" s="1584" t="s">
        <v>3028</v>
      </c>
      <c r="M615" s="1656"/>
      <c r="N615" s="1584"/>
      <c r="O615" s="1655"/>
      <c r="P615" s="1584"/>
      <c r="Q615" s="1655"/>
      <c r="R615" s="1584"/>
      <c r="S615" s="1655"/>
      <c r="T615" s="1584"/>
      <c r="U615" s="1655"/>
      <c r="V615" s="1584"/>
      <c r="W615" s="1655"/>
      <c r="X615" s="1584"/>
      <c r="Y615" s="1655"/>
    </row>
    <row r="616" spans="1:25" s="364" customFormat="1">
      <c r="A616" s="1649"/>
      <c r="B616" s="1698" t="s">
        <v>4560</v>
      </c>
      <c r="C616" s="1651"/>
      <c r="D616" s="1652"/>
      <c r="E616" s="1653"/>
      <c r="F616" s="1654"/>
      <c r="G616" s="683"/>
      <c r="H616" s="1584" t="s">
        <v>3807</v>
      </c>
      <c r="I616" s="1713" t="s">
        <v>3964</v>
      </c>
      <c r="J616" s="1584" t="s">
        <v>3806</v>
      </c>
      <c r="K616" s="1655"/>
      <c r="L616" s="1584" t="s">
        <v>3028</v>
      </c>
      <c r="M616" s="1656" t="s">
        <v>3528</v>
      </c>
      <c r="N616" s="1584"/>
      <c r="O616" s="1655"/>
      <c r="P616" s="1584"/>
      <c r="Q616" s="1655"/>
      <c r="R616" s="1584"/>
      <c r="S616" s="1655"/>
      <c r="T616" s="1584"/>
      <c r="U616" s="1655"/>
      <c r="V616" s="1584"/>
      <c r="W616" s="1655"/>
      <c r="X616" s="1584"/>
      <c r="Y616" s="1655"/>
    </row>
    <row r="617" spans="1:25" s="364" customFormat="1" ht="45">
      <c r="A617" s="1649"/>
      <c r="B617" s="1700" t="s">
        <v>4561</v>
      </c>
      <c r="C617" s="1651" t="s">
        <v>4562</v>
      </c>
      <c r="D617" s="1652"/>
      <c r="E617" s="1653"/>
      <c r="F617" s="1654"/>
      <c r="G617" s="683"/>
      <c r="H617" s="1584" t="s">
        <v>3028</v>
      </c>
      <c r="I617" s="1656"/>
      <c r="J617" s="1584" t="s">
        <v>3806</v>
      </c>
      <c r="K617" s="1655"/>
      <c r="L617" s="1584" t="s">
        <v>3028</v>
      </c>
      <c r="M617" s="1656"/>
      <c r="N617" s="1584"/>
      <c r="O617" s="1655"/>
      <c r="P617" s="1584"/>
      <c r="Q617" s="1655"/>
      <c r="R617" s="1584"/>
      <c r="S617" s="1655"/>
      <c r="T617" s="1584"/>
      <c r="U617" s="1655"/>
      <c r="V617" s="1584"/>
      <c r="W617" s="1655"/>
      <c r="X617" s="1584"/>
      <c r="Y617" s="1655"/>
    </row>
    <row r="618" spans="1:25" s="364" customFormat="1" ht="30">
      <c r="A618" s="1657" t="s">
        <v>3833</v>
      </c>
      <c r="B618" s="1700" t="s">
        <v>4563</v>
      </c>
      <c r="C618" s="1651" t="s">
        <v>4564</v>
      </c>
      <c r="D618" s="1652"/>
      <c r="E618" s="1653"/>
      <c r="F618" s="1654"/>
      <c r="G618" s="683"/>
      <c r="H618" s="1584" t="s">
        <v>3807</v>
      </c>
      <c r="I618" s="1668" t="s">
        <v>4000</v>
      </c>
      <c r="J618" s="1584" t="s">
        <v>3806</v>
      </c>
      <c r="K618" s="1655"/>
      <c r="L618" s="1584" t="s">
        <v>3028</v>
      </c>
      <c r="M618" s="1656" t="s">
        <v>3806</v>
      </c>
      <c r="N618" s="1584"/>
      <c r="O618" s="1655"/>
      <c r="P618" s="1584"/>
      <c r="Q618" s="1655"/>
      <c r="R618" s="1584"/>
      <c r="S618" s="1655"/>
      <c r="T618" s="1584"/>
      <c r="U618" s="1655"/>
      <c r="V618" s="1584"/>
      <c r="W618" s="1655"/>
      <c r="X618" s="1584"/>
      <c r="Y618" s="1655"/>
    </row>
    <row r="619" spans="1:25" s="364" customFormat="1">
      <c r="A619" s="1657" t="s">
        <v>3833</v>
      </c>
      <c r="B619" s="1700" t="s">
        <v>4565</v>
      </c>
      <c r="C619" s="1651" t="s">
        <v>4566</v>
      </c>
      <c r="D619" s="1652"/>
      <c r="E619" s="1653"/>
      <c r="F619" s="1654"/>
      <c r="G619" s="683"/>
      <c r="H619" s="1584" t="s">
        <v>3028</v>
      </c>
      <c r="I619" s="1677" t="s">
        <v>4567</v>
      </c>
      <c r="J619" s="1584" t="s">
        <v>3806</v>
      </c>
      <c r="K619" s="1655"/>
      <c r="L619" s="1584" t="s">
        <v>3028</v>
      </c>
      <c r="M619" s="1656" t="s">
        <v>3806</v>
      </c>
      <c r="N619" s="1584"/>
      <c r="O619" s="1655"/>
      <c r="P619" s="1584"/>
      <c r="Q619" s="1655"/>
      <c r="R619" s="1584"/>
      <c r="S619" s="1655"/>
      <c r="T619" s="1584"/>
      <c r="U619" s="1655"/>
      <c r="V619" s="1584"/>
      <c r="W619" s="1655"/>
      <c r="X619" s="1584"/>
      <c r="Y619" s="1655"/>
    </row>
    <row r="620" spans="1:25" s="364" customFormat="1">
      <c r="A620" s="1657" t="s">
        <v>3833</v>
      </c>
      <c r="B620" s="1700" t="s">
        <v>4568</v>
      </c>
      <c r="C620" s="1651" t="s">
        <v>4569</v>
      </c>
      <c r="D620" s="1652"/>
      <c r="E620" s="1653"/>
      <c r="F620" s="1654"/>
      <c r="G620" s="683"/>
      <c r="H620" s="1584" t="s">
        <v>3028</v>
      </c>
      <c r="I620" s="1656"/>
      <c r="J620" s="1584" t="s">
        <v>3806</v>
      </c>
      <c r="K620" s="1655"/>
      <c r="L620" s="1584" t="s">
        <v>3028</v>
      </c>
      <c r="M620" s="1656" t="s">
        <v>3806</v>
      </c>
      <c r="N620" s="1584"/>
      <c r="O620" s="1655"/>
      <c r="P620" s="1584"/>
      <c r="Q620" s="1655"/>
      <c r="R620" s="1584"/>
      <c r="S620" s="1655"/>
      <c r="T620" s="1584"/>
      <c r="U620" s="1655"/>
      <c r="V620" s="1584"/>
      <c r="W620" s="1655"/>
      <c r="X620" s="1584"/>
      <c r="Y620" s="1655"/>
    </row>
    <row r="621" spans="1:25" s="364" customFormat="1">
      <c r="A621" s="1649"/>
      <c r="B621" s="1700" t="s">
        <v>4570</v>
      </c>
      <c r="C621" s="1651"/>
      <c r="D621" s="1652"/>
      <c r="E621" s="1653"/>
      <c r="F621" s="1654"/>
      <c r="G621" s="683"/>
      <c r="H621" s="1584" t="s">
        <v>3807</v>
      </c>
      <c r="I621" s="1713" t="s">
        <v>4536</v>
      </c>
      <c r="J621" s="1584" t="s">
        <v>3807</v>
      </c>
      <c r="K621" s="1655"/>
      <c r="L621" s="1584" t="s">
        <v>3807</v>
      </c>
      <c r="M621" s="1656"/>
      <c r="N621" s="1584"/>
      <c r="O621" s="1655"/>
      <c r="P621" s="1584"/>
      <c r="Q621" s="1655"/>
      <c r="R621" s="1584"/>
      <c r="S621" s="1655"/>
      <c r="T621" s="1584"/>
      <c r="U621" s="1655"/>
      <c r="V621" s="1584"/>
      <c r="W621" s="1655"/>
      <c r="X621" s="1584"/>
      <c r="Y621" s="1655"/>
    </row>
    <row r="622" spans="1:25" s="364" customFormat="1" ht="30">
      <c r="A622" s="1649"/>
      <c r="B622" s="1696" t="s">
        <v>4571</v>
      </c>
      <c r="C622" s="1651" t="s">
        <v>4572</v>
      </c>
      <c r="D622" s="1652"/>
      <c r="E622" s="1653"/>
      <c r="F622" s="1654"/>
      <c r="G622" s="683"/>
      <c r="H622" s="1584"/>
      <c r="I622" s="1656"/>
      <c r="J622" s="1584"/>
      <c r="K622" s="1655"/>
      <c r="L622" s="1584"/>
      <c r="M622" s="1656"/>
      <c r="N622" s="1584"/>
      <c r="O622" s="1655"/>
      <c r="P622" s="1584"/>
      <c r="Q622" s="1655"/>
      <c r="R622" s="1584"/>
      <c r="S622" s="1655"/>
      <c r="T622" s="1584"/>
      <c r="U622" s="1655"/>
      <c r="V622" s="1584"/>
      <c r="W622" s="1655"/>
      <c r="X622" s="1584"/>
      <c r="Y622" s="1655"/>
    </row>
    <row r="623" spans="1:25" ht="30">
      <c r="A623" s="1585"/>
      <c r="B623" s="1635" t="s">
        <v>4573</v>
      </c>
      <c r="C623" s="1513" t="s">
        <v>4574</v>
      </c>
      <c r="D623" s="1489"/>
      <c r="E623" s="1567"/>
      <c r="F623" s="1593"/>
      <c r="G623" s="662"/>
      <c r="H623" s="1584" t="s">
        <v>3028</v>
      </c>
      <c r="I623" s="1634"/>
      <c r="J623" s="1584" t="s">
        <v>3028</v>
      </c>
      <c r="K623" s="1633"/>
      <c r="L623" s="1584" t="s">
        <v>3028</v>
      </c>
      <c r="M623" s="1634"/>
      <c r="N623" s="1584"/>
      <c r="O623" s="1633"/>
      <c r="P623" s="1584"/>
      <c r="Q623" s="1633"/>
      <c r="R623" s="1584"/>
      <c r="S623" s="1633"/>
      <c r="T623" s="1584"/>
      <c r="U623" s="1633"/>
      <c r="V623" s="1584"/>
      <c r="W623" s="1633"/>
      <c r="X623" s="1584"/>
      <c r="Y623" s="1633"/>
    </row>
    <row r="624" spans="1:25">
      <c r="A624" s="1585"/>
      <c r="B624" s="1635" t="s">
        <v>4575</v>
      </c>
      <c r="C624" s="1566" t="s">
        <v>4576</v>
      </c>
      <c r="D624" s="1489"/>
      <c r="E624" s="1567"/>
      <c r="F624" s="1593"/>
      <c r="G624" s="662"/>
      <c r="H624" s="1584" t="s">
        <v>3028</v>
      </c>
      <c r="I624" s="1634"/>
      <c r="J624" s="1584" t="s">
        <v>3028</v>
      </c>
      <c r="K624" s="1633"/>
      <c r="L624" s="1584" t="s">
        <v>3028</v>
      </c>
      <c r="M624" s="1634"/>
      <c r="N624" s="1584"/>
      <c r="O624" s="1633"/>
      <c r="P624" s="1584"/>
      <c r="Q624" s="1633"/>
      <c r="R624" s="1584"/>
      <c r="S624" s="1633"/>
      <c r="T624" s="1584"/>
      <c r="U624" s="1633"/>
      <c r="V624" s="1584"/>
      <c r="W624" s="1633"/>
      <c r="X624" s="1584"/>
      <c r="Y624" s="1633"/>
    </row>
    <row r="625" spans="1:25">
      <c r="A625" s="1585"/>
      <c r="B625" s="1635" t="s">
        <v>4577</v>
      </c>
      <c r="C625" s="1566" t="s">
        <v>4576</v>
      </c>
      <c r="D625" s="1489"/>
      <c r="E625" s="1567"/>
      <c r="F625" s="1593"/>
      <c r="G625" s="662"/>
      <c r="H625" s="1584" t="s">
        <v>3028</v>
      </c>
      <c r="I625" s="1634"/>
      <c r="J625" s="1584" t="s">
        <v>3806</v>
      </c>
      <c r="K625" s="1633"/>
      <c r="L625" s="1584" t="s">
        <v>3028</v>
      </c>
      <c r="M625" s="1634"/>
      <c r="N625" s="1584"/>
      <c r="O625" s="1633"/>
      <c r="P625" s="1584"/>
      <c r="Q625" s="1633"/>
      <c r="R625" s="1584"/>
      <c r="S625" s="1633"/>
      <c r="T625" s="1584"/>
      <c r="U625" s="1633"/>
      <c r="V625" s="1584"/>
      <c r="W625" s="1633"/>
      <c r="X625" s="1584"/>
      <c r="Y625" s="1633"/>
    </row>
    <row r="626" spans="1:25" s="364" customFormat="1" ht="30">
      <c r="A626" s="1649"/>
      <c r="B626" s="1700" t="s">
        <v>4578</v>
      </c>
      <c r="C626" s="1651" t="s">
        <v>4579</v>
      </c>
      <c r="D626" s="1652"/>
      <c r="E626" s="1653"/>
      <c r="F626" s="1654"/>
      <c r="G626" s="683"/>
      <c r="H626" s="1584" t="s">
        <v>3028</v>
      </c>
      <c r="I626" s="1656"/>
      <c r="J626" s="1584" t="s">
        <v>3028</v>
      </c>
      <c r="K626" s="1655"/>
      <c r="L626" s="1584" t="s">
        <v>3028</v>
      </c>
      <c r="M626" s="1656"/>
      <c r="N626" s="1584"/>
      <c r="O626" s="1655"/>
      <c r="P626" s="1584"/>
      <c r="Q626" s="1655"/>
      <c r="R626" s="1584"/>
      <c r="S626" s="1655"/>
      <c r="T626" s="1584"/>
      <c r="U626" s="1655"/>
      <c r="V626" s="1584"/>
      <c r="W626" s="1655"/>
      <c r="X626" s="1584"/>
      <c r="Y626" s="1655"/>
    </row>
    <row r="627" spans="1:25" s="364" customFormat="1" ht="30">
      <c r="A627" s="1649"/>
      <c r="B627" s="1700" t="s">
        <v>4580</v>
      </c>
      <c r="C627" s="1651" t="s">
        <v>4581</v>
      </c>
      <c r="D627" s="1652"/>
      <c r="E627" s="1653"/>
      <c r="F627" s="1654"/>
      <c r="G627" s="683"/>
      <c r="H627" s="1584" t="s">
        <v>3028</v>
      </c>
      <c r="I627" s="1656"/>
      <c r="J627" s="1584" t="s">
        <v>3028</v>
      </c>
      <c r="K627" s="1655"/>
      <c r="L627" s="1584" t="s">
        <v>3028</v>
      </c>
      <c r="M627" s="1656"/>
      <c r="N627" s="1584"/>
      <c r="O627" s="1655"/>
      <c r="P627" s="1584"/>
      <c r="Q627" s="1655"/>
      <c r="R627" s="1584"/>
      <c r="S627" s="1655"/>
      <c r="T627" s="1584"/>
      <c r="U627" s="1655"/>
      <c r="V627" s="1584"/>
      <c r="W627" s="1655"/>
      <c r="X627" s="1584"/>
      <c r="Y627" s="1655"/>
    </row>
    <row r="628" spans="1:25" ht="30">
      <c r="A628" s="1585"/>
      <c r="B628" s="1700" t="s">
        <v>4582</v>
      </c>
      <c r="C628" s="1513" t="s">
        <v>4583</v>
      </c>
      <c r="D628" s="1489"/>
      <c r="E628" s="1567"/>
      <c r="F628" s="1593"/>
      <c r="G628" s="662"/>
      <c r="H628" s="1584" t="s">
        <v>3028</v>
      </c>
      <c r="I628" s="1634"/>
      <c r="J628" s="1584" t="s">
        <v>3806</v>
      </c>
      <c r="K628" s="1633"/>
      <c r="L628" s="1584" t="s">
        <v>3028</v>
      </c>
      <c r="M628" s="1634"/>
      <c r="N628" s="1584"/>
      <c r="O628" s="1633"/>
      <c r="P628" s="1584"/>
      <c r="Q628" s="1633"/>
      <c r="R628" s="1584"/>
      <c r="S628" s="1633"/>
      <c r="T628" s="1584"/>
      <c r="U628" s="1633"/>
      <c r="V628" s="1584"/>
      <c r="W628" s="1633"/>
      <c r="X628" s="1584"/>
      <c r="Y628" s="1633"/>
    </row>
    <row r="629" spans="1:25" s="364" customFormat="1" ht="45">
      <c r="A629" s="1649"/>
      <c r="B629" s="1696" t="s">
        <v>4584</v>
      </c>
      <c r="C629" s="1651" t="s">
        <v>4585</v>
      </c>
      <c r="D629" s="1652"/>
      <c r="E629" s="1653"/>
      <c r="F629" s="1654"/>
      <c r="G629" s="683"/>
      <c r="H629" s="1584"/>
      <c r="I629" s="1656"/>
      <c r="J629" s="1584"/>
      <c r="K629" s="1655"/>
      <c r="L629" s="1584"/>
      <c r="M629" s="1656"/>
      <c r="N629" s="1584"/>
      <c r="O629" s="1655"/>
      <c r="P629" s="1584"/>
      <c r="Q629" s="1655"/>
      <c r="R629" s="1584"/>
      <c r="S629" s="1655"/>
      <c r="T629" s="1584"/>
      <c r="U629" s="1655"/>
      <c r="V629" s="1584"/>
      <c r="W629" s="1655"/>
      <c r="X629" s="1584"/>
      <c r="Y629" s="1655"/>
    </row>
    <row r="630" spans="1:25" s="364" customFormat="1" ht="60">
      <c r="A630" s="1649"/>
      <c r="B630" s="1700" t="s">
        <v>4573</v>
      </c>
      <c r="C630" s="1651" t="s">
        <v>4586</v>
      </c>
      <c r="D630" s="1652"/>
      <c r="E630" s="1653"/>
      <c r="F630" s="1654"/>
      <c r="G630" s="683"/>
      <c r="H630" s="1584" t="s">
        <v>3028</v>
      </c>
      <c r="I630" s="1656"/>
      <c r="J630" s="1584" t="s">
        <v>3028</v>
      </c>
      <c r="K630" s="1655"/>
      <c r="L630" s="1584" t="s">
        <v>3028</v>
      </c>
      <c r="M630" s="1656"/>
      <c r="N630" s="1584"/>
      <c r="O630" s="1655"/>
      <c r="P630" s="1584"/>
      <c r="Q630" s="1655"/>
      <c r="R630" s="1584"/>
      <c r="S630" s="1655"/>
      <c r="T630" s="1584"/>
      <c r="U630" s="1655"/>
      <c r="V630" s="1584"/>
      <c r="W630" s="1655"/>
      <c r="X630" s="1584"/>
      <c r="Y630" s="1655"/>
    </row>
    <row r="631" spans="1:25">
      <c r="A631" s="1585"/>
      <c r="B631" s="1635" t="s">
        <v>4575</v>
      </c>
      <c r="C631" s="1566" t="s">
        <v>4587</v>
      </c>
      <c r="D631" s="1489"/>
      <c r="E631" s="1567"/>
      <c r="F631" s="1593"/>
      <c r="G631" s="662"/>
      <c r="H631" s="1584" t="s">
        <v>3028</v>
      </c>
      <c r="I631" s="1634"/>
      <c r="J631" s="1584" t="s">
        <v>3028</v>
      </c>
      <c r="K631" s="1633"/>
      <c r="L631" s="1584" t="s">
        <v>3028</v>
      </c>
      <c r="M631" s="1634"/>
      <c r="N631" s="1584"/>
      <c r="O631" s="1633"/>
      <c r="P631" s="1584"/>
      <c r="Q631" s="1633"/>
      <c r="R631" s="1584"/>
      <c r="S631" s="1633"/>
      <c r="T631" s="1584"/>
      <c r="U631" s="1633"/>
      <c r="V631" s="1584"/>
      <c r="W631" s="1633"/>
      <c r="X631" s="1584"/>
      <c r="Y631" s="1633"/>
    </row>
    <row r="632" spans="1:25">
      <c r="A632" s="1585"/>
      <c r="B632" s="1635" t="s">
        <v>4577</v>
      </c>
      <c r="C632" s="1566" t="s">
        <v>4587</v>
      </c>
      <c r="D632" s="1489"/>
      <c r="E632" s="1567"/>
      <c r="F632" s="1593"/>
      <c r="G632" s="662"/>
      <c r="H632" s="1584" t="s">
        <v>3028</v>
      </c>
      <c r="I632" s="1634"/>
      <c r="J632" s="1584" t="s">
        <v>3806</v>
      </c>
      <c r="K632" s="1633"/>
      <c r="L632" s="1584" t="s">
        <v>3028</v>
      </c>
      <c r="M632" s="1634"/>
      <c r="N632" s="1584"/>
      <c r="O632" s="1633"/>
      <c r="P632" s="1584"/>
      <c r="Q632" s="1633"/>
      <c r="R632" s="1584"/>
      <c r="S632" s="1633"/>
      <c r="T632" s="1584"/>
      <c r="U632" s="1633"/>
      <c r="V632" s="1584"/>
      <c r="W632" s="1633"/>
      <c r="X632" s="1584"/>
      <c r="Y632" s="1633"/>
    </row>
    <row r="633" spans="1:25" s="364" customFormat="1" ht="30">
      <c r="A633" s="1649"/>
      <c r="B633" s="1700" t="s">
        <v>4588</v>
      </c>
      <c r="C633" s="1651" t="s">
        <v>4589</v>
      </c>
      <c r="D633" s="1652"/>
      <c r="E633" s="1653"/>
      <c r="F633" s="1654"/>
      <c r="G633" s="683"/>
      <c r="H633" s="1584" t="s">
        <v>3028</v>
      </c>
      <c r="I633" s="1656"/>
      <c r="J633" s="1584" t="s">
        <v>3028</v>
      </c>
      <c r="K633" s="1655"/>
      <c r="L633" s="1584" t="s">
        <v>3028</v>
      </c>
      <c r="M633" s="1656"/>
      <c r="N633" s="1584"/>
      <c r="O633" s="1655"/>
      <c r="P633" s="1584"/>
      <c r="Q633" s="1655"/>
      <c r="R633" s="1584"/>
      <c r="S633" s="1655"/>
      <c r="T633" s="1584"/>
      <c r="U633" s="1655"/>
      <c r="V633" s="1584"/>
      <c r="W633" s="1655"/>
      <c r="X633" s="1584"/>
      <c r="Y633" s="1655"/>
    </row>
    <row r="634" spans="1:25" ht="30">
      <c r="A634" s="1585"/>
      <c r="B634" s="1700" t="s">
        <v>4582</v>
      </c>
      <c r="C634" s="1513" t="s">
        <v>4583</v>
      </c>
      <c r="D634" s="1489"/>
      <c r="E634" s="1567"/>
      <c r="F634" s="1593"/>
      <c r="G634" s="662"/>
      <c r="H634" s="1584" t="s">
        <v>3028</v>
      </c>
      <c r="I634" s="1634"/>
      <c r="J634" s="1584" t="s">
        <v>3028</v>
      </c>
      <c r="K634" s="1633"/>
      <c r="L634" s="1584" t="s">
        <v>3028</v>
      </c>
      <c r="M634" s="1634"/>
      <c r="N634" s="1584"/>
      <c r="O634" s="1633"/>
      <c r="P634" s="1584"/>
      <c r="Q634" s="1633"/>
      <c r="R634" s="1584"/>
      <c r="S634" s="1633"/>
      <c r="T634" s="1584"/>
      <c r="U634" s="1633"/>
      <c r="V634" s="1584"/>
      <c r="W634" s="1633"/>
      <c r="X634" s="1584"/>
      <c r="Y634" s="1633"/>
    </row>
    <row r="635" spans="1:25" s="364" customFormat="1" ht="30">
      <c r="A635" s="1649"/>
      <c r="B635" s="1696" t="s">
        <v>4590</v>
      </c>
      <c r="C635" s="1651" t="s">
        <v>4591</v>
      </c>
      <c r="D635" s="1652"/>
      <c r="E635" s="1653"/>
      <c r="F635" s="1654"/>
      <c r="G635" s="683"/>
      <c r="H635" s="1584"/>
      <c r="I635" s="1656"/>
      <c r="J635" s="1584"/>
      <c r="K635" s="1655"/>
      <c r="L635" s="1584"/>
      <c r="M635" s="1656"/>
      <c r="N635" s="1584"/>
      <c r="O635" s="1655"/>
      <c r="P635" s="1584"/>
      <c r="Q635" s="1655"/>
      <c r="R635" s="1584"/>
      <c r="S635" s="1655"/>
      <c r="T635" s="1584"/>
      <c r="U635" s="1655"/>
      <c r="V635" s="1584"/>
      <c r="W635" s="1655"/>
      <c r="X635" s="1584"/>
      <c r="Y635" s="1655"/>
    </row>
    <row r="636" spans="1:25" ht="30">
      <c r="A636" s="1585"/>
      <c r="B636" s="1700" t="s">
        <v>4573</v>
      </c>
      <c r="C636" s="1513" t="s">
        <v>4592</v>
      </c>
      <c r="D636" s="1489"/>
      <c r="E636" s="1567"/>
      <c r="F636" s="1593"/>
      <c r="G636" s="662"/>
      <c r="H636" s="1584" t="s">
        <v>3028</v>
      </c>
      <c r="I636" s="1634"/>
      <c r="J636" s="1584" t="s">
        <v>3028</v>
      </c>
      <c r="K636" s="1633"/>
      <c r="L636" s="1584" t="s">
        <v>3028</v>
      </c>
      <c r="M636" s="1634"/>
      <c r="N636" s="1584"/>
      <c r="O636" s="1633"/>
      <c r="P636" s="1584"/>
      <c r="Q636" s="1633"/>
      <c r="R636" s="1584"/>
      <c r="S636" s="1633"/>
      <c r="T636" s="1584"/>
      <c r="U636" s="1633"/>
      <c r="V636" s="1584"/>
      <c r="W636" s="1633"/>
      <c r="X636" s="1584"/>
      <c r="Y636" s="1633"/>
    </row>
    <row r="637" spans="1:25">
      <c r="A637" s="1585"/>
      <c r="B637" s="1635" t="s">
        <v>4593</v>
      </c>
      <c r="C637" s="1566" t="s">
        <v>4594</v>
      </c>
      <c r="D637" s="1489"/>
      <c r="E637" s="1567"/>
      <c r="F637" s="1593"/>
      <c r="G637" s="662"/>
      <c r="H637" s="1584" t="s">
        <v>3028</v>
      </c>
      <c r="I637" s="1634"/>
      <c r="J637" s="1584" t="s">
        <v>3028</v>
      </c>
      <c r="K637" s="1633"/>
      <c r="L637" s="1584" t="s">
        <v>3028</v>
      </c>
      <c r="M637" s="1634"/>
      <c r="N637" s="1584"/>
      <c r="O637" s="1633"/>
      <c r="P637" s="1584"/>
      <c r="Q637" s="1633"/>
      <c r="R637" s="1584"/>
      <c r="S637" s="1633"/>
      <c r="T637" s="1584"/>
      <c r="U637" s="1633"/>
      <c r="V637" s="1584"/>
      <c r="W637" s="1633"/>
      <c r="X637" s="1584"/>
      <c r="Y637" s="1633"/>
    </row>
    <row r="638" spans="1:25">
      <c r="A638" s="1585"/>
      <c r="B638" s="1635" t="s">
        <v>4577</v>
      </c>
      <c r="C638" s="1566" t="s">
        <v>4594</v>
      </c>
      <c r="D638" s="1489"/>
      <c r="E638" s="1567"/>
      <c r="F638" s="1593"/>
      <c r="G638" s="662"/>
      <c r="H638" s="1584" t="s">
        <v>3028</v>
      </c>
      <c r="I638" s="1634"/>
      <c r="J638" s="1584" t="s">
        <v>3806</v>
      </c>
      <c r="K638" s="1633"/>
      <c r="L638" s="1584" t="s">
        <v>3028</v>
      </c>
      <c r="M638" s="1634"/>
      <c r="N638" s="1584"/>
      <c r="O638" s="1633"/>
      <c r="P638" s="1584"/>
      <c r="Q638" s="1633"/>
      <c r="R638" s="1584"/>
      <c r="S638" s="1633"/>
      <c r="T638" s="1584"/>
      <c r="U638" s="1633"/>
      <c r="V638" s="1584"/>
      <c r="W638" s="1633"/>
      <c r="X638" s="1584"/>
      <c r="Y638" s="1633"/>
    </row>
    <row r="639" spans="1:25">
      <c r="A639" s="1585"/>
      <c r="B639" s="1635" t="s">
        <v>4588</v>
      </c>
      <c r="C639" s="1566" t="s">
        <v>4595</v>
      </c>
      <c r="D639" s="1489"/>
      <c r="E639" s="1567"/>
      <c r="F639" s="1593"/>
      <c r="G639" s="662"/>
      <c r="H639" s="1584" t="s">
        <v>3028</v>
      </c>
      <c r="I639" s="1634"/>
      <c r="J639" s="1584" t="s">
        <v>3028</v>
      </c>
      <c r="K639" s="1633"/>
      <c r="L639" s="1584" t="s">
        <v>3028</v>
      </c>
      <c r="M639" s="1634"/>
      <c r="N639" s="1584"/>
      <c r="O639" s="1633"/>
      <c r="P639" s="1584"/>
      <c r="Q639" s="1633"/>
      <c r="R639" s="1584"/>
      <c r="S639" s="1633"/>
      <c r="T639" s="1584"/>
      <c r="U639" s="1633"/>
      <c r="V639" s="1584"/>
      <c r="W639" s="1633"/>
      <c r="X639" s="1584"/>
      <c r="Y639" s="1633"/>
    </row>
    <row r="640" spans="1:25" ht="30">
      <c r="A640" s="1585"/>
      <c r="B640" s="1700" t="s">
        <v>4582</v>
      </c>
      <c r="C640" s="1513" t="s">
        <v>4596</v>
      </c>
      <c r="D640" s="1489"/>
      <c r="E640" s="1567"/>
      <c r="F640" s="1593"/>
      <c r="G640" s="662"/>
      <c r="H640" s="1584" t="s">
        <v>3028</v>
      </c>
      <c r="I640" s="1634"/>
      <c r="J640" s="1584" t="s">
        <v>3806</v>
      </c>
      <c r="K640" s="1633"/>
      <c r="L640" s="1584" t="s">
        <v>3028</v>
      </c>
      <c r="M640" s="1634"/>
      <c r="N640" s="1584"/>
      <c r="O640" s="1633"/>
      <c r="P640" s="1584"/>
      <c r="Q640" s="1633"/>
      <c r="R640" s="1584"/>
      <c r="S640" s="1633"/>
      <c r="T640" s="1584"/>
      <c r="U640" s="1633"/>
      <c r="V640" s="1584"/>
      <c r="W640" s="1633"/>
      <c r="X640" s="1584"/>
      <c r="Y640" s="1633"/>
    </row>
    <row r="641" spans="1:25" ht="45">
      <c r="A641" s="1585"/>
      <c r="B641" s="1679" t="s">
        <v>4597</v>
      </c>
      <c r="C641" s="1651" t="s">
        <v>4598</v>
      </c>
      <c r="D641" s="1489"/>
      <c r="E641" s="1567"/>
      <c r="F641" s="1593"/>
      <c r="G641" s="662"/>
      <c r="H641" s="1584"/>
      <c r="I641" s="1634"/>
      <c r="J641" s="1584"/>
      <c r="K641" s="1633"/>
      <c r="L641" s="1584"/>
      <c r="M641" s="1634"/>
      <c r="N641" s="1584"/>
      <c r="O641" s="1633"/>
      <c r="P641" s="1584"/>
      <c r="Q641" s="1633"/>
      <c r="R641" s="1584"/>
      <c r="S641" s="1633"/>
      <c r="T641" s="1584"/>
      <c r="U641" s="1633"/>
      <c r="V641" s="1584"/>
      <c r="W641" s="1633"/>
      <c r="X641" s="1584"/>
      <c r="Y641" s="1633"/>
    </row>
    <row r="642" spans="1:25" ht="45">
      <c r="A642" s="1585"/>
      <c r="B642" s="1700" t="s">
        <v>4573</v>
      </c>
      <c r="C642" s="1513" t="s">
        <v>4599</v>
      </c>
      <c r="D642" s="1489"/>
      <c r="E642" s="1567"/>
      <c r="F642" s="1593"/>
      <c r="G642" s="662"/>
      <c r="H642" s="1584" t="s">
        <v>3028</v>
      </c>
      <c r="I642" s="1634"/>
      <c r="J642" s="1584" t="s">
        <v>3028</v>
      </c>
      <c r="K642" s="1633"/>
      <c r="L642" s="1584" t="s">
        <v>3028</v>
      </c>
      <c r="M642" s="1634"/>
      <c r="N642" s="1584"/>
      <c r="O642" s="1633"/>
      <c r="P642" s="1584"/>
      <c r="Q642" s="1633"/>
      <c r="R642" s="1584"/>
      <c r="S642" s="1633"/>
      <c r="T642" s="1584"/>
      <c r="U642" s="1633"/>
      <c r="V642" s="1584"/>
      <c r="W642" s="1633"/>
      <c r="X642" s="1584"/>
      <c r="Y642" s="1633"/>
    </row>
    <row r="643" spans="1:25" s="364" customFormat="1" ht="30">
      <c r="A643" s="1649"/>
      <c r="B643" s="1700" t="s">
        <v>4600</v>
      </c>
      <c r="C643" s="1651" t="s">
        <v>4601</v>
      </c>
      <c r="D643" s="1652"/>
      <c r="E643" s="1653"/>
      <c r="F643" s="1654"/>
      <c r="G643" s="683"/>
      <c r="H643" s="1584" t="s">
        <v>3028</v>
      </c>
      <c r="I643" s="1656"/>
      <c r="J643" s="1584" t="s">
        <v>3028</v>
      </c>
      <c r="K643" s="1655"/>
      <c r="L643" s="1584" t="s">
        <v>3028</v>
      </c>
      <c r="M643" s="1656"/>
      <c r="N643" s="1584"/>
      <c r="O643" s="1655"/>
      <c r="P643" s="1584"/>
      <c r="Q643" s="1655"/>
      <c r="R643" s="1584"/>
      <c r="S643" s="1655"/>
      <c r="T643" s="1584"/>
      <c r="U643" s="1655"/>
      <c r="V643" s="1584"/>
      <c r="W643" s="1655"/>
      <c r="X643" s="1584"/>
      <c r="Y643" s="1655"/>
    </row>
    <row r="644" spans="1:25" s="364" customFormat="1" ht="30">
      <c r="A644" s="1649"/>
      <c r="B644" s="1700" t="s">
        <v>4577</v>
      </c>
      <c r="C644" s="1651" t="s">
        <v>4601</v>
      </c>
      <c r="D644" s="1652"/>
      <c r="E644" s="1653"/>
      <c r="F644" s="1654"/>
      <c r="G644" s="683"/>
      <c r="H644" s="1584" t="s">
        <v>3028</v>
      </c>
      <c r="I644" s="1656"/>
      <c r="J644" s="1584" t="s">
        <v>3806</v>
      </c>
      <c r="K644" s="1655"/>
      <c r="L644" s="1584" t="s">
        <v>3028</v>
      </c>
      <c r="M644" s="1656"/>
      <c r="N644" s="1584"/>
      <c r="O644" s="1655"/>
      <c r="P644" s="1584"/>
      <c r="Q644" s="1655"/>
      <c r="R644" s="1584"/>
      <c r="S644" s="1655"/>
      <c r="T644" s="1584"/>
      <c r="U644" s="1655"/>
      <c r="V644" s="1584"/>
      <c r="W644" s="1655"/>
      <c r="X644" s="1584"/>
      <c r="Y644" s="1655"/>
    </row>
    <row r="645" spans="1:25">
      <c r="A645" s="1585"/>
      <c r="B645" s="1635" t="s">
        <v>4588</v>
      </c>
      <c r="C645" s="1566" t="s">
        <v>4602</v>
      </c>
      <c r="D645" s="1489"/>
      <c r="E645" s="1567"/>
      <c r="F645" s="1593"/>
      <c r="G645" s="662"/>
      <c r="H645" s="1584" t="s">
        <v>3028</v>
      </c>
      <c r="I645" s="1634"/>
      <c r="J645" s="1584" t="s">
        <v>3028</v>
      </c>
      <c r="K645" s="1633"/>
      <c r="L645" s="1584" t="s">
        <v>3028</v>
      </c>
      <c r="M645" s="1634"/>
      <c r="N645" s="1584"/>
      <c r="O645" s="1633"/>
      <c r="P645" s="1584"/>
      <c r="Q645" s="1633"/>
      <c r="R645" s="1584"/>
      <c r="S645" s="1633"/>
      <c r="T645" s="1584"/>
      <c r="U645" s="1633"/>
      <c r="V645" s="1584"/>
      <c r="W645" s="1633"/>
      <c r="X645" s="1584"/>
      <c r="Y645" s="1633"/>
    </row>
    <row r="646" spans="1:25" ht="30">
      <c r="A646" s="1585"/>
      <c r="B646" s="1700" t="s">
        <v>4582</v>
      </c>
      <c r="C646" s="1513" t="s">
        <v>4596</v>
      </c>
      <c r="D646" s="1489"/>
      <c r="E646" s="1567"/>
      <c r="F646" s="1593"/>
      <c r="G646" s="662"/>
      <c r="H646" s="1584" t="s">
        <v>3028</v>
      </c>
      <c r="I646" s="1634"/>
      <c r="J646" s="1584" t="s">
        <v>3806</v>
      </c>
      <c r="K646" s="1633"/>
      <c r="L646" s="1584" t="s">
        <v>3028</v>
      </c>
      <c r="M646" s="1634"/>
      <c r="N646" s="1584"/>
      <c r="O646" s="1633"/>
      <c r="P646" s="1584"/>
      <c r="Q646" s="1633"/>
      <c r="R646" s="1584"/>
      <c r="S646" s="1633"/>
      <c r="T646" s="1584"/>
      <c r="U646" s="1633"/>
      <c r="V646" s="1584"/>
      <c r="W646" s="1633"/>
      <c r="X646" s="1584"/>
      <c r="Y646" s="1633"/>
    </row>
    <row r="647" spans="1:25" s="364" customFormat="1" ht="30">
      <c r="A647" s="1649"/>
      <c r="B647" s="1696" t="s">
        <v>4603</v>
      </c>
      <c r="C647" s="1651" t="s">
        <v>4604</v>
      </c>
      <c r="D647" s="1652"/>
      <c r="E647" s="1653"/>
      <c r="F647" s="1654"/>
      <c r="G647" s="683"/>
      <c r="H647" s="1584"/>
      <c r="I647" s="1656"/>
      <c r="J647" s="1584"/>
      <c r="K647" s="1655"/>
      <c r="L647" s="1584"/>
      <c r="M647" s="1656"/>
      <c r="N647" s="1584"/>
      <c r="O647" s="1655"/>
      <c r="P647" s="1584"/>
      <c r="Q647" s="1655"/>
      <c r="R647" s="1584"/>
      <c r="S647" s="1655"/>
      <c r="T647" s="1584"/>
      <c r="U647" s="1655"/>
      <c r="V647" s="1584"/>
      <c r="W647" s="1655"/>
      <c r="X647" s="1584"/>
      <c r="Y647" s="1655"/>
    </row>
    <row r="648" spans="1:25" ht="30">
      <c r="A648" s="1585"/>
      <c r="B648" s="1700" t="s">
        <v>4573</v>
      </c>
      <c r="C648" s="1513" t="s">
        <v>4605</v>
      </c>
      <c r="D648" s="1489"/>
      <c r="E648" s="1567"/>
      <c r="F648" s="1593"/>
      <c r="G648" s="662"/>
      <c r="H648" s="1584" t="s">
        <v>3028</v>
      </c>
      <c r="I648" s="1634"/>
      <c r="J648" s="1584" t="s">
        <v>3028</v>
      </c>
      <c r="K648" s="1633"/>
      <c r="L648" s="1584" t="s">
        <v>3028</v>
      </c>
      <c r="M648" s="1634"/>
      <c r="N648" s="1584"/>
      <c r="O648" s="1633"/>
      <c r="P648" s="1584"/>
      <c r="Q648" s="1633"/>
      <c r="R648" s="1584"/>
      <c r="S648" s="1633"/>
      <c r="T648" s="1584"/>
      <c r="U648" s="1633"/>
      <c r="V648" s="1584"/>
      <c r="W648" s="1633"/>
      <c r="X648" s="1584"/>
      <c r="Y648" s="1633"/>
    </row>
    <row r="649" spans="1:25">
      <c r="A649" s="1585"/>
      <c r="B649" s="1700" t="s">
        <v>4593</v>
      </c>
      <c r="C649" s="1651" t="s">
        <v>4606</v>
      </c>
      <c r="D649" s="1489"/>
      <c r="E649" s="1567"/>
      <c r="F649" s="1593"/>
      <c r="G649" s="662"/>
      <c r="H649" s="1584" t="s">
        <v>3028</v>
      </c>
      <c r="I649" s="1634"/>
      <c r="J649" s="1584" t="s">
        <v>3028</v>
      </c>
      <c r="K649" s="1633"/>
      <c r="L649" s="1584" t="s">
        <v>3028</v>
      </c>
      <c r="M649" s="1634"/>
      <c r="N649" s="1584"/>
      <c r="O649" s="1633"/>
      <c r="P649" s="1584"/>
      <c r="Q649" s="1633"/>
      <c r="R649" s="1584"/>
      <c r="S649" s="1633"/>
      <c r="T649" s="1584"/>
      <c r="U649" s="1633"/>
      <c r="V649" s="1584"/>
      <c r="W649" s="1633"/>
      <c r="X649" s="1584"/>
      <c r="Y649" s="1633"/>
    </row>
    <row r="650" spans="1:25">
      <c r="A650" s="1585"/>
      <c r="B650" s="1700" t="s">
        <v>4577</v>
      </c>
      <c r="C650" s="568" t="s">
        <v>4606</v>
      </c>
      <c r="D650" s="1489"/>
      <c r="E650" s="1567"/>
      <c r="F650" s="1593"/>
      <c r="G650" s="662"/>
      <c r="H650" s="1584" t="s">
        <v>3028</v>
      </c>
      <c r="I650" s="1634"/>
      <c r="J650" s="1584" t="s">
        <v>3806</v>
      </c>
      <c r="K650" s="1633"/>
      <c r="L650" s="1584" t="s">
        <v>3028</v>
      </c>
      <c r="M650" s="1634"/>
      <c r="N650" s="1584"/>
      <c r="O650" s="1633"/>
      <c r="P650" s="1584"/>
      <c r="Q650" s="1633"/>
      <c r="R650" s="1584"/>
      <c r="S650" s="1633"/>
      <c r="T650" s="1584"/>
      <c r="U650" s="1633"/>
      <c r="V650" s="1584"/>
      <c r="W650" s="1633"/>
      <c r="X650" s="1584"/>
      <c r="Y650" s="1633"/>
    </row>
    <row r="651" spans="1:25" ht="30">
      <c r="A651" s="1711"/>
      <c r="B651" s="1700" t="s">
        <v>4582</v>
      </c>
      <c r="C651" s="508" t="s">
        <v>4607</v>
      </c>
      <c r="D651" s="1489"/>
      <c r="E651" s="1567"/>
      <c r="F651" s="1593"/>
      <c r="G651" s="662"/>
      <c r="H651" s="1584" t="s">
        <v>3028</v>
      </c>
      <c r="I651" s="1634"/>
      <c r="J651" s="1584" t="s">
        <v>3806</v>
      </c>
      <c r="K651" s="1633"/>
      <c r="L651" s="1584" t="s">
        <v>3028</v>
      </c>
      <c r="M651" s="1634"/>
      <c r="N651" s="1584"/>
      <c r="O651" s="1633"/>
      <c r="P651" s="1584"/>
      <c r="Q651" s="1633"/>
      <c r="R651" s="1584"/>
      <c r="S651" s="1633"/>
      <c r="T651" s="1584"/>
      <c r="U651" s="1633"/>
      <c r="V651" s="1584"/>
      <c r="W651" s="1633"/>
      <c r="X651" s="1584"/>
      <c r="Y651" s="1633"/>
    </row>
    <row r="652" spans="1:25">
      <c r="A652" s="1711"/>
      <c r="B652" s="1714"/>
      <c r="C652" s="1566"/>
      <c r="D652" s="1489"/>
      <c r="E652" s="1567"/>
      <c r="F652" s="1593"/>
      <c r="G652" s="662"/>
      <c r="H652" s="1584"/>
      <c r="I652" s="1634"/>
      <c r="J652" s="1584"/>
      <c r="K652" s="1633"/>
      <c r="L652" s="1584"/>
      <c r="M652" s="1634"/>
      <c r="N652" s="1584"/>
      <c r="O652" s="1633"/>
      <c r="P652" s="1584"/>
      <c r="Q652" s="1633"/>
      <c r="R652" s="1584"/>
      <c r="S652" s="1633"/>
      <c r="T652" s="1584"/>
      <c r="U652" s="1633"/>
      <c r="V652" s="1584"/>
      <c r="W652" s="1633"/>
      <c r="X652" s="1584"/>
      <c r="Y652" s="1633"/>
    </row>
    <row r="653" spans="1:25" ht="15.75" thickBot="1">
      <c r="A653" s="1711"/>
      <c r="B653" s="1715"/>
      <c r="C653" s="1566"/>
      <c r="D653" s="1489"/>
      <c r="E653" s="1567"/>
      <c r="F653" s="1593"/>
      <c r="G653" s="662"/>
      <c r="H653" s="1584"/>
      <c r="I653" s="1634"/>
      <c r="J653" s="1584"/>
      <c r="K653" s="1633"/>
      <c r="L653" s="1584"/>
      <c r="M653" s="1634"/>
      <c r="N653" s="1584"/>
      <c r="O653" s="1633"/>
      <c r="P653" s="1584"/>
      <c r="Q653" s="1633"/>
      <c r="R653" s="1584"/>
      <c r="S653" s="1633"/>
      <c r="T653" s="1584"/>
      <c r="U653" s="1633"/>
      <c r="V653" s="1584"/>
      <c r="W653" s="1633"/>
      <c r="X653" s="1584"/>
      <c r="Y653" s="1633"/>
    </row>
    <row r="654" spans="1:25" ht="15.75" thickTop="1">
      <c r="A654" s="13"/>
      <c r="B654" s="226" t="s">
        <v>3265</v>
      </c>
      <c r="C654" s="15"/>
      <c r="D654" s="168"/>
      <c r="E654" s="176"/>
      <c r="F654" s="17"/>
      <c r="G654" s="227">
        <f>SUBTOTAL(9,G611:G653)</f>
        <v>0</v>
      </c>
      <c r="H654" s="19"/>
      <c r="I654" s="164">
        <f>SUM(I12:I653)</f>
        <v>6857786</v>
      </c>
      <c r="J654" s="19"/>
      <c r="K654" s="164">
        <f>SUM(K20:K653)</f>
        <v>7207396</v>
      </c>
      <c r="L654" s="19"/>
      <c r="M654" s="164">
        <f>SUM(M20:M653)</f>
        <v>9560224.4300000016</v>
      </c>
      <c r="N654" s="19"/>
      <c r="O654" s="164">
        <f>SUM(O20:O653)</f>
        <v>7841388</v>
      </c>
      <c r="P654" s="19"/>
      <c r="Q654" s="164">
        <f>SUM(Q20:Q653)</f>
        <v>0</v>
      </c>
      <c r="R654" s="19"/>
      <c r="S654" s="164">
        <f>SUM(S20:S653)</f>
        <v>0</v>
      </c>
      <c r="T654" s="19"/>
      <c r="U654" s="164">
        <f>SUM(U20:U653)</f>
        <v>0</v>
      </c>
      <c r="V654" s="19"/>
      <c r="W654" s="164">
        <f>SUM(W20:W653)</f>
        <v>0</v>
      </c>
      <c r="X654" s="19"/>
      <c r="Y654" s="164">
        <f>SUM(Y20:Y653)</f>
        <v>0</v>
      </c>
    </row>
    <row r="655" spans="1:25">
      <c r="A655" s="1526"/>
      <c r="B655" s="1527" t="s">
        <v>2976</v>
      </c>
      <c r="C655" s="1528"/>
      <c r="D655" s="1529"/>
      <c r="E655" s="1530"/>
      <c r="F655" s="1599"/>
      <c r="G655" s="654"/>
      <c r="H655" s="1716">
        <v>0</v>
      </c>
      <c r="I655" s="645"/>
      <c r="J655" s="1716">
        <v>1.4999999999999999E-2</v>
      </c>
      <c r="K655" s="645"/>
      <c r="L655" s="1716">
        <v>1.4999999999999999E-2</v>
      </c>
      <c r="M655" s="645"/>
      <c r="N655" s="1532">
        <v>0</v>
      </c>
      <c r="O655" s="645"/>
      <c r="P655" s="1532">
        <v>0</v>
      </c>
      <c r="Q655" s="645"/>
      <c r="R655" s="1532">
        <v>0</v>
      </c>
      <c r="S655" s="645"/>
      <c r="T655" s="1532">
        <v>0</v>
      </c>
      <c r="U655" s="645"/>
      <c r="V655" s="1532">
        <v>0</v>
      </c>
      <c r="W655" s="645"/>
      <c r="X655" s="1532">
        <v>0</v>
      </c>
      <c r="Y655" s="645"/>
    </row>
    <row r="656" spans="1:25">
      <c r="A656" s="1526"/>
      <c r="B656" s="1527" t="s">
        <v>2977</v>
      </c>
      <c r="C656" s="1528"/>
      <c r="D656" s="1529"/>
      <c r="E656" s="1530"/>
      <c r="F656" s="1599"/>
      <c r="G656" s="654">
        <f>F655*G654</f>
        <v>0</v>
      </c>
      <c r="H656" s="1533"/>
      <c r="I656" s="1534">
        <f>I654*H655</f>
        <v>0</v>
      </c>
      <c r="J656" s="1533"/>
      <c r="K656" s="1534">
        <f>J655*K654</f>
        <v>108110.94</v>
      </c>
      <c r="L656" s="1533"/>
      <c r="M656" s="1534">
        <f>L655*M654</f>
        <v>143403.36645000003</v>
      </c>
      <c r="N656" s="1533"/>
      <c r="O656" s="1534">
        <f>N655*O654</f>
        <v>0</v>
      </c>
      <c r="P656" s="1533"/>
      <c r="Q656" s="1534">
        <f>P655*Q654</f>
        <v>0</v>
      </c>
      <c r="R656" s="1533"/>
      <c r="S656" s="1534">
        <f>R655*S654</f>
        <v>0</v>
      </c>
      <c r="T656" s="1533"/>
      <c r="U656" s="1534">
        <f>T655*U654</f>
        <v>0</v>
      </c>
      <c r="V656" s="1533"/>
      <c r="W656" s="1534">
        <f>V655*W654</f>
        <v>0</v>
      </c>
      <c r="X656" s="1533"/>
      <c r="Y656" s="1534">
        <f>X655*Y654</f>
        <v>0</v>
      </c>
    </row>
    <row r="657" spans="1:30">
      <c r="A657" s="1526"/>
      <c r="B657" s="1527"/>
      <c r="C657" s="1528"/>
      <c r="D657" s="1529"/>
      <c r="E657" s="1530"/>
      <c r="F657" s="1599"/>
      <c r="G657" s="654"/>
      <c r="H657" s="1533"/>
      <c r="I657" s="1534"/>
      <c r="J657" s="1533"/>
      <c r="K657" s="1534"/>
      <c r="L657" s="1533"/>
      <c r="M657" s="1534"/>
      <c r="N657" s="1533"/>
      <c r="O657" s="1534"/>
      <c r="P657" s="1533"/>
      <c r="Q657" s="1534"/>
      <c r="R657" s="1533"/>
      <c r="S657" s="1534"/>
      <c r="T657" s="1533"/>
      <c r="U657" s="1534"/>
      <c r="V657" s="1533"/>
      <c r="W657" s="1534"/>
      <c r="X657" s="1533"/>
      <c r="Y657" s="1534"/>
    </row>
    <row r="658" spans="1:30">
      <c r="A658" s="1526"/>
      <c r="B658" s="1527" t="s">
        <v>2978</v>
      </c>
      <c r="C658" s="1528"/>
      <c r="D658" s="1529"/>
      <c r="E658" s="1530"/>
      <c r="F658" s="1599"/>
      <c r="G658" s="654">
        <f>SUM(G654:G656)</f>
        <v>0</v>
      </c>
      <c r="H658" s="1535"/>
      <c r="I658" s="1534">
        <f>SUM(I654:I656)</f>
        <v>6857786</v>
      </c>
      <c r="J658" s="1535"/>
      <c r="K658" s="1534">
        <f>SUM(K654:K656)</f>
        <v>7315506.9400000004</v>
      </c>
      <c r="L658" s="1535"/>
      <c r="M658" s="1534">
        <f>SUM(M654:M656)</f>
        <v>9703627.7964500021</v>
      </c>
      <c r="N658" s="1535"/>
      <c r="O658" s="1534">
        <f>SUM(O654:O656)</f>
        <v>7841388</v>
      </c>
      <c r="P658" s="1535"/>
      <c r="Q658" s="1534">
        <f>SUM(Q654:Q656)</f>
        <v>0</v>
      </c>
      <c r="R658" s="1535"/>
      <c r="S658" s="1534">
        <f>SUM(S654:S656)</f>
        <v>0</v>
      </c>
      <c r="T658" s="1535"/>
      <c r="U658" s="1534">
        <f>SUM(U654:U656)</f>
        <v>0</v>
      </c>
      <c r="V658" s="1535"/>
      <c r="W658" s="1534">
        <f>SUM(W654:W656)</f>
        <v>0</v>
      </c>
      <c r="X658" s="1535"/>
      <c r="Y658" s="1534">
        <f>SUM(Y654:Y656)</f>
        <v>0</v>
      </c>
    </row>
    <row r="659" spans="1:30">
      <c r="A659" s="1526"/>
      <c r="B659" s="1536" t="s">
        <v>2979</v>
      </c>
      <c r="C659" s="1528"/>
      <c r="D659" s="1529"/>
      <c r="E659" s="1530"/>
      <c r="F659" s="1536"/>
      <c r="G659" s="655">
        <f>G658/'Area Calculations'!$F$5</f>
        <v>0</v>
      </c>
      <c r="H659" s="1538"/>
      <c r="I659" s="1539">
        <f>I658/'Area Calculations'!$F$5</f>
        <v>77.338799169974735</v>
      </c>
      <c r="J659" s="1538"/>
      <c r="K659" s="1539">
        <f>K658/'Area Calculations'!$F$5</f>
        <v>82.500754916997479</v>
      </c>
      <c r="L659" s="1538"/>
      <c r="M659" s="1539">
        <f>M658/'Area Calculations'!$F$5</f>
        <v>109.43282881236469</v>
      </c>
      <c r="N659" s="1538"/>
      <c r="O659" s="1539">
        <f>O658/'Area Calculations'!$F$5</f>
        <v>88.431387585709132</v>
      </c>
      <c r="P659" s="1538"/>
      <c r="Q659" s="1539">
        <f>Q658/'Area Calculations'!$F$5</f>
        <v>0</v>
      </c>
      <c r="R659" s="1538"/>
      <c r="S659" s="1539">
        <f>S658/'Area Calculations'!$F$5</f>
        <v>0</v>
      </c>
      <c r="T659" s="1538"/>
      <c r="U659" s="1539">
        <f>U658/'Area Calculations'!$F$5</f>
        <v>0</v>
      </c>
      <c r="V659" s="1540"/>
      <c r="W659" s="1539">
        <f>W658/'Area Calculations'!$F$5</f>
        <v>0</v>
      </c>
      <c r="X659" s="1540"/>
      <c r="Y659" s="1539">
        <f>Y658/'Area Calculations'!$F$5</f>
        <v>0</v>
      </c>
    </row>
    <row r="660" spans="1:30">
      <c r="A660" s="1526"/>
      <c r="B660" s="1541"/>
      <c r="C660" s="1528"/>
      <c r="D660" s="1529"/>
      <c r="E660" s="1530"/>
      <c r="F660" s="1599"/>
      <c r="G660" s="656"/>
      <c r="H660" s="1542"/>
      <c r="I660" s="1543"/>
      <c r="J660" s="1542"/>
      <c r="K660" s="1542"/>
      <c r="L660" s="1542"/>
      <c r="M660" s="1542"/>
      <c r="N660" s="1542"/>
      <c r="O660" s="1542"/>
      <c r="P660" s="1542"/>
      <c r="Q660" s="1542"/>
      <c r="R660" s="1542"/>
      <c r="S660" s="1542"/>
      <c r="T660" s="1542"/>
      <c r="U660" s="1542"/>
      <c r="V660" s="1542"/>
      <c r="W660" s="1542"/>
      <c r="X660" s="1542"/>
      <c r="Y660" s="1542"/>
    </row>
    <row r="661" spans="1:30" ht="16.5" hidden="1" thickTop="1" thickBot="1">
      <c r="A661" s="830" t="s">
        <v>2980</v>
      </c>
      <c r="B661" s="831"/>
      <c r="C661" s="12"/>
      <c r="D661" s="169"/>
      <c r="E661" s="177"/>
      <c r="F661" s="12"/>
      <c r="G661" s="228"/>
      <c r="H661" s="20"/>
      <c r="I661" s="20"/>
      <c r="J661" s="20"/>
      <c r="K661" s="20"/>
      <c r="L661" s="20"/>
      <c r="M661" s="20"/>
      <c r="N661" s="20"/>
      <c r="O661" s="20"/>
      <c r="P661" s="20"/>
      <c r="Q661" s="20"/>
      <c r="R661" s="20"/>
      <c r="S661" s="20"/>
      <c r="T661" s="20"/>
      <c r="U661" s="20"/>
      <c r="V661" s="20"/>
      <c r="W661" s="20"/>
      <c r="X661" s="20"/>
      <c r="Y661" s="20"/>
    </row>
    <row r="662" spans="1:30" ht="15.75" hidden="1" thickTop="1">
      <c r="A662" s="1600"/>
      <c r="B662" s="1601"/>
      <c r="C662" s="1602"/>
      <c r="D662" s="1603"/>
      <c r="E662" s="1604"/>
      <c r="F662" s="1602"/>
      <c r="G662" s="1605"/>
      <c r="H662" s="1606"/>
      <c r="I662" s="1606"/>
      <c r="J662" s="1606"/>
      <c r="K662" s="1606"/>
      <c r="L662" s="1606"/>
      <c r="M662" s="1606"/>
      <c r="N662" s="1606"/>
      <c r="O662" s="1606"/>
      <c r="P662" s="1606"/>
      <c r="Q662" s="1606"/>
      <c r="R662" s="1606"/>
      <c r="S662" s="1606"/>
      <c r="T662" s="1606"/>
      <c r="U662" s="1606"/>
      <c r="V662" s="1606"/>
      <c r="W662" s="1606"/>
      <c r="X662" s="1606"/>
      <c r="Y662" s="1606"/>
    </row>
    <row r="663" spans="1:30" hidden="1">
      <c r="A663" s="1600"/>
      <c r="B663" s="1601"/>
      <c r="C663" s="1602"/>
      <c r="D663" s="1603"/>
      <c r="E663" s="1604"/>
      <c r="F663" s="1602"/>
      <c r="G663" s="1605"/>
      <c r="H663" s="1606"/>
      <c r="I663" s="1606"/>
      <c r="J663" s="1606"/>
      <c r="K663" s="1606"/>
      <c r="L663" s="1606"/>
      <c r="M663" s="1606"/>
      <c r="N663" s="1606"/>
      <c r="O663" s="1606"/>
      <c r="P663" s="1606"/>
      <c r="Q663" s="1606"/>
      <c r="R663" s="1606"/>
      <c r="S663" s="1606"/>
      <c r="T663" s="1606"/>
      <c r="U663" s="1606"/>
      <c r="V663" s="1606"/>
      <c r="W663" s="1606"/>
      <c r="X663" s="1606"/>
      <c r="Y663" s="1606"/>
    </row>
    <row r="664" spans="1:30" ht="16.5" hidden="1" thickTop="1" thickBot="1">
      <c r="A664" s="1600"/>
      <c r="B664" s="1601"/>
      <c r="C664" s="1602"/>
      <c r="D664" s="1603"/>
      <c r="E664" s="1604"/>
      <c r="F664" s="1602"/>
      <c r="G664" s="1605"/>
      <c r="H664" s="1606"/>
      <c r="I664" s="1606"/>
      <c r="J664" s="1606"/>
      <c r="K664" s="1606"/>
      <c r="L664" s="1606"/>
      <c r="M664" s="1606"/>
      <c r="N664" s="1606"/>
      <c r="O664" s="1606"/>
      <c r="P664" s="1606"/>
      <c r="Q664" s="1606"/>
      <c r="R664" s="1606"/>
      <c r="S664" s="1606"/>
      <c r="T664" s="1606"/>
      <c r="U664" s="1606"/>
      <c r="V664" s="1606"/>
      <c r="W664" s="1606"/>
      <c r="X664" s="1606"/>
      <c r="Y664" s="1606"/>
    </row>
    <row r="665" spans="1:30" s="2" customFormat="1" ht="16.5" hidden="1" thickTop="1" thickBot="1">
      <c r="A665" s="830" t="s">
        <v>2981</v>
      </c>
      <c r="B665" s="831"/>
      <c r="C665" s="12"/>
      <c r="D665" s="169"/>
      <c r="E665" s="177"/>
      <c r="F665" s="12"/>
      <c r="G665" s="228"/>
      <c r="H665" s="20"/>
      <c r="I665" s="20"/>
      <c r="J665" s="20"/>
      <c r="K665" s="20"/>
      <c r="L665" s="20"/>
      <c r="M665" s="20"/>
      <c r="N665" s="20"/>
      <c r="O665" s="20"/>
      <c r="P665" s="20"/>
      <c r="Q665" s="20"/>
      <c r="R665" s="20"/>
      <c r="S665" s="20"/>
      <c r="T665" s="20"/>
      <c r="U665" s="20"/>
      <c r="V665" s="20"/>
      <c r="W665" s="20"/>
      <c r="X665" s="20"/>
      <c r="Y665" s="20"/>
      <c r="Z665"/>
      <c r="AA665"/>
      <c r="AB665"/>
      <c r="AC665"/>
      <c r="AD665"/>
    </row>
    <row r="666" spans="1:30" s="2" customFormat="1" ht="15.75" hidden="1" thickTop="1">
      <c r="A666" s="1600"/>
      <c r="B666" s="1601"/>
      <c r="C666" s="1602"/>
      <c r="D666" s="1603"/>
      <c r="E666" s="1604"/>
      <c r="F666" s="1602"/>
      <c r="G666" s="1605"/>
      <c r="H666" s="1606"/>
      <c r="I666" s="1606"/>
      <c r="J666" s="1606"/>
      <c r="K666" s="1606"/>
      <c r="L666" s="1606"/>
      <c r="M666" s="1606"/>
      <c r="N666" s="1606"/>
      <c r="O666" s="1606"/>
      <c r="P666" s="1606"/>
      <c r="Q666" s="1606"/>
      <c r="R666" s="1606"/>
      <c r="S666" s="1606"/>
      <c r="T666" s="1606"/>
      <c r="U666" s="1606"/>
      <c r="V666" s="1606"/>
      <c r="W666" s="1606"/>
      <c r="X666" s="1606"/>
      <c r="Y666" s="1606"/>
      <c r="Z666"/>
      <c r="AA666"/>
      <c r="AB666"/>
      <c r="AC666"/>
      <c r="AD666"/>
    </row>
    <row r="667" spans="1:30" s="2" customFormat="1" hidden="1">
      <c r="A667" s="1600"/>
      <c r="B667" s="1601"/>
      <c r="C667" s="1602"/>
      <c r="D667" s="1603"/>
      <c r="E667" s="1604"/>
      <c r="F667" s="1602"/>
      <c r="G667" s="1605"/>
      <c r="H667" s="1606"/>
      <c r="I667" s="1606"/>
      <c r="J667" s="1606"/>
      <c r="K667" s="1606"/>
      <c r="L667" s="1606"/>
      <c r="M667" s="1606"/>
      <c r="N667" s="1606"/>
      <c r="O667" s="1606"/>
      <c r="P667" s="1606"/>
      <c r="Q667" s="1606"/>
      <c r="R667" s="1606"/>
      <c r="S667" s="1606"/>
      <c r="T667" s="1606"/>
      <c r="U667" s="1606"/>
      <c r="V667" s="1606"/>
      <c r="W667" s="1606"/>
      <c r="X667" s="1606"/>
      <c r="Y667" s="1606"/>
      <c r="Z667"/>
      <c r="AA667"/>
      <c r="AB667"/>
      <c r="AC667"/>
      <c r="AD667"/>
    </row>
    <row r="668" spans="1:30" ht="16.5" hidden="1" thickTop="1" thickBot="1">
      <c r="A668" s="1600"/>
      <c r="B668" s="1601"/>
      <c r="C668" s="1602"/>
      <c r="D668" s="1603"/>
      <c r="E668" s="1604"/>
      <c r="F668" s="1602"/>
      <c r="G668" s="1605"/>
      <c r="H668" s="1606"/>
      <c r="I668" s="1606"/>
      <c r="J668" s="1606"/>
      <c r="K668" s="1606"/>
      <c r="L668" s="1606"/>
      <c r="M668" s="1606"/>
      <c r="N668" s="1606"/>
      <c r="O668" s="1606"/>
      <c r="P668" s="1606"/>
      <c r="Q668" s="1606"/>
      <c r="R668" s="1606"/>
      <c r="S668" s="1606"/>
      <c r="T668" s="1606"/>
      <c r="U668" s="1606"/>
      <c r="V668" s="1606"/>
      <c r="W668" s="1606"/>
      <c r="X668" s="1606"/>
      <c r="Y668" s="1606"/>
    </row>
    <row r="669" spans="1:30" s="2" customFormat="1" ht="16.5" hidden="1" thickTop="1" thickBot="1">
      <c r="A669" s="830" t="s">
        <v>2982</v>
      </c>
      <c r="B669" s="831"/>
      <c r="C669" s="12"/>
      <c r="D669" s="169"/>
      <c r="E669" s="177"/>
      <c r="F669" s="12"/>
      <c r="G669" s="228"/>
      <c r="H669" s="20"/>
      <c r="I669" s="20"/>
      <c r="J669" s="20"/>
      <c r="K669" s="20"/>
      <c r="L669" s="20"/>
      <c r="M669" s="20"/>
      <c r="N669" s="20"/>
      <c r="O669" s="20"/>
      <c r="P669" s="20"/>
      <c r="Q669" s="20"/>
      <c r="R669" s="20"/>
      <c r="S669" s="20"/>
      <c r="T669" s="20"/>
      <c r="U669" s="20"/>
      <c r="V669" s="20"/>
      <c r="W669" s="20"/>
      <c r="X669" s="20"/>
      <c r="Y669" s="20"/>
      <c r="Z669"/>
      <c r="AA669"/>
      <c r="AB669"/>
      <c r="AC669"/>
      <c r="AD669"/>
    </row>
    <row r="670" spans="1:30" s="2" customFormat="1" ht="15.75" hidden="1" thickTop="1">
      <c r="A670" s="1600"/>
      <c r="B670" s="1601"/>
      <c r="C670" s="1602"/>
      <c r="D670" s="1603"/>
      <c r="E670" s="1604"/>
      <c r="F670" s="1602"/>
      <c r="G670" s="1605"/>
      <c r="H670" s="1606"/>
      <c r="I670" s="1606"/>
      <c r="J670" s="1606"/>
      <c r="K670" s="1606"/>
      <c r="L670" s="1606"/>
      <c r="M670" s="1606"/>
      <c r="N670" s="1606"/>
      <c r="O670" s="1606"/>
      <c r="P670" s="1606"/>
      <c r="Q670" s="1606"/>
      <c r="R670" s="1606"/>
      <c r="S670" s="1606"/>
      <c r="T670" s="1606"/>
      <c r="U670" s="1606"/>
      <c r="V670" s="1606"/>
      <c r="W670" s="1606"/>
      <c r="X670" s="1606"/>
      <c r="Y670" s="1606"/>
      <c r="Z670"/>
      <c r="AA670"/>
      <c r="AB670"/>
      <c r="AC670"/>
      <c r="AD670"/>
    </row>
    <row r="671" spans="1:30" s="2" customFormat="1" hidden="1">
      <c r="A671" s="1544"/>
      <c r="B671" s="1601"/>
      <c r="C671" s="1566"/>
      <c r="D671" s="1489"/>
      <c r="E671" s="1567"/>
      <c r="F671" s="1566"/>
      <c r="G671" s="1545"/>
      <c r="H671" s="1546"/>
      <c r="I671" s="1546"/>
      <c r="J671" s="1546"/>
      <c r="K671" s="1546"/>
      <c r="L671" s="1546"/>
      <c r="M671" s="1546"/>
      <c r="N671" s="1546"/>
      <c r="O671" s="1546"/>
      <c r="P671" s="1546"/>
      <c r="Q671" s="1546"/>
      <c r="R671" s="1546"/>
      <c r="S671" s="1546"/>
      <c r="T671" s="1546"/>
      <c r="U671" s="1546"/>
      <c r="V671" s="1546"/>
      <c r="W671" s="1546"/>
      <c r="X671" s="1546"/>
      <c r="Y671" s="1546"/>
      <c r="Z671"/>
      <c r="AA671"/>
      <c r="AB671"/>
      <c r="AC671"/>
      <c r="AD671"/>
    </row>
    <row r="672" spans="1:30" s="2" customFormat="1" ht="16.5" hidden="1" thickTop="1" thickBot="1">
      <c r="A672" s="1547"/>
      <c r="B672" s="1513"/>
      <c r="C672" s="1566"/>
      <c r="D672" s="1489"/>
      <c r="E672" s="1567"/>
      <c r="F672" s="1566"/>
      <c r="G672" s="1545"/>
      <c r="H672" s="1548"/>
      <c r="I672" s="1548"/>
      <c r="J672" s="1548"/>
      <c r="K672" s="1548"/>
      <c r="L672" s="1548"/>
      <c r="M672" s="1548"/>
      <c r="N672" s="1548"/>
      <c r="O672" s="1548"/>
      <c r="P672" s="1548"/>
      <c r="Q672" s="1548"/>
      <c r="R672" s="1548"/>
      <c r="S672" s="1548"/>
      <c r="T672" s="1548"/>
      <c r="U672" s="1548"/>
      <c r="V672" s="1548"/>
      <c r="W672" s="1548"/>
      <c r="X672" s="1548"/>
      <c r="Y672" s="1548"/>
    </row>
    <row r="673" spans="1:30" s="2" customFormat="1" ht="16.5" hidden="1" thickTop="1" thickBot="1">
      <c r="A673" s="830" t="s">
        <v>2983</v>
      </c>
      <c r="B673" s="831"/>
      <c r="C673" s="12"/>
      <c r="D673" s="169"/>
      <c r="E673" s="177"/>
      <c r="F673" s="12"/>
      <c r="G673" s="228"/>
      <c r="H673" s="20"/>
      <c r="I673" s="20"/>
      <c r="J673" s="20"/>
      <c r="K673" s="20"/>
      <c r="L673" s="20"/>
      <c r="M673" s="20"/>
      <c r="N673" s="20"/>
      <c r="O673" s="20"/>
      <c r="P673" s="20"/>
      <c r="Q673" s="20"/>
      <c r="R673" s="20"/>
      <c r="S673" s="20"/>
      <c r="T673" s="20"/>
      <c r="U673" s="20"/>
      <c r="V673" s="20"/>
      <c r="W673" s="20"/>
      <c r="X673" s="20"/>
      <c r="Y673" s="20"/>
      <c r="Z673"/>
      <c r="AA673"/>
      <c r="AB673"/>
      <c r="AC673"/>
      <c r="AD673"/>
    </row>
    <row r="674" spans="1:30" ht="15.75" hidden="1" thickTop="1">
      <c r="A674" s="1607"/>
      <c r="B674" s="1608"/>
      <c r="C674" s="1602"/>
      <c r="D674" s="1603"/>
      <c r="E674" s="1604"/>
      <c r="F674" s="1602"/>
      <c r="G674" s="1605"/>
      <c r="H674" s="1606"/>
      <c r="I674" s="1606"/>
      <c r="J674" s="1606"/>
      <c r="K674" s="1606"/>
      <c r="L674" s="1606"/>
      <c r="M674" s="1606"/>
      <c r="N674" s="1606"/>
      <c r="O674" s="1606"/>
      <c r="P674" s="1606"/>
      <c r="Q674" s="1606"/>
      <c r="R674" s="1606"/>
      <c r="S674" s="1606"/>
      <c r="T674" s="1606"/>
      <c r="U674" s="1606"/>
      <c r="V674" s="1606"/>
      <c r="W674" s="1606"/>
      <c r="X674" s="1606"/>
      <c r="Y674" s="1606"/>
      <c r="Z674" s="2"/>
      <c r="AA674" s="2"/>
      <c r="AB674" s="2"/>
      <c r="AC674" s="2"/>
      <c r="AD674" s="2"/>
    </row>
    <row r="675" spans="1:30" hidden="1">
      <c r="A675" s="1547"/>
      <c r="B675" s="1513"/>
      <c r="C675" s="1566"/>
      <c r="D675" s="1489"/>
      <c r="E675" s="1567"/>
      <c r="F675" s="1566"/>
      <c r="G675" s="1545"/>
      <c r="H675" s="1549"/>
      <c r="I675" s="1549"/>
      <c r="J675" s="1549"/>
      <c r="K675" s="1549"/>
      <c r="L675" s="1549"/>
      <c r="M675" s="1549"/>
      <c r="N675" s="1549"/>
      <c r="O675" s="1549"/>
      <c r="P675" s="1549"/>
      <c r="Q675" s="1549"/>
      <c r="R675" s="1549"/>
      <c r="S675" s="1549"/>
      <c r="T675" s="1549"/>
      <c r="U675" s="1549"/>
      <c r="V675" s="1549"/>
      <c r="W675" s="1549"/>
      <c r="X675" s="1549"/>
      <c r="Y675" s="1549"/>
      <c r="Z675" s="2"/>
      <c r="AA675" s="2"/>
      <c r="AB675" s="2"/>
      <c r="AC675" s="2"/>
      <c r="AD675" s="2"/>
    </row>
    <row r="676" spans="1:30" ht="16.5" hidden="1" thickTop="1" thickBot="1">
      <c r="A676" s="1547"/>
      <c r="B676" s="1513"/>
      <c r="C676" s="1566"/>
      <c r="D676" s="1489"/>
      <c r="E676" s="1567"/>
      <c r="F676" s="1566"/>
      <c r="G676" s="1545"/>
      <c r="H676" s="1549"/>
      <c r="I676" s="1549"/>
      <c r="J676" s="1549"/>
      <c r="K676" s="1549"/>
      <c r="L676" s="1549"/>
      <c r="M676" s="1549"/>
      <c r="N676" s="1549"/>
      <c r="O676" s="1549"/>
      <c r="P676" s="1549"/>
      <c r="Q676" s="1549"/>
      <c r="R676" s="1549"/>
      <c r="S676" s="1549"/>
      <c r="T676" s="1549"/>
      <c r="U676" s="1549"/>
      <c r="V676" s="1549"/>
      <c r="W676" s="1549"/>
      <c r="X676" s="1549"/>
      <c r="Y676" s="1549"/>
      <c r="Z676" s="2"/>
      <c r="AA676" s="2"/>
      <c r="AB676" s="2"/>
      <c r="AC676" s="2"/>
      <c r="AD676" s="2"/>
    </row>
    <row r="677" spans="1:30" ht="16.5" hidden="1" thickTop="1" thickBot="1">
      <c r="A677" s="830" t="s">
        <v>2984</v>
      </c>
      <c r="B677" s="831"/>
      <c r="C677" s="12"/>
      <c r="D677" s="169"/>
      <c r="E677" s="177"/>
      <c r="F677" s="12"/>
      <c r="G677" s="228"/>
      <c r="H677" s="20"/>
      <c r="I677" s="20"/>
      <c r="J677" s="20"/>
      <c r="K677" s="20"/>
      <c r="L677" s="20"/>
      <c r="M677" s="20"/>
      <c r="N677" s="20"/>
      <c r="O677" s="20"/>
      <c r="P677" s="20"/>
      <c r="Q677" s="20"/>
      <c r="R677" s="20"/>
      <c r="S677" s="20"/>
      <c r="T677" s="20"/>
      <c r="U677" s="20"/>
      <c r="V677" s="20"/>
      <c r="W677" s="20"/>
      <c r="X677" s="20"/>
      <c r="Y677" s="20"/>
    </row>
    <row r="678" spans="1:30" ht="15.75" hidden="1" thickTop="1">
      <c r="A678" s="1544"/>
      <c r="B678" s="1601" t="s">
        <v>2985</v>
      </c>
      <c r="C678" s="1566"/>
      <c r="D678" s="1489"/>
      <c r="E678" s="1567"/>
      <c r="F678" s="1566"/>
      <c r="G678" s="1545"/>
      <c r="H678" s="1549"/>
      <c r="I678" s="1549"/>
      <c r="J678" s="1549"/>
      <c r="K678" s="1549"/>
      <c r="L678" s="1549"/>
      <c r="M678" s="1549"/>
      <c r="N678" s="1549"/>
      <c r="O678" s="1549"/>
      <c r="P678" s="1549"/>
      <c r="Q678" s="1549"/>
      <c r="R678" s="1549"/>
      <c r="S678" s="1549"/>
      <c r="T678" s="1549"/>
      <c r="U678" s="1549"/>
      <c r="V678" s="1549"/>
      <c r="W678" s="1549"/>
      <c r="X678" s="1549"/>
      <c r="Y678" s="1549"/>
    </row>
    <row r="679" spans="1:30" hidden="1">
      <c r="A679" s="1544"/>
      <c r="B679" s="1601" t="s">
        <v>2986</v>
      </c>
      <c r="C679" s="1566"/>
      <c r="D679" s="1489"/>
      <c r="E679" s="1567"/>
      <c r="F679" s="1566"/>
      <c r="G679" s="1545"/>
      <c r="H679" s="1549"/>
      <c r="I679" s="1549"/>
      <c r="J679" s="1549"/>
      <c r="K679" s="1549"/>
      <c r="L679" s="1549"/>
      <c r="M679" s="1549"/>
      <c r="N679" s="1549"/>
      <c r="O679" s="1549"/>
      <c r="P679" s="1549"/>
      <c r="Q679" s="1549"/>
      <c r="R679" s="1549"/>
      <c r="S679" s="1549"/>
      <c r="T679" s="1549"/>
      <c r="U679" s="1549"/>
      <c r="V679" s="1549"/>
      <c r="W679" s="1549"/>
      <c r="X679" s="1549"/>
      <c r="Y679" s="1549"/>
    </row>
    <row r="680" spans="1:30" hidden="1">
      <c r="A680" s="1544"/>
      <c r="B680" s="1601" t="s">
        <v>2987</v>
      </c>
      <c r="C680" s="1566"/>
      <c r="D680" s="1489"/>
      <c r="E680" s="1567"/>
      <c r="F680" s="1566"/>
      <c r="G680" s="1545"/>
      <c r="H680" s="1549"/>
      <c r="I680" s="1549"/>
      <c r="J680" s="1549"/>
      <c r="K680" s="1549"/>
      <c r="L680" s="1549"/>
      <c r="M680" s="1549"/>
      <c r="N680" s="1549"/>
      <c r="O680" s="1549"/>
      <c r="P680" s="1549"/>
      <c r="Q680" s="1549"/>
      <c r="R680" s="1549"/>
      <c r="S680" s="1549"/>
      <c r="T680" s="1549"/>
      <c r="U680" s="1549"/>
      <c r="V680" s="1549"/>
      <c r="W680" s="1549"/>
      <c r="X680" s="1549"/>
      <c r="Y680" s="1549"/>
    </row>
    <row r="681" spans="1:30" hidden="1">
      <c r="A681" s="1544"/>
      <c r="B681" s="1601" t="s">
        <v>2988</v>
      </c>
      <c r="C681" s="1566"/>
      <c r="D681" s="1489"/>
      <c r="E681" s="1567"/>
      <c r="F681" s="1566"/>
      <c r="G681" s="1545"/>
      <c r="H681" s="1549"/>
      <c r="I681" s="1549"/>
      <c r="J681" s="1549"/>
      <c r="K681" s="1549"/>
      <c r="L681" s="1549"/>
      <c r="M681" s="1549"/>
      <c r="N681" s="1549"/>
      <c r="O681" s="1549"/>
      <c r="P681" s="1549"/>
      <c r="Q681" s="1549"/>
      <c r="R681" s="1549"/>
      <c r="S681" s="1549"/>
      <c r="T681" s="1549"/>
      <c r="U681" s="1549"/>
      <c r="V681" s="1549"/>
      <c r="W681" s="1549"/>
      <c r="X681" s="1549"/>
      <c r="Y681" s="1549"/>
    </row>
    <row r="682" spans="1:30" ht="16.5" hidden="1" thickTop="1" thickBot="1">
      <c r="A682" s="646"/>
      <c r="B682" s="619"/>
      <c r="C682" s="616"/>
      <c r="D682" s="621"/>
      <c r="E682" s="622"/>
      <c r="F682" s="616"/>
      <c r="G682" s="620"/>
      <c r="H682" s="647"/>
      <c r="I682" s="647"/>
      <c r="J682" s="647"/>
      <c r="K682" s="647"/>
      <c r="L682" s="647"/>
      <c r="M682" s="647"/>
      <c r="N682" s="647"/>
      <c r="O682" s="647"/>
      <c r="P682" s="647"/>
      <c r="Q682" s="647"/>
      <c r="R682" s="647"/>
      <c r="S682" s="647"/>
      <c r="T682" s="647"/>
      <c r="U682" s="647"/>
      <c r="V682" s="647"/>
      <c r="W682" s="647"/>
      <c r="X682" s="647"/>
      <c r="Y682" s="647"/>
    </row>
    <row r="683" spans="1:30" ht="16.5" hidden="1" thickTop="1" thickBot="1">
      <c r="A683" s="7" t="s">
        <v>2989</v>
      </c>
      <c r="B683" s="8"/>
      <c r="C683" s="12"/>
      <c r="D683" s="169"/>
      <c r="E683" s="177"/>
      <c r="F683" s="12"/>
      <c r="G683" s="228"/>
      <c r="H683" s="20"/>
      <c r="I683" s="20"/>
      <c r="J683" s="20"/>
      <c r="K683" s="20"/>
      <c r="L683" s="20"/>
      <c r="M683" s="20"/>
      <c r="N683" s="20"/>
      <c r="O683" s="20"/>
      <c r="P683" s="20"/>
      <c r="Q683" s="20"/>
      <c r="R683" s="20"/>
      <c r="S683" s="20"/>
      <c r="T683" s="20"/>
      <c r="U683" s="20"/>
      <c r="V683" s="20"/>
      <c r="W683" s="20"/>
      <c r="X683" s="20"/>
      <c r="Y683" s="20"/>
    </row>
    <row r="684" spans="1:30" ht="15.75" hidden="1" thickTop="1">
      <c r="A684" s="1600"/>
      <c r="B684" s="1609" t="s">
        <v>2990</v>
      </c>
      <c r="C684" s="1602"/>
      <c r="D684" s="1603"/>
      <c r="E684" s="1604"/>
      <c r="F684" s="1602"/>
      <c r="G684" s="1605"/>
      <c r="H684" s="1610"/>
      <c r="I684" s="1610"/>
      <c r="J684" s="1610"/>
      <c r="K684" s="1610"/>
      <c r="L684" s="1610"/>
      <c r="M684" s="1610"/>
      <c r="N684" s="1610"/>
      <c r="O684" s="1610"/>
      <c r="P684" s="1610"/>
      <c r="Q684" s="1610"/>
      <c r="R684" s="1610"/>
      <c r="S684" s="1610"/>
      <c r="T684" s="1610"/>
      <c r="U684" s="1610"/>
      <c r="V684" s="1610"/>
      <c r="W684" s="1610"/>
      <c r="X684" s="1610"/>
      <c r="Y684" s="1610"/>
    </row>
    <row r="685" spans="1:30" hidden="1">
      <c r="A685" s="1544"/>
      <c r="B685" s="1601" t="s">
        <v>2991</v>
      </c>
      <c r="C685" s="1566"/>
      <c r="D685" s="1489"/>
      <c r="E685" s="1567"/>
      <c r="F685" s="1566"/>
      <c r="G685" s="1545"/>
      <c r="H685" s="1550"/>
      <c r="I685" s="1550"/>
      <c r="J685" s="1550"/>
      <c r="K685" s="1550"/>
      <c r="L685" s="1550"/>
      <c r="M685" s="1550"/>
      <c r="N685" s="1550"/>
      <c r="O685" s="1550"/>
      <c r="P685" s="1550"/>
      <c r="Q685" s="1550"/>
      <c r="R685" s="1550"/>
      <c r="S685" s="1550"/>
      <c r="T685" s="1550"/>
      <c r="U685" s="1550"/>
      <c r="V685" s="1550"/>
      <c r="W685" s="1550"/>
      <c r="X685" s="1550"/>
      <c r="Y685" s="1550"/>
    </row>
    <row r="686" spans="1:30" ht="16.5" hidden="1" thickTop="1" thickBot="1">
      <c r="A686" s="1551"/>
      <c r="B686" s="1578" t="s">
        <v>2992</v>
      </c>
      <c r="C686" s="1552"/>
      <c r="D686" s="1553"/>
      <c r="E686" s="1554"/>
      <c r="F686" s="1552"/>
      <c r="G686" s="1555"/>
      <c r="H686" s="1556"/>
      <c r="I686" s="1556"/>
      <c r="J686" s="1556"/>
      <c r="K686" s="1556"/>
      <c r="L686" s="1556"/>
      <c r="M686" s="1556"/>
      <c r="N686" s="1556"/>
      <c r="O686" s="1556"/>
      <c r="P686" s="1556"/>
      <c r="Q686" s="1556"/>
      <c r="R686" s="1556"/>
      <c r="S686" s="1556"/>
      <c r="T686" s="1556"/>
      <c r="U686" s="1556"/>
      <c r="V686" s="1556"/>
      <c r="W686" s="1556"/>
      <c r="X686" s="1556"/>
      <c r="Y686" s="1556"/>
    </row>
    <row r="687" spans="1:30" ht="15.75" thickBot="1">
      <c r="J687" s="2"/>
      <c r="K687" s="2"/>
      <c r="N687" s="2"/>
      <c r="O687" s="2"/>
      <c r="X687" s="2"/>
      <c r="Y687" s="2"/>
    </row>
    <row r="688" spans="1:30" ht="16.5" thickTop="1" thickBot="1">
      <c r="A688" s="59" t="s">
        <v>2993</v>
      </c>
      <c r="B688" s="61"/>
      <c r="J688" s="2"/>
      <c r="K688" s="2"/>
      <c r="N688" s="2"/>
      <c r="O688" s="2"/>
      <c r="X688" s="2"/>
      <c r="Y688" s="2"/>
    </row>
    <row r="689" spans="1:25" ht="15.75" thickTop="1">
      <c r="A689" s="60" t="s">
        <v>2936</v>
      </c>
      <c r="B689" s="1557" t="str">
        <f>H5</f>
        <v>Beaubois</v>
      </c>
      <c r="J689" s="2"/>
      <c r="K689" s="2"/>
      <c r="N689" s="2"/>
      <c r="O689" s="2"/>
      <c r="X689" s="2"/>
      <c r="Y689" s="2"/>
    </row>
    <row r="690" spans="1:25">
      <c r="A690" s="1558" t="s">
        <v>2939</v>
      </c>
      <c r="B690" s="1557" t="str">
        <f>H6</f>
        <v>Iain Paterson</v>
      </c>
      <c r="J690" s="2"/>
      <c r="K690" s="2"/>
      <c r="N690" s="2"/>
      <c r="O690" s="2"/>
      <c r="X690" s="2"/>
      <c r="Y690" s="2"/>
    </row>
    <row r="691" spans="1:25">
      <c r="A691" s="1559" t="s">
        <v>2941</v>
      </c>
      <c r="B691" s="1557" t="str">
        <f>H7</f>
        <v>561-436-1356</v>
      </c>
      <c r="J691" s="2"/>
      <c r="K691" s="2"/>
      <c r="N691" s="2"/>
      <c r="O691" s="2"/>
      <c r="X691" s="2"/>
      <c r="Y691" s="2"/>
    </row>
    <row r="692" spans="1:25">
      <c r="A692" s="1559" t="s">
        <v>2943</v>
      </c>
      <c r="B692" s="1557" t="str">
        <f>H8</f>
        <v>iain.paterson@beaubois.com</v>
      </c>
      <c r="X692" s="2"/>
      <c r="Y692" s="2"/>
    </row>
    <row r="693" spans="1:25" ht="15.75" thickBot="1">
      <c r="A693" s="1562" t="s">
        <v>2994</v>
      </c>
      <c r="B693" s="1717">
        <f>$I$658</f>
        <v>6857786</v>
      </c>
      <c r="X693" s="2"/>
      <c r="Y693" s="2"/>
    </row>
    <row r="694" spans="1:25" ht="15.75" thickTop="1">
      <c r="X694" s="2"/>
      <c r="Y694" s="2"/>
    </row>
    <row r="695" spans="1:25">
      <c r="A695" s="62"/>
      <c r="B695" s="1" t="s">
        <v>2995</v>
      </c>
      <c r="X695" s="2"/>
      <c r="Y695" s="2"/>
    </row>
    <row r="696" spans="1:25">
      <c r="A696" s="63"/>
      <c r="B696" s="1" t="s">
        <v>2996</v>
      </c>
      <c r="X696" s="2"/>
      <c r="Y696" s="2"/>
    </row>
  </sheetData>
  <mergeCells count="50">
    <mergeCell ref="X5:Y5"/>
    <mergeCell ref="X6:Y6"/>
    <mergeCell ref="X7:Y7"/>
    <mergeCell ref="X8:Y8"/>
    <mergeCell ref="X9:Y9"/>
    <mergeCell ref="A661:B661"/>
    <mergeCell ref="A665:B665"/>
    <mergeCell ref="A669:B669"/>
    <mergeCell ref="A673:B673"/>
    <mergeCell ref="A677:B677"/>
    <mergeCell ref="V9:W9"/>
    <mergeCell ref="H8:I8"/>
    <mergeCell ref="L8:M8"/>
    <mergeCell ref="P8:Q8"/>
    <mergeCell ref="R8:S8"/>
    <mergeCell ref="T8:U8"/>
    <mergeCell ref="V8:W8"/>
    <mergeCell ref="H9:I9"/>
    <mergeCell ref="L9:M9"/>
    <mergeCell ref="P9:Q9"/>
    <mergeCell ref="R9:S9"/>
    <mergeCell ref="T9:U9"/>
    <mergeCell ref="J8:K8"/>
    <mergeCell ref="J9:K9"/>
    <mergeCell ref="N8:O8"/>
    <mergeCell ref="N9:O9"/>
    <mergeCell ref="V7:W7"/>
    <mergeCell ref="H6:I6"/>
    <mergeCell ref="L6:M6"/>
    <mergeCell ref="P6:Q6"/>
    <mergeCell ref="R6:S6"/>
    <mergeCell ref="T6:U6"/>
    <mergeCell ref="V6:W6"/>
    <mergeCell ref="H7:I7"/>
    <mergeCell ref="L7:M7"/>
    <mergeCell ref="P7:Q7"/>
    <mergeCell ref="R7:S7"/>
    <mergeCell ref="T7:U7"/>
    <mergeCell ref="J6:K6"/>
    <mergeCell ref="J7:K7"/>
    <mergeCell ref="N6:O6"/>
    <mergeCell ref="N7:O7"/>
    <mergeCell ref="V5:W5"/>
    <mergeCell ref="H5:I5"/>
    <mergeCell ref="L5:M5"/>
    <mergeCell ref="P5:Q5"/>
    <mergeCell ref="R5:S5"/>
    <mergeCell ref="T5:U5"/>
    <mergeCell ref="J5:K5"/>
    <mergeCell ref="N5:O5"/>
  </mergeCells>
  <conditionalFormatting sqref="H11:H19 L11:L19 P11:P19 R11:R19 T11:T19 V11:V19 K17 M17:O17 L21:L136 H21:H653 J21:J653 N21:N653 P21:P653 R21:R653 T21:T653 V21:V653 I137:L137 L138:L653">
    <cfRule type="cellIs" dxfId="279" priority="17" operator="equal">
      <formula>"X"</formula>
    </cfRule>
    <cfRule type="cellIs" dxfId="278" priority="18" operator="equal">
      <formula>"I"</formula>
    </cfRule>
  </conditionalFormatting>
  <conditionalFormatting sqref="J11:J19">
    <cfRule type="cellIs" dxfId="277" priority="5" operator="equal">
      <formula>"X"</formula>
    </cfRule>
    <cfRule type="cellIs" dxfId="276" priority="6" operator="equal">
      <formula>"I"</formula>
    </cfRule>
  </conditionalFormatting>
  <conditionalFormatting sqref="N11:N19">
    <cfRule type="cellIs" dxfId="275" priority="7" operator="equal">
      <formula>"X"</formula>
    </cfRule>
    <cfRule type="cellIs" dxfId="274" priority="8" operator="equal">
      <formula>"I"</formula>
    </cfRule>
  </conditionalFormatting>
  <conditionalFormatting sqref="X11:X19 X21:X653">
    <cfRule type="cellIs" dxfId="273" priority="1" operator="equal">
      <formula>"X"</formula>
    </cfRule>
    <cfRule type="cellIs" dxfId="272" priority="2" operator="equal">
      <formula>"I"</formula>
    </cfRule>
  </conditionalFormatting>
  <hyperlinks>
    <hyperlink ref="B4" location="'Cost Summary'!A1" display="BACK TO SUMMARY SHEET" xr:uid="{AC7BE44B-682A-44C7-83C7-28312E823208}"/>
    <hyperlink ref="H8:I8" r:id="rId1" display="iain.paterson@beaubois.com" xr:uid="{E05A9C63-9952-4139-8F1C-63A95A4EC31C}"/>
    <hyperlink ref="P8:Q8" r:id="rId2" display="neil@baronmfg.com" xr:uid="{4A66F4B9-2D68-44FD-970B-B8E68E07C18F}"/>
    <hyperlink ref="L8:M8" r:id="rId3" display="mbliss@mortensenwoodwork.com" xr:uid="{9C87B5C1-6CD9-4C4F-846B-32AC5477AF00}"/>
    <hyperlink ref="R8:S8" r:id="rId4" display="franklin@district95woodwork.com" xr:uid="{4BC17B53-A671-4F7D-9555-8609876C46F3}"/>
    <hyperlink ref="T8:U8" r:id="rId5" display="jramarble@gmail.com" xr:uid="{FBF4E9F6-061F-41CF-AAC5-27B6D49AB1A1}"/>
    <hyperlink ref="V8:W8" r:id="rId6" display="scp@martinezotero.com" xr:uid="{2D5DD70A-1449-46B0-ADD2-335C98B417F7}"/>
    <hyperlink ref="N8:O8" r:id="rId7" display="phays@premier-ap.com" xr:uid="{AD9DB18E-225D-4954-B604-407545346E5E}"/>
    <hyperlink ref="J8:K8" r:id="rId8" display="keven@j2cabinetryandtrim.com" xr:uid="{F0E9588D-D0B2-4A78-B544-62A27395C6CF}"/>
    <hyperlink ref="J8" r:id="rId9" xr:uid="{C56AC6D6-33E6-417D-B0CA-0FF8FBAD1012}"/>
  </hyperlinks>
  <pageMargins left="0.2" right="0.2" top="0.5" bottom="0.75" header="0.3" footer="0.3"/>
  <pageSetup paperSize="3" scale="77" fitToHeight="0" orientation="landscape" r:id="rId10"/>
  <legacyDrawing r:id="rId1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00B050"/>
    <pageSetUpPr fitToPage="1"/>
  </sheetPr>
  <dimension ref="A1:AH206"/>
  <sheetViews>
    <sheetView tabSelected="1" zoomScale="90" zoomScaleNormal="90" workbookViewId="0">
      <pane ySplit="10" topLeftCell="A112" activePane="bottomLeft" state="frozen"/>
      <selection pane="bottomLeft" activeCell="F128" sqref="F128"/>
      <selection activeCell="B4" sqref="B4"/>
    </sheetView>
  </sheetViews>
  <sheetFormatPr defaultColWidth="8.85546875" defaultRowHeight="15" outlineLevelRow="1"/>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36"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370"/>
      <c r="G1" s="56" t="s">
        <v>2928</v>
      </c>
    </row>
    <row r="2" spans="1:19">
      <c r="F2" s="371" t="s">
        <v>2929</v>
      </c>
      <c r="G2" s="56" t="s">
        <v>2930</v>
      </c>
    </row>
    <row r="3" spans="1:19">
      <c r="F3" s="372" t="s">
        <v>2931</v>
      </c>
      <c r="G3" s="56" t="s">
        <v>2932</v>
      </c>
    </row>
    <row r="4" spans="1:19" ht="15.75" thickBot="1">
      <c r="B4" s="181" t="s">
        <v>2933</v>
      </c>
      <c r="F4" s="373"/>
      <c r="G4" s="2" t="s">
        <v>2934</v>
      </c>
    </row>
    <row r="5" spans="1:19" ht="15.75" thickTop="1">
      <c r="A5" s="3" t="s">
        <v>2935</v>
      </c>
      <c r="B5" s="4" t="str">
        <f>'Area Calculations'!B4</f>
        <v>Atlantic Fields Club Core / Dock Bar / Spa Pods / Water Features</v>
      </c>
      <c r="C5" s="5"/>
      <c r="D5" s="166"/>
      <c r="E5" s="171"/>
      <c r="F5" s="374"/>
      <c r="G5" s="6" t="s">
        <v>2936</v>
      </c>
      <c r="H5" s="837" t="s">
        <v>4608</v>
      </c>
      <c r="I5" s="838"/>
      <c r="J5" s="832" t="s">
        <v>4609</v>
      </c>
      <c r="K5" s="833"/>
      <c r="L5" s="837"/>
      <c r="M5" s="838"/>
      <c r="N5" s="841"/>
      <c r="O5" s="842"/>
      <c r="P5" s="841"/>
      <c r="Q5" s="842"/>
      <c r="R5" s="841"/>
      <c r="S5" s="842"/>
    </row>
    <row r="6" spans="1:19">
      <c r="A6" s="1564" t="s">
        <v>2938</v>
      </c>
      <c r="B6" s="1601" t="s">
        <v>2562</v>
      </c>
      <c r="C6" s="1566"/>
      <c r="D6" s="1489"/>
      <c r="E6" s="1567"/>
      <c r="F6" s="1490"/>
      <c r="G6" s="657" t="s">
        <v>2939</v>
      </c>
      <c r="H6" s="1568" t="s">
        <v>4610</v>
      </c>
      <c r="I6" s="839"/>
      <c r="J6" s="1718" t="s">
        <v>4611</v>
      </c>
      <c r="K6" s="834"/>
      <c r="L6" s="1568"/>
      <c r="M6" s="839"/>
      <c r="N6" s="1569"/>
      <c r="O6" s="843"/>
      <c r="P6" s="1569"/>
      <c r="Q6" s="843"/>
      <c r="R6" s="1569"/>
      <c r="S6" s="843"/>
    </row>
    <row r="7" spans="1:19">
      <c r="A7" s="1564" t="s">
        <v>2940</v>
      </c>
      <c r="B7" s="1719" t="s">
        <v>2706</v>
      </c>
      <c r="C7" s="1566"/>
      <c r="D7" s="1489"/>
      <c r="E7" s="1567"/>
      <c r="F7" s="1490"/>
      <c r="G7" s="1571" t="s">
        <v>2941</v>
      </c>
      <c r="H7" s="1572" t="s">
        <v>4612</v>
      </c>
      <c r="I7" s="840"/>
      <c r="J7" s="1720" t="s">
        <v>4613</v>
      </c>
      <c r="K7" s="835"/>
      <c r="L7" s="1572"/>
      <c r="M7" s="840"/>
      <c r="N7" s="1573"/>
      <c r="O7" s="844"/>
      <c r="P7" s="1573"/>
      <c r="Q7" s="844"/>
      <c r="R7" s="1573"/>
      <c r="S7" s="844"/>
    </row>
    <row r="8" spans="1:19">
      <c r="A8" s="1564" t="s">
        <v>2942</v>
      </c>
      <c r="B8" s="1574"/>
      <c r="C8" s="1566"/>
      <c r="D8" s="1489"/>
      <c r="E8" s="1567"/>
      <c r="F8" s="1490"/>
      <c r="G8" s="1571" t="s">
        <v>2943</v>
      </c>
      <c r="H8" s="1575" t="s">
        <v>4614</v>
      </c>
      <c r="I8" s="836"/>
      <c r="J8" s="1575" t="s">
        <v>4615</v>
      </c>
      <c r="K8" s="836"/>
      <c r="L8" s="1575"/>
      <c r="M8" s="836"/>
      <c r="N8" s="1576"/>
      <c r="O8" s="845"/>
      <c r="P8" s="1576"/>
      <c r="Q8" s="845"/>
      <c r="R8" s="1576"/>
      <c r="S8" s="845"/>
    </row>
    <row r="9" spans="1:19" ht="15.75" thickBot="1">
      <c r="A9" s="1577"/>
      <c r="B9" s="1578"/>
      <c r="C9" s="616"/>
      <c r="D9" s="621"/>
      <c r="E9" s="622"/>
      <c r="F9" s="1721"/>
      <c r="G9" s="1579" t="s">
        <v>2944</v>
      </c>
      <c r="H9" s="1582">
        <f>I$168</f>
        <v>2084242.5</v>
      </c>
      <c r="I9" s="1583"/>
      <c r="J9" s="1582">
        <f t="shared" ref="J9" si="0">K$168</f>
        <v>2044381</v>
      </c>
      <c r="K9" s="1583"/>
      <c r="L9" s="1580">
        <f t="shared" ref="L9" si="1">M$168</f>
        <v>0</v>
      </c>
      <c r="M9" s="1581"/>
      <c r="N9" s="1582">
        <f t="shared" ref="N9" si="2">O$168</f>
        <v>0</v>
      </c>
      <c r="O9" s="1583"/>
      <c r="P9" s="1582">
        <f t="shared" ref="P9" si="3">Q$168</f>
        <v>0</v>
      </c>
      <c r="Q9" s="1583"/>
      <c r="R9" s="1582">
        <f t="shared" ref="R9" si="4">S$168</f>
        <v>0</v>
      </c>
      <c r="S9" s="1583"/>
    </row>
    <row r="10" spans="1:19" s="175" customFormat="1" ht="31.5" thickTop="1" thickBot="1">
      <c r="A10" s="160" t="s">
        <v>2945</v>
      </c>
      <c r="B10" s="172"/>
      <c r="C10" s="173" t="s">
        <v>2946</v>
      </c>
      <c r="D10" s="167" t="s">
        <v>2947</v>
      </c>
      <c r="E10" s="173" t="s">
        <v>2948</v>
      </c>
      <c r="F10" s="375"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hidden="1" thickTop="1" thickBot="1">
      <c r="A11" s="1617"/>
      <c r="B11" s="1618" t="s">
        <v>2953</v>
      </c>
      <c r="C11" s="659"/>
      <c r="D11" s="1489"/>
      <c r="E11" s="1567"/>
      <c r="F11" s="1490"/>
      <c r="G11" s="660"/>
      <c r="H11" s="1584"/>
      <c r="I11" s="182"/>
      <c r="J11" s="1584"/>
      <c r="K11" s="1620"/>
      <c r="L11" s="1584"/>
      <c r="M11" s="1619"/>
      <c r="N11" s="1584"/>
      <c r="O11" s="1620"/>
      <c r="P11" s="1584"/>
      <c r="Q11" s="1620"/>
      <c r="R11" s="1584"/>
      <c r="S11" s="1620"/>
    </row>
    <row r="12" spans="1:19" hidden="1">
      <c r="A12" s="1621"/>
      <c r="B12" s="1622" t="s">
        <v>2954</v>
      </c>
      <c r="C12" s="1566"/>
      <c r="D12" s="1489"/>
      <c r="E12" s="1567"/>
      <c r="F12" s="1490"/>
      <c r="G12" s="660"/>
      <c r="H12" s="1584"/>
      <c r="I12" s="1620"/>
      <c r="J12" s="1584"/>
      <c r="K12" s="1620"/>
      <c r="L12" s="1584"/>
      <c r="M12" s="1619"/>
      <c r="N12" s="1584"/>
      <c r="O12" s="1620"/>
      <c r="P12" s="1584"/>
      <c r="Q12" s="1620"/>
      <c r="R12" s="1584"/>
      <c r="S12" s="1620"/>
    </row>
    <row r="13" spans="1:19" hidden="1">
      <c r="A13" s="1585"/>
      <c r="B13" s="1624" t="s">
        <v>2955</v>
      </c>
      <c r="C13" s="1566"/>
      <c r="D13" s="1489"/>
      <c r="E13" s="1567"/>
      <c r="F13" s="1490"/>
      <c r="G13" s="660"/>
      <c r="H13" s="1584"/>
      <c r="I13" s="1620"/>
      <c r="J13" s="1584"/>
      <c r="K13" s="1620"/>
      <c r="L13" s="1584"/>
      <c r="M13" s="1619"/>
      <c r="N13" s="1584"/>
      <c r="O13" s="1620"/>
      <c r="P13" s="1584"/>
      <c r="Q13" s="1620"/>
      <c r="R13" s="1584"/>
      <c r="S13" s="1620"/>
    </row>
    <row r="14" spans="1:19" hidden="1">
      <c r="A14" s="1585"/>
      <c r="B14" s="1625" t="s">
        <v>2956</v>
      </c>
      <c r="C14" s="1566"/>
      <c r="D14" s="1489"/>
      <c r="E14" s="1567"/>
      <c r="F14" s="1490"/>
      <c r="G14" s="660"/>
      <c r="H14" s="1584"/>
      <c r="I14" s="1620"/>
      <c r="J14" s="1584"/>
      <c r="K14" s="1620"/>
      <c r="L14" s="1584"/>
      <c r="M14" s="1619"/>
      <c r="N14" s="1584"/>
      <c r="O14" s="1620"/>
      <c r="P14" s="1584"/>
      <c r="Q14" s="1620"/>
      <c r="R14" s="1584"/>
      <c r="S14" s="1620"/>
    </row>
    <row r="15" spans="1:19" hidden="1">
      <c r="A15" s="1585"/>
      <c r="B15" s="1625" t="s">
        <v>2957</v>
      </c>
      <c r="C15" s="1566"/>
      <c r="D15" s="1489"/>
      <c r="E15" s="1567"/>
      <c r="F15" s="1490"/>
      <c r="G15" s="660"/>
      <c r="H15" s="1584"/>
      <c r="I15" s="1619"/>
      <c r="J15" s="1584"/>
      <c r="K15" s="1619"/>
      <c r="L15" s="1584"/>
      <c r="M15" s="1619"/>
      <c r="N15" s="1584"/>
      <c r="O15" s="1619"/>
      <c r="P15" s="1584"/>
      <c r="Q15" s="1619"/>
      <c r="R15" s="1584"/>
      <c r="S15" s="1619"/>
    </row>
    <row r="16" spans="1:19" hidden="1">
      <c r="A16" s="1585"/>
      <c r="B16" s="1625" t="s">
        <v>2958</v>
      </c>
      <c r="C16" s="1566"/>
      <c r="D16" s="1489"/>
      <c r="E16" s="1567"/>
      <c r="F16" s="1490"/>
      <c r="G16" s="660"/>
      <c r="H16" s="1584"/>
      <c r="I16" s="1620"/>
      <c r="J16" s="1584"/>
      <c r="K16" s="1620"/>
      <c r="L16" s="1584"/>
      <c r="M16" s="1619"/>
      <c r="N16" s="1584"/>
      <c r="O16" s="1620"/>
      <c r="P16" s="1584"/>
      <c r="Q16" s="1620"/>
      <c r="R16" s="1584"/>
      <c r="S16" s="1620"/>
    </row>
    <row r="17" spans="1:19" hidden="1">
      <c r="A17" s="1585"/>
      <c r="B17" s="1625" t="s">
        <v>2959</v>
      </c>
      <c r="C17" s="1566"/>
      <c r="D17" s="1489"/>
      <c r="E17" s="1567"/>
      <c r="F17" s="1490"/>
      <c r="G17" s="660"/>
      <c r="H17" s="1584"/>
      <c r="I17" s="1620"/>
      <c r="J17" s="1584"/>
      <c r="K17" s="1620"/>
      <c r="L17" s="1584"/>
      <c r="M17" s="1619"/>
      <c r="N17" s="1584"/>
      <c r="O17" s="1620"/>
      <c r="P17" s="1584"/>
      <c r="Q17" s="1620"/>
      <c r="R17" s="1584"/>
      <c r="S17" s="1620"/>
    </row>
    <row r="18" spans="1:19" hidden="1">
      <c r="A18" s="1585"/>
      <c r="B18" s="1627" t="s">
        <v>2960</v>
      </c>
      <c r="C18" s="1566"/>
      <c r="D18" s="1489"/>
      <c r="E18" s="1567"/>
      <c r="F18" s="1490"/>
      <c r="G18" s="660"/>
      <c r="H18" s="1584"/>
      <c r="I18" s="1620"/>
      <c r="J18" s="1584"/>
      <c r="K18" s="1620"/>
      <c r="L18" s="1584"/>
      <c r="M18" s="1619"/>
      <c r="N18" s="1584"/>
      <c r="O18" s="1620"/>
      <c r="P18" s="1584"/>
      <c r="Q18" s="1620"/>
      <c r="R18" s="1584"/>
      <c r="S18" s="1620"/>
    </row>
    <row r="19" spans="1:19" hidden="1">
      <c r="A19" s="1585"/>
      <c r="B19" s="1628" t="s">
        <v>2961</v>
      </c>
      <c r="C19" s="1586"/>
      <c r="D19" s="1587"/>
      <c r="E19" s="1588"/>
      <c r="F19" s="1722"/>
      <c r="G19" s="661"/>
      <c r="H19" s="1590"/>
      <c r="I19" s="1630"/>
      <c r="J19" s="1590"/>
      <c r="K19" s="1630"/>
      <c r="L19" s="1590"/>
      <c r="M19" s="1629"/>
      <c r="N19" s="1590"/>
      <c r="O19" s="1630"/>
      <c r="P19" s="1590"/>
      <c r="Q19" s="1630"/>
      <c r="R19" s="1590"/>
      <c r="S19" s="1630"/>
    </row>
    <row r="20" spans="1:19" ht="15.75" thickTop="1">
      <c r="A20" s="1585"/>
      <c r="B20" s="1715"/>
      <c r="C20" s="1566"/>
      <c r="D20" s="1489"/>
      <c r="E20" s="1567"/>
      <c r="F20" s="1490"/>
      <c r="G20" s="660"/>
      <c r="H20" s="1584"/>
      <c r="I20" s="1633"/>
      <c r="J20" s="1584"/>
      <c r="K20" s="1634"/>
      <c r="L20" s="1584"/>
      <c r="M20" s="1633"/>
      <c r="N20" s="1584"/>
      <c r="O20" s="1633"/>
      <c r="P20" s="1584"/>
      <c r="Q20" s="1633"/>
      <c r="R20" s="1584"/>
      <c r="S20" s="1633"/>
    </row>
    <row r="21" spans="1:19">
      <c r="A21" s="1585"/>
      <c r="B21" s="1715" t="s">
        <v>4616</v>
      </c>
      <c r="C21" s="1566"/>
      <c r="D21" s="1489"/>
      <c r="E21" s="1567"/>
      <c r="F21" s="1490"/>
      <c r="G21" s="660"/>
      <c r="H21" s="1584"/>
      <c r="I21" s="1633"/>
      <c r="J21" s="1584"/>
      <c r="K21" s="1634"/>
      <c r="L21" s="1584"/>
      <c r="M21" s="1633"/>
      <c r="N21" s="1584"/>
      <c r="O21" s="1633"/>
      <c r="P21" s="1584"/>
      <c r="Q21" s="1633"/>
      <c r="R21" s="1584"/>
      <c r="S21" s="1633"/>
    </row>
    <row r="22" spans="1:19">
      <c r="A22" s="1585"/>
      <c r="B22" s="1723" t="s">
        <v>4617</v>
      </c>
      <c r="C22" s="1566"/>
      <c r="D22" s="1489"/>
      <c r="E22" s="1567"/>
      <c r="F22" s="1490"/>
      <c r="G22" s="660"/>
      <c r="H22" s="1584"/>
      <c r="I22" s="1633"/>
      <c r="J22" s="1584"/>
      <c r="K22" s="1634"/>
      <c r="L22" s="1584"/>
      <c r="M22" s="1633"/>
      <c r="N22" s="1584"/>
      <c r="O22" s="1633"/>
      <c r="P22" s="1584"/>
      <c r="Q22" s="1633"/>
      <c r="R22" s="1584"/>
      <c r="S22" s="1633"/>
    </row>
    <row r="23" spans="1:19">
      <c r="A23" s="1585"/>
      <c r="B23" s="1723" t="s">
        <v>4618</v>
      </c>
      <c r="C23" s="1566"/>
      <c r="D23" s="1489"/>
      <c r="E23" s="1567"/>
      <c r="F23" s="1490"/>
      <c r="G23" s="660"/>
      <c r="H23" s="1584"/>
      <c r="I23" s="1633"/>
      <c r="J23" s="1584"/>
      <c r="K23" s="1634"/>
      <c r="L23" s="1584"/>
      <c r="M23" s="1633"/>
      <c r="N23" s="1584"/>
      <c r="O23" s="1633"/>
      <c r="P23" s="1584"/>
      <c r="Q23" s="1633"/>
      <c r="R23" s="1584"/>
      <c r="S23" s="1633"/>
    </row>
    <row r="24" spans="1:19">
      <c r="A24" s="1585"/>
      <c r="B24" s="1724" t="s">
        <v>4619</v>
      </c>
      <c r="C24" s="1566"/>
      <c r="D24" s="1489"/>
      <c r="E24" s="1567"/>
      <c r="F24" s="1490"/>
      <c r="G24" s="660"/>
      <c r="H24" s="1584"/>
      <c r="I24" s="1633"/>
      <c r="J24" s="1584"/>
      <c r="K24" s="1634"/>
      <c r="L24" s="1584"/>
      <c r="M24" s="1633"/>
      <c r="N24" s="1584"/>
      <c r="O24" s="1633"/>
      <c r="P24" s="1584"/>
      <c r="Q24" s="1633"/>
      <c r="R24" s="1584"/>
      <c r="S24" s="1633"/>
    </row>
    <row r="25" spans="1:19">
      <c r="A25" s="1585"/>
      <c r="B25" s="1724" t="s">
        <v>4620</v>
      </c>
      <c r="C25" s="1566"/>
      <c r="D25" s="1489"/>
      <c r="E25" s="1567"/>
      <c r="F25" s="1490"/>
      <c r="G25" s="660"/>
      <c r="H25" s="1584"/>
      <c r="I25" s="1633"/>
      <c r="J25" s="1584"/>
      <c r="K25" s="1634"/>
      <c r="L25" s="1584"/>
      <c r="M25" s="1633"/>
      <c r="N25" s="1584"/>
      <c r="O25" s="1633"/>
      <c r="P25" s="1584"/>
      <c r="Q25" s="1633"/>
      <c r="R25" s="1584"/>
      <c r="S25" s="1633"/>
    </row>
    <row r="26" spans="1:19">
      <c r="A26" s="1585"/>
      <c r="B26" s="1725" t="s">
        <v>4621</v>
      </c>
      <c r="C26" s="1566"/>
      <c r="D26" s="1489"/>
      <c r="E26" s="1567"/>
      <c r="F26" s="1490"/>
      <c r="G26" s="660"/>
      <c r="H26" s="1584"/>
      <c r="I26" s="1633"/>
      <c r="J26" s="1584"/>
      <c r="K26" s="1634"/>
      <c r="L26" s="1584"/>
      <c r="M26" s="1633"/>
      <c r="N26" s="1584"/>
      <c r="O26" s="1633"/>
      <c r="P26" s="1584"/>
      <c r="Q26" s="1633"/>
      <c r="R26" s="1584"/>
      <c r="S26" s="1633"/>
    </row>
    <row r="27" spans="1:19">
      <c r="A27" s="1585"/>
      <c r="B27" s="1724" t="s">
        <v>4622</v>
      </c>
      <c r="C27" s="1566"/>
      <c r="D27" s="1489"/>
      <c r="E27" s="1567"/>
      <c r="F27" s="1490"/>
      <c r="G27" s="660"/>
      <c r="H27" s="1584"/>
      <c r="I27" s="1633"/>
      <c r="J27" s="1584"/>
      <c r="K27" s="1634"/>
      <c r="L27" s="1584"/>
      <c r="M27" s="1633"/>
      <c r="N27" s="1584"/>
      <c r="O27" s="1633"/>
      <c r="P27" s="1584"/>
      <c r="Q27" s="1633"/>
      <c r="R27" s="1584"/>
      <c r="S27" s="1633"/>
    </row>
    <row r="28" spans="1:19">
      <c r="A28" s="1585"/>
      <c r="B28" s="1724" t="s">
        <v>4620</v>
      </c>
      <c r="C28" s="1566"/>
      <c r="D28" s="1489"/>
      <c r="E28" s="1567"/>
      <c r="F28" s="1490"/>
      <c r="G28" s="660"/>
      <c r="H28" s="1584"/>
      <c r="I28" s="1633"/>
      <c r="J28" s="1584"/>
      <c r="K28" s="1634"/>
      <c r="L28" s="1584"/>
      <c r="M28" s="1633"/>
      <c r="N28" s="1584"/>
      <c r="O28" s="1633"/>
      <c r="P28" s="1584"/>
      <c r="Q28" s="1633"/>
      <c r="R28" s="1584"/>
      <c r="S28" s="1633"/>
    </row>
    <row r="29" spans="1:19">
      <c r="A29" s="1585"/>
      <c r="B29" s="1723" t="s">
        <v>4623</v>
      </c>
      <c r="C29" s="1566"/>
      <c r="D29" s="1489"/>
      <c r="E29" s="1567"/>
      <c r="F29" s="1490"/>
      <c r="G29" s="660"/>
      <c r="H29" s="1584"/>
      <c r="I29" s="1633"/>
      <c r="J29" s="1584"/>
      <c r="K29" s="1634"/>
      <c r="L29" s="1584"/>
      <c r="M29" s="1633"/>
      <c r="N29" s="1584"/>
      <c r="O29" s="1633"/>
      <c r="P29" s="1584"/>
      <c r="Q29" s="1633"/>
      <c r="R29" s="1584"/>
      <c r="S29" s="1633"/>
    </row>
    <row r="30" spans="1:19">
      <c r="A30" s="1585"/>
      <c r="B30" s="1724" t="s">
        <v>4624</v>
      </c>
      <c r="C30" s="1566"/>
      <c r="D30" s="1489"/>
      <c r="E30" s="1567"/>
      <c r="F30" s="1490"/>
      <c r="G30" s="660"/>
      <c r="H30" s="1584"/>
      <c r="I30" s="1633"/>
      <c r="J30" s="1584"/>
      <c r="K30" s="1634"/>
      <c r="L30" s="1584"/>
      <c r="M30" s="1633"/>
      <c r="N30" s="1584"/>
      <c r="O30" s="1633"/>
      <c r="P30" s="1584"/>
      <c r="Q30" s="1633"/>
      <c r="R30" s="1584"/>
      <c r="S30" s="1633"/>
    </row>
    <row r="31" spans="1:19">
      <c r="A31" s="1585"/>
      <c r="B31" s="1724" t="s">
        <v>4625</v>
      </c>
      <c r="C31" s="1566"/>
      <c r="D31" s="1489"/>
      <c r="E31" s="1567"/>
      <c r="F31" s="1490"/>
      <c r="G31" s="660"/>
      <c r="H31" s="1584"/>
      <c r="I31" s="1633"/>
      <c r="J31" s="1584"/>
      <c r="K31" s="1634"/>
      <c r="L31" s="1584"/>
      <c r="M31" s="1633"/>
      <c r="N31" s="1584"/>
      <c r="O31" s="1633"/>
      <c r="P31" s="1584"/>
      <c r="Q31" s="1633"/>
      <c r="R31" s="1584"/>
      <c r="S31" s="1633"/>
    </row>
    <row r="32" spans="1:19">
      <c r="A32" s="1585"/>
      <c r="B32" s="1724" t="s">
        <v>4620</v>
      </c>
      <c r="C32" s="1566"/>
      <c r="D32" s="1489"/>
      <c r="E32" s="1567"/>
      <c r="F32" s="1490"/>
      <c r="G32" s="660"/>
      <c r="H32" s="1584"/>
      <c r="I32" s="1633"/>
      <c r="J32" s="1584"/>
      <c r="K32" s="1634"/>
      <c r="L32" s="1584"/>
      <c r="M32" s="1633"/>
      <c r="N32" s="1584"/>
      <c r="O32" s="1633"/>
      <c r="P32" s="1584"/>
      <c r="Q32" s="1633"/>
      <c r="R32" s="1584"/>
      <c r="S32" s="1633"/>
    </row>
    <row r="33" spans="1:19">
      <c r="A33" s="1585"/>
      <c r="B33" s="1723" t="s">
        <v>4626</v>
      </c>
      <c r="C33" s="1566"/>
      <c r="D33" s="1489"/>
      <c r="E33" s="1567"/>
      <c r="F33" s="1490"/>
      <c r="G33" s="660"/>
      <c r="H33" s="1584"/>
      <c r="I33" s="1633"/>
      <c r="J33" s="1584"/>
      <c r="K33" s="1634"/>
      <c r="L33" s="1584"/>
      <c r="M33" s="1633"/>
      <c r="N33" s="1584"/>
      <c r="O33" s="1633"/>
      <c r="P33" s="1584"/>
      <c r="Q33" s="1633"/>
      <c r="R33" s="1584"/>
      <c r="S33" s="1633"/>
    </row>
    <row r="34" spans="1:19">
      <c r="A34" s="1585"/>
      <c r="B34" s="1726" t="s">
        <v>4627</v>
      </c>
      <c r="C34" s="1566"/>
      <c r="D34" s="1489"/>
      <c r="E34" s="1567"/>
      <c r="F34" s="1490"/>
      <c r="G34" s="660"/>
      <c r="H34" s="1584"/>
      <c r="I34" s="1633"/>
      <c r="J34" s="1584"/>
      <c r="K34" s="1634"/>
      <c r="L34" s="1584"/>
      <c r="M34" s="1633"/>
      <c r="N34" s="1584"/>
      <c r="O34" s="1633"/>
      <c r="P34" s="1584"/>
      <c r="Q34" s="1633"/>
      <c r="R34" s="1584"/>
      <c r="S34" s="1633"/>
    </row>
    <row r="35" spans="1:19">
      <c r="A35" s="1585"/>
      <c r="B35" s="1726" t="s">
        <v>4628</v>
      </c>
      <c r="C35" s="1566"/>
      <c r="D35" s="1489"/>
      <c r="E35" s="1567"/>
      <c r="F35" s="1490"/>
      <c r="G35" s="660"/>
      <c r="H35" s="1584"/>
      <c r="I35" s="1633"/>
      <c r="J35" s="1584"/>
      <c r="K35" s="1634"/>
      <c r="L35" s="1584"/>
      <c r="M35" s="1633"/>
      <c r="N35" s="1584"/>
      <c r="O35" s="1633"/>
      <c r="P35" s="1584"/>
      <c r="Q35" s="1633"/>
      <c r="R35" s="1584"/>
      <c r="S35" s="1633"/>
    </row>
    <row r="36" spans="1:19">
      <c r="A36" s="1585"/>
      <c r="B36" s="1727" t="s">
        <v>4629</v>
      </c>
      <c r="C36" s="1566"/>
      <c r="D36" s="1489"/>
      <c r="E36" s="1567"/>
      <c r="F36" s="1490"/>
      <c r="G36" s="660"/>
      <c r="H36" s="1584"/>
      <c r="I36" s="1633"/>
      <c r="J36" s="1584"/>
      <c r="K36" s="1634"/>
      <c r="L36" s="1584"/>
      <c r="M36" s="1633"/>
      <c r="N36" s="1584"/>
      <c r="O36" s="1633"/>
      <c r="P36" s="1584"/>
      <c r="Q36" s="1633"/>
      <c r="R36" s="1584"/>
      <c r="S36" s="1633"/>
    </row>
    <row r="37" spans="1:19">
      <c r="A37" s="1585"/>
      <c r="B37" s="1726" t="s">
        <v>4630</v>
      </c>
      <c r="C37" s="1566"/>
      <c r="D37" s="1489"/>
      <c r="E37" s="1567"/>
      <c r="F37" s="1490"/>
      <c r="G37" s="660"/>
      <c r="H37" s="1584"/>
      <c r="I37" s="1633"/>
      <c r="J37" s="1584"/>
      <c r="K37" s="1634"/>
      <c r="L37" s="1584"/>
      <c r="M37" s="1633"/>
      <c r="N37" s="1584"/>
      <c r="O37" s="1633"/>
      <c r="P37" s="1584"/>
      <c r="Q37" s="1633"/>
      <c r="R37" s="1584"/>
      <c r="S37" s="1633"/>
    </row>
    <row r="38" spans="1:19">
      <c r="A38" s="1585"/>
      <c r="B38" s="1727" t="s">
        <v>4631</v>
      </c>
      <c r="C38" s="1566"/>
      <c r="D38" s="1489"/>
      <c r="E38" s="1567"/>
      <c r="F38" s="1490"/>
      <c r="G38" s="660"/>
      <c r="H38" s="1584"/>
      <c r="I38" s="1633"/>
      <c r="J38" s="1584"/>
      <c r="K38" s="1634"/>
      <c r="L38" s="1584"/>
      <c r="M38" s="1633"/>
      <c r="N38" s="1584"/>
      <c r="O38" s="1633"/>
      <c r="P38" s="1584"/>
      <c r="Q38" s="1633"/>
      <c r="R38" s="1584"/>
      <c r="S38" s="1633"/>
    </row>
    <row r="39" spans="1:19">
      <c r="A39" s="1585"/>
      <c r="B39" s="1726" t="s">
        <v>4630</v>
      </c>
      <c r="C39" s="1566"/>
      <c r="D39" s="1489"/>
      <c r="E39" s="1567"/>
      <c r="F39" s="1490"/>
      <c r="G39" s="660"/>
      <c r="H39" s="1584"/>
      <c r="I39" s="1633"/>
      <c r="J39" s="1584"/>
      <c r="K39" s="1634"/>
      <c r="L39" s="1584"/>
      <c r="M39" s="1633"/>
      <c r="N39" s="1584"/>
      <c r="O39" s="1633"/>
      <c r="P39" s="1584"/>
      <c r="Q39" s="1633"/>
      <c r="R39" s="1584"/>
      <c r="S39" s="1633"/>
    </row>
    <row r="40" spans="1:19">
      <c r="A40" s="1585"/>
      <c r="B40" s="1727" t="s">
        <v>4632</v>
      </c>
      <c r="C40" s="1566"/>
      <c r="D40" s="1489"/>
      <c r="E40" s="1567"/>
      <c r="F40" s="1490"/>
      <c r="G40" s="660"/>
      <c r="H40" s="1584"/>
      <c r="I40" s="1633"/>
      <c r="J40" s="1584"/>
      <c r="K40" s="1634"/>
      <c r="L40" s="1584"/>
      <c r="M40" s="1633"/>
      <c r="N40" s="1584"/>
      <c r="O40" s="1633"/>
      <c r="P40" s="1584"/>
      <c r="Q40" s="1633"/>
      <c r="R40" s="1584"/>
      <c r="S40" s="1633"/>
    </row>
    <row r="41" spans="1:19">
      <c r="A41" s="1585"/>
      <c r="B41" s="1726" t="s">
        <v>4633</v>
      </c>
      <c r="C41" s="1566"/>
      <c r="D41" s="1489"/>
      <c r="E41" s="1567"/>
      <c r="F41" s="1490"/>
      <c r="G41" s="660"/>
      <c r="H41" s="1584"/>
      <c r="I41" s="1633"/>
      <c r="J41" s="1584"/>
      <c r="K41" s="1634"/>
      <c r="L41" s="1584"/>
      <c r="M41" s="1633"/>
      <c r="N41" s="1584"/>
      <c r="O41" s="1633"/>
      <c r="P41" s="1584"/>
      <c r="Q41" s="1633"/>
      <c r="R41" s="1584"/>
      <c r="S41" s="1633"/>
    </row>
    <row r="42" spans="1:19">
      <c r="A42" s="1585"/>
      <c r="B42" s="1715"/>
      <c r="C42" s="1566"/>
      <c r="D42" s="1489"/>
      <c r="E42" s="1567"/>
      <c r="F42" s="1490"/>
      <c r="G42" s="660"/>
      <c r="H42" s="1584"/>
      <c r="I42" s="1633"/>
      <c r="J42" s="1584"/>
      <c r="K42" s="1634"/>
      <c r="L42" s="1584"/>
      <c r="M42" s="1633"/>
      <c r="N42" s="1584"/>
      <c r="O42" s="1633"/>
      <c r="P42" s="1584"/>
      <c r="Q42" s="1633"/>
      <c r="R42" s="1584"/>
      <c r="S42" s="1633"/>
    </row>
    <row r="43" spans="1:19">
      <c r="A43" s="1585"/>
      <c r="B43" s="1728" t="s">
        <v>2695</v>
      </c>
      <c r="C43" s="1566"/>
      <c r="D43" s="1489"/>
      <c r="E43" s="1567"/>
      <c r="F43" s="1490"/>
      <c r="G43" s="660"/>
      <c r="H43" s="1584"/>
      <c r="I43" s="1729">
        <f>SUBTOTAL(9,I44:I150)</f>
        <v>2045883.5</v>
      </c>
      <c r="J43" s="1584"/>
      <c r="K43" s="1729">
        <f>SUBTOTAL(9,K44:K162)</f>
        <v>2044381</v>
      </c>
      <c r="L43" s="1584"/>
      <c r="M43" s="1729">
        <f>SUBTOTAL(9,M44:M162)</f>
        <v>0</v>
      </c>
      <c r="N43" s="1584"/>
      <c r="O43" s="1729">
        <f>SUBTOTAL(9,O44:O162)</f>
        <v>0</v>
      </c>
      <c r="P43" s="1584"/>
      <c r="Q43" s="1729">
        <f>SUBTOTAL(9,Q44:Q162)</f>
        <v>0</v>
      </c>
      <c r="R43" s="1584"/>
      <c r="S43" s="1729">
        <f>SUBTOTAL(9,S44:S162)</f>
        <v>0</v>
      </c>
    </row>
    <row r="44" spans="1:19">
      <c r="A44" s="1585"/>
      <c r="B44" s="1715" t="s">
        <v>4616</v>
      </c>
      <c r="C44" s="1566"/>
      <c r="D44" s="1489"/>
      <c r="E44" s="1567"/>
      <c r="F44" s="1490"/>
      <c r="G44" s="662">
        <f t="shared" ref="G44:G87" si="5">ROUND(D44*F44,0)</f>
        <v>0</v>
      </c>
      <c r="H44" s="1584"/>
      <c r="I44" s="1633"/>
      <c r="J44" s="1584"/>
      <c r="K44" s="1634"/>
      <c r="L44" s="1584"/>
      <c r="M44" s="1633"/>
      <c r="N44" s="1584"/>
      <c r="O44" s="1633"/>
      <c r="P44" s="1584"/>
      <c r="Q44" s="1633"/>
      <c r="R44" s="1584"/>
      <c r="S44" s="1633"/>
    </row>
    <row r="45" spans="1:19">
      <c r="A45" s="1585"/>
      <c r="B45" s="1715" t="s">
        <v>4634</v>
      </c>
      <c r="C45" s="1566"/>
      <c r="D45" s="1489"/>
      <c r="E45" s="1567"/>
      <c r="F45" s="1490"/>
      <c r="G45" s="662">
        <f t="shared" si="5"/>
        <v>0</v>
      </c>
      <c r="H45" s="1584"/>
      <c r="I45" s="1633"/>
      <c r="J45" s="1584"/>
      <c r="K45" s="1634">
        <v>753363</v>
      </c>
      <c r="L45" s="1584"/>
      <c r="M45" s="1633"/>
      <c r="N45" s="1584"/>
      <c r="O45" s="1633"/>
      <c r="P45" s="1584"/>
      <c r="Q45" s="1633"/>
      <c r="R45" s="1584"/>
      <c r="S45" s="1633"/>
    </row>
    <row r="46" spans="1:19">
      <c r="A46" s="1585"/>
      <c r="B46" s="1723" t="s">
        <v>4635</v>
      </c>
      <c r="C46" s="1566"/>
      <c r="D46" s="1489"/>
      <c r="E46" s="1567"/>
      <c r="F46" s="1490"/>
      <c r="G46" s="662">
        <f t="shared" si="5"/>
        <v>0</v>
      </c>
      <c r="H46" s="1584"/>
      <c r="I46" s="1633"/>
      <c r="J46" s="1584" t="s">
        <v>2931</v>
      </c>
      <c r="K46" s="1634"/>
      <c r="L46" s="1584"/>
      <c r="M46" s="1633"/>
      <c r="N46" s="1584"/>
      <c r="O46" s="1633"/>
      <c r="P46" s="1584"/>
      <c r="Q46" s="1633"/>
      <c r="R46" s="1584"/>
      <c r="S46" s="1633"/>
    </row>
    <row r="47" spans="1:19">
      <c r="A47" s="1585"/>
      <c r="B47" s="1730" t="s">
        <v>3029</v>
      </c>
      <c r="C47" s="1566"/>
      <c r="D47" s="1489">
        <f>SUM(D48:D60)</f>
        <v>24009</v>
      </c>
      <c r="E47" s="1567" t="s">
        <v>2845</v>
      </c>
      <c r="F47" s="1490">
        <f>I47/D47</f>
        <v>10.496063976008996</v>
      </c>
      <c r="G47" s="662">
        <f t="shared" si="5"/>
        <v>252000</v>
      </c>
      <c r="H47" s="1584"/>
      <c r="I47" s="1633">
        <v>252000</v>
      </c>
      <c r="J47" s="1584"/>
      <c r="K47" s="1634"/>
      <c r="L47" s="1584"/>
      <c r="M47" s="1633"/>
      <c r="N47" s="1584"/>
      <c r="O47" s="1633"/>
      <c r="P47" s="1584"/>
      <c r="Q47" s="1633"/>
      <c r="R47" s="1584"/>
      <c r="S47" s="1633"/>
    </row>
    <row r="48" spans="1:19" hidden="1" outlineLevel="1">
      <c r="A48" s="1585"/>
      <c r="B48" s="1731" t="s">
        <v>3054</v>
      </c>
      <c r="C48" s="1566"/>
      <c r="D48" s="1489">
        <v>15277</v>
      </c>
      <c r="E48" s="1567" t="s">
        <v>2845</v>
      </c>
      <c r="F48" s="1490"/>
      <c r="G48" s="662">
        <f t="shared" si="5"/>
        <v>0</v>
      </c>
      <c r="H48" s="1584"/>
      <c r="I48" s="1633"/>
      <c r="J48" s="1584"/>
      <c r="K48" s="1634"/>
      <c r="L48" s="1584"/>
      <c r="M48" s="1633"/>
      <c r="N48" s="1584"/>
      <c r="O48" s="1633"/>
      <c r="P48" s="1584"/>
      <c r="Q48" s="1633"/>
      <c r="R48" s="1584"/>
      <c r="S48" s="1633"/>
    </row>
    <row r="49" spans="1:19" hidden="1" outlineLevel="1">
      <c r="A49" s="1585"/>
      <c r="B49" s="1732" t="s">
        <v>3071</v>
      </c>
      <c r="C49" s="1566"/>
      <c r="D49" s="1489">
        <v>2223</v>
      </c>
      <c r="E49" s="1567" t="s">
        <v>2845</v>
      </c>
      <c r="F49" s="1490"/>
      <c r="G49" s="662">
        <f t="shared" si="5"/>
        <v>0</v>
      </c>
      <c r="H49" s="1584"/>
      <c r="I49" s="1633"/>
      <c r="J49" s="1584"/>
      <c r="K49" s="1634"/>
      <c r="L49" s="1584"/>
      <c r="M49" s="1633"/>
      <c r="N49" s="1584"/>
      <c r="O49" s="1633"/>
      <c r="P49" s="1584"/>
      <c r="Q49" s="1633"/>
      <c r="R49" s="1584"/>
      <c r="S49" s="1633"/>
    </row>
    <row r="50" spans="1:19" hidden="1" outlineLevel="1">
      <c r="A50" s="1585"/>
      <c r="B50" s="1733" t="s">
        <v>3058</v>
      </c>
      <c r="C50" s="1566"/>
      <c r="D50" s="1489">
        <v>1151</v>
      </c>
      <c r="E50" s="1567" t="s">
        <v>2845</v>
      </c>
      <c r="F50" s="1490"/>
      <c r="G50" s="662">
        <f t="shared" si="5"/>
        <v>0</v>
      </c>
      <c r="H50" s="1584"/>
      <c r="I50" s="1633"/>
      <c r="J50" s="1584"/>
      <c r="K50" s="1634"/>
      <c r="L50" s="1584"/>
      <c r="M50" s="1633"/>
      <c r="N50" s="1584"/>
      <c r="O50" s="1633"/>
      <c r="P50" s="1584"/>
      <c r="Q50" s="1633"/>
      <c r="R50" s="1584"/>
      <c r="S50" s="1633"/>
    </row>
    <row r="51" spans="1:19" hidden="1" outlineLevel="1">
      <c r="A51" s="1585"/>
      <c r="B51" s="1732" t="s">
        <v>3055</v>
      </c>
      <c r="C51" s="1566"/>
      <c r="D51" s="1489">
        <v>738</v>
      </c>
      <c r="E51" s="1567" t="s">
        <v>2845</v>
      </c>
      <c r="F51" s="1490"/>
      <c r="G51" s="662">
        <f t="shared" si="5"/>
        <v>0</v>
      </c>
      <c r="H51" s="1584"/>
      <c r="I51" s="1633"/>
      <c r="J51" s="1584"/>
      <c r="K51" s="1634"/>
      <c r="L51" s="1584"/>
      <c r="M51" s="1633"/>
      <c r="N51" s="1584"/>
      <c r="O51" s="1633"/>
      <c r="P51" s="1584"/>
      <c r="Q51" s="1633"/>
      <c r="R51" s="1584"/>
      <c r="S51" s="1633"/>
    </row>
    <row r="52" spans="1:19" hidden="1" outlineLevel="1">
      <c r="A52" s="1585"/>
      <c r="B52" s="1732" t="s">
        <v>3057</v>
      </c>
      <c r="C52" s="1566"/>
      <c r="D52" s="1489">
        <v>2430</v>
      </c>
      <c r="E52" s="1567" t="s">
        <v>2845</v>
      </c>
      <c r="F52" s="1490"/>
      <c r="G52" s="662">
        <f t="shared" si="5"/>
        <v>0</v>
      </c>
      <c r="H52" s="1584"/>
      <c r="I52" s="1633"/>
      <c r="J52" s="1584"/>
      <c r="K52" s="1634"/>
      <c r="L52" s="1584"/>
      <c r="M52" s="1633"/>
      <c r="N52" s="1584"/>
      <c r="O52" s="1633"/>
      <c r="P52" s="1584"/>
      <c r="Q52" s="1633"/>
      <c r="R52" s="1584"/>
      <c r="S52" s="1633"/>
    </row>
    <row r="53" spans="1:19" hidden="1" outlineLevel="1">
      <c r="A53" s="1585"/>
      <c r="B53" s="1731" t="s">
        <v>3062</v>
      </c>
      <c r="C53" s="1566"/>
      <c r="D53" s="1523">
        <v>953</v>
      </c>
      <c r="E53" s="1567" t="s">
        <v>3112</v>
      </c>
      <c r="F53" s="1490"/>
      <c r="G53" s="662">
        <f t="shared" si="5"/>
        <v>0</v>
      </c>
      <c r="H53" s="1584"/>
      <c r="I53" s="1633"/>
      <c r="J53" s="1584"/>
      <c r="K53" s="1634"/>
      <c r="L53" s="1584"/>
      <c r="M53" s="1633"/>
      <c r="N53" s="1584"/>
      <c r="O53" s="1633"/>
      <c r="P53" s="1584"/>
      <c r="Q53" s="1633"/>
      <c r="R53" s="1584"/>
      <c r="S53" s="1633"/>
    </row>
    <row r="54" spans="1:19" hidden="1" outlineLevel="1">
      <c r="A54" s="1585"/>
      <c r="B54" s="1734" t="s">
        <v>3064</v>
      </c>
      <c r="C54" s="1566"/>
      <c r="D54" s="1523">
        <v>624</v>
      </c>
      <c r="E54" s="1567" t="s">
        <v>2845</v>
      </c>
      <c r="F54" s="1490"/>
      <c r="G54" s="662">
        <f t="shared" si="5"/>
        <v>0</v>
      </c>
      <c r="H54" s="1584"/>
      <c r="I54" s="1633"/>
      <c r="J54" s="1584"/>
      <c r="K54" s="1634"/>
      <c r="L54" s="1584"/>
      <c r="M54" s="1633"/>
      <c r="N54" s="1584"/>
      <c r="O54" s="1633"/>
      <c r="P54" s="1584"/>
      <c r="Q54" s="1633"/>
      <c r="R54" s="1584"/>
      <c r="S54" s="1633"/>
    </row>
    <row r="55" spans="1:19" hidden="1" outlineLevel="1">
      <c r="A55" s="1585"/>
      <c r="B55" s="1734" t="s">
        <v>3065</v>
      </c>
      <c r="C55" s="1566"/>
      <c r="D55" s="1523">
        <v>238</v>
      </c>
      <c r="E55" s="1567" t="s">
        <v>2845</v>
      </c>
      <c r="F55" s="1490"/>
      <c r="G55" s="662">
        <f t="shared" si="5"/>
        <v>0</v>
      </c>
      <c r="H55" s="1584"/>
      <c r="I55" s="1633"/>
      <c r="J55" s="1584"/>
      <c r="K55" s="1634"/>
      <c r="L55" s="1584"/>
      <c r="M55" s="1633"/>
      <c r="N55" s="1584"/>
      <c r="O55" s="1633"/>
      <c r="P55" s="1584"/>
      <c r="Q55" s="1633"/>
      <c r="R55" s="1584"/>
      <c r="S55" s="1633"/>
    </row>
    <row r="56" spans="1:19" hidden="1" outlineLevel="1">
      <c r="A56" s="1585"/>
      <c r="B56" s="1734" t="s">
        <v>3066</v>
      </c>
      <c r="C56" s="1566"/>
      <c r="D56" s="1523">
        <v>271</v>
      </c>
      <c r="E56" s="1567" t="s">
        <v>2845</v>
      </c>
      <c r="F56" s="1490"/>
      <c r="G56" s="662">
        <f t="shared" si="5"/>
        <v>0</v>
      </c>
      <c r="H56" s="1584"/>
      <c r="I56" s="1633"/>
      <c r="J56" s="1584"/>
      <c r="K56" s="1634"/>
      <c r="L56" s="1584"/>
      <c r="M56" s="1633"/>
      <c r="N56" s="1584"/>
      <c r="O56" s="1633"/>
      <c r="P56" s="1584"/>
      <c r="Q56" s="1633"/>
      <c r="R56" s="1584"/>
      <c r="S56" s="1633"/>
    </row>
    <row r="57" spans="1:19" hidden="1" outlineLevel="1">
      <c r="A57" s="1585"/>
      <c r="B57" s="1734" t="s">
        <v>3067</v>
      </c>
      <c r="C57" s="1566"/>
      <c r="D57" s="1523">
        <v>586</v>
      </c>
      <c r="E57" s="1567" t="s">
        <v>2845</v>
      </c>
      <c r="F57" s="1490"/>
      <c r="G57" s="662">
        <f t="shared" si="5"/>
        <v>0</v>
      </c>
      <c r="H57" s="1584"/>
      <c r="I57" s="1633"/>
      <c r="J57" s="1584"/>
      <c r="K57" s="1634"/>
      <c r="L57" s="1584"/>
      <c r="M57" s="1633"/>
      <c r="N57" s="1584"/>
      <c r="O57" s="1633"/>
      <c r="P57" s="1584"/>
      <c r="Q57" s="1633"/>
      <c r="R57" s="1584"/>
      <c r="S57" s="1633"/>
    </row>
    <row r="58" spans="1:19" hidden="1" outlineLevel="1">
      <c r="A58" s="1585"/>
      <c r="B58" s="1734" t="s">
        <v>3069</v>
      </c>
      <c r="C58" s="1566"/>
      <c r="D58" s="1523">
        <v>244</v>
      </c>
      <c r="E58" s="1567" t="s">
        <v>2845</v>
      </c>
      <c r="F58" s="1490"/>
      <c r="G58" s="662">
        <f t="shared" si="5"/>
        <v>0</v>
      </c>
      <c r="H58" s="1584"/>
      <c r="I58" s="1633"/>
      <c r="J58" s="1584"/>
      <c r="K58" s="1634"/>
      <c r="L58" s="1584"/>
      <c r="M58" s="1633"/>
      <c r="N58" s="1584"/>
      <c r="O58" s="1633"/>
      <c r="P58" s="1584"/>
      <c r="Q58" s="1633"/>
      <c r="R58" s="1584"/>
      <c r="S58" s="1633"/>
    </row>
    <row r="59" spans="1:19" hidden="1" outlineLevel="1">
      <c r="A59" s="1585"/>
      <c r="B59" s="1734" t="s">
        <v>4636</v>
      </c>
      <c r="C59" s="1566"/>
      <c r="D59" s="1523">
        <v>-581</v>
      </c>
      <c r="E59" s="1567" t="s">
        <v>2845</v>
      </c>
      <c r="F59" s="1490"/>
      <c r="G59" s="662">
        <f t="shared" ref="G59" si="6">ROUND(D59*F59,0)</f>
        <v>0</v>
      </c>
      <c r="H59" s="1584"/>
      <c r="I59" s="1633"/>
      <c r="J59" s="1584"/>
      <c r="K59" s="1634"/>
      <c r="L59" s="1584"/>
      <c r="M59" s="1633"/>
      <c r="N59" s="1584"/>
      <c r="O59" s="1633"/>
      <c r="P59" s="1584"/>
      <c r="Q59" s="1633"/>
      <c r="R59" s="1584"/>
      <c r="S59" s="1633"/>
    </row>
    <row r="60" spans="1:19" hidden="1" outlineLevel="1">
      <c r="A60" s="1585"/>
      <c r="B60" s="1734" t="s">
        <v>4637</v>
      </c>
      <c r="C60" s="1566"/>
      <c r="D60" s="1523">
        <f>-105+-40</f>
        <v>-145</v>
      </c>
      <c r="E60" s="1567" t="s">
        <v>2845</v>
      </c>
      <c r="F60" s="1490"/>
      <c r="G60" s="662">
        <f t="shared" ref="G60:G61" si="7">ROUND(D60*F60,0)</f>
        <v>0</v>
      </c>
      <c r="H60" s="1584"/>
      <c r="I60" s="1633"/>
      <c r="J60" s="1584"/>
      <c r="K60" s="1634"/>
      <c r="L60" s="1584"/>
      <c r="M60" s="1633"/>
      <c r="N60" s="1584"/>
      <c r="O60" s="1633"/>
      <c r="P60" s="1584"/>
      <c r="Q60" s="1633"/>
      <c r="R60" s="1584"/>
      <c r="S60" s="1633"/>
    </row>
    <row r="61" spans="1:19" collapsed="1">
      <c r="A61" s="1585"/>
      <c r="B61" s="1735" t="s">
        <v>3080</v>
      </c>
      <c r="C61" s="1736"/>
      <c r="D61" s="1737">
        <f>SUM(D62:D68)</f>
        <v>17549.91</v>
      </c>
      <c r="E61" s="1738" t="s">
        <v>2845</v>
      </c>
      <c r="F61" s="1490"/>
      <c r="G61" s="662">
        <f t="shared" si="7"/>
        <v>0</v>
      </c>
      <c r="H61" s="1584"/>
      <c r="I61" s="1633">
        <v>184275</v>
      </c>
      <c r="J61" s="1584"/>
      <c r="K61" s="1634"/>
      <c r="L61" s="1584"/>
      <c r="M61" s="1633"/>
      <c r="N61" s="1584"/>
      <c r="O61" s="1633"/>
      <c r="P61" s="1584"/>
      <c r="Q61" s="1633"/>
      <c r="R61" s="1584"/>
      <c r="S61" s="1633"/>
    </row>
    <row r="62" spans="1:19" hidden="1" outlineLevel="1">
      <c r="A62" s="1585"/>
      <c r="B62" s="1739" t="s">
        <v>3110</v>
      </c>
      <c r="C62" s="1566"/>
      <c r="D62" s="1489">
        <f>(7498*2)+(981*2)</f>
        <v>16958</v>
      </c>
      <c r="E62" s="1567" t="s">
        <v>2845</v>
      </c>
      <c r="F62" s="1490"/>
      <c r="G62" s="662">
        <f t="shared" ref="G62:G69" si="8">ROUND(D62*F62,0)</f>
        <v>0</v>
      </c>
      <c r="H62" s="1584"/>
      <c r="I62" s="1633"/>
      <c r="J62" s="1584"/>
      <c r="K62" s="1634"/>
      <c r="L62" s="1584"/>
      <c r="M62" s="1633"/>
      <c r="N62" s="1584"/>
      <c r="O62" s="1633"/>
      <c r="P62" s="1584"/>
      <c r="Q62" s="1633"/>
      <c r="R62" s="1584"/>
      <c r="S62" s="1633"/>
    </row>
    <row r="63" spans="1:19" hidden="1" outlineLevel="1">
      <c r="A63" s="1585"/>
      <c r="B63" s="1739" t="s">
        <v>3104</v>
      </c>
      <c r="C63" s="1566"/>
      <c r="D63" s="1489">
        <v>145</v>
      </c>
      <c r="E63" s="1567" t="s">
        <v>2845</v>
      </c>
      <c r="F63" s="1490"/>
      <c r="G63" s="662">
        <f t="shared" si="8"/>
        <v>0</v>
      </c>
      <c r="H63" s="1584"/>
      <c r="I63" s="1633"/>
      <c r="J63" s="1584"/>
      <c r="K63" s="1634"/>
      <c r="L63" s="1584"/>
      <c r="M63" s="1633"/>
      <c r="N63" s="1584"/>
      <c r="O63" s="1633"/>
      <c r="P63" s="1584"/>
      <c r="Q63" s="1633"/>
      <c r="R63" s="1584"/>
      <c r="S63" s="1633"/>
    </row>
    <row r="64" spans="1:19" hidden="1" outlineLevel="1">
      <c r="A64" s="1585"/>
      <c r="B64" s="1739" t="s">
        <v>3106</v>
      </c>
      <c r="C64" s="1566"/>
      <c r="D64" s="1489">
        <v>560</v>
      </c>
      <c r="E64" s="1567" t="s">
        <v>2845</v>
      </c>
      <c r="F64" s="1490"/>
      <c r="G64" s="662">
        <f t="shared" si="8"/>
        <v>0</v>
      </c>
      <c r="H64" s="1584"/>
      <c r="I64" s="1633"/>
      <c r="J64" s="1584"/>
      <c r="K64" s="1634"/>
      <c r="L64" s="1584"/>
      <c r="M64" s="1633"/>
      <c r="N64" s="1584"/>
      <c r="O64" s="1633"/>
      <c r="P64" s="1584"/>
      <c r="Q64" s="1633"/>
      <c r="R64" s="1584"/>
      <c r="S64" s="1633"/>
    </row>
    <row r="65" spans="1:19" hidden="1" outlineLevel="1">
      <c r="A65" s="1585"/>
      <c r="B65" s="1739" t="s">
        <v>3108</v>
      </c>
      <c r="C65" s="1566"/>
      <c r="D65" s="1489">
        <v>212</v>
      </c>
      <c r="E65" s="1567" t="s">
        <v>2845</v>
      </c>
      <c r="F65" s="1490"/>
      <c r="G65" s="662">
        <f t="shared" si="8"/>
        <v>0</v>
      </c>
      <c r="H65" s="1584"/>
      <c r="I65" s="1633"/>
      <c r="J65" s="1584"/>
      <c r="K65" s="1634"/>
      <c r="L65" s="1584"/>
      <c r="M65" s="1633"/>
      <c r="N65" s="1584"/>
      <c r="O65" s="1633"/>
      <c r="P65" s="1584"/>
      <c r="Q65" s="1633"/>
      <c r="R65" s="1584"/>
      <c r="S65" s="1633"/>
    </row>
    <row r="66" spans="1:19" hidden="1" outlineLevel="1">
      <c r="A66" s="1585"/>
      <c r="B66" s="1739" t="s">
        <v>3109</v>
      </c>
      <c r="C66" s="1566"/>
      <c r="D66" s="1489">
        <v>295</v>
      </c>
      <c r="E66" s="1567" t="s">
        <v>2845</v>
      </c>
      <c r="F66" s="1490"/>
      <c r="G66" s="662">
        <f t="shared" si="8"/>
        <v>0</v>
      </c>
      <c r="H66" s="1584"/>
      <c r="I66" s="1633"/>
      <c r="J66" s="1584"/>
      <c r="K66" s="1634"/>
      <c r="L66" s="1584"/>
      <c r="M66" s="1633"/>
      <c r="N66" s="1584"/>
      <c r="O66" s="1633"/>
      <c r="P66" s="1584"/>
      <c r="Q66" s="1633"/>
      <c r="R66" s="1584"/>
      <c r="S66" s="1633"/>
    </row>
    <row r="67" spans="1:19" hidden="1" outlineLevel="1">
      <c r="A67" s="1585"/>
      <c r="B67" s="1740" t="s">
        <v>4636</v>
      </c>
      <c r="C67" s="1566"/>
      <c r="D67" s="1737">
        <v>-602</v>
      </c>
      <c r="E67" s="1567" t="s">
        <v>2845</v>
      </c>
      <c r="F67" s="1490"/>
      <c r="G67" s="662">
        <f t="shared" si="8"/>
        <v>0</v>
      </c>
      <c r="H67" s="1584"/>
      <c r="I67" s="1633"/>
      <c r="J67" s="1584"/>
      <c r="K67" s="1634"/>
      <c r="L67" s="1584"/>
      <c r="M67" s="1633"/>
      <c r="N67" s="1584"/>
      <c r="O67" s="1633"/>
      <c r="P67" s="1584"/>
      <c r="Q67" s="1633"/>
      <c r="R67" s="1584"/>
      <c r="S67" s="1633"/>
    </row>
    <row r="68" spans="1:19" hidden="1" outlineLevel="1">
      <c r="A68" s="1585"/>
      <c r="B68" s="1740" t="s">
        <v>4637</v>
      </c>
      <c r="C68" s="1566"/>
      <c r="D68" s="1737">
        <f>-27*0.67</f>
        <v>-18.09</v>
      </c>
      <c r="E68" s="1567" t="s">
        <v>2845</v>
      </c>
      <c r="F68" s="1490"/>
      <c r="G68" s="662">
        <f t="shared" si="8"/>
        <v>0</v>
      </c>
      <c r="H68" s="1584"/>
      <c r="I68" s="1633"/>
      <c r="J68" s="1584"/>
      <c r="K68" s="1634"/>
      <c r="L68" s="1584"/>
      <c r="M68" s="1633"/>
      <c r="N68" s="1584"/>
      <c r="O68" s="1633"/>
      <c r="P68" s="1584"/>
      <c r="Q68" s="1633"/>
      <c r="R68" s="1584"/>
      <c r="S68" s="1633"/>
    </row>
    <row r="69" spans="1:19" collapsed="1">
      <c r="A69" s="1585"/>
      <c r="B69" s="1726" t="s">
        <v>3113</v>
      </c>
      <c r="C69" s="1566"/>
      <c r="D69" s="1523">
        <f>SUM(D70:D82)</f>
        <v>33380.614999999998</v>
      </c>
      <c r="E69" s="1567" t="s">
        <v>2845</v>
      </c>
      <c r="F69" s="1490"/>
      <c r="G69" s="662">
        <f t="shared" si="8"/>
        <v>0</v>
      </c>
      <c r="H69" s="1584"/>
      <c r="I69" s="1633">
        <v>350700</v>
      </c>
      <c r="J69" s="1584"/>
      <c r="K69" s="1634"/>
      <c r="L69" s="1584"/>
      <c r="M69" s="1633"/>
      <c r="N69" s="1584"/>
      <c r="O69" s="1633"/>
      <c r="P69" s="1584"/>
      <c r="Q69" s="1633"/>
      <c r="R69" s="1584"/>
      <c r="S69" s="1633"/>
    </row>
    <row r="70" spans="1:19" hidden="1" outlineLevel="1">
      <c r="A70" s="1585"/>
      <c r="B70" s="1739" t="s">
        <v>3147</v>
      </c>
      <c r="C70" s="1566"/>
      <c r="D70" s="1489">
        <v>19443</v>
      </c>
      <c r="E70" s="1567" t="s">
        <v>2845</v>
      </c>
      <c r="F70" s="1490"/>
      <c r="G70" s="662">
        <f t="shared" ref="G70:G82" si="9">ROUND(D70*F70,0)</f>
        <v>0</v>
      </c>
      <c r="H70" s="1584"/>
      <c r="I70" s="1633"/>
      <c r="J70" s="1584"/>
      <c r="K70" s="1634"/>
      <c r="L70" s="1584"/>
      <c r="M70" s="1633"/>
      <c r="N70" s="1584"/>
      <c r="O70" s="1633"/>
      <c r="P70" s="1584"/>
      <c r="Q70" s="1633"/>
      <c r="R70" s="1584"/>
      <c r="S70" s="1633"/>
    </row>
    <row r="71" spans="1:19" hidden="1" outlineLevel="1">
      <c r="A71" s="1585"/>
      <c r="B71" s="1739" t="s">
        <v>3160</v>
      </c>
      <c r="C71" s="1566"/>
      <c r="D71" s="1489">
        <f>(239*2)+(93*1.67)</f>
        <v>633.30999999999995</v>
      </c>
      <c r="E71" s="1567" t="s">
        <v>2845</v>
      </c>
      <c r="F71" s="1490"/>
      <c r="G71" s="662">
        <f t="shared" si="9"/>
        <v>0</v>
      </c>
      <c r="H71" s="1584"/>
      <c r="I71" s="1633"/>
      <c r="J71" s="1584"/>
      <c r="K71" s="1634"/>
      <c r="L71" s="1584"/>
      <c r="M71" s="1633"/>
      <c r="N71" s="1584"/>
      <c r="O71" s="1633"/>
      <c r="P71" s="1584"/>
      <c r="Q71" s="1633"/>
      <c r="R71" s="1584"/>
      <c r="S71" s="1633"/>
    </row>
    <row r="72" spans="1:19" hidden="1" outlineLevel="1">
      <c r="A72" s="1585"/>
      <c r="B72" s="1739" t="s">
        <v>3161</v>
      </c>
      <c r="C72" s="1566"/>
      <c r="D72" s="1489">
        <f>(1153*2)+(459*2)</f>
        <v>3224</v>
      </c>
      <c r="E72" s="1567" t="s">
        <v>2845</v>
      </c>
      <c r="F72" s="1490"/>
      <c r="G72" s="662">
        <f t="shared" si="9"/>
        <v>0</v>
      </c>
      <c r="H72" s="1584"/>
      <c r="I72" s="1633"/>
      <c r="J72" s="1584"/>
      <c r="K72" s="1634"/>
      <c r="L72" s="1584"/>
      <c r="M72" s="1633"/>
      <c r="N72" s="1584"/>
      <c r="O72" s="1633"/>
      <c r="P72" s="1584"/>
      <c r="Q72" s="1633"/>
      <c r="R72" s="1584"/>
      <c r="S72" s="1633"/>
    </row>
    <row r="73" spans="1:19" hidden="1" outlineLevel="1">
      <c r="A73" s="1585"/>
      <c r="B73" s="1739" t="s">
        <v>3149</v>
      </c>
      <c r="C73" s="1566"/>
      <c r="D73" s="1489">
        <v>495</v>
      </c>
      <c r="E73" s="1567" t="s">
        <v>2845</v>
      </c>
      <c r="F73" s="1490"/>
      <c r="G73" s="662">
        <f t="shared" si="9"/>
        <v>0</v>
      </c>
      <c r="H73" s="1584"/>
      <c r="I73" s="1633"/>
      <c r="J73" s="1584"/>
      <c r="K73" s="1634"/>
      <c r="L73" s="1584"/>
      <c r="M73" s="1633"/>
      <c r="N73" s="1584"/>
      <c r="O73" s="1633"/>
      <c r="P73" s="1584"/>
      <c r="Q73" s="1633"/>
      <c r="R73" s="1584"/>
      <c r="S73" s="1633"/>
    </row>
    <row r="74" spans="1:19" hidden="1" outlineLevel="1">
      <c r="A74" s="1585"/>
      <c r="B74" s="1739" t="s">
        <v>3155</v>
      </c>
      <c r="C74" s="1566"/>
      <c r="D74" s="1489">
        <v>642</v>
      </c>
      <c r="E74" s="1567" t="s">
        <v>2845</v>
      </c>
      <c r="F74" s="1490"/>
      <c r="G74" s="662">
        <f t="shared" si="9"/>
        <v>0</v>
      </c>
      <c r="H74" s="1584"/>
      <c r="I74" s="1633"/>
      <c r="J74" s="1584"/>
      <c r="K74" s="1634"/>
      <c r="L74" s="1584"/>
      <c r="M74" s="1633"/>
      <c r="N74" s="1584"/>
      <c r="O74" s="1633"/>
      <c r="P74" s="1584"/>
      <c r="Q74" s="1633"/>
      <c r="R74" s="1584"/>
      <c r="S74" s="1633"/>
    </row>
    <row r="75" spans="1:19" hidden="1" outlineLevel="1">
      <c r="A75" s="1585"/>
      <c r="B75" s="1739" t="s">
        <v>3156</v>
      </c>
      <c r="C75" s="1566"/>
      <c r="D75" s="1489">
        <v>140</v>
      </c>
      <c r="E75" s="1567" t="s">
        <v>2845</v>
      </c>
      <c r="F75" s="1490"/>
      <c r="G75" s="662">
        <f t="shared" si="9"/>
        <v>0</v>
      </c>
      <c r="H75" s="1584"/>
      <c r="I75" s="1633"/>
      <c r="J75" s="1584"/>
      <c r="K75" s="1634"/>
      <c r="L75" s="1584"/>
      <c r="M75" s="1633"/>
      <c r="N75" s="1584"/>
      <c r="O75" s="1633"/>
      <c r="P75" s="1584"/>
      <c r="Q75" s="1633"/>
      <c r="R75" s="1584"/>
      <c r="S75" s="1633"/>
    </row>
    <row r="76" spans="1:19" hidden="1" outlineLevel="1">
      <c r="A76" s="1585"/>
      <c r="B76" s="1739" t="s">
        <v>3157</v>
      </c>
      <c r="C76" s="1566"/>
      <c r="D76" s="1489">
        <v>325</v>
      </c>
      <c r="E76" s="1567" t="s">
        <v>2845</v>
      </c>
      <c r="F76" s="1490"/>
      <c r="G76" s="662">
        <f t="shared" si="9"/>
        <v>0</v>
      </c>
      <c r="H76" s="1584"/>
      <c r="I76" s="1633"/>
      <c r="J76" s="1584"/>
      <c r="K76" s="1634"/>
      <c r="L76" s="1584"/>
      <c r="M76" s="1633"/>
      <c r="N76" s="1584"/>
      <c r="O76" s="1633"/>
      <c r="P76" s="1584"/>
      <c r="Q76" s="1633"/>
      <c r="R76" s="1584"/>
      <c r="S76" s="1633"/>
    </row>
    <row r="77" spans="1:19" hidden="1" outlineLevel="1">
      <c r="A77" s="1585"/>
      <c r="B77" s="1739" t="s">
        <v>3158</v>
      </c>
      <c r="C77" s="1566"/>
      <c r="D77" s="1489">
        <v>234</v>
      </c>
      <c r="E77" s="1567" t="s">
        <v>2845</v>
      </c>
      <c r="F77" s="1490"/>
      <c r="G77" s="662">
        <f t="shared" si="9"/>
        <v>0</v>
      </c>
      <c r="H77" s="1584"/>
      <c r="I77" s="1633"/>
      <c r="J77" s="1584"/>
      <c r="K77" s="1634"/>
      <c r="L77" s="1584"/>
      <c r="M77" s="1633"/>
      <c r="N77" s="1584"/>
      <c r="O77" s="1633"/>
      <c r="P77" s="1584"/>
      <c r="Q77" s="1633"/>
      <c r="R77" s="1584"/>
      <c r="S77" s="1633"/>
    </row>
    <row r="78" spans="1:19" hidden="1" outlineLevel="1">
      <c r="A78" s="1585"/>
      <c r="B78" s="1739" t="s">
        <v>3143</v>
      </c>
      <c r="C78" s="1566"/>
      <c r="D78" s="1489">
        <v>1120</v>
      </c>
      <c r="E78" s="1567" t="s">
        <v>2845</v>
      </c>
      <c r="F78" s="1490"/>
      <c r="G78" s="662">
        <f t="shared" si="9"/>
        <v>0</v>
      </c>
      <c r="H78" s="1584"/>
      <c r="I78" s="1633"/>
      <c r="J78" s="1584"/>
      <c r="K78" s="1634"/>
      <c r="L78" s="1584"/>
      <c r="M78" s="1633"/>
      <c r="N78" s="1584"/>
      <c r="O78" s="1633"/>
      <c r="P78" s="1584"/>
      <c r="Q78" s="1633"/>
      <c r="R78" s="1584"/>
      <c r="S78" s="1633"/>
    </row>
    <row r="79" spans="1:19" hidden="1" outlineLevel="1">
      <c r="A79" s="1585"/>
      <c r="B79" s="1739" t="s">
        <v>3144</v>
      </c>
      <c r="C79" s="1566"/>
      <c r="D79" s="1489">
        <v>1600</v>
      </c>
      <c r="E79" s="1567" t="s">
        <v>2845</v>
      </c>
      <c r="F79" s="1490"/>
      <c r="G79" s="662">
        <f t="shared" si="9"/>
        <v>0</v>
      </c>
      <c r="H79" s="1584"/>
      <c r="I79" s="1633"/>
      <c r="J79" s="1584"/>
      <c r="K79" s="1634"/>
      <c r="L79" s="1584"/>
      <c r="M79" s="1633"/>
      <c r="N79" s="1584"/>
      <c r="O79" s="1633"/>
      <c r="P79" s="1584"/>
      <c r="Q79" s="1633"/>
      <c r="R79" s="1584"/>
      <c r="S79" s="1633"/>
    </row>
    <row r="80" spans="1:19" hidden="1" outlineLevel="1">
      <c r="A80" s="1585"/>
      <c r="B80" s="1739" t="s">
        <v>4638</v>
      </c>
      <c r="C80" s="1566"/>
      <c r="D80" s="1489">
        <f>3035+(225.27*2.5)+1427+1579</f>
        <v>6604.1750000000002</v>
      </c>
      <c r="E80" s="1567" t="s">
        <v>2845</v>
      </c>
      <c r="F80" s="1490"/>
      <c r="G80" s="662">
        <f>ROUND(D80*F80,0)</f>
        <v>0</v>
      </c>
      <c r="H80" s="1584"/>
      <c r="I80" s="1633"/>
      <c r="J80" s="1584"/>
      <c r="K80" s="1634"/>
      <c r="L80" s="1584"/>
      <c r="M80" s="1633"/>
      <c r="N80" s="1584"/>
      <c r="O80" s="1633"/>
      <c r="P80" s="1584"/>
      <c r="Q80" s="1633"/>
      <c r="R80" s="1584"/>
      <c r="S80" s="1633"/>
    </row>
    <row r="81" spans="1:19" hidden="1" outlineLevel="1">
      <c r="A81" s="1585"/>
      <c r="B81" s="1740" t="s">
        <v>4636</v>
      </c>
      <c r="C81" s="1566"/>
      <c r="D81" s="1737">
        <f>-115+-857</f>
        <v>-972</v>
      </c>
      <c r="E81" s="1567" t="s">
        <v>2845</v>
      </c>
      <c r="F81" s="1490"/>
      <c r="G81" s="662">
        <f t="shared" si="9"/>
        <v>0</v>
      </c>
      <c r="H81" s="1584"/>
      <c r="I81" s="1633"/>
      <c r="J81" s="1584"/>
      <c r="K81" s="1634"/>
      <c r="L81" s="1584"/>
      <c r="M81" s="1633"/>
      <c r="N81" s="1584"/>
      <c r="O81" s="1633"/>
      <c r="P81" s="1584"/>
      <c r="Q81" s="1633"/>
      <c r="R81" s="1584"/>
      <c r="S81" s="1633"/>
    </row>
    <row r="82" spans="1:19" hidden="1" outlineLevel="1">
      <c r="A82" s="1585"/>
      <c r="B82" s="1740" t="s">
        <v>4637</v>
      </c>
      <c r="C82" s="1566"/>
      <c r="D82" s="1737">
        <f>-161*0.67</f>
        <v>-107.87</v>
      </c>
      <c r="E82" s="1567" t="s">
        <v>2845</v>
      </c>
      <c r="F82" s="1490"/>
      <c r="G82" s="662">
        <f t="shared" si="9"/>
        <v>0</v>
      </c>
      <c r="H82" s="1584"/>
      <c r="I82" s="1633"/>
      <c r="J82" s="1584"/>
      <c r="K82" s="1634"/>
      <c r="L82" s="1584"/>
      <c r="M82" s="1633"/>
      <c r="N82" s="1584"/>
      <c r="O82" s="1633"/>
      <c r="P82" s="1584"/>
      <c r="Q82" s="1633"/>
      <c r="R82" s="1584"/>
      <c r="S82" s="1633"/>
    </row>
    <row r="83" spans="1:19" collapsed="1">
      <c r="A83" s="1585"/>
      <c r="B83" s="1727" t="s">
        <v>4639</v>
      </c>
      <c r="C83" s="1566"/>
      <c r="D83" s="1523"/>
      <c r="E83" s="1567"/>
      <c r="F83" s="1490"/>
      <c r="G83" s="662"/>
      <c r="H83" s="1584"/>
      <c r="I83" s="1633"/>
      <c r="J83" s="1584"/>
      <c r="K83" s="1643">
        <v>240000</v>
      </c>
      <c r="L83" s="1584"/>
      <c r="M83" s="1633"/>
      <c r="N83" s="1584"/>
      <c r="O83" s="1633"/>
      <c r="P83" s="1584"/>
      <c r="Q83" s="1633"/>
      <c r="R83" s="1584"/>
      <c r="S83" s="1633"/>
    </row>
    <row r="84" spans="1:19">
      <c r="A84" s="1585"/>
      <c r="B84" s="1726" t="s">
        <v>4640</v>
      </c>
      <c r="C84" s="1566"/>
      <c r="D84" s="1523"/>
      <c r="E84" s="1567"/>
      <c r="F84" s="1490"/>
      <c r="G84" s="662"/>
      <c r="H84" s="1584"/>
      <c r="I84" s="1633"/>
      <c r="J84" s="1584"/>
      <c r="K84" s="1634"/>
      <c r="L84" s="1584"/>
      <c r="M84" s="1633"/>
      <c r="N84" s="1584"/>
      <c r="O84" s="1633"/>
      <c r="P84" s="1584"/>
      <c r="Q84" s="1633"/>
      <c r="R84" s="1584"/>
      <c r="S84" s="1633"/>
    </row>
    <row r="85" spans="1:19">
      <c r="A85" s="1585"/>
      <c r="B85" s="1740" t="s">
        <v>4641</v>
      </c>
      <c r="C85" s="1566"/>
      <c r="D85" s="1737">
        <v>7927</v>
      </c>
      <c r="E85" s="1567" t="s">
        <v>2845</v>
      </c>
      <c r="F85" s="1490">
        <f>I85/D85</f>
        <v>8.0736722593667221</v>
      </c>
      <c r="G85" s="662">
        <f t="shared" si="5"/>
        <v>64000</v>
      </c>
      <c r="H85" s="1584"/>
      <c r="I85" s="1633">
        <v>64000</v>
      </c>
      <c r="J85" s="1584"/>
      <c r="K85" s="1634"/>
      <c r="L85" s="1584"/>
      <c r="M85" s="1633"/>
      <c r="N85" s="1584"/>
      <c r="O85" s="1633"/>
      <c r="P85" s="1584"/>
      <c r="Q85" s="1633"/>
      <c r="R85" s="1584"/>
      <c r="S85" s="1633"/>
    </row>
    <row r="86" spans="1:19">
      <c r="A86" s="1585"/>
      <c r="B86" s="1740" t="s">
        <v>4642</v>
      </c>
      <c r="C86" s="1566"/>
      <c r="D86" s="1737">
        <v>7521</v>
      </c>
      <c r="E86" s="1567" t="s">
        <v>2845</v>
      </c>
      <c r="F86" s="1490"/>
      <c r="G86" s="662">
        <f t="shared" si="5"/>
        <v>0</v>
      </c>
      <c r="H86" s="1584"/>
      <c r="I86" s="1633">
        <v>60000</v>
      </c>
      <c r="J86" s="1584"/>
      <c r="K86" s="1634"/>
      <c r="L86" s="1584"/>
      <c r="M86" s="1633"/>
      <c r="N86" s="1584"/>
      <c r="O86" s="1633"/>
      <c r="P86" s="1584"/>
      <c r="Q86" s="1633"/>
      <c r="R86" s="1584"/>
      <c r="S86" s="1633"/>
    </row>
    <row r="87" spans="1:19">
      <c r="A87" s="1585"/>
      <c r="B87" s="1740" t="s">
        <v>4643</v>
      </c>
      <c r="C87" s="1566"/>
      <c r="D87" s="1737">
        <f>9883+1207</f>
        <v>11090</v>
      </c>
      <c r="E87" s="1567" t="s">
        <v>2845</v>
      </c>
      <c r="F87" s="1490">
        <f>I87/D87</f>
        <v>9.9413886384129846</v>
      </c>
      <c r="G87" s="662">
        <f t="shared" si="5"/>
        <v>110250</v>
      </c>
      <c r="H87" s="1584"/>
      <c r="I87" s="1633">
        <v>110250</v>
      </c>
      <c r="J87" s="1584"/>
      <c r="K87" s="1634"/>
      <c r="L87" s="1584"/>
      <c r="M87" s="1633"/>
      <c r="N87" s="1584"/>
      <c r="O87" s="1633"/>
      <c r="P87" s="1584"/>
      <c r="Q87" s="1633"/>
      <c r="R87" s="1584"/>
      <c r="S87" s="1633"/>
    </row>
    <row r="88" spans="1:19">
      <c r="A88" s="1585"/>
      <c r="B88" s="1741" t="s">
        <v>4644</v>
      </c>
      <c r="C88" s="1566"/>
      <c r="D88" s="1737">
        <v>701</v>
      </c>
      <c r="E88" s="1567" t="s">
        <v>2845</v>
      </c>
      <c r="F88" s="1490">
        <v>30</v>
      </c>
      <c r="G88" s="662">
        <f t="shared" ref="G88" si="10">ROUND(D88*F88,0)</f>
        <v>21030</v>
      </c>
      <c r="H88" s="1584"/>
      <c r="I88" s="1642">
        <f>$G88</f>
        <v>21030</v>
      </c>
      <c r="J88" s="1584"/>
      <c r="K88" s="1642">
        <f>$G88</f>
        <v>21030</v>
      </c>
      <c r="L88" s="1584"/>
      <c r="M88" s="1633"/>
      <c r="N88" s="1584"/>
      <c r="O88" s="1633"/>
      <c r="P88" s="1584"/>
      <c r="Q88" s="1633"/>
      <c r="R88" s="1584"/>
      <c r="S88" s="1633"/>
    </row>
    <row r="89" spans="1:19">
      <c r="A89" s="1585"/>
      <c r="B89" s="1726" t="s">
        <v>3080</v>
      </c>
      <c r="C89" s="1566"/>
      <c r="D89" s="1523"/>
      <c r="E89" s="1567"/>
      <c r="F89" s="1490"/>
      <c r="G89" s="662"/>
      <c r="H89" s="1584"/>
      <c r="I89" s="1633"/>
      <c r="J89" s="1584"/>
      <c r="K89" s="1643">
        <v>197000</v>
      </c>
      <c r="L89" s="1584"/>
      <c r="M89" s="1633"/>
      <c r="N89" s="1584"/>
      <c r="O89" s="1633"/>
      <c r="P89" s="1584"/>
      <c r="Q89" s="1633"/>
      <c r="R89" s="1584"/>
      <c r="S89" s="1633"/>
    </row>
    <row r="90" spans="1:19">
      <c r="A90" s="1585"/>
      <c r="B90" s="1739" t="s">
        <v>4641</v>
      </c>
      <c r="C90" s="1566"/>
      <c r="D90" s="1489">
        <v>4301</v>
      </c>
      <c r="E90" s="1567" t="s">
        <v>2845</v>
      </c>
      <c r="F90" s="1490"/>
      <c r="G90" s="662">
        <f>ROUND(D90*F90,0)</f>
        <v>0</v>
      </c>
      <c r="H90" s="1584"/>
      <c r="I90" s="1633">
        <v>34400</v>
      </c>
      <c r="J90" s="1584"/>
      <c r="K90" s="1634"/>
      <c r="L90" s="1584"/>
      <c r="M90" s="1633"/>
      <c r="N90" s="1584"/>
      <c r="O90" s="1633"/>
      <c r="P90" s="1584"/>
      <c r="Q90" s="1633"/>
      <c r="R90" s="1584"/>
      <c r="S90" s="1633"/>
    </row>
    <row r="91" spans="1:19">
      <c r="A91" s="1585"/>
      <c r="B91" s="1739" t="s">
        <v>4642</v>
      </c>
      <c r="C91" s="1566"/>
      <c r="D91" s="1489">
        <v>6228</v>
      </c>
      <c r="E91" s="1567" t="s">
        <v>2845</v>
      </c>
      <c r="F91" s="1490"/>
      <c r="G91" s="662">
        <f>ROUND(D91*F91,0)</f>
        <v>0</v>
      </c>
      <c r="H91" s="1584"/>
      <c r="I91" s="1633">
        <v>83440</v>
      </c>
      <c r="J91" s="1584"/>
      <c r="K91" s="1634"/>
      <c r="L91" s="1584"/>
      <c r="M91" s="1633"/>
      <c r="N91" s="1584"/>
      <c r="O91" s="1633"/>
      <c r="P91" s="1584"/>
      <c r="Q91" s="1633"/>
      <c r="R91" s="1584"/>
      <c r="S91" s="1633"/>
    </row>
    <row r="92" spans="1:19">
      <c r="A92" s="1585"/>
      <c r="B92" s="1739" t="s">
        <v>4645</v>
      </c>
      <c r="C92" s="1566"/>
      <c r="D92" s="1489">
        <f>9351+1078</f>
        <v>10429</v>
      </c>
      <c r="E92" s="1567" t="s">
        <v>2845</v>
      </c>
      <c r="F92" s="1490">
        <f>I92/D92</f>
        <v>7.5275673602454694</v>
      </c>
      <c r="G92" s="662">
        <f>ROUND(D92*F92,0)</f>
        <v>78505</v>
      </c>
      <c r="H92" s="1584"/>
      <c r="I92" s="1633">
        <v>78505</v>
      </c>
      <c r="J92" s="1584"/>
      <c r="K92" s="1634"/>
      <c r="L92" s="1584"/>
      <c r="M92" s="1633"/>
      <c r="N92" s="1584"/>
      <c r="O92" s="1633"/>
      <c r="P92" s="1584"/>
      <c r="Q92" s="1633"/>
      <c r="R92" s="1584"/>
      <c r="S92" s="1633"/>
    </row>
    <row r="93" spans="1:19">
      <c r="A93" s="1585"/>
      <c r="B93" s="1741" t="s">
        <v>4644</v>
      </c>
      <c r="C93" s="1566"/>
      <c r="D93" s="1737">
        <v>784</v>
      </c>
      <c r="E93" s="1567" t="s">
        <v>2845</v>
      </c>
      <c r="F93" s="1490">
        <v>30</v>
      </c>
      <c r="G93" s="662">
        <f>ROUND(D93*F93,0)</f>
        <v>23520</v>
      </c>
      <c r="H93" s="1584"/>
      <c r="I93" s="1642">
        <f>$G93</f>
        <v>23520</v>
      </c>
      <c r="J93" s="1584"/>
      <c r="K93" s="1642">
        <f>$G93</f>
        <v>23520</v>
      </c>
      <c r="L93" s="1584"/>
      <c r="M93" s="1633"/>
      <c r="N93" s="1584"/>
      <c r="O93" s="1633"/>
      <c r="P93" s="1584"/>
      <c r="Q93" s="1633"/>
      <c r="R93" s="1584"/>
      <c r="S93" s="1633"/>
    </row>
    <row r="94" spans="1:19">
      <c r="A94" s="1585"/>
      <c r="B94" s="1742" t="s">
        <v>3113</v>
      </c>
      <c r="C94" s="1566"/>
      <c r="D94" s="1523"/>
      <c r="E94" s="1567"/>
      <c r="F94" s="1490"/>
      <c r="G94" s="662"/>
      <c r="H94" s="1584"/>
      <c r="I94" s="1633"/>
      <c r="J94" s="1584"/>
      <c r="K94" s="1634"/>
      <c r="L94" s="1584"/>
      <c r="M94" s="1633"/>
      <c r="N94" s="1584"/>
      <c r="O94" s="1633"/>
      <c r="P94" s="1584"/>
      <c r="Q94" s="1633"/>
      <c r="R94" s="1584"/>
      <c r="S94" s="1633"/>
    </row>
    <row r="95" spans="1:19">
      <c r="A95" s="1585"/>
      <c r="B95" s="1739" t="s">
        <v>4635</v>
      </c>
      <c r="C95" s="1566"/>
      <c r="D95" s="1489"/>
      <c r="E95" s="1567"/>
      <c r="F95" s="1490"/>
      <c r="G95" s="662">
        <f t="shared" ref="G95:G105" si="11">ROUND(D95*F95,0)</f>
        <v>0</v>
      </c>
      <c r="H95" s="1584"/>
      <c r="I95" s="1633"/>
      <c r="J95" s="1584"/>
      <c r="K95" s="1634"/>
      <c r="L95" s="1584"/>
      <c r="M95" s="1633"/>
      <c r="N95" s="1584"/>
      <c r="O95" s="1633"/>
      <c r="P95" s="1584"/>
      <c r="Q95" s="1633"/>
      <c r="R95" s="1584"/>
      <c r="S95" s="1633"/>
    </row>
    <row r="96" spans="1:19">
      <c r="A96" s="1585"/>
      <c r="B96" s="1739" t="s">
        <v>4641</v>
      </c>
      <c r="C96" s="1566"/>
      <c r="D96" s="1489">
        <v>15695</v>
      </c>
      <c r="E96" s="1567" t="s">
        <v>2845</v>
      </c>
      <c r="F96" s="1490"/>
      <c r="G96" s="662">
        <f t="shared" si="11"/>
        <v>0</v>
      </c>
      <c r="H96" s="1584"/>
      <c r="I96" s="1633">
        <v>125560</v>
      </c>
      <c r="J96" s="1584"/>
      <c r="K96" s="1643">
        <v>233000</v>
      </c>
      <c r="L96" s="1584"/>
      <c r="M96" s="1633"/>
      <c r="N96" s="1584"/>
      <c r="O96" s="1633"/>
      <c r="P96" s="1584"/>
      <c r="Q96" s="1633"/>
      <c r="R96" s="1584"/>
      <c r="S96" s="1633"/>
    </row>
    <row r="97" spans="1:19">
      <c r="A97" s="1585"/>
      <c r="B97" s="1739" t="s">
        <v>4642</v>
      </c>
      <c r="C97" s="1566"/>
      <c r="D97" s="1489">
        <v>1940</v>
      </c>
      <c r="E97" s="1567" t="s">
        <v>2845</v>
      </c>
      <c r="F97" s="1490">
        <f>I97/D97</f>
        <v>8</v>
      </c>
      <c r="G97" s="662">
        <f t="shared" si="11"/>
        <v>15520</v>
      </c>
      <c r="H97" s="1584"/>
      <c r="I97" s="1633">
        <v>15520</v>
      </c>
      <c r="J97" s="1584"/>
      <c r="K97" s="1634"/>
      <c r="L97" s="1584"/>
      <c r="M97" s="1633"/>
      <c r="N97" s="1584"/>
      <c r="O97" s="1633"/>
      <c r="P97" s="1584"/>
      <c r="Q97" s="1633"/>
      <c r="R97" s="1584"/>
      <c r="S97" s="1633"/>
    </row>
    <row r="98" spans="1:19">
      <c r="A98" s="1585"/>
      <c r="B98" s="1739" t="s">
        <v>4646</v>
      </c>
      <c r="C98" s="1566"/>
      <c r="D98" s="1489">
        <f>11615+1398</f>
        <v>13013</v>
      </c>
      <c r="E98" s="1567" t="s">
        <v>2845</v>
      </c>
      <c r="F98" s="1490">
        <f>I98/D98</f>
        <v>7.0010758472296937</v>
      </c>
      <c r="G98" s="662">
        <f t="shared" si="11"/>
        <v>91105</v>
      </c>
      <c r="H98" s="1584"/>
      <c r="I98" s="1633">
        <v>91105</v>
      </c>
      <c r="J98" s="1584"/>
      <c r="K98" s="1634"/>
      <c r="L98" s="1584"/>
      <c r="M98" s="1633"/>
      <c r="N98" s="1584"/>
      <c r="O98" s="1633"/>
      <c r="P98" s="1584"/>
      <c r="Q98" s="1633"/>
      <c r="R98" s="1584"/>
      <c r="S98" s="1633"/>
    </row>
    <row r="99" spans="1:19">
      <c r="A99" s="1585"/>
      <c r="B99" s="1743" t="s">
        <v>4647</v>
      </c>
      <c r="C99" s="1736"/>
      <c r="D99" s="1744"/>
      <c r="E99" s="1738"/>
      <c r="F99" s="1745"/>
      <c r="G99" s="662"/>
      <c r="H99" s="1584"/>
      <c r="I99" s="1633"/>
      <c r="J99" s="1584"/>
      <c r="K99" s="1634"/>
      <c r="L99" s="1584"/>
      <c r="M99" s="1633"/>
      <c r="N99" s="1584"/>
      <c r="O99" s="1633"/>
      <c r="P99" s="1584"/>
      <c r="Q99" s="1633"/>
      <c r="R99" s="1584"/>
      <c r="S99" s="1633"/>
    </row>
    <row r="100" spans="1:19">
      <c r="A100" s="1585"/>
      <c r="B100" s="1726" t="s">
        <v>4640</v>
      </c>
      <c r="C100" s="1736"/>
      <c r="D100" s="1744"/>
      <c r="E100" s="1738"/>
      <c r="F100" s="1745"/>
      <c r="G100" s="662"/>
      <c r="H100" s="1584"/>
      <c r="I100" s="1633"/>
      <c r="J100" s="1584"/>
      <c r="K100" s="1634"/>
      <c r="L100" s="1584"/>
      <c r="M100" s="1633"/>
      <c r="N100" s="1584"/>
      <c r="O100" s="1633"/>
      <c r="P100" s="1584"/>
      <c r="Q100" s="1633"/>
      <c r="R100" s="1584"/>
      <c r="S100" s="1633"/>
    </row>
    <row r="101" spans="1:19">
      <c r="A101" s="1585"/>
      <c r="B101" s="1746" t="s">
        <v>4648</v>
      </c>
      <c r="C101" s="1736"/>
      <c r="D101" s="1737">
        <f>252</f>
        <v>252</v>
      </c>
      <c r="E101" s="1738" t="s">
        <v>2845</v>
      </c>
      <c r="F101" s="1490"/>
      <c r="G101" s="662">
        <f>ROUND(D101*F101,0)</f>
        <v>0</v>
      </c>
      <c r="H101" s="1584"/>
      <c r="I101" s="1633">
        <v>1750</v>
      </c>
      <c r="J101" s="1584"/>
      <c r="K101" s="1634">
        <v>12880</v>
      </c>
      <c r="L101" s="1584"/>
      <c r="M101" s="1633"/>
      <c r="N101" s="1584"/>
      <c r="O101" s="1633"/>
      <c r="P101" s="1584"/>
      <c r="Q101" s="1633"/>
      <c r="R101" s="1584"/>
      <c r="S101" s="1633"/>
    </row>
    <row r="102" spans="1:19">
      <c r="A102" s="1585"/>
      <c r="B102" s="1747" t="s">
        <v>4649</v>
      </c>
      <c r="C102" s="1736"/>
      <c r="D102" s="1737">
        <f>491+207</f>
        <v>698</v>
      </c>
      <c r="E102" s="1738" t="s">
        <v>2845</v>
      </c>
      <c r="F102" s="1490"/>
      <c r="G102" s="662">
        <f>ROUND(D102*F102,0)</f>
        <v>0</v>
      </c>
      <c r="H102" s="1584"/>
      <c r="I102" s="1633">
        <v>7350</v>
      </c>
      <c r="J102" s="1584" t="s">
        <v>2931</v>
      </c>
      <c r="K102" s="1634"/>
      <c r="L102" s="1584"/>
      <c r="M102" s="1633"/>
      <c r="N102" s="1584"/>
      <c r="O102" s="1633"/>
      <c r="P102" s="1584"/>
      <c r="Q102" s="1633"/>
      <c r="R102" s="1584"/>
      <c r="S102" s="1633"/>
    </row>
    <row r="103" spans="1:19">
      <c r="A103" s="1585"/>
      <c r="B103" s="1742" t="s">
        <v>3113</v>
      </c>
      <c r="C103" s="1736"/>
      <c r="D103" s="1737"/>
      <c r="E103" s="1738"/>
      <c r="F103" s="1745"/>
      <c r="G103" s="662"/>
      <c r="H103" s="1584"/>
      <c r="I103" s="1633"/>
      <c r="J103" s="1584"/>
      <c r="K103" s="1634"/>
      <c r="L103" s="1584"/>
      <c r="M103" s="1633"/>
      <c r="N103" s="1584"/>
      <c r="O103" s="1633"/>
      <c r="P103" s="1584"/>
      <c r="Q103" s="1633"/>
      <c r="R103" s="1584"/>
      <c r="S103" s="1633"/>
    </row>
    <row r="104" spans="1:19">
      <c r="A104" s="1585"/>
      <c r="B104" s="1739" t="s">
        <v>4648</v>
      </c>
      <c r="C104" s="1566"/>
      <c r="D104" s="1489">
        <v>269</v>
      </c>
      <c r="E104" s="1567" t="s">
        <v>2845</v>
      </c>
      <c r="F104" s="1490"/>
      <c r="G104" s="662">
        <f t="shared" si="11"/>
        <v>0</v>
      </c>
      <c r="H104" s="1584"/>
      <c r="I104" s="1633">
        <v>1890</v>
      </c>
      <c r="J104" s="1584"/>
      <c r="K104" s="1634">
        <v>12117</v>
      </c>
      <c r="L104" s="1584"/>
      <c r="M104" s="1633"/>
      <c r="N104" s="1584"/>
      <c r="O104" s="1633"/>
      <c r="P104" s="1584"/>
      <c r="Q104" s="1633"/>
      <c r="R104" s="1584"/>
      <c r="S104" s="1633"/>
    </row>
    <row r="105" spans="1:19">
      <c r="A105" s="1585"/>
      <c r="B105" s="1739" t="s">
        <v>4649</v>
      </c>
      <c r="C105" s="1566"/>
      <c r="D105" s="1489">
        <v>511</v>
      </c>
      <c r="E105" s="1567" t="s">
        <v>2845</v>
      </c>
      <c r="F105" s="1490"/>
      <c r="G105" s="662">
        <f t="shared" si="11"/>
        <v>0</v>
      </c>
      <c r="H105" s="1584"/>
      <c r="I105" s="1633">
        <v>5407.5</v>
      </c>
      <c r="J105" s="1584" t="s">
        <v>2931</v>
      </c>
      <c r="K105" s="1634"/>
      <c r="L105" s="1584"/>
      <c r="M105" s="1633"/>
      <c r="N105" s="1584"/>
      <c r="O105" s="1633"/>
      <c r="P105" s="1584"/>
      <c r="Q105" s="1633"/>
      <c r="R105" s="1584"/>
      <c r="S105" s="1633"/>
    </row>
    <row r="106" spans="1:19">
      <c r="A106" s="1585"/>
      <c r="B106" s="1740"/>
      <c r="C106" s="1566"/>
      <c r="D106" s="1523"/>
      <c r="E106" s="1567"/>
      <c r="F106" s="1490"/>
      <c r="G106" s="662"/>
      <c r="H106" s="1584"/>
      <c r="I106" s="1633"/>
      <c r="J106" s="1584"/>
      <c r="K106" s="1634"/>
      <c r="L106" s="1584"/>
      <c r="M106" s="1633"/>
      <c r="N106" s="1584"/>
      <c r="O106" s="1633"/>
      <c r="P106" s="1584"/>
      <c r="Q106" s="1633"/>
      <c r="R106" s="1584"/>
      <c r="S106" s="1633"/>
    </row>
    <row r="107" spans="1:19">
      <c r="A107" s="1585"/>
      <c r="B107" s="1748" t="s">
        <v>3072</v>
      </c>
      <c r="C107" s="1566"/>
      <c r="D107" s="1523"/>
      <c r="E107" s="1567"/>
      <c r="F107" s="1490"/>
      <c r="G107" s="662"/>
      <c r="H107" s="1584"/>
      <c r="I107" s="1633"/>
      <c r="J107" s="1584"/>
      <c r="K107" s="1634">
        <f>116236+14618</f>
        <v>130854</v>
      </c>
      <c r="L107" s="1584"/>
      <c r="M107" s="1633"/>
      <c r="N107" s="1584"/>
      <c r="O107" s="1633"/>
      <c r="P107" s="1584"/>
      <c r="Q107" s="1633"/>
      <c r="R107" s="1584"/>
      <c r="S107" s="1633"/>
    </row>
    <row r="108" spans="1:19">
      <c r="A108" s="1585"/>
      <c r="B108" s="1727" t="s">
        <v>3029</v>
      </c>
      <c r="C108" s="1566"/>
      <c r="D108" s="1737"/>
      <c r="E108" s="1567"/>
      <c r="F108" s="1490"/>
      <c r="G108" s="662">
        <f t="shared" ref="G108:G117" si="12">ROUND(D108*F108,0)</f>
        <v>0</v>
      </c>
      <c r="H108" s="1584"/>
      <c r="I108" s="1633">
        <f>108275+1250</f>
        <v>109525</v>
      </c>
      <c r="J108" s="1584"/>
      <c r="K108" s="1634"/>
      <c r="L108" s="1584"/>
      <c r="M108" s="1633"/>
      <c r="N108" s="1584"/>
      <c r="O108" s="1633"/>
      <c r="P108" s="1584"/>
      <c r="Q108" s="1633"/>
      <c r="R108" s="1584"/>
      <c r="S108" s="1633"/>
    </row>
    <row r="109" spans="1:19">
      <c r="A109" s="1585"/>
      <c r="B109" s="1726" t="s">
        <v>4650</v>
      </c>
      <c r="C109" s="1566"/>
      <c r="D109" s="1737"/>
      <c r="E109" s="1567"/>
      <c r="F109" s="1490"/>
      <c r="G109" s="662">
        <f t="shared" si="12"/>
        <v>0</v>
      </c>
      <c r="H109" s="1584"/>
      <c r="I109" s="1633"/>
      <c r="J109" s="1584"/>
      <c r="K109" s="1634"/>
      <c r="L109" s="1584"/>
      <c r="M109" s="1633"/>
      <c r="N109" s="1584"/>
      <c r="O109" s="1633"/>
      <c r="P109" s="1584"/>
      <c r="Q109" s="1633"/>
      <c r="R109" s="1584"/>
      <c r="S109" s="1633"/>
    </row>
    <row r="110" spans="1:19">
      <c r="A110" s="1585">
        <f>1.67*2</f>
        <v>3.34</v>
      </c>
      <c r="B110" s="1740" t="s">
        <v>4651</v>
      </c>
      <c r="C110" s="1566"/>
      <c r="D110" s="1737">
        <f>A110*49</f>
        <v>163.66</v>
      </c>
      <c r="E110" s="1567" t="s">
        <v>2845</v>
      </c>
      <c r="F110" s="1490">
        <v>35.5</v>
      </c>
      <c r="G110" s="662">
        <f t="shared" si="12"/>
        <v>5810</v>
      </c>
      <c r="H110" s="1584" t="s">
        <v>2931</v>
      </c>
      <c r="I110" s="1633"/>
      <c r="J110" s="1584" t="s">
        <v>2931</v>
      </c>
      <c r="K110" s="1634"/>
      <c r="L110" s="1584"/>
      <c r="M110" s="1633"/>
      <c r="N110" s="1584"/>
      <c r="O110" s="1633"/>
      <c r="P110" s="1584"/>
      <c r="Q110" s="1633"/>
      <c r="R110" s="1584"/>
      <c r="S110" s="1633"/>
    </row>
    <row r="111" spans="1:19">
      <c r="A111" s="1585">
        <v>3.17</v>
      </c>
      <c r="B111" s="1740" t="s">
        <v>4628</v>
      </c>
      <c r="C111" s="1566"/>
      <c r="D111" s="1737">
        <f>A111*49</f>
        <v>155.32999999999998</v>
      </c>
      <c r="E111" s="1567" t="s">
        <v>2845</v>
      </c>
      <c r="F111" s="1490">
        <v>35.5</v>
      </c>
      <c r="G111" s="662">
        <f t="shared" si="12"/>
        <v>5514</v>
      </c>
      <c r="H111" s="1584" t="s">
        <v>2931</v>
      </c>
      <c r="I111" s="1633"/>
      <c r="J111" s="1584" t="s">
        <v>2931</v>
      </c>
      <c r="K111" s="1634"/>
      <c r="L111" s="1584"/>
      <c r="M111" s="1633"/>
      <c r="N111" s="1584"/>
      <c r="O111" s="1633"/>
      <c r="P111" s="1584"/>
      <c r="Q111" s="1633"/>
      <c r="R111" s="1584"/>
      <c r="S111" s="1633"/>
    </row>
    <row r="112" spans="1:19">
      <c r="A112" s="1585"/>
      <c r="B112" s="1726" t="s">
        <v>4652</v>
      </c>
      <c r="C112" s="1566"/>
      <c r="D112" s="1737"/>
      <c r="E112" s="1567"/>
      <c r="F112" s="1490"/>
      <c r="G112" s="662">
        <f t="shared" si="12"/>
        <v>0</v>
      </c>
      <c r="H112" s="1584"/>
      <c r="I112" s="1633"/>
      <c r="J112" s="1584"/>
      <c r="K112" s="1634"/>
      <c r="L112" s="1584"/>
      <c r="M112" s="1633"/>
      <c r="N112" s="1584"/>
      <c r="O112" s="1633"/>
      <c r="P112" s="1584"/>
      <c r="Q112" s="1633"/>
      <c r="R112" s="1584"/>
      <c r="S112" s="1633"/>
    </row>
    <row r="113" spans="1:19">
      <c r="A113" s="1585">
        <f>5.46+3.75</f>
        <v>9.2100000000000009</v>
      </c>
      <c r="B113" s="1740" t="s">
        <v>4651</v>
      </c>
      <c r="C113" s="1566"/>
      <c r="D113" s="1737">
        <f>A113*226</f>
        <v>2081.46</v>
      </c>
      <c r="E113" s="1567" t="s">
        <v>2845</v>
      </c>
      <c r="F113" s="1490">
        <v>35.5</v>
      </c>
      <c r="G113" s="662">
        <f t="shared" si="12"/>
        <v>73892</v>
      </c>
      <c r="H113" s="1584" t="s">
        <v>2931</v>
      </c>
      <c r="I113" s="1633"/>
      <c r="J113" s="1584" t="s">
        <v>2931</v>
      </c>
      <c r="K113" s="1634"/>
      <c r="L113" s="1584"/>
      <c r="M113" s="1633"/>
      <c r="N113" s="1584"/>
      <c r="O113" s="1633"/>
      <c r="P113" s="1584"/>
      <c r="Q113" s="1633"/>
      <c r="R113" s="1584"/>
      <c r="S113" s="1633"/>
    </row>
    <row r="114" spans="1:19">
      <c r="A114" s="1585">
        <v>7.5</v>
      </c>
      <c r="B114" s="1740" t="s">
        <v>4628</v>
      </c>
      <c r="C114" s="1566"/>
      <c r="D114" s="1737">
        <f>A114*226</f>
        <v>1695</v>
      </c>
      <c r="E114" s="1567" t="s">
        <v>2845</v>
      </c>
      <c r="F114" s="1490">
        <v>35.5</v>
      </c>
      <c r="G114" s="662">
        <f t="shared" si="12"/>
        <v>60173</v>
      </c>
      <c r="H114" s="1584" t="s">
        <v>2931</v>
      </c>
      <c r="I114" s="1633"/>
      <c r="J114" s="1584" t="s">
        <v>2931</v>
      </c>
      <c r="K114" s="1634"/>
      <c r="L114" s="1584"/>
      <c r="M114" s="1633"/>
      <c r="N114" s="1584"/>
      <c r="O114" s="1633"/>
      <c r="P114" s="1584"/>
      <c r="Q114" s="1633"/>
      <c r="R114" s="1584"/>
      <c r="S114" s="1633"/>
    </row>
    <row r="115" spans="1:19">
      <c r="A115" s="1585"/>
      <c r="B115" s="1726" t="s">
        <v>3079</v>
      </c>
      <c r="C115" s="1566"/>
      <c r="D115" s="1737"/>
      <c r="E115" s="1567"/>
      <c r="F115" s="1490"/>
      <c r="G115" s="662">
        <f t="shared" si="12"/>
        <v>0</v>
      </c>
      <c r="H115" s="1584"/>
      <c r="I115" s="1633"/>
      <c r="J115" s="1584"/>
      <c r="K115" s="1634"/>
      <c r="L115" s="1584"/>
      <c r="M115" s="1633"/>
      <c r="N115" s="1584"/>
      <c r="O115" s="1633"/>
      <c r="P115" s="1584"/>
      <c r="Q115" s="1633"/>
      <c r="R115" s="1584"/>
      <c r="S115" s="1633"/>
    </row>
    <row r="116" spans="1:19">
      <c r="A116" s="1585">
        <f>3.67*2</f>
        <v>7.34</v>
      </c>
      <c r="B116" s="1740" t="s">
        <v>4651</v>
      </c>
      <c r="C116" s="1566"/>
      <c r="D116" s="1737">
        <f>A116*31</f>
        <v>227.54</v>
      </c>
      <c r="E116" s="1567" t="s">
        <v>2845</v>
      </c>
      <c r="F116" s="1490">
        <v>35.5</v>
      </c>
      <c r="G116" s="662">
        <f t="shared" si="12"/>
        <v>8078</v>
      </c>
      <c r="H116" s="1584" t="s">
        <v>2931</v>
      </c>
      <c r="I116" s="1633"/>
      <c r="J116" s="1584" t="s">
        <v>2931</v>
      </c>
      <c r="K116" s="1634"/>
      <c r="L116" s="1584"/>
      <c r="M116" s="1633"/>
      <c r="N116" s="1584"/>
      <c r="O116" s="1633"/>
      <c r="P116" s="1584"/>
      <c r="Q116" s="1633"/>
      <c r="R116" s="1584"/>
      <c r="S116" s="1633"/>
    </row>
    <row r="117" spans="1:19">
      <c r="A117" s="1585">
        <v>8.33</v>
      </c>
      <c r="B117" s="1740" t="s">
        <v>4628</v>
      </c>
      <c r="C117" s="1566"/>
      <c r="D117" s="1737">
        <f>A117*31</f>
        <v>258.23</v>
      </c>
      <c r="E117" s="1567" t="s">
        <v>2845</v>
      </c>
      <c r="F117" s="1490">
        <v>35.5</v>
      </c>
      <c r="G117" s="662">
        <f t="shared" si="12"/>
        <v>9167</v>
      </c>
      <c r="H117" s="1584" t="s">
        <v>2931</v>
      </c>
      <c r="I117" s="1633"/>
      <c r="J117" s="1584" t="s">
        <v>2931</v>
      </c>
      <c r="K117" s="1634"/>
      <c r="L117" s="1584"/>
      <c r="M117" s="1633"/>
      <c r="N117" s="1584"/>
      <c r="O117" s="1633"/>
      <c r="P117" s="1584"/>
      <c r="Q117" s="1633"/>
      <c r="R117" s="1584"/>
      <c r="S117" s="1633"/>
    </row>
    <row r="118" spans="1:19">
      <c r="A118" s="1585"/>
      <c r="B118" s="1723" t="s">
        <v>3113</v>
      </c>
      <c r="C118" s="1566"/>
      <c r="D118" s="1489"/>
      <c r="E118" s="1567"/>
      <c r="F118" s="1490"/>
      <c r="G118" s="662">
        <f>ROUND(D118*F118,0)</f>
        <v>0</v>
      </c>
      <c r="H118" s="1584"/>
      <c r="I118" s="1633">
        <f>62125+6500</f>
        <v>68625</v>
      </c>
      <c r="J118" s="1584"/>
      <c r="K118" s="1634"/>
      <c r="L118" s="1584"/>
      <c r="M118" s="1633"/>
      <c r="N118" s="1584"/>
      <c r="O118" s="1633"/>
      <c r="P118" s="1584"/>
      <c r="Q118" s="1633"/>
      <c r="R118" s="1584"/>
      <c r="S118" s="1633"/>
    </row>
    <row r="119" spans="1:19">
      <c r="A119" s="1585"/>
      <c r="B119" s="1749" t="s">
        <v>3164</v>
      </c>
      <c r="C119" s="1566"/>
      <c r="D119" s="1489"/>
      <c r="E119" s="1567"/>
      <c r="F119" s="1490"/>
      <c r="G119" s="662">
        <f>ROUND(D119*F119,0)</f>
        <v>0</v>
      </c>
      <c r="H119" s="1584"/>
      <c r="I119" s="1633"/>
      <c r="J119" s="1584"/>
      <c r="K119" s="1634"/>
      <c r="L119" s="1584"/>
      <c r="M119" s="1633"/>
      <c r="N119" s="1584"/>
      <c r="O119" s="1633"/>
      <c r="P119" s="1584"/>
      <c r="Q119" s="1633"/>
      <c r="R119" s="1584"/>
      <c r="S119" s="1633"/>
    </row>
    <row r="120" spans="1:19">
      <c r="A120" s="1585">
        <f>2.67*2</f>
        <v>5.34</v>
      </c>
      <c r="B120" s="1740" t="s">
        <v>4651</v>
      </c>
      <c r="C120" s="1566"/>
      <c r="D120" s="1489">
        <f>A120*244</f>
        <v>1302.96</v>
      </c>
      <c r="E120" s="1567" t="s">
        <v>2845</v>
      </c>
      <c r="F120" s="1490">
        <v>35.5</v>
      </c>
      <c r="G120" s="662">
        <f>ROUND(D120*F120,0)</f>
        <v>46255</v>
      </c>
      <c r="H120" s="1584" t="s">
        <v>2931</v>
      </c>
      <c r="I120" s="1633"/>
      <c r="J120" s="1584" t="s">
        <v>2931</v>
      </c>
      <c r="K120" s="1634"/>
      <c r="L120" s="1584"/>
      <c r="M120" s="1633"/>
      <c r="N120" s="1584"/>
      <c r="O120" s="1633"/>
      <c r="P120" s="1584"/>
      <c r="Q120" s="1633"/>
      <c r="R120" s="1584"/>
      <c r="S120" s="1633"/>
    </row>
    <row r="121" spans="1:19">
      <c r="A121" s="1585">
        <v>5.75</v>
      </c>
      <c r="B121" s="1740" t="s">
        <v>4628</v>
      </c>
      <c r="C121" s="1566"/>
      <c r="D121" s="1489">
        <f>A121*244</f>
        <v>1403</v>
      </c>
      <c r="E121" s="1567" t="s">
        <v>2845</v>
      </c>
      <c r="F121" s="1490">
        <v>35.5</v>
      </c>
      <c r="G121" s="662">
        <f>ROUND(D121*F121,0)</f>
        <v>49807</v>
      </c>
      <c r="H121" s="1584" t="s">
        <v>2931</v>
      </c>
      <c r="I121" s="1633"/>
      <c r="J121" s="1584" t="s">
        <v>2931</v>
      </c>
      <c r="K121" s="1634"/>
      <c r="L121" s="1584"/>
      <c r="M121" s="1633"/>
      <c r="N121" s="1584"/>
      <c r="O121" s="1633"/>
      <c r="P121" s="1584"/>
      <c r="Q121" s="1633"/>
      <c r="R121" s="1584"/>
      <c r="S121" s="1633"/>
    </row>
    <row r="122" spans="1:19">
      <c r="A122" s="1585"/>
      <c r="B122" s="1726"/>
      <c r="C122" s="1566"/>
      <c r="D122" s="1523"/>
      <c r="E122" s="1567"/>
      <c r="F122" s="1490"/>
      <c r="G122" s="662"/>
      <c r="H122" s="1584"/>
      <c r="I122" s="1633"/>
      <c r="J122" s="1584"/>
      <c r="K122" s="1634"/>
      <c r="L122" s="1584"/>
      <c r="M122" s="1633"/>
      <c r="N122" s="1584"/>
      <c r="O122" s="1633"/>
      <c r="P122" s="1584"/>
      <c r="Q122" s="1633"/>
      <c r="R122" s="1584"/>
      <c r="S122" s="1633"/>
    </row>
    <row r="123" spans="1:19">
      <c r="A123" s="1585"/>
      <c r="B123" s="1726"/>
      <c r="C123" s="1566"/>
      <c r="D123" s="1523"/>
      <c r="E123" s="1567"/>
      <c r="F123" s="1490"/>
      <c r="G123" s="662"/>
      <c r="H123" s="1584"/>
      <c r="I123" s="1633"/>
      <c r="J123" s="1584"/>
      <c r="K123" s="1634"/>
      <c r="L123" s="1584"/>
      <c r="M123" s="1633"/>
      <c r="N123" s="1584"/>
      <c r="O123" s="1633"/>
      <c r="P123" s="1584"/>
      <c r="Q123" s="1633"/>
      <c r="R123" s="1584"/>
      <c r="S123" s="1633"/>
    </row>
    <row r="124" spans="1:19">
      <c r="A124" s="1585"/>
      <c r="B124" s="1743" t="s">
        <v>4653</v>
      </c>
      <c r="C124" s="1566"/>
      <c r="D124" s="1489"/>
      <c r="E124" s="1567"/>
      <c r="F124" s="1490"/>
      <c r="G124" s="662">
        <f t="shared" ref="G124:G133" si="13">ROUND(D124*F124,0)</f>
        <v>0</v>
      </c>
      <c r="H124" s="1584"/>
      <c r="I124" s="1633"/>
      <c r="J124" s="1584"/>
      <c r="K124" s="1634"/>
      <c r="L124" s="1584"/>
      <c r="M124" s="1633"/>
      <c r="N124" s="1584"/>
      <c r="O124" s="1633"/>
      <c r="P124" s="1584"/>
      <c r="Q124" s="1633"/>
      <c r="R124" s="1584"/>
      <c r="S124" s="1633"/>
    </row>
    <row r="125" spans="1:19">
      <c r="A125" s="1585"/>
      <c r="B125" s="1750" t="s">
        <v>4654</v>
      </c>
      <c r="C125" s="1566"/>
      <c r="D125" s="1489">
        <v>2963</v>
      </c>
      <c r="E125" s="1567" t="s">
        <v>2845</v>
      </c>
      <c r="F125" s="1490"/>
      <c r="G125" s="662">
        <f t="shared" si="13"/>
        <v>0</v>
      </c>
      <c r="H125" s="1584"/>
      <c r="I125" s="1633"/>
      <c r="J125" s="1584"/>
      <c r="K125" s="1634"/>
      <c r="L125" s="1584"/>
      <c r="M125" s="1633"/>
      <c r="N125" s="1584"/>
      <c r="O125" s="1633"/>
      <c r="P125" s="1584"/>
      <c r="Q125" s="1633"/>
      <c r="R125" s="1584"/>
      <c r="S125" s="1633"/>
    </row>
    <row r="126" spans="1:19">
      <c r="A126" s="1585"/>
      <c r="B126" s="1751" t="s">
        <v>4655</v>
      </c>
      <c r="C126" s="1566"/>
      <c r="D126" s="1489"/>
      <c r="E126" s="1567"/>
      <c r="F126" s="1490"/>
      <c r="G126" s="662">
        <f t="shared" ref="G126:G128" si="14">ROUND(D126*F126,0)</f>
        <v>0</v>
      </c>
      <c r="H126" s="1584"/>
      <c r="I126" s="1633"/>
      <c r="J126" s="1584"/>
      <c r="K126" s="1634"/>
      <c r="L126" s="1584"/>
      <c r="M126" s="1633"/>
      <c r="N126" s="1584"/>
      <c r="O126" s="1633"/>
      <c r="P126" s="1584"/>
      <c r="Q126" s="1633"/>
      <c r="R126" s="1584"/>
      <c r="S126" s="1633"/>
    </row>
    <row r="127" spans="1:19">
      <c r="A127" s="1585"/>
      <c r="B127" s="1750" t="s">
        <v>4656</v>
      </c>
      <c r="C127" s="1566"/>
      <c r="D127" s="1489">
        <v>3634</v>
      </c>
      <c r="E127" s="1567" t="s">
        <v>2845</v>
      </c>
      <c r="F127" s="1490"/>
      <c r="G127" s="662">
        <f t="shared" si="14"/>
        <v>0</v>
      </c>
      <c r="H127" s="1584"/>
      <c r="I127" s="1633"/>
      <c r="J127" s="1584"/>
      <c r="K127" s="1634"/>
      <c r="L127" s="1584"/>
      <c r="M127" s="1633"/>
      <c r="N127" s="1584"/>
      <c r="O127" s="1633"/>
      <c r="P127" s="1584"/>
      <c r="Q127" s="1633"/>
      <c r="R127" s="1584"/>
      <c r="S127" s="1633"/>
    </row>
    <row r="128" spans="1:19">
      <c r="A128" s="1585"/>
      <c r="B128" s="1750" t="s">
        <v>4657</v>
      </c>
      <c r="C128" s="1566"/>
      <c r="D128" s="1489">
        <v>269</v>
      </c>
      <c r="E128" s="1567" t="s">
        <v>2845</v>
      </c>
      <c r="F128" s="1490">
        <v>28</v>
      </c>
      <c r="G128" s="662">
        <f t="shared" si="14"/>
        <v>7532</v>
      </c>
      <c r="H128" s="1584" t="s">
        <v>2931</v>
      </c>
      <c r="I128" s="1633"/>
      <c r="J128" s="1584"/>
      <c r="K128" s="1643">
        <f>$G128</f>
        <v>7532</v>
      </c>
      <c r="L128" s="1584"/>
      <c r="M128" s="1633"/>
      <c r="N128" s="1584"/>
      <c r="O128" s="1633"/>
      <c r="P128" s="1584"/>
      <c r="Q128" s="1633"/>
      <c r="R128" s="1584"/>
      <c r="S128" s="1633"/>
    </row>
    <row r="129" spans="1:19">
      <c r="A129" s="1585"/>
      <c r="B129" s="1723"/>
      <c r="C129" s="1566"/>
      <c r="D129" s="1489"/>
      <c r="E129" s="1567"/>
      <c r="F129" s="1490"/>
      <c r="G129" s="662"/>
      <c r="H129" s="1584"/>
      <c r="I129" s="1633"/>
      <c r="J129" s="1584"/>
      <c r="K129" s="1634"/>
      <c r="L129" s="1584"/>
      <c r="M129" s="1633"/>
      <c r="N129" s="1584"/>
      <c r="O129" s="1633"/>
      <c r="P129" s="1584"/>
      <c r="Q129" s="1633"/>
      <c r="R129" s="1584"/>
      <c r="S129" s="1633"/>
    </row>
    <row r="130" spans="1:19">
      <c r="A130" s="1585"/>
      <c r="B130" s="1723"/>
      <c r="C130" s="1566"/>
      <c r="D130" s="1489"/>
      <c r="E130" s="1567"/>
      <c r="F130" s="1490"/>
      <c r="G130" s="662"/>
      <c r="H130" s="1584"/>
      <c r="I130" s="1633"/>
      <c r="J130" s="1584"/>
      <c r="K130" s="1634"/>
      <c r="L130" s="1584"/>
      <c r="M130" s="1633"/>
      <c r="N130" s="1584"/>
      <c r="O130" s="1633"/>
      <c r="P130" s="1584"/>
      <c r="Q130" s="1633"/>
      <c r="R130" s="1584"/>
      <c r="S130" s="1633"/>
    </row>
    <row r="131" spans="1:19">
      <c r="A131" s="1585"/>
      <c r="B131" s="1752" t="s">
        <v>4658</v>
      </c>
      <c r="C131" s="1566"/>
      <c r="D131" s="1489"/>
      <c r="E131" s="1567"/>
      <c r="F131" s="1490"/>
      <c r="G131" s="662">
        <f t="shared" si="13"/>
        <v>0</v>
      </c>
      <c r="H131" s="1584"/>
      <c r="I131" s="1633">
        <f>10650</f>
        <v>10650</v>
      </c>
      <c r="J131" s="1584"/>
      <c r="K131" s="1634"/>
      <c r="L131" s="1584"/>
      <c r="M131" s="1633"/>
      <c r="N131" s="1584"/>
      <c r="O131" s="1633"/>
      <c r="P131" s="1584"/>
      <c r="Q131" s="1633"/>
      <c r="R131" s="1584"/>
      <c r="S131" s="1633"/>
    </row>
    <row r="132" spans="1:19">
      <c r="A132" s="1585"/>
      <c r="B132" s="1753" t="s">
        <v>4659</v>
      </c>
      <c r="C132" s="1736"/>
      <c r="D132" s="1744">
        <f>'08 50 Storefront'!AA64</f>
        <v>1657.8399999999997</v>
      </c>
      <c r="E132" s="1738" t="s">
        <v>2845</v>
      </c>
      <c r="F132" s="1490">
        <v>6</v>
      </c>
      <c r="G132" s="662">
        <f t="shared" si="13"/>
        <v>9947</v>
      </c>
      <c r="H132" s="1584" t="s">
        <v>2931</v>
      </c>
      <c r="I132" s="1633"/>
      <c r="J132" s="1584"/>
      <c r="K132" s="1642">
        <f>$G132</f>
        <v>9947</v>
      </c>
      <c r="L132" s="1584"/>
      <c r="M132" s="1633"/>
      <c r="N132" s="1584"/>
      <c r="O132" s="1633"/>
      <c r="P132" s="1584"/>
      <c r="Q132" s="1633"/>
      <c r="R132" s="1584"/>
      <c r="S132" s="1633"/>
    </row>
    <row r="133" spans="1:19">
      <c r="A133" s="1585"/>
      <c r="B133" s="1723" t="s">
        <v>4660</v>
      </c>
      <c r="C133" s="1566"/>
      <c r="D133" s="1489">
        <f>20*0.83*15</f>
        <v>248.99999999999997</v>
      </c>
      <c r="E133" s="1567" t="s">
        <v>2845</v>
      </c>
      <c r="F133" s="1490">
        <v>6</v>
      </c>
      <c r="G133" s="662">
        <f t="shared" si="13"/>
        <v>1494</v>
      </c>
      <c r="H133" s="1584" t="s">
        <v>2931</v>
      </c>
      <c r="I133" s="1633"/>
      <c r="J133" s="1584"/>
      <c r="K133" s="1642">
        <f>$G133</f>
        <v>1494</v>
      </c>
      <c r="L133" s="1584"/>
      <c r="M133" s="1633"/>
      <c r="N133" s="1584"/>
      <c r="O133" s="1633"/>
      <c r="P133" s="1584"/>
      <c r="Q133" s="1633"/>
      <c r="R133" s="1584"/>
      <c r="S133" s="1633"/>
    </row>
    <row r="134" spans="1:19">
      <c r="A134" s="1585"/>
      <c r="B134" s="1743" t="s">
        <v>4661</v>
      </c>
      <c r="C134" s="1566"/>
      <c r="D134" s="1489"/>
      <c r="E134" s="1567"/>
      <c r="F134" s="1490"/>
      <c r="G134" s="662">
        <f t="shared" ref="G134:G136" si="15">ROUND(D134*F134,0)</f>
        <v>0</v>
      </c>
      <c r="H134" s="1584"/>
      <c r="I134" s="1633">
        <f>5100</f>
        <v>5100</v>
      </c>
      <c r="J134" s="1584"/>
      <c r="K134" s="1634"/>
      <c r="L134" s="1584"/>
      <c r="M134" s="1633"/>
      <c r="N134" s="1584"/>
      <c r="O134" s="1633"/>
      <c r="P134" s="1584"/>
      <c r="Q134" s="1633"/>
      <c r="R134" s="1584"/>
      <c r="S134" s="1633"/>
    </row>
    <row r="135" spans="1:19">
      <c r="A135" s="1585"/>
      <c r="B135" s="1723" t="s">
        <v>4659</v>
      </c>
      <c r="C135" s="1566"/>
      <c r="D135" s="1489">
        <f>'08 50 Storefront'!AA87</f>
        <v>616.83999999999992</v>
      </c>
      <c r="E135" s="1567" t="s">
        <v>2845</v>
      </c>
      <c r="F135" s="1490">
        <v>6</v>
      </c>
      <c r="G135" s="662">
        <f t="shared" si="15"/>
        <v>3701</v>
      </c>
      <c r="H135" s="1584" t="s">
        <v>2931</v>
      </c>
      <c r="I135" s="1633"/>
      <c r="J135" s="1584"/>
      <c r="K135" s="1642">
        <f>$G135</f>
        <v>3701</v>
      </c>
      <c r="L135" s="1584"/>
      <c r="M135" s="1633"/>
      <c r="N135" s="1584"/>
      <c r="O135" s="1633"/>
      <c r="P135" s="1584"/>
      <c r="Q135" s="1633"/>
      <c r="R135" s="1584"/>
      <c r="S135" s="1633"/>
    </row>
    <row r="136" spans="1:19">
      <c r="A136" s="1585"/>
      <c r="B136" s="1723" t="s">
        <v>4660</v>
      </c>
      <c r="C136" s="1566"/>
      <c r="D136" s="1489">
        <f>20*0.83*3</f>
        <v>49.8</v>
      </c>
      <c r="E136" s="1567" t="s">
        <v>2845</v>
      </c>
      <c r="F136" s="1490">
        <v>6</v>
      </c>
      <c r="G136" s="662">
        <f t="shared" si="15"/>
        <v>299</v>
      </c>
      <c r="H136" s="1584" t="s">
        <v>2931</v>
      </c>
      <c r="I136" s="1633"/>
      <c r="J136" s="1584"/>
      <c r="K136" s="1642">
        <f>$G136</f>
        <v>299</v>
      </c>
      <c r="L136" s="1584"/>
      <c r="M136" s="1633"/>
      <c r="N136" s="1584"/>
      <c r="O136" s="1633"/>
      <c r="P136" s="1584"/>
      <c r="Q136" s="1633"/>
      <c r="R136" s="1584"/>
      <c r="S136" s="1633"/>
    </row>
    <row r="137" spans="1:19">
      <c r="A137" s="1585"/>
      <c r="B137" s="1743" t="s">
        <v>4662</v>
      </c>
      <c r="C137" s="1566"/>
      <c r="D137" s="1489"/>
      <c r="E137" s="1567"/>
      <c r="F137" s="1490"/>
      <c r="G137" s="662">
        <f>ROUND(D137*F137,0)</f>
        <v>0</v>
      </c>
      <c r="H137" s="1584"/>
      <c r="I137" s="1633"/>
      <c r="J137" s="1584"/>
      <c r="K137" s="1634"/>
      <c r="L137" s="1584"/>
      <c r="M137" s="1633"/>
      <c r="N137" s="1584"/>
      <c r="O137" s="1633"/>
      <c r="P137" s="1584"/>
      <c r="Q137" s="1633"/>
      <c r="R137" s="1584"/>
      <c r="S137" s="1633"/>
    </row>
    <row r="138" spans="1:19">
      <c r="A138" s="1585"/>
      <c r="B138" s="1723" t="s">
        <v>4659</v>
      </c>
      <c r="C138" s="1566"/>
      <c r="D138" s="1489">
        <f>'08 50 Storefront'!AA160*0.83</f>
        <v>2055.1630000000009</v>
      </c>
      <c r="E138" s="1567" t="s">
        <v>2845</v>
      </c>
      <c r="F138" s="1490">
        <v>6</v>
      </c>
      <c r="G138" s="662">
        <f>ROUND(D138*F138,0)</f>
        <v>12331</v>
      </c>
      <c r="H138" s="1584"/>
      <c r="I138" s="1642">
        <f>$G138</f>
        <v>12331</v>
      </c>
      <c r="J138" s="1584"/>
      <c r="K138" s="1642">
        <f>$G138</f>
        <v>12331</v>
      </c>
      <c r="L138" s="1584"/>
      <c r="M138" s="1633"/>
      <c r="N138" s="1584"/>
      <c r="O138" s="1633"/>
      <c r="P138" s="1584"/>
      <c r="Q138" s="1633"/>
      <c r="R138" s="1584"/>
      <c r="S138" s="1633"/>
    </row>
    <row r="139" spans="1:19">
      <c r="A139" s="1585"/>
      <c r="B139" s="1723" t="s">
        <v>4660</v>
      </c>
      <c r="C139" s="1566"/>
      <c r="D139" s="1489">
        <f>20*0.83*4</f>
        <v>66.399999999999991</v>
      </c>
      <c r="E139" s="1567" t="s">
        <v>2845</v>
      </c>
      <c r="F139" s="1490">
        <v>6</v>
      </c>
      <c r="G139" s="662">
        <f>ROUND(D139*F139,0)</f>
        <v>398</v>
      </c>
      <c r="H139" s="1584"/>
      <c r="I139" s="1642">
        <f>$G139</f>
        <v>398</v>
      </c>
      <c r="J139" s="1584"/>
      <c r="K139" s="1642">
        <f>$G139</f>
        <v>398</v>
      </c>
      <c r="L139" s="1584"/>
      <c r="M139" s="1633"/>
      <c r="N139" s="1584"/>
      <c r="O139" s="1633"/>
      <c r="P139" s="1584"/>
      <c r="Q139" s="1633"/>
      <c r="R139" s="1584"/>
      <c r="S139" s="1633"/>
    </row>
    <row r="140" spans="1:19">
      <c r="A140" s="1585"/>
      <c r="B140" s="1754"/>
      <c r="C140" s="1736"/>
      <c r="D140" s="1744"/>
      <c r="E140" s="1738"/>
      <c r="F140" s="1490"/>
      <c r="G140" s="662"/>
      <c r="H140" s="1584"/>
      <c r="I140" s="1633"/>
      <c r="J140" s="1584"/>
      <c r="K140" s="1634"/>
      <c r="L140" s="1584"/>
      <c r="M140" s="1633"/>
      <c r="N140" s="1584"/>
      <c r="O140" s="1633"/>
      <c r="P140" s="1584"/>
      <c r="Q140" s="1633"/>
      <c r="R140" s="1584"/>
      <c r="S140" s="1633"/>
    </row>
    <row r="141" spans="1:19">
      <c r="A141" s="1585"/>
      <c r="B141" s="1755" t="s">
        <v>4663</v>
      </c>
      <c r="C141" s="1736"/>
      <c r="D141" s="1744">
        <f>'04 40 Stone Veneer'!D55</f>
        <v>14460</v>
      </c>
      <c r="E141" s="1738" t="s">
        <v>2845</v>
      </c>
      <c r="F141" s="1490">
        <v>5</v>
      </c>
      <c r="G141" s="662">
        <f t="shared" ref="G141:G162" si="16">ROUND(D141*F141,0)</f>
        <v>72300</v>
      </c>
      <c r="H141" s="1584"/>
      <c r="I141" s="1633">
        <f>37250+104500+20500</f>
        <v>162250</v>
      </c>
      <c r="J141" s="1584"/>
      <c r="K141" s="1634">
        <v>168987</v>
      </c>
      <c r="L141" s="1584"/>
      <c r="M141" s="1633"/>
      <c r="N141" s="1584"/>
      <c r="O141" s="1633"/>
      <c r="P141" s="1584"/>
      <c r="Q141" s="1633"/>
      <c r="R141" s="1584"/>
      <c r="S141" s="1633"/>
    </row>
    <row r="142" spans="1:19">
      <c r="A142" s="1585"/>
      <c r="B142" s="1743" t="s">
        <v>4664</v>
      </c>
      <c r="C142" s="1566"/>
      <c r="D142" s="1489">
        <v>8154</v>
      </c>
      <c r="E142" s="1567" t="s">
        <v>2845</v>
      </c>
      <c r="F142" s="1490">
        <v>5</v>
      </c>
      <c r="G142" s="662">
        <f t="shared" si="16"/>
        <v>40770</v>
      </c>
      <c r="H142" s="1584" t="s">
        <v>2931</v>
      </c>
      <c r="I142" s="1633"/>
      <c r="J142" s="1584" t="s">
        <v>2931</v>
      </c>
      <c r="K142" s="1634"/>
      <c r="L142" s="1584"/>
      <c r="M142" s="1633"/>
      <c r="N142" s="1584"/>
      <c r="O142" s="1633"/>
      <c r="P142" s="1584"/>
      <c r="Q142" s="1633"/>
      <c r="R142" s="1584"/>
      <c r="S142" s="1633"/>
    </row>
    <row r="143" spans="1:19">
      <c r="A143" s="1585"/>
      <c r="B143" s="1743"/>
      <c r="C143" s="1566"/>
      <c r="D143" s="1489"/>
      <c r="E143" s="1567"/>
      <c r="F143" s="1490"/>
      <c r="G143" s="662"/>
      <c r="H143" s="1584"/>
      <c r="I143" s="1633"/>
      <c r="J143" s="1584"/>
      <c r="K143" s="1634"/>
      <c r="L143" s="1584"/>
      <c r="M143" s="1633"/>
      <c r="N143" s="1584"/>
      <c r="O143" s="1633"/>
      <c r="P143" s="1584"/>
      <c r="Q143" s="1633"/>
      <c r="R143" s="1584"/>
      <c r="S143" s="1633"/>
    </row>
    <row r="144" spans="1:19">
      <c r="A144" s="1585"/>
      <c r="B144" s="1743" t="s">
        <v>4665</v>
      </c>
      <c r="C144" s="1566"/>
      <c r="D144" s="1489"/>
      <c r="E144" s="1567"/>
      <c r="F144" s="1490"/>
      <c r="G144" s="662">
        <f t="shared" si="16"/>
        <v>0</v>
      </c>
      <c r="H144" s="1584"/>
      <c r="I144" s="1633"/>
      <c r="J144" s="1584"/>
      <c r="K144" s="1634"/>
      <c r="L144" s="1584"/>
      <c r="M144" s="1633"/>
      <c r="N144" s="1584"/>
      <c r="O144" s="1633"/>
      <c r="P144" s="1584"/>
      <c r="Q144" s="1633"/>
      <c r="R144" s="1584"/>
      <c r="S144" s="1633"/>
    </row>
    <row r="145" spans="1:19">
      <c r="A145" s="1585"/>
      <c r="B145" s="1723" t="s">
        <v>4666</v>
      </c>
      <c r="C145" s="1566"/>
      <c r="D145" s="1756">
        <v>2940</v>
      </c>
      <c r="E145" s="1567" t="s">
        <v>2864</v>
      </c>
      <c r="F145" s="1490">
        <v>5</v>
      </c>
      <c r="G145" s="662">
        <f t="shared" si="16"/>
        <v>14700</v>
      </c>
      <c r="H145" s="1584"/>
      <c r="I145" s="1642">
        <f>$G145</f>
        <v>14700</v>
      </c>
      <c r="J145" s="1584"/>
      <c r="K145" s="1642">
        <f>$G145</f>
        <v>14700</v>
      </c>
      <c r="L145" s="1584"/>
      <c r="M145" s="1633"/>
      <c r="N145" s="1584"/>
      <c r="O145" s="1633"/>
      <c r="P145" s="1584"/>
      <c r="Q145" s="1633"/>
      <c r="R145" s="1584"/>
      <c r="S145" s="1633"/>
    </row>
    <row r="146" spans="1:19">
      <c r="A146" s="1585"/>
      <c r="B146" s="1723" t="s">
        <v>4667</v>
      </c>
      <c r="C146" s="1566"/>
      <c r="D146" s="1489">
        <f>'Area Calculations'!F5</f>
        <v>88672</v>
      </c>
      <c r="E146" s="1567" t="s">
        <v>2845</v>
      </c>
      <c r="F146" s="1490">
        <v>0.3</v>
      </c>
      <c r="G146" s="662">
        <f t="shared" si="16"/>
        <v>26602</v>
      </c>
      <c r="H146" s="1584"/>
      <c r="I146" s="1642">
        <f>$G146</f>
        <v>26602</v>
      </c>
      <c r="J146" s="1584"/>
      <c r="K146" s="1642">
        <f>$G146</f>
        <v>26602</v>
      </c>
      <c r="L146" s="1584"/>
      <c r="M146" s="1633"/>
      <c r="N146" s="1584"/>
      <c r="O146" s="1633"/>
      <c r="P146" s="1584"/>
      <c r="Q146" s="1633"/>
      <c r="R146" s="1584"/>
      <c r="S146" s="1633"/>
    </row>
    <row r="147" spans="1:19">
      <c r="A147" s="1585"/>
      <c r="B147" s="1723"/>
      <c r="C147" s="1736"/>
      <c r="D147" s="1737"/>
      <c r="E147" s="1738"/>
      <c r="F147" s="1745"/>
      <c r="G147" s="662">
        <f>ROUND(D147*F147,0)</f>
        <v>0</v>
      </c>
      <c r="H147" s="1584"/>
      <c r="I147" s="1633"/>
      <c r="J147" s="1584"/>
      <c r="K147" s="1634"/>
      <c r="L147" s="1584"/>
      <c r="M147" s="1633"/>
      <c r="N147" s="1584"/>
      <c r="O147" s="1633"/>
      <c r="P147" s="1584"/>
      <c r="Q147" s="1633"/>
      <c r="R147" s="1584"/>
      <c r="S147" s="1633"/>
    </row>
    <row r="148" spans="1:19">
      <c r="A148" s="1585"/>
      <c r="B148" s="1743" t="s">
        <v>4668</v>
      </c>
      <c r="C148" s="1566"/>
      <c r="D148" s="1523">
        <v>1</v>
      </c>
      <c r="E148" s="1567" t="s">
        <v>2818</v>
      </c>
      <c r="F148" s="1490">
        <v>125000</v>
      </c>
      <c r="G148" s="662">
        <f>ROUND(D148*F148,0)</f>
        <v>125000</v>
      </c>
      <c r="H148" s="1584"/>
      <c r="I148" s="1642">
        <f>$G148</f>
        <v>125000</v>
      </c>
      <c r="J148" s="1584"/>
      <c r="K148" s="1642">
        <f>$G148</f>
        <v>125000</v>
      </c>
      <c r="L148" s="1584"/>
      <c r="M148" s="1633"/>
      <c r="N148" s="1584"/>
      <c r="O148" s="1633"/>
      <c r="P148" s="1584"/>
      <c r="Q148" s="1633"/>
      <c r="R148" s="1584"/>
      <c r="S148" s="1633"/>
    </row>
    <row r="149" spans="1:19">
      <c r="A149" s="1585"/>
      <c r="B149" s="1723"/>
      <c r="C149" s="1566"/>
      <c r="D149" s="1737"/>
      <c r="E149" s="1567"/>
      <c r="F149" s="1490"/>
      <c r="G149" s="662">
        <f>ROUND(D149*F149,0)</f>
        <v>0</v>
      </c>
      <c r="H149" s="1584"/>
      <c r="I149" s="1633"/>
      <c r="J149" s="1584"/>
      <c r="K149" s="1634"/>
      <c r="L149" s="1584"/>
      <c r="M149" s="1633"/>
      <c r="N149" s="1584"/>
      <c r="O149" s="1633"/>
      <c r="P149" s="1584"/>
      <c r="Q149" s="1633"/>
      <c r="R149" s="1584"/>
      <c r="S149" s="1633"/>
    </row>
    <row r="150" spans="1:19">
      <c r="A150" s="1585"/>
      <c r="B150" s="1715"/>
      <c r="C150" s="1566"/>
      <c r="D150" s="1489"/>
      <c r="E150" s="1567"/>
      <c r="F150" s="1490"/>
      <c r="G150" s="662">
        <f t="shared" si="16"/>
        <v>0</v>
      </c>
      <c r="H150" s="1584"/>
      <c r="I150" s="1633"/>
      <c r="J150" s="1584"/>
      <c r="K150" s="1634"/>
      <c r="L150" s="1584"/>
      <c r="M150" s="1633"/>
      <c r="N150" s="1584"/>
      <c r="O150" s="1633"/>
      <c r="P150" s="1584"/>
      <c r="Q150" s="1633"/>
      <c r="R150" s="1584"/>
      <c r="S150" s="1633"/>
    </row>
    <row r="151" spans="1:19">
      <c r="A151" s="1585"/>
      <c r="B151" s="1757" t="s">
        <v>3235</v>
      </c>
      <c r="C151" s="1566"/>
      <c r="D151" s="1489"/>
      <c r="E151" s="1567"/>
      <c r="F151" s="1490"/>
      <c r="G151" s="662">
        <f t="shared" si="16"/>
        <v>0</v>
      </c>
      <c r="H151" s="1584"/>
      <c r="I151" s="1729">
        <f>SUBTOTAL(9,I152:I155)</f>
        <v>8509</v>
      </c>
      <c r="J151" s="1584"/>
      <c r="K151" s="1729">
        <f>SUBTOTAL(9,K152:K155)</f>
        <v>11579</v>
      </c>
      <c r="L151" s="1584"/>
      <c r="M151" s="1633"/>
      <c r="N151" s="1584"/>
      <c r="O151" s="1633"/>
      <c r="P151" s="1584"/>
      <c r="Q151" s="1633"/>
      <c r="R151" s="1584"/>
      <c r="S151" s="1633"/>
    </row>
    <row r="152" spans="1:19">
      <c r="A152" s="1585"/>
      <c r="B152" s="1743" t="s">
        <v>4664</v>
      </c>
      <c r="C152" s="1566"/>
      <c r="D152" s="1489">
        <v>1602</v>
      </c>
      <c r="E152" s="1567" t="s">
        <v>2845</v>
      </c>
      <c r="F152" s="1490">
        <v>5</v>
      </c>
      <c r="G152" s="662">
        <f t="shared" si="16"/>
        <v>8010</v>
      </c>
      <c r="H152" s="1584"/>
      <c r="I152" s="1642">
        <f>$G152</f>
        <v>8010</v>
      </c>
      <c r="J152" s="1584"/>
      <c r="K152" s="1634">
        <v>11080</v>
      </c>
      <c r="L152" s="1584"/>
      <c r="M152" s="1633"/>
      <c r="N152" s="1584"/>
      <c r="O152" s="1633"/>
      <c r="P152" s="1584"/>
      <c r="Q152" s="1633"/>
      <c r="R152" s="1584"/>
      <c r="S152" s="1633"/>
    </row>
    <row r="153" spans="1:19">
      <c r="A153" s="1585"/>
      <c r="B153" s="1723" t="s">
        <v>4666</v>
      </c>
      <c r="C153" s="1566"/>
      <c r="D153" s="1756">
        <v>60</v>
      </c>
      <c r="E153" s="1567" t="s">
        <v>2864</v>
      </c>
      <c r="F153" s="1490">
        <v>5</v>
      </c>
      <c r="G153" s="662">
        <f t="shared" si="16"/>
        <v>300</v>
      </c>
      <c r="H153" s="1584"/>
      <c r="I153" s="1642">
        <f>$G153</f>
        <v>300</v>
      </c>
      <c r="J153" s="1584"/>
      <c r="K153" s="1642">
        <f>$G153</f>
        <v>300</v>
      </c>
      <c r="L153" s="1584"/>
      <c r="M153" s="1633"/>
      <c r="N153" s="1584"/>
      <c r="O153" s="1633"/>
      <c r="P153" s="1584"/>
      <c r="Q153" s="1633"/>
      <c r="R153" s="1584"/>
      <c r="S153" s="1633"/>
    </row>
    <row r="154" spans="1:19">
      <c r="A154" s="1585"/>
      <c r="B154" s="1743" t="s">
        <v>4669</v>
      </c>
      <c r="C154" s="1566"/>
      <c r="D154" s="1489"/>
      <c r="E154" s="1567"/>
      <c r="F154" s="1490"/>
      <c r="G154" s="662">
        <f t="shared" si="16"/>
        <v>0</v>
      </c>
      <c r="H154" s="1584"/>
      <c r="I154" s="1633"/>
      <c r="J154" s="1584"/>
      <c r="K154" s="1634"/>
      <c r="L154" s="1584"/>
      <c r="M154" s="1633"/>
      <c r="N154" s="1584"/>
      <c r="O154" s="1633"/>
      <c r="P154" s="1584"/>
      <c r="Q154" s="1633"/>
      <c r="R154" s="1584"/>
      <c r="S154" s="1633"/>
    </row>
    <row r="155" spans="1:19">
      <c r="A155" s="1585"/>
      <c r="B155" s="1723" t="s">
        <v>4660</v>
      </c>
      <c r="C155" s="1566"/>
      <c r="D155" s="1489">
        <f>20*0.83*2</f>
        <v>33.199999999999996</v>
      </c>
      <c r="E155" s="1567" t="s">
        <v>2864</v>
      </c>
      <c r="F155" s="1490">
        <v>6</v>
      </c>
      <c r="G155" s="662">
        <f t="shared" si="16"/>
        <v>199</v>
      </c>
      <c r="H155" s="1584"/>
      <c r="I155" s="1642">
        <f>$G155</f>
        <v>199</v>
      </c>
      <c r="J155" s="1584"/>
      <c r="K155" s="1642">
        <f>$G155</f>
        <v>199</v>
      </c>
      <c r="L155" s="1584"/>
      <c r="M155" s="1633"/>
      <c r="N155" s="1584"/>
      <c r="O155" s="1633"/>
      <c r="P155" s="1584"/>
      <c r="Q155" s="1633"/>
      <c r="R155" s="1584"/>
      <c r="S155" s="1633"/>
    </row>
    <row r="156" spans="1:19">
      <c r="A156" s="1585"/>
      <c r="B156" s="1723"/>
      <c r="C156" s="1566"/>
      <c r="D156" s="1489"/>
      <c r="E156" s="1567"/>
      <c r="F156" s="1490"/>
      <c r="G156" s="662">
        <f t="shared" si="16"/>
        <v>0</v>
      </c>
      <c r="H156" s="1584"/>
      <c r="I156" s="1633"/>
      <c r="J156" s="1584"/>
      <c r="K156" s="1634"/>
      <c r="L156" s="1584"/>
      <c r="M156" s="1633"/>
      <c r="N156" s="1584"/>
      <c r="O156" s="1633"/>
      <c r="P156" s="1584"/>
      <c r="Q156" s="1633"/>
      <c r="R156" s="1584"/>
      <c r="S156" s="1633"/>
    </row>
    <row r="157" spans="1:19">
      <c r="A157" s="1585"/>
      <c r="B157" s="1757" t="s">
        <v>2697</v>
      </c>
      <c r="C157" s="1566"/>
      <c r="D157" s="1489"/>
      <c r="E157" s="1567"/>
      <c r="F157" s="1490"/>
      <c r="G157" s="662">
        <f t="shared" si="16"/>
        <v>0</v>
      </c>
      <c r="H157" s="1584"/>
      <c r="I157" s="1729">
        <f>SUBTOTAL(9,I158:I161)</f>
        <v>29850</v>
      </c>
      <c r="J157" s="1584"/>
      <c r="K157" s="1729">
        <f>SUBTOTAL(9,K158:K161)</f>
        <v>38047</v>
      </c>
      <c r="L157" s="1584"/>
      <c r="M157" s="1633"/>
      <c r="N157" s="1584"/>
      <c r="O157" s="1633"/>
      <c r="P157" s="1584"/>
      <c r="Q157" s="1633"/>
      <c r="R157" s="1584"/>
      <c r="S157" s="1633"/>
    </row>
    <row r="158" spans="1:19">
      <c r="A158" s="1585"/>
      <c r="B158" s="1743" t="s">
        <v>4664</v>
      </c>
      <c r="C158" s="1566"/>
      <c r="D158" s="1489">
        <v>4833</v>
      </c>
      <c r="E158" s="1567" t="s">
        <v>3112</v>
      </c>
      <c r="F158" s="1490">
        <v>5</v>
      </c>
      <c r="G158" s="662">
        <f t="shared" si="16"/>
        <v>24165</v>
      </c>
      <c r="H158" s="1584"/>
      <c r="I158" s="1633">
        <v>24000</v>
      </c>
      <c r="J158" s="1584"/>
      <c r="K158" s="1634">
        <v>32197</v>
      </c>
      <c r="L158" s="1584"/>
      <c r="M158" s="1633"/>
      <c r="N158" s="1584"/>
      <c r="O158" s="1633"/>
      <c r="P158" s="1584"/>
      <c r="Q158" s="1633"/>
      <c r="R158" s="1584"/>
      <c r="S158" s="1633"/>
    </row>
    <row r="159" spans="1:19">
      <c r="A159" s="1585"/>
      <c r="B159" s="1723" t="s">
        <v>4666</v>
      </c>
      <c r="C159" s="1566"/>
      <c r="D159" s="1756">
        <v>477</v>
      </c>
      <c r="E159" s="1567" t="s">
        <v>2864</v>
      </c>
      <c r="F159" s="1490">
        <v>5</v>
      </c>
      <c r="G159" s="662">
        <f t="shared" si="16"/>
        <v>2385</v>
      </c>
      <c r="H159" s="1584"/>
      <c r="I159" s="1642">
        <f>$G159</f>
        <v>2385</v>
      </c>
      <c r="J159" s="1584"/>
      <c r="K159" s="1642">
        <f>$G159</f>
        <v>2385</v>
      </c>
      <c r="L159" s="1584"/>
      <c r="M159" s="1633"/>
      <c r="N159" s="1584"/>
      <c r="O159" s="1633"/>
      <c r="P159" s="1584"/>
      <c r="Q159" s="1633"/>
      <c r="R159" s="1584"/>
      <c r="S159" s="1633"/>
    </row>
    <row r="160" spans="1:19">
      <c r="A160" s="1585"/>
      <c r="B160" s="1743" t="s">
        <v>4669</v>
      </c>
      <c r="C160" s="1566"/>
      <c r="D160" s="1489"/>
      <c r="E160" s="1567"/>
      <c r="F160" s="1490"/>
      <c r="G160" s="662">
        <f t="shared" si="16"/>
        <v>0</v>
      </c>
      <c r="H160" s="1584"/>
      <c r="I160" s="1633"/>
      <c r="J160" s="1584"/>
      <c r="K160" s="1633"/>
      <c r="L160" s="1584"/>
      <c r="M160" s="1633"/>
      <c r="N160" s="1584"/>
      <c r="O160" s="1633"/>
      <c r="P160" s="1584"/>
      <c r="Q160" s="1633"/>
      <c r="R160" s="1584"/>
      <c r="S160" s="1633"/>
    </row>
    <row r="161" spans="1:34">
      <c r="A161" s="1585"/>
      <c r="B161" s="1723" t="s">
        <v>4659</v>
      </c>
      <c r="C161" s="1566"/>
      <c r="D161" s="1489">
        <f>'08 50 Storefront'!AA222*0.83</f>
        <v>577.46420000000012</v>
      </c>
      <c r="E161" s="1567" t="s">
        <v>2845</v>
      </c>
      <c r="F161" s="1490">
        <v>6</v>
      </c>
      <c r="G161" s="662">
        <f t="shared" ref="G161" si="17">ROUND(D161*F161,0)</f>
        <v>3465</v>
      </c>
      <c r="H161" s="1584"/>
      <c r="I161" s="1642">
        <f t="shared" ref="I161:K161" si="18">$G161</f>
        <v>3465</v>
      </c>
      <c r="J161" s="1584"/>
      <c r="K161" s="1642">
        <f t="shared" si="18"/>
        <v>3465</v>
      </c>
      <c r="L161" s="1584"/>
      <c r="M161" s="1633"/>
      <c r="N161" s="1584"/>
      <c r="O161" s="1633"/>
      <c r="P161" s="1584"/>
      <c r="Q161" s="1633"/>
      <c r="R161" s="1584"/>
      <c r="S161" s="1633"/>
    </row>
    <row r="162" spans="1:34">
      <c r="A162" s="1585"/>
      <c r="B162" s="1723"/>
      <c r="C162" s="1566"/>
      <c r="D162" s="1737"/>
      <c r="E162" s="1567"/>
      <c r="F162" s="1490"/>
      <c r="G162" s="662">
        <f t="shared" si="16"/>
        <v>0</v>
      </c>
      <c r="H162" s="1584"/>
      <c r="I162" s="1633"/>
      <c r="J162" s="1584"/>
      <c r="K162" s="1634"/>
      <c r="L162" s="1584"/>
      <c r="M162" s="1633"/>
      <c r="N162" s="1584"/>
      <c r="O162" s="1633"/>
      <c r="P162" s="1584"/>
      <c r="Q162" s="1633"/>
      <c r="R162" s="1584"/>
      <c r="S162" s="1633"/>
    </row>
    <row r="163" spans="1:34" ht="15.75" thickBot="1">
      <c r="A163" s="1585"/>
      <c r="B163" s="1758"/>
      <c r="C163" s="1759"/>
      <c r="D163" s="1737"/>
      <c r="E163" s="1567"/>
      <c r="F163" s="1490"/>
      <c r="G163" s="662"/>
      <c r="H163" s="1584"/>
      <c r="I163" s="1634"/>
      <c r="J163" s="1584"/>
      <c r="K163" s="1634"/>
      <c r="L163" s="1584"/>
      <c r="M163" s="1634"/>
      <c r="N163" s="1584"/>
      <c r="O163" s="1634"/>
      <c r="P163" s="1584"/>
      <c r="Q163" s="1634"/>
      <c r="R163" s="1584"/>
      <c r="S163" s="1634"/>
    </row>
    <row r="164" spans="1:34" ht="15.75" thickTop="1">
      <c r="A164" s="13"/>
      <c r="B164" s="226" t="s">
        <v>3265</v>
      </c>
      <c r="C164" s="15"/>
      <c r="D164" s="168"/>
      <c r="E164" s="176"/>
      <c r="F164" s="376"/>
      <c r="G164" s="227">
        <f>SUBTOTAL(9,G118:G163)</f>
        <v>449660</v>
      </c>
      <c r="H164" s="19"/>
      <c r="I164" s="225">
        <f>SUBTOTAL(9,I20:I163)</f>
        <v>2084242.5</v>
      </c>
      <c r="J164" s="19"/>
      <c r="K164" s="225">
        <f>SUBTOTAL(9,K20:K163)</f>
        <v>2044381</v>
      </c>
      <c r="L164" s="19"/>
      <c r="M164" s="225">
        <f>SUBTOTAL(9,M20:M163)</f>
        <v>0</v>
      </c>
      <c r="N164" s="19"/>
      <c r="O164" s="225">
        <f>SUBTOTAL(9,O20:O163)</f>
        <v>0</v>
      </c>
      <c r="P164" s="19"/>
      <c r="Q164" s="225">
        <f>SUBTOTAL(9,Q20:Q163)</f>
        <v>0</v>
      </c>
      <c r="R164" s="19"/>
      <c r="S164" s="225">
        <f>SUBTOTAL(9,S20:S163)</f>
        <v>0</v>
      </c>
    </row>
    <row r="165" spans="1:34">
      <c r="A165" s="1526"/>
      <c r="B165" s="1760" t="s">
        <v>2976</v>
      </c>
      <c r="C165" s="1761"/>
      <c r="D165" s="1762"/>
      <c r="E165" s="1763"/>
      <c r="F165" s="1764"/>
      <c r="G165" s="654"/>
      <c r="H165" s="1532">
        <v>0</v>
      </c>
      <c r="I165" s="645"/>
      <c r="J165" s="1532">
        <v>0</v>
      </c>
      <c r="K165" s="645"/>
      <c r="L165" s="1532">
        <v>0</v>
      </c>
      <c r="M165" s="645"/>
      <c r="N165" s="1532">
        <v>0</v>
      </c>
      <c r="O165" s="645"/>
      <c r="P165" s="1532">
        <v>0</v>
      </c>
      <c r="Q165" s="645"/>
      <c r="R165" s="1532">
        <v>0</v>
      </c>
      <c r="S165" s="645"/>
    </row>
    <row r="166" spans="1:34">
      <c r="A166" s="1526"/>
      <c r="B166" s="1760" t="s">
        <v>2977</v>
      </c>
      <c r="C166" s="1761"/>
      <c r="D166" s="1762"/>
      <c r="E166" s="1763"/>
      <c r="F166" s="1764"/>
      <c r="G166" s="654">
        <f>F165*G164</f>
        <v>0</v>
      </c>
      <c r="H166" s="1533"/>
      <c r="I166" s="1534">
        <f>H165*I164</f>
        <v>0</v>
      </c>
      <c r="J166" s="1533"/>
      <c r="K166" s="1534">
        <f>J165*K164</f>
        <v>0</v>
      </c>
      <c r="L166" s="1533"/>
      <c r="M166" s="1534">
        <f>L165*M164</f>
        <v>0</v>
      </c>
      <c r="N166" s="1533"/>
      <c r="O166" s="1534">
        <f>N165*O164</f>
        <v>0</v>
      </c>
      <c r="P166" s="1533"/>
      <c r="Q166" s="1534">
        <f>P165*Q164</f>
        <v>0</v>
      </c>
      <c r="R166" s="1533"/>
      <c r="S166" s="1534">
        <f>R165*S164</f>
        <v>0</v>
      </c>
    </row>
    <row r="167" spans="1:34">
      <c r="A167" s="1526"/>
      <c r="B167" s="1760"/>
      <c r="C167" s="1761"/>
      <c r="D167" s="1762"/>
      <c r="E167" s="1763"/>
      <c r="F167" s="1764"/>
      <c r="G167" s="654"/>
      <c r="H167" s="1533"/>
      <c r="I167" s="1534"/>
      <c r="J167" s="1533"/>
      <c r="K167" s="1534"/>
      <c r="L167" s="1533"/>
      <c r="M167" s="1534"/>
      <c r="N167" s="1533"/>
      <c r="O167" s="1534"/>
      <c r="P167" s="1533"/>
      <c r="Q167" s="1534"/>
      <c r="R167" s="1533"/>
      <c r="S167" s="1534"/>
    </row>
    <row r="168" spans="1:34">
      <c r="A168" s="1526"/>
      <c r="B168" s="1760" t="s">
        <v>2978</v>
      </c>
      <c r="C168" s="1761"/>
      <c r="D168" s="1762"/>
      <c r="E168" s="1763"/>
      <c r="F168" s="1764"/>
      <c r="G168" s="654">
        <f>SUM(G164:G166)</f>
        <v>449660</v>
      </c>
      <c r="H168" s="1535"/>
      <c r="I168" s="1534">
        <f>SUM(I164:I166)</f>
        <v>2084242.5</v>
      </c>
      <c r="J168" s="1535"/>
      <c r="K168" s="1534">
        <f>SUM(K164:K166)</f>
        <v>2044381</v>
      </c>
      <c r="L168" s="1535"/>
      <c r="M168" s="1534">
        <f>SUM(M164:M166)</f>
        <v>0</v>
      </c>
      <c r="N168" s="1535"/>
      <c r="O168" s="1534">
        <f>SUM(O164:O166)</f>
        <v>0</v>
      </c>
      <c r="P168" s="1535"/>
      <c r="Q168" s="1534">
        <f>SUM(Q164:Q166)</f>
        <v>0</v>
      </c>
      <c r="R168" s="1535"/>
      <c r="S168" s="1534">
        <f>SUM(S164:S166)</f>
        <v>0</v>
      </c>
    </row>
    <row r="169" spans="1:34">
      <c r="A169" s="1526"/>
      <c r="B169" s="1765" t="s">
        <v>2979</v>
      </c>
      <c r="C169" s="1761"/>
      <c r="D169" s="1762"/>
      <c r="E169" s="1763"/>
      <c r="F169" s="1766"/>
      <c r="G169" s="655">
        <f>G168/'Area Calculations'!$F$5</f>
        <v>5.0710483579935044</v>
      </c>
      <c r="H169" s="1538"/>
      <c r="I169" s="1539">
        <f>I168/'Area Calculations'!$F$5</f>
        <v>23.505080521472394</v>
      </c>
      <c r="J169" s="1538"/>
      <c r="K169" s="1539">
        <f>K168/'Area Calculations'!$F$5</f>
        <v>23.055541771923494</v>
      </c>
      <c r="L169" s="1538"/>
      <c r="M169" s="1539">
        <f>M168/'Area Calculations'!$F$5</f>
        <v>0</v>
      </c>
      <c r="N169" s="1538"/>
      <c r="O169" s="1539">
        <f>O168/'Area Calculations'!$F$5</f>
        <v>0</v>
      </c>
      <c r="P169" s="1538"/>
      <c r="Q169" s="1539">
        <f>Q168/'Area Calculations'!$F$5</f>
        <v>0</v>
      </c>
      <c r="R169" s="1540"/>
      <c r="S169" s="1539">
        <f>S168/'Area Calculations'!$F$5</f>
        <v>0</v>
      </c>
    </row>
    <row r="170" spans="1:34">
      <c r="A170" s="1526"/>
      <c r="B170" s="1767"/>
      <c r="C170" s="1761"/>
      <c r="D170" s="1762"/>
      <c r="E170" s="1763"/>
      <c r="F170" s="1764"/>
      <c r="G170" s="656"/>
      <c r="H170" s="1542"/>
      <c r="I170" s="1542"/>
      <c r="J170" s="1542"/>
      <c r="K170" s="1542"/>
      <c r="L170" s="1542"/>
      <c r="M170" s="1543"/>
      <c r="N170" s="1542"/>
      <c r="O170" s="1542"/>
      <c r="P170" s="1542"/>
      <c r="Q170" s="1542"/>
      <c r="R170" s="1542"/>
      <c r="S170" s="1542"/>
    </row>
    <row r="171" spans="1:34" ht="16.5" hidden="1" thickTop="1" thickBot="1">
      <c r="A171" s="830" t="s">
        <v>2980</v>
      </c>
      <c r="B171" s="831"/>
      <c r="C171" s="12"/>
      <c r="D171" s="169"/>
      <c r="E171" s="177"/>
      <c r="F171" s="377"/>
      <c r="G171" s="228"/>
      <c r="H171" s="20"/>
      <c r="I171" s="20"/>
      <c r="J171" s="20"/>
      <c r="K171" s="20"/>
      <c r="L171" s="20"/>
      <c r="M171" s="20"/>
      <c r="N171" s="20"/>
      <c r="O171" s="20"/>
      <c r="P171" s="20"/>
      <c r="Q171" s="20"/>
      <c r="R171" s="20"/>
      <c r="S171" s="20"/>
    </row>
    <row r="172" spans="1:34" ht="15.75" hidden="1" thickTop="1">
      <c r="A172" s="1768"/>
      <c r="B172" s="1601"/>
      <c r="C172" s="1769"/>
      <c r="D172" s="1770"/>
      <c r="E172" s="1771"/>
      <c r="F172" s="1772"/>
      <c r="G172" s="1773"/>
      <c r="H172" s="1774"/>
      <c r="I172" s="1774"/>
      <c r="J172" s="1774"/>
      <c r="K172" s="1774"/>
      <c r="L172" s="1774"/>
      <c r="M172" s="1774"/>
      <c r="N172" s="1774"/>
      <c r="O172" s="1774"/>
      <c r="P172" s="1774"/>
      <c r="Q172" s="1774"/>
      <c r="R172" s="1774"/>
      <c r="S172" s="1774"/>
    </row>
    <row r="173" spans="1:34" hidden="1">
      <c r="A173" s="1768"/>
      <c r="B173" s="1601"/>
      <c r="C173" s="1769"/>
      <c r="D173" s="1770"/>
      <c r="E173" s="1771"/>
      <c r="F173" s="1772"/>
      <c r="G173" s="1773"/>
      <c r="H173" s="1774"/>
      <c r="I173" s="1774"/>
      <c r="J173" s="1774"/>
      <c r="K173" s="1774"/>
      <c r="L173" s="1774"/>
      <c r="M173" s="1774"/>
      <c r="N173" s="1774"/>
      <c r="O173" s="1774"/>
      <c r="P173" s="1774"/>
      <c r="Q173" s="1774"/>
      <c r="R173" s="1774"/>
      <c r="S173" s="1774"/>
    </row>
    <row r="174" spans="1:34" ht="15.75" hidden="1" thickBot="1">
      <c r="A174" s="1768"/>
      <c r="B174" s="1601"/>
      <c r="C174" s="1769"/>
      <c r="D174" s="1770"/>
      <c r="E174" s="1771"/>
      <c r="F174" s="1772"/>
      <c r="G174" s="1773"/>
      <c r="H174" s="1774"/>
      <c r="I174" s="1774"/>
      <c r="J174" s="1774"/>
      <c r="K174" s="1774"/>
      <c r="L174" s="1774"/>
      <c r="M174" s="1774"/>
      <c r="N174" s="1774"/>
      <c r="O174" s="1774"/>
      <c r="P174" s="1774"/>
      <c r="Q174" s="1774"/>
      <c r="R174" s="1774"/>
      <c r="S174" s="1774"/>
    </row>
    <row r="175" spans="1:34" s="2" customFormat="1" ht="16.5" hidden="1" thickTop="1" thickBot="1">
      <c r="A175" s="830" t="s">
        <v>2981</v>
      </c>
      <c r="B175" s="831"/>
      <c r="C175" s="12"/>
      <c r="D175" s="169"/>
      <c r="E175" s="177"/>
      <c r="F175" s="377"/>
      <c r="G175" s="228"/>
      <c r="H175" s="20"/>
      <c r="I175" s="20"/>
      <c r="J175" s="20"/>
      <c r="K175" s="20"/>
      <c r="L175" s="20"/>
      <c r="M175" s="20"/>
      <c r="N175" s="20"/>
      <c r="O175" s="20"/>
      <c r="P175" s="20"/>
      <c r="Q175" s="20"/>
      <c r="R175" s="20"/>
      <c r="S175" s="20"/>
      <c r="T175"/>
      <c r="U175"/>
      <c r="V175"/>
      <c r="W175"/>
      <c r="X175"/>
      <c r="Y175"/>
      <c r="Z175"/>
      <c r="AA175"/>
      <c r="AB175"/>
      <c r="AC175"/>
      <c r="AD175"/>
      <c r="AE175"/>
      <c r="AF175"/>
      <c r="AG175"/>
      <c r="AH175"/>
    </row>
    <row r="176" spans="1:34" s="2" customFormat="1" ht="15.75" hidden="1" thickTop="1">
      <c r="A176" s="1768"/>
      <c r="B176" s="1601"/>
      <c r="C176" s="1769"/>
      <c r="D176" s="1770"/>
      <c r="E176" s="1771"/>
      <c r="F176" s="1772"/>
      <c r="G176" s="1773"/>
      <c r="H176" s="1774"/>
      <c r="I176" s="1774"/>
      <c r="J176" s="1774"/>
      <c r="K176" s="1774"/>
      <c r="L176" s="1774"/>
      <c r="M176" s="1774"/>
      <c r="N176" s="1774"/>
      <c r="O176" s="1774"/>
      <c r="P176" s="1774"/>
      <c r="Q176" s="1774"/>
      <c r="R176" s="1774"/>
      <c r="S176" s="1774"/>
      <c r="T176"/>
      <c r="U176"/>
      <c r="V176"/>
      <c r="W176"/>
      <c r="X176"/>
      <c r="Y176"/>
      <c r="Z176"/>
      <c r="AA176"/>
      <c r="AB176"/>
      <c r="AC176"/>
      <c r="AD176"/>
      <c r="AE176"/>
      <c r="AF176"/>
      <c r="AG176"/>
      <c r="AH176"/>
    </row>
    <row r="177" spans="1:34" s="2" customFormat="1" hidden="1">
      <c r="A177" s="1768"/>
      <c r="B177" s="1601"/>
      <c r="C177" s="1769"/>
      <c r="D177" s="1770"/>
      <c r="E177" s="1771"/>
      <c r="F177" s="1772"/>
      <c r="G177" s="1773"/>
      <c r="H177" s="1774"/>
      <c r="I177" s="1774"/>
      <c r="J177" s="1774"/>
      <c r="K177" s="1774"/>
      <c r="L177" s="1774"/>
      <c r="M177" s="1774"/>
      <c r="N177" s="1774"/>
      <c r="O177" s="1774"/>
      <c r="P177" s="1774"/>
      <c r="Q177" s="1774"/>
      <c r="R177" s="1774"/>
      <c r="S177" s="1774"/>
      <c r="T177"/>
      <c r="U177"/>
      <c r="V177"/>
      <c r="W177"/>
      <c r="X177"/>
      <c r="Y177"/>
      <c r="Z177"/>
      <c r="AA177"/>
      <c r="AB177"/>
      <c r="AC177"/>
      <c r="AD177"/>
      <c r="AE177"/>
      <c r="AF177"/>
      <c r="AG177"/>
      <c r="AH177"/>
    </row>
    <row r="178" spans="1:34" ht="15.75" hidden="1" thickBot="1">
      <c r="A178" s="1768"/>
      <c r="B178" s="1601"/>
      <c r="C178" s="1769"/>
      <c r="D178" s="1770"/>
      <c r="E178" s="1771"/>
      <c r="F178" s="1772"/>
      <c r="G178" s="1773"/>
      <c r="H178" s="1774"/>
      <c r="I178" s="1774"/>
      <c r="J178" s="1774"/>
      <c r="K178" s="1774"/>
      <c r="L178" s="1774"/>
      <c r="M178" s="1774"/>
      <c r="N178" s="1774"/>
      <c r="O178" s="1774"/>
      <c r="P178" s="1774"/>
      <c r="Q178" s="1774"/>
      <c r="R178" s="1774"/>
      <c r="S178" s="1774"/>
    </row>
    <row r="179" spans="1:34" s="2" customFormat="1" ht="16.5" hidden="1" thickTop="1" thickBot="1">
      <c r="A179" s="830" t="s">
        <v>2982</v>
      </c>
      <c r="B179" s="831"/>
      <c r="C179" s="12"/>
      <c r="D179" s="169"/>
      <c r="E179" s="177"/>
      <c r="F179" s="377"/>
      <c r="G179" s="228"/>
      <c r="H179" s="20"/>
      <c r="I179" s="20"/>
      <c r="J179" s="20"/>
      <c r="K179" s="20"/>
      <c r="L179" s="20"/>
      <c r="M179" s="20"/>
      <c r="N179" s="20"/>
      <c r="O179" s="20"/>
      <c r="P179" s="20"/>
      <c r="Q179" s="20"/>
      <c r="R179" s="20"/>
      <c r="S179" s="20"/>
      <c r="T179"/>
      <c r="U179"/>
      <c r="V179"/>
      <c r="W179"/>
      <c r="X179"/>
      <c r="Y179"/>
      <c r="Z179"/>
      <c r="AA179"/>
      <c r="AB179"/>
      <c r="AC179"/>
      <c r="AD179"/>
      <c r="AE179"/>
      <c r="AF179"/>
      <c r="AG179"/>
      <c r="AH179"/>
    </row>
    <row r="180" spans="1:34" s="2" customFormat="1" ht="15.75" hidden="1" thickTop="1">
      <c r="A180" s="1768"/>
      <c r="B180" s="1601"/>
      <c r="C180" s="1769"/>
      <c r="D180" s="1770"/>
      <c r="E180" s="1771"/>
      <c r="F180" s="1772"/>
      <c r="G180" s="1773"/>
      <c r="H180" s="1774"/>
      <c r="I180" s="1774"/>
      <c r="J180" s="1774"/>
      <c r="K180" s="1774"/>
      <c r="L180" s="1774"/>
      <c r="M180" s="1774"/>
      <c r="N180" s="1774"/>
      <c r="O180" s="1774"/>
      <c r="P180" s="1774"/>
      <c r="Q180" s="1774"/>
      <c r="R180" s="1774"/>
      <c r="S180" s="1774"/>
      <c r="T180"/>
      <c r="U180"/>
      <c r="V180"/>
      <c r="W180"/>
      <c r="X180"/>
      <c r="Y180"/>
      <c r="Z180"/>
      <c r="AA180"/>
      <c r="AB180"/>
      <c r="AC180"/>
      <c r="AD180"/>
      <c r="AE180"/>
      <c r="AF180"/>
      <c r="AG180"/>
      <c r="AH180"/>
    </row>
    <row r="181" spans="1:34" s="2" customFormat="1" hidden="1">
      <c r="A181" s="1544"/>
      <c r="B181" s="1601"/>
      <c r="C181" s="1566"/>
      <c r="D181" s="1489"/>
      <c r="E181" s="1567"/>
      <c r="F181" s="1490"/>
      <c r="G181" s="1775"/>
      <c r="H181" s="1546"/>
      <c r="I181" s="1546"/>
      <c r="J181" s="1546"/>
      <c r="K181" s="1546"/>
      <c r="L181" s="1546"/>
      <c r="M181" s="1546"/>
      <c r="N181" s="1546"/>
      <c r="O181" s="1546"/>
      <c r="P181" s="1546"/>
      <c r="Q181" s="1546"/>
      <c r="R181" s="1546"/>
      <c r="S181" s="1546"/>
      <c r="T181"/>
      <c r="U181"/>
      <c r="V181"/>
      <c r="W181"/>
      <c r="X181"/>
      <c r="Y181"/>
      <c r="Z181"/>
      <c r="AA181"/>
      <c r="AB181"/>
      <c r="AC181"/>
      <c r="AD181"/>
      <c r="AE181"/>
      <c r="AF181"/>
      <c r="AG181"/>
      <c r="AH181"/>
    </row>
    <row r="182" spans="1:34" s="2" customFormat="1" ht="15.75" hidden="1" thickBot="1">
      <c r="A182" s="1547"/>
      <c r="B182" s="1776"/>
      <c r="C182" s="1566"/>
      <c r="D182" s="1489"/>
      <c r="E182" s="1567"/>
      <c r="F182" s="1490"/>
      <c r="G182" s="1775"/>
      <c r="H182" s="1548"/>
      <c r="I182" s="1548"/>
      <c r="J182" s="1548"/>
      <c r="K182" s="1548"/>
      <c r="L182" s="1548"/>
      <c r="M182" s="1548"/>
      <c r="N182" s="1548"/>
      <c r="O182" s="1548"/>
      <c r="P182" s="1548"/>
      <c r="Q182" s="1548"/>
      <c r="R182" s="1548"/>
      <c r="S182" s="1548"/>
    </row>
    <row r="183" spans="1:34" s="2" customFormat="1" ht="16.5" hidden="1" thickTop="1" thickBot="1">
      <c r="A183" s="830" t="s">
        <v>2983</v>
      </c>
      <c r="B183" s="831"/>
      <c r="C183" s="12"/>
      <c r="D183" s="169"/>
      <c r="E183" s="177"/>
      <c r="F183" s="377"/>
      <c r="G183" s="228"/>
      <c r="H183" s="20"/>
      <c r="I183" s="20"/>
      <c r="J183" s="20"/>
      <c r="K183" s="20"/>
      <c r="L183" s="20"/>
      <c r="M183" s="20"/>
      <c r="N183" s="20"/>
      <c r="O183" s="20"/>
      <c r="P183" s="20"/>
      <c r="Q183" s="20"/>
      <c r="R183" s="20"/>
      <c r="S183" s="20"/>
      <c r="T183"/>
      <c r="U183"/>
      <c r="V183"/>
      <c r="W183"/>
      <c r="X183"/>
      <c r="Y183"/>
      <c r="Z183"/>
      <c r="AA183"/>
      <c r="AB183"/>
      <c r="AC183"/>
      <c r="AD183"/>
      <c r="AE183"/>
      <c r="AF183"/>
      <c r="AG183"/>
      <c r="AH183"/>
    </row>
    <row r="184" spans="1:34" ht="15.75" hidden="1" thickTop="1">
      <c r="A184" s="1777"/>
      <c r="B184" s="1778"/>
      <c r="C184" s="1769"/>
      <c r="D184" s="1770"/>
      <c r="E184" s="1771"/>
      <c r="F184" s="1772"/>
      <c r="G184" s="1773"/>
      <c r="H184" s="1774"/>
      <c r="I184" s="1774"/>
      <c r="J184" s="1774"/>
      <c r="K184" s="1774"/>
      <c r="L184" s="1774"/>
      <c r="M184" s="1774"/>
      <c r="N184" s="1774"/>
      <c r="O184" s="1774"/>
      <c r="P184" s="1774"/>
      <c r="Q184" s="1774"/>
      <c r="R184" s="1774"/>
      <c r="S184" s="1774"/>
      <c r="T184" s="2"/>
      <c r="U184" s="2"/>
      <c r="V184" s="2"/>
      <c r="W184" s="2"/>
      <c r="X184" s="2"/>
      <c r="Y184" s="2"/>
      <c r="Z184" s="2"/>
      <c r="AA184" s="2"/>
      <c r="AB184" s="2"/>
      <c r="AC184" s="2"/>
      <c r="AD184" s="2"/>
      <c r="AE184" s="2"/>
      <c r="AF184" s="2"/>
      <c r="AG184" s="2"/>
      <c r="AH184" s="2"/>
    </row>
    <row r="185" spans="1:34" hidden="1">
      <c r="A185" s="1547"/>
      <c r="B185" s="1776"/>
      <c r="C185" s="1566"/>
      <c r="D185" s="1489"/>
      <c r="E185" s="1567"/>
      <c r="F185" s="1490"/>
      <c r="G185" s="1775"/>
      <c r="H185" s="1549"/>
      <c r="I185" s="1549"/>
      <c r="J185" s="1549"/>
      <c r="K185" s="1549"/>
      <c r="L185" s="1549"/>
      <c r="M185" s="1549"/>
      <c r="N185" s="1549"/>
      <c r="O185" s="1549"/>
      <c r="P185" s="1549"/>
      <c r="Q185" s="1549"/>
      <c r="R185" s="1549"/>
      <c r="S185" s="1549"/>
      <c r="T185" s="2"/>
      <c r="U185" s="2"/>
      <c r="V185" s="2"/>
      <c r="W185" s="2"/>
      <c r="X185" s="2"/>
      <c r="Y185" s="2"/>
      <c r="Z185" s="2"/>
      <c r="AA185" s="2"/>
      <c r="AB185" s="2"/>
      <c r="AC185" s="2"/>
      <c r="AD185" s="2"/>
      <c r="AE185" s="2"/>
      <c r="AF185" s="2"/>
      <c r="AG185" s="2"/>
      <c r="AH185" s="2"/>
    </row>
    <row r="186" spans="1:34" ht="15.75" hidden="1" thickBot="1">
      <c r="A186" s="1547"/>
      <c r="B186" s="1776"/>
      <c r="C186" s="1566"/>
      <c r="D186" s="1489"/>
      <c r="E186" s="1567"/>
      <c r="F186" s="1490"/>
      <c r="G186" s="1775"/>
      <c r="H186" s="1549"/>
      <c r="I186" s="1549"/>
      <c r="J186" s="1549"/>
      <c r="K186" s="1549"/>
      <c r="L186" s="1549"/>
      <c r="M186" s="1549"/>
      <c r="N186" s="1549"/>
      <c r="O186" s="1549"/>
      <c r="P186" s="1549"/>
      <c r="Q186" s="1549"/>
      <c r="R186" s="1549"/>
      <c r="S186" s="1549"/>
      <c r="T186" s="2"/>
      <c r="U186" s="2"/>
      <c r="V186" s="2"/>
      <c r="W186" s="2"/>
      <c r="X186" s="2"/>
      <c r="Y186" s="2"/>
      <c r="Z186" s="2"/>
      <c r="AA186" s="2"/>
      <c r="AB186" s="2"/>
      <c r="AC186" s="2"/>
      <c r="AD186" s="2"/>
      <c r="AE186" s="2"/>
      <c r="AF186" s="2"/>
      <c r="AG186" s="2"/>
      <c r="AH186" s="2"/>
    </row>
    <row r="187" spans="1:34" ht="16.5" hidden="1" thickTop="1" thickBot="1">
      <c r="A187" s="830" t="s">
        <v>2984</v>
      </c>
      <c r="B187" s="831"/>
      <c r="C187" s="12"/>
      <c r="D187" s="169"/>
      <c r="E187" s="177"/>
      <c r="F187" s="377"/>
      <c r="G187" s="228"/>
      <c r="H187" s="20"/>
      <c r="I187" s="20"/>
      <c r="J187" s="20"/>
      <c r="K187" s="20"/>
      <c r="L187" s="20"/>
      <c r="M187" s="20"/>
      <c r="N187" s="20"/>
      <c r="O187" s="20"/>
      <c r="P187" s="20"/>
      <c r="Q187" s="20"/>
      <c r="R187" s="20"/>
      <c r="S187" s="20"/>
    </row>
    <row r="188" spans="1:34" ht="15.75" hidden="1" thickTop="1">
      <c r="A188" s="1544"/>
      <c r="B188" s="1601" t="s">
        <v>2985</v>
      </c>
      <c r="C188" s="1566"/>
      <c r="D188" s="1489"/>
      <c r="E188" s="1567"/>
      <c r="F188" s="1490"/>
      <c r="G188" s="1775"/>
      <c r="H188" s="1549"/>
      <c r="I188" s="1549"/>
      <c r="J188" s="1549"/>
      <c r="K188" s="1549"/>
      <c r="L188" s="1549"/>
      <c r="M188" s="1549"/>
      <c r="N188" s="1549"/>
      <c r="O188" s="1549"/>
      <c r="P188" s="1549"/>
      <c r="Q188" s="1549"/>
      <c r="R188" s="1549"/>
      <c r="S188" s="1549"/>
    </row>
    <row r="189" spans="1:34" hidden="1">
      <c r="A189" s="1544"/>
      <c r="B189" s="1601" t="s">
        <v>2986</v>
      </c>
      <c r="C189" s="1566"/>
      <c r="D189" s="1489"/>
      <c r="E189" s="1567"/>
      <c r="F189" s="1490"/>
      <c r="G189" s="1775"/>
      <c r="H189" s="1549"/>
      <c r="I189" s="1549"/>
      <c r="J189" s="1549"/>
      <c r="K189" s="1549"/>
      <c r="L189" s="1549"/>
      <c r="M189" s="1549"/>
      <c r="N189" s="1549"/>
      <c r="O189" s="1549"/>
      <c r="P189" s="1549"/>
      <c r="Q189" s="1549"/>
      <c r="R189" s="1549"/>
      <c r="S189" s="1549"/>
    </row>
    <row r="190" spans="1:34" hidden="1">
      <c r="A190" s="1544"/>
      <c r="B190" s="1601" t="s">
        <v>2987</v>
      </c>
      <c r="C190" s="1566"/>
      <c r="D190" s="1489"/>
      <c r="E190" s="1567"/>
      <c r="F190" s="1490"/>
      <c r="G190" s="1775"/>
      <c r="H190" s="1549"/>
      <c r="I190" s="1549"/>
      <c r="J190" s="1549"/>
      <c r="K190" s="1549"/>
      <c r="L190" s="1549"/>
      <c r="M190" s="1549"/>
      <c r="N190" s="1549"/>
      <c r="O190" s="1549"/>
      <c r="P190" s="1549"/>
      <c r="Q190" s="1549"/>
      <c r="R190" s="1549"/>
      <c r="S190" s="1549"/>
    </row>
    <row r="191" spans="1:34" hidden="1">
      <c r="A191" s="1544"/>
      <c r="B191" s="1601" t="s">
        <v>2988</v>
      </c>
      <c r="C191" s="1566"/>
      <c r="D191" s="1489"/>
      <c r="E191" s="1567"/>
      <c r="F191" s="1490"/>
      <c r="G191" s="1775"/>
      <c r="H191" s="1549"/>
      <c r="I191" s="1549"/>
      <c r="J191" s="1549"/>
      <c r="K191" s="1549"/>
      <c r="L191" s="1549"/>
      <c r="M191" s="1549"/>
      <c r="N191" s="1549"/>
      <c r="O191" s="1549"/>
      <c r="P191" s="1549"/>
      <c r="Q191" s="1549"/>
      <c r="R191" s="1549"/>
      <c r="S191" s="1549"/>
    </row>
    <row r="192" spans="1:34" ht="15.75" hidden="1" thickBot="1">
      <c r="A192" s="646"/>
      <c r="B192" s="619"/>
      <c r="C192" s="616"/>
      <c r="D192" s="621"/>
      <c r="E192" s="622"/>
      <c r="F192" s="623"/>
      <c r="G192" s="620"/>
      <c r="H192" s="647"/>
      <c r="I192" s="647"/>
      <c r="J192" s="647"/>
      <c r="K192" s="647"/>
      <c r="L192" s="647"/>
      <c r="M192" s="647"/>
      <c r="N192" s="647"/>
      <c r="O192" s="647"/>
      <c r="P192" s="647"/>
      <c r="Q192" s="647"/>
      <c r="R192" s="647"/>
      <c r="S192" s="647"/>
    </row>
    <row r="193" spans="1:19" ht="16.5" hidden="1" thickTop="1" thickBot="1">
      <c r="A193" s="7" t="s">
        <v>2989</v>
      </c>
      <c r="B193" s="8"/>
      <c r="C193" s="12"/>
      <c r="D193" s="169"/>
      <c r="E193" s="177"/>
      <c r="F193" s="377"/>
      <c r="G193" s="228"/>
      <c r="H193" s="20"/>
      <c r="I193" s="20"/>
      <c r="J193" s="20"/>
      <c r="K193" s="20"/>
      <c r="L193" s="20"/>
      <c r="M193" s="20"/>
      <c r="N193" s="20"/>
      <c r="O193" s="20"/>
      <c r="P193" s="20"/>
      <c r="Q193" s="20"/>
      <c r="R193" s="20"/>
      <c r="S193" s="20"/>
    </row>
    <row r="194" spans="1:19" ht="15.75" hidden="1" thickTop="1">
      <c r="A194" s="1768"/>
      <c r="B194" s="1779" t="s">
        <v>2990</v>
      </c>
      <c r="C194" s="1769"/>
      <c r="D194" s="1770"/>
      <c r="E194" s="1771"/>
      <c r="F194" s="1772"/>
      <c r="G194" s="1773"/>
      <c r="H194" s="1780"/>
      <c r="I194" s="1780"/>
      <c r="J194" s="1780"/>
      <c r="K194" s="1780"/>
      <c r="L194" s="1780"/>
      <c r="M194" s="1780"/>
      <c r="N194" s="1780"/>
      <c r="O194" s="1780"/>
      <c r="P194" s="1780"/>
      <c r="Q194" s="1780"/>
      <c r="R194" s="1780"/>
      <c r="S194" s="1780"/>
    </row>
    <row r="195" spans="1:19" hidden="1">
      <c r="A195" s="1544"/>
      <c r="B195" s="1601" t="s">
        <v>2991</v>
      </c>
      <c r="C195" s="1566"/>
      <c r="D195" s="1489"/>
      <c r="E195" s="1567"/>
      <c r="F195" s="1490"/>
      <c r="G195" s="1775"/>
      <c r="H195" s="1550"/>
      <c r="I195" s="1550"/>
      <c r="J195" s="1550"/>
      <c r="K195" s="1550"/>
      <c r="L195" s="1550"/>
      <c r="M195" s="1550"/>
      <c r="N195" s="1550"/>
      <c r="O195" s="1550"/>
      <c r="P195" s="1550"/>
      <c r="Q195" s="1550"/>
      <c r="R195" s="1550"/>
      <c r="S195" s="1550"/>
    </row>
    <row r="196" spans="1:19" ht="15.75" hidden="1" thickBot="1">
      <c r="A196" s="1551"/>
      <c r="B196" s="1578" t="s">
        <v>2992</v>
      </c>
      <c r="C196" s="1552"/>
      <c r="D196" s="1553"/>
      <c r="E196" s="1554"/>
      <c r="F196" s="1721"/>
      <c r="G196" s="1555"/>
      <c r="H196" s="1556"/>
      <c r="I196" s="1556"/>
      <c r="J196" s="1556"/>
      <c r="K196" s="1556"/>
      <c r="L196" s="1556"/>
      <c r="M196" s="1556"/>
      <c r="N196" s="1556"/>
      <c r="O196" s="1556"/>
      <c r="P196" s="1556"/>
      <c r="Q196" s="1556"/>
      <c r="R196" s="1556"/>
      <c r="S196" s="1556"/>
    </row>
    <row r="197" spans="1:19" ht="15.75" thickBot="1"/>
    <row r="198" spans="1:19" ht="16.5" thickTop="1" thickBot="1">
      <c r="A198" s="59" t="s">
        <v>2993</v>
      </c>
      <c r="B198" s="61"/>
    </row>
    <row r="199" spans="1:19" ht="15.75" thickTop="1">
      <c r="A199" s="60" t="s">
        <v>2936</v>
      </c>
      <c r="B199" s="1557"/>
    </row>
    <row r="200" spans="1:19">
      <c r="A200" s="1558" t="s">
        <v>2939</v>
      </c>
      <c r="B200" s="1557"/>
    </row>
    <row r="201" spans="1:19">
      <c r="A201" s="1559" t="s">
        <v>2941</v>
      </c>
      <c r="B201" s="1560"/>
    </row>
    <row r="202" spans="1:19">
      <c r="A202" s="1559" t="s">
        <v>2943</v>
      </c>
      <c r="B202" s="1561"/>
    </row>
    <row r="203" spans="1:19" ht="15.75" thickBot="1">
      <c r="A203" s="1562" t="s">
        <v>2994</v>
      </c>
      <c r="B203" s="1563">
        <f>$I$168</f>
        <v>2084242.5</v>
      </c>
    </row>
    <row r="204" spans="1:19" ht="15.75" thickTop="1"/>
    <row r="205" spans="1:19">
      <c r="A205" s="62"/>
      <c r="B205" s="1" t="s">
        <v>2995</v>
      </c>
    </row>
    <row r="206" spans="1:19">
      <c r="A206" s="63"/>
      <c r="B206" s="1" t="s">
        <v>2996</v>
      </c>
    </row>
  </sheetData>
  <mergeCells count="35">
    <mergeCell ref="R5:S5"/>
    <mergeCell ref="R6:S6"/>
    <mergeCell ref="R7:S7"/>
    <mergeCell ref="R8:S8"/>
    <mergeCell ref="P5:Q5"/>
    <mergeCell ref="P6:Q6"/>
    <mergeCell ref="P7:Q7"/>
    <mergeCell ref="P8:Q8"/>
    <mergeCell ref="N5:O5"/>
    <mergeCell ref="N6:O6"/>
    <mergeCell ref="N7:O7"/>
    <mergeCell ref="N8:O8"/>
    <mergeCell ref="L5:M5"/>
    <mergeCell ref="L6:M6"/>
    <mergeCell ref="L7:M7"/>
    <mergeCell ref="L8:M8"/>
    <mergeCell ref="J5:K5"/>
    <mergeCell ref="J6:K6"/>
    <mergeCell ref="J7:K7"/>
    <mergeCell ref="J8:K8"/>
    <mergeCell ref="A187:B187"/>
    <mergeCell ref="H5:I5"/>
    <mergeCell ref="H6:I6"/>
    <mergeCell ref="H7:I7"/>
    <mergeCell ref="H8:I8"/>
    <mergeCell ref="R9:S9"/>
    <mergeCell ref="A171:B171"/>
    <mergeCell ref="A175:B175"/>
    <mergeCell ref="A179:B179"/>
    <mergeCell ref="A183:B183"/>
    <mergeCell ref="H9:I9"/>
    <mergeCell ref="J9:K9"/>
    <mergeCell ref="L9:M9"/>
    <mergeCell ref="N9:O9"/>
    <mergeCell ref="P9:Q9"/>
  </mergeCells>
  <conditionalFormatting sqref="H11:H18 J11:J18 L11:L18 N11:N18 P11:P18 R11:R18 H20:H163 J20:J163 L20:L163 N20:N163 P20:P163 R20:R163">
    <cfRule type="cellIs" dxfId="271" priority="1" operator="equal">
      <formula>"X"</formula>
    </cfRule>
    <cfRule type="cellIs" dxfId="270" priority="2" operator="equal">
      <formula>"I"</formula>
    </cfRule>
  </conditionalFormatting>
  <hyperlinks>
    <hyperlink ref="B4" location="'Cost Summary'!A1" display="BACK TO SUMMARY SHEET" xr:uid="{6BCF7034-754C-4A6C-A2F7-6A387A7DD600}"/>
    <hyperlink ref="H8" r:id="rId1" xr:uid="{F178FE44-252E-4986-93EE-EADF8DD571FF}"/>
    <hyperlink ref="J8" r:id="rId2" xr:uid="{71369228-65A7-4BAA-B6D4-FF59B9620BD7}"/>
  </hyperlinks>
  <pageMargins left="0.2" right="0.2" top="0.5" bottom="0.75" header="0.3" footer="0.3"/>
  <pageSetup scale="98" fitToHeight="0" orientation="portrait" horizontalDpi="300" verticalDpi="300" r:id="rId3"/>
  <rowBreaks count="1" manualBreakCount="1">
    <brk id="171" max="6" man="1"/>
  </rowBreaks>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76F9-3075-44FF-B105-4BCECB84823D}">
  <sheetPr>
    <tabColor rgb="FF00B050"/>
    <pageSetUpPr fitToPage="1"/>
  </sheetPr>
  <dimension ref="A1:AH93"/>
  <sheetViews>
    <sheetView zoomScale="90" zoomScaleNormal="90" workbookViewId="0">
      <pane ySplit="10" topLeftCell="A18" activePane="bottomLeft" state="frozen"/>
      <selection pane="bottomLeft" activeCell="B34" sqref="B34"/>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4670</v>
      </c>
      <c r="I5" s="838"/>
      <c r="J5" s="837" t="s">
        <v>4671</v>
      </c>
      <c r="K5" s="838"/>
      <c r="L5" s="837"/>
      <c r="M5" s="838"/>
      <c r="N5" s="837"/>
      <c r="O5" s="838"/>
      <c r="P5" s="837"/>
      <c r="Q5" s="838"/>
      <c r="R5" s="837"/>
      <c r="S5" s="838"/>
    </row>
    <row r="6" spans="1:19">
      <c r="A6" s="1564" t="s">
        <v>2938</v>
      </c>
      <c r="B6" s="1781" t="s">
        <v>2708</v>
      </c>
      <c r="C6" s="1736"/>
      <c r="D6" s="1744"/>
      <c r="E6" s="1738"/>
      <c r="F6" s="1736"/>
      <c r="G6" s="657" t="s">
        <v>2939</v>
      </c>
      <c r="H6" s="1568" t="s">
        <v>4672</v>
      </c>
      <c r="I6" s="839"/>
      <c r="J6" s="1568" t="s">
        <v>4673</v>
      </c>
      <c r="K6" s="839"/>
      <c r="L6" s="1568"/>
      <c r="M6" s="839"/>
      <c r="N6" s="1568"/>
      <c r="O6" s="839"/>
      <c r="P6" s="1568"/>
      <c r="Q6" s="839"/>
      <c r="R6" s="1568"/>
      <c r="S6" s="839"/>
    </row>
    <row r="7" spans="1:19">
      <c r="A7" s="1564" t="s">
        <v>2940</v>
      </c>
      <c r="B7" s="1782" t="s">
        <v>2707</v>
      </c>
      <c r="C7" s="1736"/>
      <c r="D7" s="1744"/>
      <c r="E7" s="1738"/>
      <c r="F7" s="1736"/>
      <c r="G7" s="1783" t="s">
        <v>2941</v>
      </c>
      <c r="H7" s="1572" t="s">
        <v>4674</v>
      </c>
      <c r="I7" s="840"/>
      <c r="J7" s="1572" t="s">
        <v>4675</v>
      </c>
      <c r="K7" s="840"/>
      <c r="L7" s="1572"/>
      <c r="M7" s="840"/>
      <c r="N7" s="1572"/>
      <c r="O7" s="840"/>
      <c r="P7" s="1572"/>
      <c r="Q7" s="840"/>
      <c r="R7" s="1572"/>
      <c r="S7" s="840"/>
    </row>
    <row r="8" spans="1:19">
      <c r="A8" s="1564" t="s">
        <v>2942</v>
      </c>
      <c r="B8" s="1784"/>
      <c r="C8" s="1736"/>
      <c r="D8" s="1744"/>
      <c r="E8" s="1738"/>
      <c r="F8" s="1736"/>
      <c r="G8" s="1783" t="s">
        <v>2943</v>
      </c>
      <c r="H8" s="1785" t="s">
        <v>4676</v>
      </c>
      <c r="I8" s="840"/>
      <c r="J8" s="1575" t="s">
        <v>4677</v>
      </c>
      <c r="K8" s="836"/>
      <c r="L8" s="1575"/>
      <c r="M8" s="836"/>
      <c r="N8" s="1575"/>
      <c r="O8" s="836"/>
      <c r="P8" s="1575"/>
      <c r="Q8" s="836"/>
      <c r="R8" s="1575"/>
      <c r="S8" s="836"/>
    </row>
    <row r="9" spans="1:19" ht="15.75" thickBot="1">
      <c r="A9" s="1577"/>
      <c r="B9" s="1578"/>
      <c r="C9" s="616"/>
      <c r="D9" s="621"/>
      <c r="E9" s="622"/>
      <c r="F9" s="1552"/>
      <c r="G9" s="1579" t="s">
        <v>2944</v>
      </c>
      <c r="H9" s="1582">
        <f>I$55</f>
        <v>72971</v>
      </c>
      <c r="I9" s="1583"/>
      <c r="J9" s="1582">
        <f t="shared" ref="J9" si="0">K$55</f>
        <v>79671</v>
      </c>
      <c r="K9" s="1583"/>
      <c r="L9" s="1580">
        <f>M$55</f>
        <v>0</v>
      </c>
      <c r="M9" s="1581"/>
      <c r="N9" s="1582">
        <f t="shared" ref="N9" si="1">O$55</f>
        <v>0</v>
      </c>
      <c r="O9" s="1583"/>
      <c r="P9" s="1582">
        <f t="shared" ref="P9" si="2">Q$55</f>
        <v>0</v>
      </c>
      <c r="Q9" s="1583"/>
      <c r="R9" s="1582">
        <f t="shared" ref="R9" si="3">S$55</f>
        <v>0</v>
      </c>
      <c r="S9" s="1583"/>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786"/>
      <c r="B11" s="1618" t="s">
        <v>2953</v>
      </c>
      <c r="C11" s="659"/>
      <c r="D11" s="1744"/>
      <c r="E11" s="1738"/>
      <c r="F11" s="1736"/>
      <c r="G11" s="660"/>
      <c r="H11" s="1584"/>
      <c r="I11" s="182"/>
      <c r="J11" s="1584"/>
      <c r="K11" s="1620"/>
      <c r="L11" s="1584"/>
      <c r="M11" s="1619"/>
      <c r="N11" s="1584"/>
      <c r="O11" s="1620"/>
      <c r="P11" s="1584"/>
      <c r="Q11" s="1620"/>
      <c r="R11" s="1584"/>
      <c r="S11" s="1620"/>
    </row>
    <row r="12" spans="1:19">
      <c r="A12" s="1787"/>
      <c r="B12" s="1622" t="s">
        <v>2954</v>
      </c>
      <c r="C12" s="1736"/>
      <c r="D12" s="1744"/>
      <c r="E12" s="1738"/>
      <c r="F12" s="1736"/>
      <c r="G12" s="660"/>
      <c r="H12" s="1584"/>
      <c r="I12" s="1620"/>
      <c r="J12" s="1584"/>
      <c r="K12" s="1620"/>
      <c r="L12" s="1584"/>
      <c r="M12" s="1619"/>
      <c r="N12" s="1584"/>
      <c r="O12" s="1620"/>
      <c r="P12" s="1584"/>
      <c r="Q12" s="1620"/>
      <c r="R12" s="1584"/>
      <c r="S12" s="1620"/>
    </row>
    <row r="13" spans="1:19">
      <c r="A13" s="1585"/>
      <c r="B13" s="1788" t="s">
        <v>2955</v>
      </c>
      <c r="C13" s="1736"/>
      <c r="D13" s="1744"/>
      <c r="E13" s="1738"/>
      <c r="F13" s="1736"/>
      <c r="G13" s="660"/>
      <c r="H13" s="1584"/>
      <c r="I13" s="1620"/>
      <c r="J13" s="1584"/>
      <c r="K13" s="1620"/>
      <c r="L13" s="1584"/>
      <c r="M13" s="1619"/>
      <c r="N13" s="1584"/>
      <c r="O13" s="1620"/>
      <c r="P13" s="1584"/>
      <c r="Q13" s="1620"/>
      <c r="R13" s="1584"/>
      <c r="S13" s="1620"/>
    </row>
    <row r="14" spans="1:19">
      <c r="A14" s="1585"/>
      <c r="B14" s="1789" t="s">
        <v>2956</v>
      </c>
      <c r="C14" s="1736"/>
      <c r="D14" s="1744"/>
      <c r="E14" s="1738"/>
      <c r="F14" s="1736"/>
      <c r="G14" s="660"/>
      <c r="H14" s="1584"/>
      <c r="I14" s="1620"/>
      <c r="J14" s="1584"/>
      <c r="K14" s="1620"/>
      <c r="L14" s="1584"/>
      <c r="M14" s="1619"/>
      <c r="N14" s="1584"/>
      <c r="O14" s="1620"/>
      <c r="P14" s="1584"/>
      <c r="Q14" s="1620"/>
      <c r="R14" s="1584"/>
      <c r="S14" s="1620"/>
    </row>
    <row r="15" spans="1:19">
      <c r="A15" s="1585"/>
      <c r="B15" s="1789" t="s">
        <v>2957</v>
      </c>
      <c r="C15" s="1736"/>
      <c r="D15" s="1744"/>
      <c r="E15" s="1738"/>
      <c r="F15" s="1736"/>
      <c r="G15" s="660"/>
      <c r="H15" s="1584"/>
      <c r="I15" s="1619"/>
      <c r="J15" s="1584"/>
      <c r="K15" s="1619"/>
      <c r="L15" s="1584"/>
      <c r="M15" s="1619"/>
      <c r="N15" s="1584"/>
      <c r="O15" s="1619"/>
      <c r="P15" s="1584"/>
      <c r="Q15" s="1619"/>
      <c r="R15" s="1584"/>
      <c r="S15" s="1619"/>
    </row>
    <row r="16" spans="1:19">
      <c r="A16" s="1585"/>
      <c r="B16" s="1789" t="s">
        <v>2958</v>
      </c>
      <c r="C16" s="1736"/>
      <c r="D16" s="1744"/>
      <c r="E16" s="1738"/>
      <c r="F16" s="1736"/>
      <c r="G16" s="660"/>
      <c r="H16" s="1584"/>
      <c r="I16" s="1620"/>
      <c r="J16" s="1584"/>
      <c r="K16" s="1620"/>
      <c r="L16" s="1584"/>
      <c r="M16" s="1619"/>
      <c r="N16" s="1584"/>
      <c r="O16" s="1620"/>
      <c r="P16" s="1584"/>
      <c r="Q16" s="1620"/>
      <c r="R16" s="1584"/>
      <c r="S16" s="1620"/>
    </row>
    <row r="17" spans="1:19">
      <c r="A17" s="1585"/>
      <c r="B17" s="1789" t="s">
        <v>2959</v>
      </c>
      <c r="C17" s="1736"/>
      <c r="D17" s="1744"/>
      <c r="E17" s="1738"/>
      <c r="F17" s="1736"/>
      <c r="G17" s="660"/>
      <c r="H17" s="1584"/>
      <c r="I17" s="1620"/>
      <c r="J17" s="1584"/>
      <c r="K17" s="1620"/>
      <c r="L17" s="1584"/>
      <c r="M17" s="1619"/>
      <c r="N17" s="1584"/>
      <c r="O17" s="1620"/>
      <c r="P17" s="1584"/>
      <c r="Q17" s="1620"/>
      <c r="R17" s="1584"/>
      <c r="S17" s="1620"/>
    </row>
    <row r="18" spans="1:19">
      <c r="A18" s="1585"/>
      <c r="B18" s="1790" t="s">
        <v>2960</v>
      </c>
      <c r="C18" s="1736"/>
      <c r="D18" s="1744"/>
      <c r="E18" s="1738"/>
      <c r="F18" s="1736"/>
      <c r="G18" s="660"/>
      <c r="H18" s="1584"/>
      <c r="I18" s="1620"/>
      <c r="J18" s="1584"/>
      <c r="K18" s="1620"/>
      <c r="L18" s="1584"/>
      <c r="M18" s="1619"/>
      <c r="N18" s="1584"/>
      <c r="O18" s="1620"/>
      <c r="P18" s="1584"/>
      <c r="Q18" s="1620"/>
      <c r="R18" s="1584"/>
      <c r="S18" s="1620"/>
    </row>
    <row r="19" spans="1:19">
      <c r="A19" s="1585"/>
      <c r="B19" s="1791" t="s">
        <v>2961</v>
      </c>
      <c r="C19" s="1792"/>
      <c r="D19" s="1793"/>
      <c r="E19" s="1794"/>
      <c r="F19" s="1795"/>
      <c r="G19" s="661"/>
      <c r="H19" s="1590"/>
      <c r="I19" s="1630"/>
      <c r="J19" s="1590"/>
      <c r="K19" s="1630"/>
      <c r="L19" s="1590"/>
      <c r="M19" s="1629"/>
      <c r="N19" s="1590"/>
      <c r="O19" s="1630"/>
      <c r="P19" s="1590"/>
      <c r="Q19" s="1630"/>
      <c r="R19" s="1590"/>
      <c r="S19" s="1630"/>
    </row>
    <row r="20" spans="1:19">
      <c r="A20" s="1585"/>
      <c r="B20" s="1796"/>
      <c r="C20" s="1736"/>
      <c r="D20" s="1744"/>
      <c r="E20" s="1738"/>
      <c r="F20" s="1797"/>
      <c r="G20" s="660"/>
      <c r="H20" s="1584"/>
      <c r="I20" s="1633"/>
      <c r="J20" s="1584"/>
      <c r="K20" s="1634"/>
      <c r="L20" s="1584"/>
      <c r="M20" s="1633"/>
      <c r="N20" s="1584"/>
      <c r="O20" s="1633"/>
      <c r="P20" s="1584"/>
      <c r="Q20" s="1633"/>
      <c r="R20" s="1584"/>
      <c r="S20" s="1633"/>
    </row>
    <row r="21" spans="1:19">
      <c r="A21" s="1798"/>
      <c r="B21" s="1728" t="s">
        <v>2695</v>
      </c>
      <c r="C21" s="1736"/>
      <c r="D21" s="1744"/>
      <c r="E21" s="1738"/>
      <c r="F21" s="1799"/>
      <c r="G21" s="662">
        <f t="shared" ref="G21:G36" si="4">ROUND(D21*F21,0)</f>
        <v>0</v>
      </c>
      <c r="H21" s="1584"/>
      <c r="I21" s="1729">
        <f>SUBTOTAL(9,I22:I25)</f>
        <v>16261</v>
      </c>
      <c r="J21" s="1584"/>
      <c r="K21" s="1729">
        <f>SUBTOTAL(9,K22:K47)</f>
        <v>79671</v>
      </c>
      <c r="L21" s="1584"/>
      <c r="M21" s="1729">
        <f>SUBTOTAL(9,M22:M47)</f>
        <v>0</v>
      </c>
      <c r="N21" s="1584"/>
      <c r="O21" s="1729">
        <f>SUBTOTAL(9,O22:O47)</f>
        <v>0</v>
      </c>
      <c r="P21" s="1584"/>
      <c r="Q21" s="1729">
        <f>SUBTOTAL(9,Q22:Q47)</f>
        <v>0</v>
      </c>
      <c r="R21" s="1584"/>
      <c r="S21" s="1729">
        <f>SUBTOTAL(9,S22:S47)</f>
        <v>0</v>
      </c>
    </row>
    <row r="22" spans="1:19">
      <c r="A22" s="1585"/>
      <c r="B22" s="1796" t="s">
        <v>4678</v>
      </c>
      <c r="C22" s="1736"/>
      <c r="D22" s="1744"/>
      <c r="E22" s="1738"/>
      <c r="F22" s="1797"/>
      <c r="G22" s="662">
        <f t="shared" si="4"/>
        <v>0</v>
      </c>
      <c r="H22" s="1584"/>
      <c r="I22" s="1634"/>
      <c r="J22" s="1584"/>
      <c r="K22" s="1634"/>
      <c r="L22" s="1584"/>
      <c r="M22" s="1633"/>
      <c r="N22" s="1584"/>
      <c r="O22" s="1633"/>
      <c r="P22" s="1584"/>
      <c r="Q22" s="1633"/>
      <c r="R22" s="1584"/>
      <c r="S22" s="1633"/>
    </row>
    <row r="23" spans="1:19">
      <c r="A23" s="1585"/>
      <c r="B23" s="1800" t="s">
        <v>4679</v>
      </c>
      <c r="C23" s="1736"/>
      <c r="D23" s="1744">
        <v>5567</v>
      </c>
      <c r="E23" s="1738" t="s">
        <v>2845</v>
      </c>
      <c r="F23" s="1797">
        <v>2.5</v>
      </c>
      <c r="G23" s="662">
        <f t="shared" si="4"/>
        <v>13918</v>
      </c>
      <c r="H23" s="1584"/>
      <c r="I23" s="1643">
        <f t="shared" ref="I23:K24" si="5">$G23</f>
        <v>13918</v>
      </c>
      <c r="J23" s="1584"/>
      <c r="K23" s="1643">
        <f t="shared" si="5"/>
        <v>13918</v>
      </c>
      <c r="L23" s="1584"/>
      <c r="M23" s="1633"/>
      <c r="N23" s="1584"/>
      <c r="O23" s="1633"/>
      <c r="P23" s="1584"/>
      <c r="Q23" s="1633"/>
      <c r="R23" s="1584"/>
      <c r="S23" s="1633"/>
    </row>
    <row r="24" spans="1:19">
      <c r="A24" s="1585"/>
      <c r="B24" s="1800" t="s">
        <v>4680</v>
      </c>
      <c r="C24" s="1736"/>
      <c r="D24" s="1744">
        <v>937</v>
      </c>
      <c r="E24" s="1738" t="s">
        <v>2845</v>
      </c>
      <c r="F24" s="1797">
        <v>2.5</v>
      </c>
      <c r="G24" s="662">
        <f t="shared" si="4"/>
        <v>2343</v>
      </c>
      <c r="H24" s="1584"/>
      <c r="I24" s="1643">
        <f t="shared" si="5"/>
        <v>2343</v>
      </c>
      <c r="J24" s="1584"/>
      <c r="K24" s="1643">
        <f t="shared" si="5"/>
        <v>2343</v>
      </c>
      <c r="L24" s="1584"/>
      <c r="M24" s="1633"/>
      <c r="N24" s="1584"/>
      <c r="O24" s="1633"/>
      <c r="P24" s="1584"/>
      <c r="Q24" s="1633"/>
      <c r="R24" s="1584"/>
      <c r="S24" s="1633"/>
    </row>
    <row r="25" spans="1:19">
      <c r="A25" s="1585"/>
      <c r="B25" s="1796"/>
      <c r="C25" s="1736"/>
      <c r="D25" s="1744"/>
      <c r="E25" s="1738"/>
      <c r="F25" s="1797"/>
      <c r="G25" s="662">
        <f t="shared" si="4"/>
        <v>0</v>
      </c>
      <c r="H25" s="1584"/>
      <c r="I25" s="1634"/>
      <c r="J25" s="1584"/>
      <c r="K25" s="1634"/>
      <c r="L25" s="1584"/>
      <c r="M25" s="1633"/>
      <c r="N25" s="1584"/>
      <c r="O25" s="1633"/>
      <c r="P25" s="1584"/>
      <c r="Q25" s="1633"/>
      <c r="R25" s="1584"/>
      <c r="S25" s="1633"/>
    </row>
    <row r="26" spans="1:19">
      <c r="A26" s="1585"/>
      <c r="B26" s="1801" t="s">
        <v>3235</v>
      </c>
      <c r="C26" s="1736"/>
      <c r="D26" s="1744"/>
      <c r="E26" s="1738"/>
      <c r="F26" s="1797"/>
      <c r="G26" s="662">
        <f t="shared" si="4"/>
        <v>0</v>
      </c>
      <c r="H26" s="1584"/>
      <c r="I26" s="1729">
        <f>SUBTOTAL(9,I27:I32)</f>
        <v>36200</v>
      </c>
      <c r="J26" s="1584"/>
      <c r="K26" s="1729">
        <f>SUBTOTAL(9,K28:K38)</f>
        <v>63410</v>
      </c>
      <c r="L26" s="1584"/>
      <c r="M26" s="1729">
        <f>SUBTOTAL(9,M28:M38)</f>
        <v>0</v>
      </c>
      <c r="N26" s="1584"/>
      <c r="O26" s="1729">
        <f>SUBTOTAL(9,O28:O38)</f>
        <v>0</v>
      </c>
      <c r="P26" s="1584"/>
      <c r="Q26" s="1729">
        <f>SUBTOTAL(9,Q28:Q38)</f>
        <v>0</v>
      </c>
      <c r="R26" s="1584"/>
      <c r="S26" s="1729">
        <f>SUBTOTAL(9,S28:S38)</f>
        <v>0</v>
      </c>
    </row>
    <row r="27" spans="1:19">
      <c r="A27" s="1802"/>
      <c r="B27" s="1803" t="s">
        <v>4681</v>
      </c>
      <c r="C27" s="1804"/>
      <c r="D27" s="1805"/>
      <c r="E27" s="1806"/>
      <c r="F27" s="1807"/>
      <c r="G27" s="662"/>
      <c r="H27" s="1808"/>
      <c r="I27" s="1638"/>
      <c r="J27" s="1809"/>
      <c r="K27" s="1638"/>
      <c r="L27" s="1809"/>
      <c r="M27" s="1638"/>
      <c r="N27" s="1809"/>
      <c r="O27" s="1638"/>
      <c r="P27" s="1809"/>
      <c r="Q27" s="1638"/>
      <c r="R27" s="1809"/>
      <c r="S27" s="1638"/>
    </row>
    <row r="28" spans="1:19">
      <c r="A28" s="1585"/>
      <c r="B28" s="1810" t="s">
        <v>4682</v>
      </c>
      <c r="C28" s="1736"/>
      <c r="D28" s="1811"/>
      <c r="E28" s="1738" t="s">
        <v>2845</v>
      </c>
      <c r="F28" s="1797"/>
      <c r="G28" s="662">
        <f t="shared" si="4"/>
        <v>0</v>
      </c>
      <c r="H28" s="1584"/>
      <c r="I28" s="1638">
        <f>7000+15700</f>
        <v>22700</v>
      </c>
      <c r="J28" s="1584"/>
      <c r="K28" s="1634">
        <f>35525</f>
        <v>35525</v>
      </c>
      <c r="L28" s="1584"/>
      <c r="M28" s="1633"/>
      <c r="N28" s="1584"/>
      <c r="O28" s="1633"/>
      <c r="P28" s="1584"/>
      <c r="Q28" s="1633"/>
      <c r="R28" s="1584"/>
      <c r="S28" s="1633"/>
    </row>
    <row r="29" spans="1:19">
      <c r="A29" s="1802"/>
      <c r="B29" s="1812" t="s">
        <v>4683</v>
      </c>
      <c r="C29" s="1804"/>
      <c r="D29" s="1811"/>
      <c r="E29" s="1738" t="s">
        <v>2845</v>
      </c>
      <c r="F29" s="1807"/>
      <c r="G29" s="662">
        <f t="shared" si="4"/>
        <v>0</v>
      </c>
      <c r="H29" s="1808" t="s">
        <v>2931</v>
      </c>
      <c r="I29" s="1638"/>
      <c r="J29" s="1808" t="s">
        <v>2931</v>
      </c>
      <c r="K29" s="1634"/>
      <c r="L29" s="1808"/>
      <c r="M29" s="1633"/>
      <c r="N29" s="1808"/>
      <c r="O29" s="1633"/>
      <c r="P29" s="1808"/>
      <c r="Q29" s="1633"/>
      <c r="R29" s="1808"/>
      <c r="S29" s="1633"/>
    </row>
    <row r="30" spans="1:19">
      <c r="A30" s="1585"/>
      <c r="B30" s="1813" t="s">
        <v>4684</v>
      </c>
      <c r="C30" s="1736"/>
      <c r="D30" s="1744"/>
      <c r="E30" s="1738" t="s">
        <v>2845</v>
      </c>
      <c r="F30" s="1797"/>
      <c r="G30" s="662">
        <f t="shared" si="4"/>
        <v>0</v>
      </c>
      <c r="H30" s="1808"/>
      <c r="I30" s="1643">
        <v>10000</v>
      </c>
      <c r="J30" s="1584" t="s">
        <v>2931</v>
      </c>
      <c r="K30" s="1634"/>
      <c r="L30" s="1584"/>
      <c r="M30" s="1633"/>
      <c r="N30" s="1584"/>
      <c r="O30" s="1633"/>
      <c r="P30" s="1584"/>
      <c r="Q30" s="1633"/>
      <c r="R30" s="1584"/>
      <c r="S30" s="1633"/>
    </row>
    <row r="31" spans="1:19">
      <c r="A31" s="1802"/>
      <c r="B31" s="1814" t="s">
        <v>4685</v>
      </c>
      <c r="C31" s="1804"/>
      <c r="D31" s="1805"/>
      <c r="E31" s="1806" t="s">
        <v>2845</v>
      </c>
      <c r="F31" s="1807"/>
      <c r="G31" s="662">
        <f t="shared" si="4"/>
        <v>0</v>
      </c>
      <c r="H31" s="1808"/>
      <c r="I31" s="1643">
        <v>3500</v>
      </c>
      <c r="J31" s="1808"/>
      <c r="K31" s="1634">
        <v>3950</v>
      </c>
      <c r="L31" s="1808"/>
      <c r="M31" s="1633"/>
      <c r="N31" s="1808"/>
      <c r="O31" s="1633"/>
      <c r="P31" s="1808"/>
      <c r="Q31" s="1633"/>
      <c r="R31" s="1808"/>
      <c r="S31" s="1633"/>
    </row>
    <row r="32" spans="1:19">
      <c r="A32" s="1585"/>
      <c r="B32" s="1815"/>
      <c r="C32" s="1736"/>
      <c r="D32" s="1744"/>
      <c r="E32" s="1738"/>
      <c r="F32" s="1797"/>
      <c r="G32" s="662">
        <f t="shared" si="4"/>
        <v>0</v>
      </c>
      <c r="H32" s="1584"/>
      <c r="I32" s="1634"/>
      <c r="J32" s="1584"/>
      <c r="K32" s="1634"/>
      <c r="L32" s="1584"/>
      <c r="M32" s="1633"/>
      <c r="N32" s="1584"/>
      <c r="O32" s="1633"/>
      <c r="P32" s="1584"/>
      <c r="Q32" s="1633"/>
      <c r="R32" s="1584"/>
      <c r="S32" s="1633"/>
    </row>
    <row r="33" spans="1:19">
      <c r="A33" s="1585"/>
      <c r="B33" s="1801" t="s">
        <v>2697</v>
      </c>
      <c r="C33" s="1736"/>
      <c r="D33" s="1744"/>
      <c r="E33" s="1738"/>
      <c r="F33" s="1797"/>
      <c r="G33" s="662">
        <f t="shared" si="4"/>
        <v>0</v>
      </c>
      <c r="H33" s="1584"/>
      <c r="I33" s="1729">
        <f>SUBTOTAL(9,I34:I50)</f>
        <v>20510</v>
      </c>
      <c r="J33" s="1584"/>
      <c r="K33" s="1729">
        <f>SUBTOTAL(9,K35:K50)</f>
        <v>23935</v>
      </c>
      <c r="L33" s="1584"/>
      <c r="M33" s="1729">
        <f>SUBTOTAL(9,M35:M50)</f>
        <v>0</v>
      </c>
      <c r="N33" s="1584"/>
      <c r="O33" s="1729">
        <f>SUBTOTAL(9,O35:O50)</f>
        <v>0</v>
      </c>
      <c r="P33" s="1584"/>
      <c r="Q33" s="1729">
        <f>SUBTOTAL(9,Q35:Q50)</f>
        <v>0</v>
      </c>
      <c r="R33" s="1584"/>
      <c r="S33" s="1729">
        <f>SUBTOTAL(9,S35:S50)</f>
        <v>0</v>
      </c>
    </row>
    <row r="34" spans="1:19">
      <c r="A34" s="1802"/>
      <c r="B34" s="1803" t="s">
        <v>4681</v>
      </c>
      <c r="C34" s="1804"/>
      <c r="D34" s="1805"/>
      <c r="E34" s="1806"/>
      <c r="F34" s="1807"/>
      <c r="G34" s="662"/>
      <c r="H34" s="1808"/>
      <c r="I34" s="1638"/>
      <c r="J34" s="1809"/>
      <c r="K34" s="1638"/>
      <c r="L34" s="1809"/>
      <c r="M34" s="1638"/>
      <c r="N34" s="1809"/>
      <c r="O34" s="1638"/>
      <c r="P34" s="1809"/>
      <c r="Q34" s="1638"/>
      <c r="R34" s="1809"/>
      <c r="S34" s="1638"/>
    </row>
    <row r="35" spans="1:19">
      <c r="A35" s="1585"/>
      <c r="B35" s="1800" t="s">
        <v>4686</v>
      </c>
      <c r="C35" s="1736"/>
      <c r="D35" s="1811"/>
      <c r="E35" s="1738" t="s">
        <v>2845</v>
      </c>
      <c r="F35" s="1797"/>
      <c r="G35" s="662">
        <f t="shared" ref="G35" si="6">ROUND(D35*F35,0)</f>
        <v>0</v>
      </c>
      <c r="H35" s="1584"/>
      <c r="I35" s="1634">
        <v>16300</v>
      </c>
      <c r="J35" s="1584"/>
      <c r="K35" s="1634">
        <v>20750</v>
      </c>
      <c r="L35" s="1584"/>
      <c r="M35" s="1633"/>
      <c r="N35" s="1584"/>
      <c r="O35" s="1633"/>
      <c r="P35" s="1584"/>
      <c r="Q35" s="1633"/>
      <c r="R35" s="1584"/>
      <c r="S35" s="1633"/>
    </row>
    <row r="36" spans="1:19">
      <c r="A36" s="1585"/>
      <c r="B36" s="1814" t="s">
        <v>4685</v>
      </c>
      <c r="C36" s="1736"/>
      <c r="D36" s="1811"/>
      <c r="E36" s="1738" t="s">
        <v>2845</v>
      </c>
      <c r="F36" s="1797"/>
      <c r="G36" s="662">
        <f t="shared" si="4"/>
        <v>0</v>
      </c>
      <c r="H36" s="1584"/>
      <c r="I36" s="1634">
        <v>4210</v>
      </c>
      <c r="J36" s="1584"/>
      <c r="K36" s="1634">
        <v>3185</v>
      </c>
      <c r="L36" s="1584"/>
      <c r="M36" s="1633"/>
      <c r="N36" s="1584"/>
      <c r="O36" s="1633"/>
      <c r="P36" s="1584"/>
      <c r="Q36" s="1633"/>
      <c r="R36" s="1584"/>
      <c r="S36" s="1633"/>
    </row>
    <row r="37" spans="1:19">
      <c r="A37" s="1585"/>
      <c r="B37" s="1814"/>
      <c r="C37" s="1736"/>
      <c r="D37" s="1811"/>
      <c r="E37" s="1738"/>
      <c r="F37" s="1797"/>
      <c r="G37" s="662"/>
      <c r="H37" s="1584"/>
      <c r="I37" s="1634"/>
      <c r="J37" s="1584"/>
      <c r="K37" s="1634"/>
      <c r="L37" s="1584"/>
      <c r="M37" s="1633"/>
      <c r="N37" s="1584"/>
      <c r="O37" s="1633"/>
      <c r="P37" s="1584"/>
      <c r="Q37" s="1633"/>
      <c r="R37" s="1584"/>
      <c r="S37" s="1633"/>
    </row>
    <row r="38" spans="1:19">
      <c r="A38" s="1585"/>
      <c r="B38" s="1814"/>
      <c r="C38" s="1736"/>
      <c r="D38" s="1811"/>
      <c r="E38" s="1738"/>
      <c r="F38" s="1797"/>
      <c r="G38" s="662"/>
      <c r="H38" s="1584"/>
      <c r="I38" s="1634"/>
      <c r="J38" s="1584"/>
      <c r="K38" s="1634"/>
      <c r="L38" s="1584"/>
      <c r="M38" s="1633"/>
      <c r="N38" s="1584"/>
      <c r="O38" s="1633"/>
      <c r="P38" s="1584"/>
      <c r="Q38" s="1633"/>
      <c r="R38" s="1584"/>
      <c r="S38" s="1633"/>
    </row>
    <row r="39" spans="1:19">
      <c r="A39" s="1585"/>
      <c r="B39" s="1814"/>
      <c r="C39" s="1736"/>
      <c r="D39" s="1811"/>
      <c r="E39" s="1738"/>
      <c r="F39" s="1797"/>
      <c r="G39" s="662"/>
      <c r="H39" s="1584"/>
      <c r="I39" s="1634"/>
      <c r="J39" s="1584"/>
      <c r="K39" s="1634"/>
      <c r="L39" s="1584"/>
      <c r="M39" s="1633"/>
      <c r="N39" s="1584"/>
      <c r="O39" s="1633"/>
      <c r="P39" s="1584"/>
      <c r="Q39" s="1633"/>
      <c r="R39" s="1584"/>
      <c r="S39" s="1633"/>
    </row>
    <row r="40" spans="1:19">
      <c r="A40" s="1585"/>
      <c r="B40" s="1814"/>
      <c r="C40" s="1736"/>
      <c r="D40" s="1811"/>
      <c r="E40" s="1738"/>
      <c r="F40" s="1797"/>
      <c r="G40" s="662"/>
      <c r="H40" s="1584"/>
      <c r="I40" s="1634"/>
      <c r="J40" s="1584"/>
      <c r="K40" s="1634"/>
      <c r="L40" s="1584"/>
      <c r="M40" s="1633"/>
      <c r="N40" s="1584"/>
      <c r="O40" s="1633"/>
      <c r="P40" s="1584"/>
      <c r="Q40" s="1633"/>
      <c r="R40" s="1584"/>
      <c r="S40" s="1633"/>
    </row>
    <row r="41" spans="1:19">
      <c r="A41" s="1585"/>
      <c r="B41" s="1814"/>
      <c r="C41" s="1736"/>
      <c r="D41" s="1811"/>
      <c r="E41" s="1738"/>
      <c r="F41" s="1797"/>
      <c r="G41" s="662"/>
      <c r="H41" s="1584"/>
      <c r="I41" s="1634"/>
      <c r="J41" s="1584"/>
      <c r="K41" s="1634"/>
      <c r="L41" s="1584"/>
      <c r="M41" s="1633"/>
      <c r="N41" s="1584"/>
      <c r="O41" s="1633"/>
      <c r="P41" s="1584"/>
      <c r="Q41" s="1633"/>
      <c r="R41" s="1584"/>
      <c r="S41" s="1633"/>
    </row>
    <row r="42" spans="1:19">
      <c r="A42" s="1585"/>
      <c r="B42" s="1814"/>
      <c r="C42" s="1736"/>
      <c r="D42" s="1811"/>
      <c r="E42" s="1738"/>
      <c r="F42" s="1797"/>
      <c r="G42" s="662"/>
      <c r="H42" s="1584"/>
      <c r="I42" s="1634"/>
      <c r="J42" s="1584"/>
      <c r="K42" s="1634"/>
      <c r="L42" s="1584"/>
      <c r="M42" s="1633"/>
      <c r="N42" s="1584"/>
      <c r="O42" s="1633"/>
      <c r="P42" s="1584"/>
      <c r="Q42" s="1633"/>
      <c r="R42" s="1584"/>
      <c r="S42" s="1633"/>
    </row>
    <row r="43" spans="1:19">
      <c r="A43" s="1585"/>
      <c r="B43" s="1814"/>
      <c r="C43" s="1736"/>
      <c r="D43" s="1811"/>
      <c r="E43" s="1738"/>
      <c r="F43" s="1797"/>
      <c r="G43" s="662"/>
      <c r="H43" s="1584"/>
      <c r="I43" s="1634"/>
      <c r="J43" s="1584"/>
      <c r="K43" s="1634"/>
      <c r="L43" s="1584"/>
      <c r="M43" s="1633"/>
      <c r="N43" s="1584"/>
      <c r="O43" s="1633"/>
      <c r="P43" s="1584"/>
      <c r="Q43" s="1633"/>
      <c r="R43" s="1584"/>
      <c r="S43" s="1633"/>
    </row>
    <row r="44" spans="1:19">
      <c r="A44" s="1585"/>
      <c r="B44" s="1814"/>
      <c r="C44" s="1736"/>
      <c r="D44" s="1811"/>
      <c r="E44" s="1738"/>
      <c r="F44" s="1797"/>
      <c r="G44" s="662"/>
      <c r="H44" s="1584"/>
      <c r="I44" s="1634"/>
      <c r="J44" s="1584"/>
      <c r="K44" s="1634"/>
      <c r="L44" s="1584"/>
      <c r="M44" s="1633"/>
      <c r="N44" s="1584"/>
      <c r="O44" s="1633"/>
      <c r="P44" s="1584"/>
      <c r="Q44" s="1633"/>
      <c r="R44" s="1584"/>
      <c r="S44" s="1633"/>
    </row>
    <row r="45" spans="1:19">
      <c r="A45" s="1585"/>
      <c r="B45" s="1814"/>
      <c r="C45" s="1736"/>
      <c r="D45" s="1811"/>
      <c r="E45" s="1738"/>
      <c r="F45" s="1797"/>
      <c r="G45" s="662"/>
      <c r="H45" s="1584"/>
      <c r="I45" s="1634"/>
      <c r="J45" s="1584"/>
      <c r="K45" s="1634"/>
      <c r="L45" s="1584"/>
      <c r="M45" s="1633"/>
      <c r="N45" s="1584"/>
      <c r="O45" s="1633"/>
      <c r="P45" s="1584"/>
      <c r="Q45" s="1633"/>
      <c r="R45" s="1584"/>
      <c r="S45" s="1633"/>
    </row>
    <row r="46" spans="1:19">
      <c r="A46" s="1585"/>
      <c r="B46" s="1814"/>
      <c r="C46" s="1736"/>
      <c r="D46" s="1811"/>
      <c r="E46" s="1738"/>
      <c r="F46" s="1797"/>
      <c r="G46" s="662"/>
      <c r="H46" s="1584"/>
      <c r="I46" s="1634"/>
      <c r="J46" s="1584"/>
      <c r="K46" s="1634"/>
      <c r="L46" s="1584"/>
      <c r="M46" s="1633"/>
      <c r="N46" s="1584"/>
      <c r="O46" s="1633"/>
      <c r="P46" s="1584"/>
      <c r="Q46" s="1633"/>
      <c r="R46" s="1584"/>
      <c r="S46" s="1633"/>
    </row>
    <row r="47" spans="1:19">
      <c r="A47" s="1585"/>
      <c r="B47" s="1814"/>
      <c r="C47" s="1736"/>
      <c r="D47" s="1811"/>
      <c r="E47" s="1738"/>
      <c r="F47" s="1797"/>
      <c r="G47" s="662"/>
      <c r="H47" s="1584"/>
      <c r="I47" s="1634"/>
      <c r="J47" s="1584"/>
      <c r="K47" s="1634"/>
      <c r="L47" s="1584"/>
      <c r="M47" s="1633"/>
      <c r="N47" s="1584"/>
      <c r="O47" s="1633"/>
      <c r="P47" s="1584"/>
      <c r="Q47" s="1633"/>
      <c r="R47" s="1584"/>
      <c r="S47" s="1633"/>
    </row>
    <row r="48" spans="1:19">
      <c r="A48" s="1585"/>
      <c r="B48" s="1814"/>
      <c r="C48" s="1736"/>
      <c r="D48" s="1811"/>
      <c r="E48" s="1738"/>
      <c r="F48" s="1797"/>
      <c r="G48" s="662"/>
      <c r="H48" s="1584"/>
      <c r="I48" s="1634"/>
      <c r="J48" s="1584"/>
      <c r="K48" s="1634"/>
      <c r="L48" s="1584"/>
      <c r="M48" s="1633"/>
      <c r="N48" s="1584"/>
      <c r="O48" s="1633"/>
      <c r="P48" s="1584"/>
      <c r="Q48" s="1633"/>
      <c r="R48" s="1584"/>
      <c r="S48" s="1633"/>
    </row>
    <row r="49" spans="1:34">
      <c r="A49" s="1585"/>
      <c r="B49" s="1814"/>
      <c r="C49" s="1736"/>
      <c r="D49" s="1811"/>
      <c r="E49" s="1738"/>
      <c r="F49" s="1797"/>
      <c r="G49" s="662"/>
      <c r="H49" s="1584"/>
      <c r="I49" s="1634"/>
      <c r="J49" s="1584"/>
      <c r="K49" s="1634"/>
      <c r="L49" s="1584"/>
      <c r="M49" s="1633"/>
      <c r="N49" s="1584"/>
      <c r="O49" s="1633"/>
      <c r="P49" s="1584"/>
      <c r="Q49" s="1633"/>
      <c r="R49" s="1584"/>
      <c r="S49" s="1633"/>
    </row>
    <row r="50" spans="1:34" ht="15.75" thickBot="1">
      <c r="A50" s="1585"/>
      <c r="B50" s="1814"/>
      <c r="C50" s="1736"/>
      <c r="D50" s="1811"/>
      <c r="E50" s="1738"/>
      <c r="F50" s="1797"/>
      <c r="G50" s="662"/>
      <c r="H50" s="1584"/>
      <c r="I50" s="1634"/>
      <c r="J50" s="1584"/>
      <c r="K50" s="1634"/>
      <c r="L50" s="1584"/>
      <c r="M50" s="1633"/>
      <c r="N50" s="1584"/>
      <c r="O50" s="1633"/>
      <c r="P50" s="1584"/>
      <c r="Q50" s="1633"/>
      <c r="R50" s="1584"/>
      <c r="S50" s="1633"/>
    </row>
    <row r="51" spans="1:34" ht="15.75" thickTop="1">
      <c r="A51" s="13"/>
      <c r="B51" s="226" t="s">
        <v>3265</v>
      </c>
      <c r="C51" s="15"/>
      <c r="D51" s="168"/>
      <c r="E51" s="176"/>
      <c r="F51" s="17"/>
      <c r="G51" s="227">
        <f>SUBTOTAL(9,G22:G50)</f>
        <v>16261</v>
      </c>
      <c r="H51" s="19"/>
      <c r="I51" s="225">
        <f>SUBTOTAL(9,I22:I50)</f>
        <v>72971</v>
      </c>
      <c r="J51" s="19"/>
      <c r="K51" s="225">
        <f>SUBTOTAL(9,K22:K50)</f>
        <v>79671</v>
      </c>
      <c r="L51" s="19"/>
      <c r="M51" s="225">
        <f>SUBTOTAL(9,M22:M50)</f>
        <v>0</v>
      </c>
      <c r="N51" s="19"/>
      <c r="O51" s="164">
        <f>SUM(O19:O50)</f>
        <v>0</v>
      </c>
      <c r="P51" s="19"/>
      <c r="Q51" s="164">
        <f>SUM(Q19:Q50)</f>
        <v>0</v>
      </c>
      <c r="R51" s="19"/>
      <c r="S51" s="164">
        <f>SUM(S19:S50)</f>
        <v>0</v>
      </c>
    </row>
    <row r="52" spans="1:34">
      <c r="A52" s="1816"/>
      <c r="B52" s="1817" t="s">
        <v>2976</v>
      </c>
      <c r="C52" s="1818"/>
      <c r="D52" s="1819"/>
      <c r="E52" s="1820"/>
      <c r="F52" s="1821"/>
      <c r="G52" s="654"/>
      <c r="H52" s="1822">
        <v>0</v>
      </c>
      <c r="I52" s="645"/>
      <c r="J52" s="1822">
        <v>0</v>
      </c>
      <c r="K52" s="645"/>
      <c r="L52" s="1822">
        <v>0</v>
      </c>
      <c r="M52" s="645"/>
      <c r="N52" s="1822">
        <v>0</v>
      </c>
      <c r="O52" s="645"/>
      <c r="P52" s="1822">
        <v>0</v>
      </c>
      <c r="Q52" s="645"/>
      <c r="R52" s="1822">
        <v>0</v>
      </c>
      <c r="S52" s="645"/>
    </row>
    <row r="53" spans="1:34">
      <c r="A53" s="1816"/>
      <c r="B53" s="1817" t="s">
        <v>2977</v>
      </c>
      <c r="C53" s="1818"/>
      <c r="D53" s="1819"/>
      <c r="E53" s="1820"/>
      <c r="F53" s="1821"/>
      <c r="G53" s="654">
        <f>F52*G51</f>
        <v>0</v>
      </c>
      <c r="H53" s="1823"/>
      <c r="I53" s="1824">
        <f>H52*I51</f>
        <v>0</v>
      </c>
      <c r="J53" s="1823"/>
      <c r="K53" s="1824">
        <f>J52*K51</f>
        <v>0</v>
      </c>
      <c r="L53" s="1823"/>
      <c r="M53" s="1824">
        <f>L52*M51</f>
        <v>0</v>
      </c>
      <c r="N53" s="1823"/>
      <c r="O53" s="1824">
        <f>N52*O51</f>
        <v>0</v>
      </c>
      <c r="P53" s="1823"/>
      <c r="Q53" s="1824">
        <f>P52*Q51</f>
        <v>0</v>
      </c>
      <c r="R53" s="1823"/>
      <c r="S53" s="1824">
        <f>R52*S51</f>
        <v>0</v>
      </c>
    </row>
    <row r="54" spans="1:34">
      <c r="A54" s="1816"/>
      <c r="B54" s="1817"/>
      <c r="C54" s="1818"/>
      <c r="D54" s="1819"/>
      <c r="E54" s="1820"/>
      <c r="F54" s="1821"/>
      <c r="G54" s="654"/>
      <c r="H54" s="1823"/>
      <c r="I54" s="1824"/>
      <c r="J54" s="1823"/>
      <c r="K54" s="1824"/>
      <c r="L54" s="1823"/>
      <c r="M54" s="1824"/>
      <c r="N54" s="1823"/>
      <c r="O54" s="1824"/>
      <c r="P54" s="1823"/>
      <c r="Q54" s="1824"/>
      <c r="R54" s="1823"/>
      <c r="S54" s="1824"/>
    </row>
    <row r="55" spans="1:34">
      <c r="A55" s="1816"/>
      <c r="B55" s="1817" t="s">
        <v>2978</v>
      </c>
      <c r="C55" s="1818"/>
      <c r="D55" s="1819"/>
      <c r="E55" s="1820"/>
      <c r="F55" s="1821"/>
      <c r="G55" s="654">
        <f>SUM(G51:G53)</f>
        <v>16261</v>
      </c>
      <c r="H55" s="1825"/>
      <c r="I55" s="1824">
        <f>SUM(I51:I53)</f>
        <v>72971</v>
      </c>
      <c r="J55" s="1825"/>
      <c r="K55" s="1824">
        <f>SUM(K51:K53)</f>
        <v>79671</v>
      </c>
      <c r="L55" s="1825"/>
      <c r="M55" s="1824">
        <f>SUM(M51:M53)</f>
        <v>0</v>
      </c>
      <c r="N55" s="1825"/>
      <c r="O55" s="1824">
        <f>SUM(O51:O53)</f>
        <v>0</v>
      </c>
      <c r="P55" s="1825"/>
      <c r="Q55" s="1824">
        <f>SUM(Q51:Q53)</f>
        <v>0</v>
      </c>
      <c r="R55" s="1825"/>
      <c r="S55" s="1824">
        <f>SUM(S51:S53)</f>
        <v>0</v>
      </c>
    </row>
    <row r="56" spans="1:34">
      <c r="A56" s="1816"/>
      <c r="B56" s="1826" t="s">
        <v>2979</v>
      </c>
      <c r="C56" s="1818"/>
      <c r="D56" s="1819"/>
      <c r="E56" s="1820"/>
      <c r="F56" s="1826"/>
      <c r="G56" s="655">
        <f>G55/'Area Calculations'!$F$5</f>
        <v>0.1833837062432335</v>
      </c>
      <c r="H56" s="1827"/>
      <c r="I56" s="1828">
        <f>I55/'Area Calculations'!$F$5</f>
        <v>0.82293170335618915</v>
      </c>
      <c r="J56" s="1827"/>
      <c r="K56" s="1828">
        <f>K55/'Area Calculations'!$F$5</f>
        <v>0.89849106820642366</v>
      </c>
      <c r="L56" s="1827"/>
      <c r="M56" s="1828">
        <f>M55/'Area Calculations'!$F$5</f>
        <v>0</v>
      </c>
      <c r="N56" s="1827"/>
      <c r="O56" s="1828">
        <f>O55/'Area Calculations'!$F$5</f>
        <v>0</v>
      </c>
      <c r="P56" s="1827"/>
      <c r="Q56" s="1828">
        <f>Q55/'Area Calculations'!$F$5</f>
        <v>0</v>
      </c>
      <c r="R56" s="1829"/>
      <c r="S56" s="1828">
        <f>S55/'Area Calculations'!$F$5</f>
        <v>0</v>
      </c>
    </row>
    <row r="57" spans="1:34">
      <c r="A57" s="1816"/>
      <c r="B57" s="1830"/>
      <c r="C57" s="1818"/>
      <c r="D57" s="1819"/>
      <c r="E57" s="1820"/>
      <c r="F57" s="1821"/>
      <c r="G57" s="656"/>
      <c r="H57" s="1831"/>
      <c r="I57" s="1831"/>
      <c r="J57" s="1831"/>
      <c r="K57" s="1831"/>
      <c r="L57" s="1831"/>
      <c r="M57" s="1832"/>
      <c r="N57" s="1831"/>
      <c r="O57" s="1831"/>
      <c r="P57" s="1831"/>
      <c r="Q57" s="1831"/>
      <c r="R57" s="1831"/>
      <c r="S57" s="1831"/>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1768"/>
      <c r="B59" s="1781"/>
      <c r="C59" s="1769"/>
      <c r="D59" s="1770"/>
      <c r="E59" s="1771"/>
      <c r="F59" s="1769"/>
      <c r="G59" s="1773"/>
      <c r="H59" s="1774"/>
      <c r="I59" s="1774"/>
      <c r="J59" s="1774"/>
      <c r="K59" s="1774"/>
      <c r="L59" s="1774"/>
      <c r="M59" s="1774"/>
      <c r="N59" s="1774"/>
      <c r="O59" s="1774"/>
      <c r="P59" s="1774"/>
      <c r="Q59" s="1774"/>
      <c r="R59" s="1774"/>
      <c r="S59" s="1774"/>
    </row>
    <row r="60" spans="1:34" hidden="1">
      <c r="A60" s="1768"/>
      <c r="B60" s="1781"/>
      <c r="C60" s="1769"/>
      <c r="D60" s="1770"/>
      <c r="E60" s="1771"/>
      <c r="F60" s="1769"/>
      <c r="G60" s="1773"/>
      <c r="H60" s="1774"/>
      <c r="I60" s="1774"/>
      <c r="J60" s="1774"/>
      <c r="K60" s="1774"/>
      <c r="L60" s="1774"/>
      <c r="M60" s="1774"/>
      <c r="N60" s="1774"/>
      <c r="O60" s="1774"/>
      <c r="P60" s="1774"/>
      <c r="Q60" s="1774"/>
      <c r="R60" s="1774"/>
      <c r="S60" s="1774"/>
    </row>
    <row r="61" spans="1:34" ht="15.75" hidden="1" thickBot="1">
      <c r="A61" s="1768"/>
      <c r="B61" s="1781"/>
      <c r="C61" s="1769"/>
      <c r="D61" s="1770"/>
      <c r="E61" s="1771"/>
      <c r="F61" s="1769"/>
      <c r="G61" s="1773"/>
      <c r="H61" s="1774"/>
      <c r="I61" s="1774"/>
      <c r="J61" s="1774"/>
      <c r="K61" s="1774"/>
      <c r="L61" s="1774"/>
      <c r="M61" s="1774"/>
      <c r="N61" s="1774"/>
      <c r="O61" s="1774"/>
      <c r="P61" s="1774"/>
      <c r="Q61" s="1774"/>
      <c r="R61" s="1774"/>
      <c r="S61" s="1774"/>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1768"/>
      <c r="B63" s="1781"/>
      <c r="C63" s="1769"/>
      <c r="D63" s="1770"/>
      <c r="E63" s="1771"/>
      <c r="F63" s="1769"/>
      <c r="G63" s="1773"/>
      <c r="H63" s="1774"/>
      <c r="I63" s="1774"/>
      <c r="J63" s="1774"/>
      <c r="K63" s="1774"/>
      <c r="L63" s="1774"/>
      <c r="M63" s="1774"/>
      <c r="N63" s="1774"/>
      <c r="O63" s="1774"/>
      <c r="P63" s="1774"/>
      <c r="Q63" s="1774"/>
      <c r="R63" s="1774"/>
      <c r="S63" s="1774"/>
      <c r="T63"/>
      <c r="U63"/>
      <c r="V63"/>
      <c r="W63"/>
      <c r="X63"/>
      <c r="Y63"/>
      <c r="Z63"/>
      <c r="AA63"/>
      <c r="AB63"/>
      <c r="AC63"/>
      <c r="AD63"/>
      <c r="AE63"/>
      <c r="AF63"/>
      <c r="AG63"/>
      <c r="AH63"/>
    </row>
    <row r="64" spans="1:34" s="2" customFormat="1" hidden="1">
      <c r="A64" s="1768"/>
      <c r="B64" s="1781"/>
      <c r="C64" s="1769"/>
      <c r="D64" s="1770"/>
      <c r="E64" s="1771"/>
      <c r="F64" s="1769"/>
      <c r="G64" s="1773"/>
      <c r="H64" s="1774"/>
      <c r="I64" s="1774"/>
      <c r="J64" s="1774"/>
      <c r="K64" s="1774"/>
      <c r="L64" s="1774"/>
      <c r="M64" s="1774"/>
      <c r="N64" s="1774"/>
      <c r="O64" s="1774"/>
      <c r="P64" s="1774"/>
      <c r="Q64" s="1774"/>
      <c r="R64" s="1774"/>
      <c r="S64" s="1774"/>
      <c r="T64"/>
      <c r="U64"/>
      <c r="V64"/>
      <c r="W64"/>
      <c r="X64"/>
      <c r="Y64"/>
      <c r="Z64"/>
      <c r="AA64"/>
      <c r="AB64"/>
      <c r="AC64"/>
      <c r="AD64"/>
      <c r="AE64"/>
      <c r="AF64"/>
      <c r="AG64"/>
      <c r="AH64"/>
    </row>
    <row r="65" spans="1:34" ht="15.75" hidden="1" thickBot="1">
      <c r="A65" s="1768"/>
      <c r="B65" s="1781"/>
      <c r="C65" s="1769"/>
      <c r="D65" s="1770"/>
      <c r="E65" s="1771"/>
      <c r="F65" s="1769"/>
      <c r="G65" s="1773"/>
      <c r="H65" s="1774"/>
      <c r="I65" s="1774"/>
      <c r="J65" s="1774"/>
      <c r="K65" s="1774"/>
      <c r="L65" s="1774"/>
      <c r="M65" s="1774"/>
      <c r="N65" s="1774"/>
      <c r="O65" s="1774"/>
      <c r="P65" s="1774"/>
      <c r="Q65" s="1774"/>
      <c r="R65" s="1774"/>
      <c r="S65" s="1774"/>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1768"/>
      <c r="B67" s="1781"/>
      <c r="C67" s="1769"/>
      <c r="D67" s="1770"/>
      <c r="E67" s="1771"/>
      <c r="F67" s="1769"/>
      <c r="G67" s="1773"/>
      <c r="H67" s="1774"/>
      <c r="I67" s="1774"/>
      <c r="J67" s="1774"/>
      <c r="K67" s="1774"/>
      <c r="L67" s="1774"/>
      <c r="M67" s="1774"/>
      <c r="N67" s="1774"/>
      <c r="O67" s="1774"/>
      <c r="P67" s="1774"/>
      <c r="Q67" s="1774"/>
      <c r="R67" s="1774"/>
      <c r="S67" s="1774"/>
      <c r="T67"/>
      <c r="U67"/>
      <c r="V67"/>
      <c r="W67"/>
      <c r="X67"/>
      <c r="Y67"/>
      <c r="Z67"/>
      <c r="AA67"/>
      <c r="AB67"/>
      <c r="AC67"/>
      <c r="AD67"/>
      <c r="AE67"/>
      <c r="AF67"/>
      <c r="AG67"/>
      <c r="AH67"/>
    </row>
    <row r="68" spans="1:34" s="2" customFormat="1" hidden="1">
      <c r="A68" s="1833"/>
      <c r="B68" s="1781"/>
      <c r="C68" s="1736"/>
      <c r="D68" s="1744"/>
      <c r="E68" s="1738"/>
      <c r="F68" s="1736"/>
      <c r="G68" s="1834"/>
      <c r="H68" s="1835"/>
      <c r="I68" s="1835"/>
      <c r="J68" s="1835"/>
      <c r="K68" s="1835"/>
      <c r="L68" s="1835"/>
      <c r="M68" s="1835"/>
      <c r="N68" s="1835"/>
      <c r="O68" s="1835"/>
      <c r="P68" s="1835"/>
      <c r="Q68" s="1835"/>
      <c r="R68" s="1835"/>
      <c r="S68" s="1835"/>
      <c r="T68"/>
      <c r="U68"/>
      <c r="V68"/>
      <c r="W68"/>
      <c r="X68"/>
      <c r="Y68"/>
      <c r="Z68"/>
      <c r="AA68"/>
      <c r="AB68"/>
      <c r="AC68"/>
      <c r="AD68"/>
      <c r="AE68"/>
      <c r="AF68"/>
      <c r="AG68"/>
      <c r="AH68"/>
    </row>
    <row r="69" spans="1:34" s="2" customFormat="1" ht="15.75" hidden="1" thickBot="1">
      <c r="A69" s="1836"/>
      <c r="B69" s="1837"/>
      <c r="C69" s="1736"/>
      <c r="D69" s="1744"/>
      <c r="E69" s="1738"/>
      <c r="F69" s="1736"/>
      <c r="G69" s="1834"/>
      <c r="H69" s="1838"/>
      <c r="I69" s="1838"/>
      <c r="J69" s="1838"/>
      <c r="K69" s="1838"/>
      <c r="L69" s="1838"/>
      <c r="M69" s="1838"/>
      <c r="N69" s="1838"/>
      <c r="O69" s="1838"/>
      <c r="P69" s="1838"/>
      <c r="Q69" s="1838"/>
      <c r="R69" s="1838"/>
      <c r="S69" s="1838"/>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1777"/>
      <c r="B71" s="1778"/>
      <c r="C71" s="1769"/>
      <c r="D71" s="1770"/>
      <c r="E71" s="1771"/>
      <c r="F71" s="1769"/>
      <c r="G71" s="1773"/>
      <c r="H71" s="1774"/>
      <c r="I71" s="1774"/>
      <c r="J71" s="1774"/>
      <c r="K71" s="1774"/>
      <c r="L71" s="1774"/>
      <c r="M71" s="1774"/>
      <c r="N71" s="1774"/>
      <c r="O71" s="1774"/>
      <c r="P71" s="1774"/>
      <c r="Q71" s="1774"/>
      <c r="R71" s="1774"/>
      <c r="S71" s="1774"/>
      <c r="T71" s="2"/>
      <c r="U71" s="2"/>
      <c r="V71" s="2"/>
      <c r="W71" s="2"/>
      <c r="X71" s="2"/>
      <c r="Y71" s="2"/>
      <c r="Z71" s="2"/>
      <c r="AA71" s="2"/>
      <c r="AB71" s="2"/>
      <c r="AC71" s="2"/>
      <c r="AD71" s="2"/>
      <c r="AE71" s="2"/>
      <c r="AF71" s="2"/>
      <c r="AG71" s="2"/>
      <c r="AH71" s="2"/>
    </row>
    <row r="72" spans="1:34" hidden="1">
      <c r="A72" s="1836"/>
      <c r="B72" s="1837"/>
      <c r="C72" s="1736"/>
      <c r="D72" s="1744"/>
      <c r="E72" s="1738"/>
      <c r="F72" s="1736"/>
      <c r="G72" s="1834"/>
      <c r="H72" s="1839"/>
      <c r="I72" s="1839"/>
      <c r="J72" s="1839"/>
      <c r="K72" s="1839"/>
      <c r="L72" s="1839"/>
      <c r="M72" s="1839"/>
      <c r="N72" s="1839"/>
      <c r="O72" s="1839"/>
      <c r="P72" s="1839"/>
      <c r="Q72" s="1839"/>
      <c r="R72" s="1839"/>
      <c r="S72" s="1839"/>
      <c r="T72" s="2"/>
      <c r="U72" s="2"/>
      <c r="V72" s="2"/>
      <c r="W72" s="2"/>
      <c r="X72" s="2"/>
      <c r="Y72" s="2"/>
      <c r="Z72" s="2"/>
      <c r="AA72" s="2"/>
      <c r="AB72" s="2"/>
      <c r="AC72" s="2"/>
      <c r="AD72" s="2"/>
      <c r="AE72" s="2"/>
      <c r="AF72" s="2"/>
      <c r="AG72" s="2"/>
      <c r="AH72" s="2"/>
    </row>
    <row r="73" spans="1:34" ht="15.75" hidden="1" thickBot="1">
      <c r="A73" s="1836"/>
      <c r="B73" s="1837"/>
      <c r="C73" s="1736"/>
      <c r="D73" s="1744"/>
      <c r="E73" s="1738"/>
      <c r="F73" s="1736"/>
      <c r="G73" s="1834"/>
      <c r="H73" s="1839"/>
      <c r="I73" s="1839"/>
      <c r="J73" s="1839"/>
      <c r="K73" s="1839"/>
      <c r="L73" s="1839"/>
      <c r="M73" s="1839"/>
      <c r="N73" s="1839"/>
      <c r="O73" s="1839"/>
      <c r="P73" s="1839"/>
      <c r="Q73" s="1839"/>
      <c r="R73" s="1839"/>
      <c r="S73" s="1839"/>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1833"/>
      <c r="B75" s="1781" t="s">
        <v>2985</v>
      </c>
      <c r="C75" s="1736"/>
      <c r="D75" s="1744"/>
      <c r="E75" s="1738"/>
      <c r="F75" s="1736"/>
      <c r="G75" s="1834"/>
      <c r="H75" s="1839"/>
      <c r="I75" s="1839"/>
      <c r="J75" s="1839"/>
      <c r="K75" s="1839"/>
      <c r="L75" s="1839"/>
      <c r="M75" s="1839"/>
      <c r="N75" s="1839"/>
      <c r="O75" s="1839"/>
      <c r="P75" s="1839"/>
      <c r="Q75" s="1839"/>
      <c r="R75" s="1839"/>
      <c r="S75" s="1839"/>
    </row>
    <row r="76" spans="1:34" hidden="1">
      <c r="A76" s="1833"/>
      <c r="B76" s="1781" t="s">
        <v>2986</v>
      </c>
      <c r="C76" s="1736"/>
      <c r="D76" s="1744"/>
      <c r="E76" s="1738"/>
      <c r="F76" s="1736"/>
      <c r="G76" s="1834"/>
      <c r="H76" s="1839"/>
      <c r="I76" s="1839"/>
      <c r="J76" s="1839"/>
      <c r="K76" s="1839"/>
      <c r="L76" s="1839"/>
      <c r="M76" s="1839"/>
      <c r="N76" s="1839"/>
      <c r="O76" s="1839"/>
      <c r="P76" s="1839"/>
      <c r="Q76" s="1839"/>
      <c r="R76" s="1839"/>
      <c r="S76" s="1839"/>
    </row>
    <row r="77" spans="1:34" hidden="1">
      <c r="A77" s="1833"/>
      <c r="B77" s="1781" t="s">
        <v>2987</v>
      </c>
      <c r="C77" s="1736"/>
      <c r="D77" s="1744"/>
      <c r="E77" s="1738"/>
      <c r="F77" s="1736"/>
      <c r="G77" s="1834"/>
      <c r="H77" s="1839"/>
      <c r="I77" s="1839"/>
      <c r="J77" s="1839"/>
      <c r="K77" s="1839"/>
      <c r="L77" s="1839"/>
      <c r="M77" s="1839"/>
      <c r="N77" s="1839"/>
      <c r="O77" s="1839"/>
      <c r="P77" s="1839"/>
      <c r="Q77" s="1839"/>
      <c r="R77" s="1839"/>
      <c r="S77" s="1839"/>
    </row>
    <row r="78" spans="1:34" hidden="1">
      <c r="A78" s="1833"/>
      <c r="B78" s="1781" t="s">
        <v>2988</v>
      </c>
      <c r="C78" s="1736"/>
      <c r="D78" s="1744"/>
      <c r="E78" s="1738"/>
      <c r="F78" s="1736"/>
      <c r="G78" s="1834"/>
      <c r="H78" s="1839"/>
      <c r="I78" s="1839"/>
      <c r="J78" s="1839"/>
      <c r="K78" s="1839"/>
      <c r="L78" s="1839"/>
      <c r="M78" s="1839"/>
      <c r="N78" s="1839"/>
      <c r="O78" s="1839"/>
      <c r="P78" s="1839"/>
      <c r="Q78" s="1839"/>
      <c r="R78" s="1839"/>
      <c r="S78" s="1839"/>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1768"/>
      <c r="B81" s="1779" t="s">
        <v>2990</v>
      </c>
      <c r="C81" s="1769"/>
      <c r="D81" s="1770"/>
      <c r="E81" s="1771"/>
      <c r="F81" s="1769"/>
      <c r="G81" s="1773"/>
      <c r="H81" s="1780"/>
      <c r="I81" s="1780"/>
      <c r="J81" s="1780"/>
      <c r="K81" s="1780"/>
      <c r="L81" s="1780"/>
      <c r="M81" s="1780"/>
      <c r="N81" s="1780"/>
      <c r="O81" s="1780"/>
      <c r="P81" s="1780"/>
      <c r="Q81" s="1780"/>
      <c r="R81" s="1780"/>
      <c r="S81" s="1780"/>
    </row>
    <row r="82" spans="1:19" hidden="1">
      <c r="A82" s="1833"/>
      <c r="B82" s="1781" t="s">
        <v>2991</v>
      </c>
      <c r="C82" s="1736"/>
      <c r="D82" s="1744"/>
      <c r="E82" s="1738"/>
      <c r="F82" s="1736"/>
      <c r="G82" s="1834"/>
      <c r="H82" s="1840"/>
      <c r="I82" s="1840"/>
      <c r="J82" s="1840"/>
      <c r="K82" s="1840"/>
      <c r="L82" s="1840"/>
      <c r="M82" s="1840"/>
      <c r="N82" s="1840"/>
      <c r="O82" s="1840"/>
      <c r="P82" s="1840"/>
      <c r="Q82" s="1840"/>
      <c r="R82" s="1840"/>
      <c r="S82" s="1840"/>
    </row>
    <row r="83" spans="1:19" ht="15.75" hidden="1" thickBot="1">
      <c r="A83" s="1841"/>
      <c r="B83" s="1578" t="s">
        <v>2992</v>
      </c>
      <c r="C83" s="1552"/>
      <c r="D83" s="1842"/>
      <c r="E83" s="1843"/>
      <c r="F83" s="1552"/>
      <c r="G83" s="1844"/>
      <c r="H83" s="1845"/>
      <c r="I83" s="1845"/>
      <c r="J83" s="1845"/>
      <c r="K83" s="1845"/>
      <c r="L83" s="1845"/>
      <c r="M83" s="1845"/>
      <c r="N83" s="1845"/>
      <c r="O83" s="1845"/>
      <c r="P83" s="1845"/>
      <c r="Q83" s="1845"/>
      <c r="R83" s="1845"/>
      <c r="S83" s="1845"/>
    </row>
    <row r="84" spans="1:19" ht="15.75" thickBot="1"/>
    <row r="85" spans="1:19" ht="16.5" thickTop="1" thickBot="1">
      <c r="A85" s="59" t="s">
        <v>2993</v>
      </c>
      <c r="B85" s="61"/>
    </row>
    <row r="86" spans="1:19" ht="15.75" thickTop="1">
      <c r="A86" s="60" t="s">
        <v>2936</v>
      </c>
      <c r="B86" s="1846"/>
    </row>
    <row r="87" spans="1:19">
      <c r="A87" s="1847" t="s">
        <v>2939</v>
      </c>
      <c r="B87" s="1846"/>
    </row>
    <row r="88" spans="1:19">
      <c r="A88" s="1848" t="s">
        <v>2941</v>
      </c>
      <c r="B88" s="1849"/>
    </row>
    <row r="89" spans="1:19">
      <c r="A89" s="1848" t="s">
        <v>2943</v>
      </c>
      <c r="B89" s="1850"/>
    </row>
    <row r="90" spans="1:19" ht="15.75" thickBot="1">
      <c r="A90" s="1851" t="s">
        <v>2994</v>
      </c>
      <c r="B90" s="1852">
        <f>$I$55</f>
        <v>72971</v>
      </c>
    </row>
    <row r="91" spans="1:19" ht="15.75" thickTop="1"/>
    <row r="92" spans="1:19">
      <c r="A92" s="62"/>
      <c r="B92" s="1" t="s">
        <v>2995</v>
      </c>
    </row>
    <row r="93" spans="1:19">
      <c r="A93" s="63"/>
      <c r="B93" s="1" t="s">
        <v>2996</v>
      </c>
    </row>
  </sheetData>
  <mergeCells count="35">
    <mergeCell ref="L8:M8"/>
    <mergeCell ref="H8:I8"/>
    <mergeCell ref="J8:K8"/>
    <mergeCell ref="N8:O8"/>
    <mergeCell ref="P8:Q8"/>
    <mergeCell ref="L5:M5"/>
    <mergeCell ref="L6:M6"/>
    <mergeCell ref="L7:M7"/>
    <mergeCell ref="H5:I5"/>
    <mergeCell ref="H6:I6"/>
    <mergeCell ref="H7:I7"/>
    <mergeCell ref="J6:K6"/>
    <mergeCell ref="J7:K7"/>
    <mergeCell ref="J5:K5"/>
    <mergeCell ref="N5:O5"/>
    <mergeCell ref="P5:Q5"/>
    <mergeCell ref="R5:S5"/>
    <mergeCell ref="R8:S8"/>
    <mergeCell ref="N7:O7"/>
    <mergeCell ref="P7:Q7"/>
    <mergeCell ref="R7:S7"/>
    <mergeCell ref="N6:O6"/>
    <mergeCell ref="P6:Q6"/>
    <mergeCell ref="R6:S6"/>
    <mergeCell ref="A58:B58"/>
    <mergeCell ref="A62:B62"/>
    <mergeCell ref="A66:B66"/>
    <mergeCell ref="A70:B70"/>
    <mergeCell ref="A74:B74"/>
    <mergeCell ref="R9:S9"/>
    <mergeCell ref="L9:M9"/>
    <mergeCell ref="H9:I9"/>
    <mergeCell ref="J9:K9"/>
    <mergeCell ref="N9:O9"/>
    <mergeCell ref="P9:Q9"/>
  </mergeCells>
  <phoneticPr fontId="27" type="noConversion"/>
  <conditionalFormatting sqref="H11:H18 J11:J18 L11:L18 N11:N18 P11:P18 R11:R18 H20:H50 J20:J50 L20:L50 N20:N50 P20:P50 R20:R50">
    <cfRule type="cellIs" dxfId="269" priority="13" operator="equal">
      <formula>"X"</formula>
    </cfRule>
    <cfRule type="cellIs" dxfId="268" priority="14" operator="equal">
      <formula>"I"</formula>
    </cfRule>
  </conditionalFormatting>
  <hyperlinks>
    <hyperlink ref="B4" location="'Cost Summary'!A1" display="BACK TO SUMMARY SHEET" xr:uid="{62282C08-176C-4209-8C5B-6D36BBBAD4F2}"/>
    <hyperlink ref="H8" r:id="rId1" xr:uid="{FBABA88B-6078-40B1-8C9C-C4C6812F34C2}"/>
    <hyperlink ref="J8" r:id="rId2" xr:uid="{C044DF6F-16A0-4088-85B8-10D3AAF3B55E}"/>
  </hyperlinks>
  <pageMargins left="0.2" right="0.2" top="0.5" bottom="0.75" header="0.3" footer="0.3"/>
  <pageSetup paperSize="3" scale="77" fitToHeight="0" orientation="landscape"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FFFF00"/>
    <pageSetUpPr fitToPage="1"/>
  </sheetPr>
  <dimension ref="A1:AD156"/>
  <sheetViews>
    <sheetView zoomScale="90" zoomScaleNormal="90" workbookViewId="0">
      <pane xSplit="6" ySplit="10" topLeftCell="G69" activePane="bottomRight" state="frozen"/>
      <selection pane="bottomRight" activeCell="B77" sqref="B77"/>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7.7109375" style="2" bestFit="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4687</v>
      </c>
      <c r="I5" s="838"/>
      <c r="J5" s="837" t="s">
        <v>4688</v>
      </c>
      <c r="K5" s="838"/>
      <c r="L5" s="837" t="s">
        <v>4689</v>
      </c>
      <c r="M5" s="838"/>
      <c r="N5" s="837" t="s">
        <v>4690</v>
      </c>
      <c r="O5" s="838"/>
      <c r="P5" s="837" t="s">
        <v>4691</v>
      </c>
      <c r="Q5" s="838"/>
      <c r="R5" s="837" t="s">
        <v>4692</v>
      </c>
      <c r="S5" s="838"/>
    </row>
    <row r="6" spans="1:19">
      <c r="A6" s="1853" t="s">
        <v>2938</v>
      </c>
      <c r="B6" s="1854" t="s">
        <v>2564</v>
      </c>
      <c r="C6" s="1804"/>
      <c r="D6" s="1805"/>
      <c r="E6" s="1806"/>
      <c r="F6" s="1804"/>
      <c r="G6" s="657" t="s">
        <v>2939</v>
      </c>
      <c r="H6" s="1855" t="s">
        <v>4693</v>
      </c>
      <c r="I6" s="839"/>
      <c r="J6" s="1855" t="s">
        <v>4694</v>
      </c>
      <c r="K6" s="839"/>
      <c r="L6" s="1855" t="s">
        <v>4695</v>
      </c>
      <c r="M6" s="839"/>
      <c r="N6" s="1855" t="s">
        <v>4696</v>
      </c>
      <c r="O6" s="839"/>
      <c r="P6" s="1855" t="s">
        <v>4697</v>
      </c>
      <c r="Q6" s="839"/>
      <c r="R6" s="1855" t="s">
        <v>4698</v>
      </c>
      <c r="S6" s="839"/>
    </row>
    <row r="7" spans="1:19">
      <c r="A7" s="1853" t="s">
        <v>2940</v>
      </c>
      <c r="B7" s="1856" t="s">
        <v>2646</v>
      </c>
      <c r="C7" s="1804"/>
      <c r="D7" s="1805"/>
      <c r="E7" s="1806"/>
      <c r="F7" s="1804"/>
      <c r="G7" s="1857" t="s">
        <v>2941</v>
      </c>
      <c r="H7" s="1858" t="s">
        <v>4699</v>
      </c>
      <c r="I7" s="840"/>
      <c r="J7" s="1858" t="s">
        <v>4700</v>
      </c>
      <c r="K7" s="840"/>
      <c r="L7" s="1858" t="s">
        <v>4701</v>
      </c>
      <c r="M7" s="840"/>
      <c r="N7" s="1858" t="s">
        <v>4702</v>
      </c>
      <c r="O7" s="840"/>
      <c r="P7" s="1858" t="s">
        <v>4703</v>
      </c>
      <c r="Q7" s="840"/>
      <c r="R7" s="1858" t="s">
        <v>4704</v>
      </c>
      <c r="S7" s="840"/>
    </row>
    <row r="8" spans="1:19">
      <c r="A8" s="1853" t="s">
        <v>2942</v>
      </c>
      <c r="B8" s="1859"/>
      <c r="C8" s="1804"/>
      <c r="D8" s="1805"/>
      <c r="E8" s="1806"/>
      <c r="F8" s="1804"/>
      <c r="G8" s="1857" t="s">
        <v>2943</v>
      </c>
      <c r="H8" s="1860" t="s">
        <v>4705</v>
      </c>
      <c r="I8" s="836"/>
      <c r="J8" s="1860" t="s">
        <v>4706</v>
      </c>
      <c r="K8" s="836"/>
      <c r="L8" s="1860" t="s">
        <v>4707</v>
      </c>
      <c r="M8" s="836"/>
      <c r="N8" s="1860" t="s">
        <v>4708</v>
      </c>
      <c r="O8" s="836"/>
      <c r="P8" s="1860" t="s">
        <v>4709</v>
      </c>
      <c r="Q8" s="836"/>
      <c r="R8" s="1860" t="s">
        <v>4710</v>
      </c>
      <c r="S8" s="836"/>
    </row>
    <row r="9" spans="1:19" ht="15.75" thickBot="1">
      <c r="A9" s="1861"/>
      <c r="B9" s="1862"/>
      <c r="C9" s="616"/>
      <c r="D9" s="621"/>
      <c r="E9" s="622"/>
      <c r="F9" s="1863"/>
      <c r="G9" s="1864" t="s">
        <v>2944</v>
      </c>
      <c r="H9" s="1865">
        <f>I$118</f>
        <v>2373035</v>
      </c>
      <c r="I9" s="1866"/>
      <c r="J9" s="1865">
        <f>K$118</f>
        <v>2408140</v>
      </c>
      <c r="K9" s="1866"/>
      <c r="L9" s="1867">
        <f>M$118</f>
        <v>2452703</v>
      </c>
      <c r="M9" s="1868"/>
      <c r="N9" s="1867">
        <f>O$118</f>
        <v>2785105</v>
      </c>
      <c r="O9" s="1868"/>
      <c r="P9" s="1865">
        <f>Q$118</f>
        <v>2871503</v>
      </c>
      <c r="Q9" s="1866"/>
      <c r="R9" s="1865">
        <f t="shared" ref="R9" si="0">S$118</f>
        <v>1641163</v>
      </c>
      <c r="S9" s="1866"/>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786"/>
      <c r="B11" s="1618" t="s">
        <v>2953</v>
      </c>
      <c r="C11" s="659"/>
      <c r="D11" s="1805"/>
      <c r="E11" s="1806"/>
      <c r="F11" s="1804"/>
      <c r="G11" s="660"/>
      <c r="H11" s="1808"/>
      <c r="I11" s="182"/>
      <c r="J11" s="1808"/>
      <c r="K11" s="1620"/>
      <c r="L11" s="1808"/>
      <c r="M11" s="1619"/>
      <c r="N11" s="1808"/>
      <c r="O11" s="1619"/>
      <c r="P11" s="1808"/>
      <c r="Q11" s="1620"/>
      <c r="R11" s="1808"/>
      <c r="S11" s="1620"/>
    </row>
    <row r="12" spans="1:19">
      <c r="A12" s="1787"/>
      <c r="B12" s="1622" t="s">
        <v>2954</v>
      </c>
      <c r="C12" s="1804"/>
      <c r="D12" s="1805"/>
      <c r="E12" s="1806"/>
      <c r="F12" s="1804"/>
      <c r="G12" s="660"/>
      <c r="H12" s="1808"/>
      <c r="I12" s="1620"/>
      <c r="J12" s="1808"/>
      <c r="K12" s="1620"/>
      <c r="L12" s="1808"/>
      <c r="M12" s="1619"/>
      <c r="N12" s="1808"/>
      <c r="O12" s="1619"/>
      <c r="P12" s="1808"/>
      <c r="Q12" s="1620"/>
      <c r="R12" s="1808"/>
      <c r="S12" s="1620"/>
    </row>
    <row r="13" spans="1:19">
      <c r="A13" s="1802"/>
      <c r="B13" s="1788" t="s">
        <v>2955</v>
      </c>
      <c r="C13" s="1804"/>
      <c r="D13" s="1805"/>
      <c r="E13" s="1806"/>
      <c r="F13" s="1804"/>
      <c r="G13" s="660"/>
      <c r="H13" s="1808"/>
      <c r="I13" s="1620"/>
      <c r="J13" s="1808"/>
      <c r="K13" s="1620"/>
      <c r="L13" s="1808"/>
      <c r="M13" s="1619"/>
      <c r="N13" s="1808"/>
      <c r="O13" s="1619"/>
      <c r="P13" s="1808"/>
      <c r="Q13" s="1620"/>
      <c r="R13" s="1808"/>
      <c r="S13" s="1620"/>
    </row>
    <row r="14" spans="1:19">
      <c r="A14" s="1802"/>
      <c r="B14" s="1789" t="s">
        <v>2956</v>
      </c>
      <c r="C14" s="1804"/>
      <c r="D14" s="1805"/>
      <c r="E14" s="1806"/>
      <c r="F14" s="1804"/>
      <c r="G14" s="660"/>
      <c r="H14" s="1808"/>
      <c r="I14" s="1620"/>
      <c r="J14" s="1808"/>
      <c r="K14" s="1620"/>
      <c r="L14" s="1808"/>
      <c r="M14" s="1619"/>
      <c r="N14" s="1808"/>
      <c r="O14" s="1619"/>
      <c r="P14" s="1808"/>
      <c r="Q14" s="1620"/>
      <c r="R14" s="1808"/>
      <c r="S14" s="1620"/>
    </row>
    <row r="15" spans="1:19">
      <c r="A15" s="1802"/>
      <c r="B15" s="1789" t="s">
        <v>2957</v>
      </c>
      <c r="C15" s="1804"/>
      <c r="D15" s="1805"/>
      <c r="E15" s="1806"/>
      <c r="F15" s="1804"/>
      <c r="G15" s="660"/>
      <c r="H15" s="1808"/>
      <c r="I15" s="1619"/>
      <c r="J15" s="1808"/>
      <c r="K15" s="1619"/>
      <c r="L15" s="1808"/>
      <c r="M15" s="1619"/>
      <c r="N15" s="1808"/>
      <c r="O15" s="1619"/>
      <c r="P15" s="1808"/>
      <c r="Q15" s="1619"/>
      <c r="R15" s="1808"/>
      <c r="S15" s="1619"/>
    </row>
    <row r="16" spans="1:19">
      <c r="A16" s="1802"/>
      <c r="B16" s="1789" t="s">
        <v>2958</v>
      </c>
      <c r="C16" s="1804"/>
      <c r="D16" s="1805"/>
      <c r="E16" s="1806"/>
      <c r="F16" s="1804"/>
      <c r="G16" s="660"/>
      <c r="H16" s="1808"/>
      <c r="I16" s="1620"/>
      <c r="J16" s="1808"/>
      <c r="K16" s="1620"/>
      <c r="L16" s="1808"/>
      <c r="M16" s="1619"/>
      <c r="N16" s="1808"/>
      <c r="O16" s="1619"/>
      <c r="P16" s="1808"/>
      <c r="Q16" s="1620"/>
      <c r="R16" s="1808"/>
      <c r="S16" s="1620"/>
    </row>
    <row r="17" spans="1:25">
      <c r="A17" s="1802"/>
      <c r="B17" s="1789" t="s">
        <v>2959</v>
      </c>
      <c r="C17" s="1804"/>
      <c r="D17" s="1805"/>
      <c r="E17" s="1806"/>
      <c r="F17" s="1804"/>
      <c r="G17" s="660"/>
      <c r="H17" s="1808"/>
      <c r="I17" s="1620"/>
      <c r="J17" s="1808"/>
      <c r="K17" s="1620"/>
      <c r="L17" s="1808"/>
      <c r="M17" s="1619"/>
      <c r="N17" s="1808"/>
      <c r="O17" s="1619"/>
      <c r="P17" s="1808"/>
      <c r="Q17" s="1620"/>
      <c r="R17" s="1808"/>
      <c r="S17" s="1620"/>
    </row>
    <row r="18" spans="1:25">
      <c r="A18" s="1802"/>
      <c r="B18" s="1790" t="s">
        <v>2960</v>
      </c>
      <c r="C18" s="1804"/>
      <c r="D18" s="1805"/>
      <c r="E18" s="1806"/>
      <c r="F18" s="1804"/>
      <c r="G18" s="660"/>
      <c r="H18" s="1808"/>
      <c r="I18" s="1620"/>
      <c r="J18" s="1808"/>
      <c r="K18" s="1620"/>
      <c r="L18" s="1808"/>
      <c r="M18" s="1619"/>
      <c r="N18" s="1808"/>
      <c r="O18" s="1619"/>
      <c r="P18" s="1808"/>
      <c r="Q18" s="1620"/>
      <c r="R18" s="1808"/>
      <c r="S18" s="1620"/>
    </row>
    <row r="19" spans="1:25">
      <c r="A19" s="1802"/>
      <c r="B19" s="1791" t="s">
        <v>2961</v>
      </c>
      <c r="C19" s="1869"/>
      <c r="D19" s="1870"/>
      <c r="E19" s="1871"/>
      <c r="F19" s="1872"/>
      <c r="G19" s="661"/>
      <c r="H19" s="1873"/>
      <c r="I19" s="1630"/>
      <c r="J19" s="1873"/>
      <c r="K19" s="1630"/>
      <c r="L19" s="1873"/>
      <c r="M19" s="1629"/>
      <c r="N19" s="1873"/>
      <c r="O19" s="1629"/>
      <c r="P19" s="1873"/>
      <c r="Q19" s="1630"/>
      <c r="R19" s="1873"/>
      <c r="S19" s="1630"/>
    </row>
    <row r="20" spans="1:25">
      <c r="A20" s="1802"/>
      <c r="B20" s="365"/>
      <c r="C20" s="1804"/>
      <c r="D20" s="1805"/>
      <c r="E20" s="1806"/>
      <c r="F20" s="1807"/>
      <c r="G20" s="660"/>
      <c r="H20" s="1808"/>
      <c r="I20" s="1633"/>
      <c r="J20" s="1808"/>
      <c r="K20" s="1633"/>
      <c r="L20" s="1808"/>
      <c r="M20" s="1634"/>
      <c r="N20" s="1808"/>
      <c r="O20" s="1633"/>
      <c r="P20" s="1808"/>
      <c r="Q20" s="1633"/>
      <c r="R20" s="1808"/>
      <c r="S20" s="1633"/>
    </row>
    <row r="21" spans="1:25">
      <c r="A21" s="1874"/>
      <c r="B21" s="1875" t="s">
        <v>2695</v>
      </c>
      <c r="C21" s="1804"/>
      <c r="D21" s="1805"/>
      <c r="E21" s="1806"/>
      <c r="F21" s="1876"/>
      <c r="G21" s="662"/>
      <c r="H21" s="1808"/>
      <c r="I21" s="1729">
        <f>SUBTOTAL(9,I37:I98)</f>
        <v>2220525</v>
      </c>
      <c r="J21" s="1808"/>
      <c r="K21" s="1729">
        <f>SUBTOTAL(9,K37:K98)</f>
        <v>2262990</v>
      </c>
      <c r="L21" s="1808"/>
      <c r="M21" s="1729">
        <f>SUBTOTAL(9,M37:M98)</f>
        <v>2315146.7216388369</v>
      </c>
      <c r="N21" s="1808"/>
      <c r="O21" s="1729">
        <f>SUBTOTAL(9,O37:O98)</f>
        <v>2620105</v>
      </c>
      <c r="P21" s="1808"/>
      <c r="Q21" s="1729">
        <f>SUBTOTAL(9,Q37:Q98)</f>
        <v>2715683</v>
      </c>
      <c r="R21" s="1808"/>
      <c r="S21" s="1729">
        <f>SUBTOTAL(9,S37:S98)</f>
        <v>1442858.5</v>
      </c>
    </row>
    <row r="22" spans="1:25">
      <c r="A22" s="1802"/>
      <c r="B22" s="1877" t="s">
        <v>159</v>
      </c>
      <c r="C22" s="1804"/>
      <c r="D22" s="1805"/>
      <c r="E22" s="1806"/>
      <c r="F22" s="1807"/>
      <c r="G22" s="662">
        <f t="shared" ref="G22:G37" si="1">ROUND(D22*F22,0)</f>
        <v>0</v>
      </c>
      <c r="H22" s="1808"/>
      <c r="I22" s="1634"/>
      <c r="J22" s="1808"/>
      <c r="K22" s="1633"/>
      <c r="L22" s="1808"/>
      <c r="M22" s="1634"/>
      <c r="N22" s="1808"/>
      <c r="O22" s="1634"/>
      <c r="P22" s="1808"/>
      <c r="Q22" s="1633"/>
      <c r="R22" s="1808"/>
      <c r="S22" s="1633"/>
      <c r="Y22" s="297"/>
    </row>
    <row r="23" spans="1:25">
      <c r="A23" s="1802"/>
      <c r="B23" s="1800" t="s">
        <v>4711</v>
      </c>
      <c r="C23" s="1804"/>
      <c r="D23" s="1805"/>
      <c r="E23" s="1806"/>
      <c r="F23" s="1807"/>
      <c r="G23" s="662">
        <f t="shared" si="1"/>
        <v>0</v>
      </c>
      <c r="H23" s="1808"/>
      <c r="I23" s="1634"/>
      <c r="J23" s="1808"/>
      <c r="K23" s="1633"/>
      <c r="L23" s="1808"/>
      <c r="M23" s="1634"/>
      <c r="N23" s="1808"/>
      <c r="O23" s="1634"/>
      <c r="P23" s="1808"/>
      <c r="Q23" s="1633"/>
      <c r="R23" s="1808"/>
      <c r="S23" s="1633"/>
      <c r="Y23" s="297"/>
    </row>
    <row r="24" spans="1:25">
      <c r="A24" s="1802"/>
      <c r="B24" s="1878" t="s">
        <v>4712</v>
      </c>
      <c r="C24" s="1804"/>
      <c r="D24" s="1805"/>
      <c r="E24" s="1806"/>
      <c r="F24" s="1807"/>
      <c r="G24" s="662">
        <f t="shared" si="1"/>
        <v>0</v>
      </c>
      <c r="H24" s="1808"/>
      <c r="I24" s="1634"/>
      <c r="J24" s="1808"/>
      <c r="K24" s="1633"/>
      <c r="L24" s="1808"/>
      <c r="M24" s="1634"/>
      <c r="N24" s="1808"/>
      <c r="O24" s="1634"/>
      <c r="P24" s="1808"/>
      <c r="Q24" s="1633"/>
      <c r="R24" s="1808"/>
      <c r="S24" s="1633"/>
      <c r="Y24" s="297"/>
    </row>
    <row r="25" spans="1:25">
      <c r="A25" s="1802"/>
      <c r="B25" s="1878" t="s">
        <v>4713</v>
      </c>
      <c r="C25" s="1804"/>
      <c r="D25" s="1805"/>
      <c r="E25" s="1806"/>
      <c r="F25" s="1807"/>
      <c r="G25" s="662">
        <f t="shared" si="1"/>
        <v>0</v>
      </c>
      <c r="H25" s="1808"/>
      <c r="I25" s="1634"/>
      <c r="J25" s="1808"/>
      <c r="K25" s="1633"/>
      <c r="L25" s="1808"/>
      <c r="M25" s="1634"/>
      <c r="N25" s="1808"/>
      <c r="O25" s="1634"/>
      <c r="P25" s="1808"/>
      <c r="Q25" s="1633"/>
      <c r="R25" s="1808"/>
      <c r="S25" s="1633"/>
      <c r="Y25" s="297"/>
    </row>
    <row r="26" spans="1:25">
      <c r="A26" s="1802"/>
      <c r="B26" s="1878" t="s">
        <v>4714</v>
      </c>
      <c r="C26" s="1804"/>
      <c r="D26" s="1805"/>
      <c r="E26" s="1806"/>
      <c r="F26" s="1807"/>
      <c r="G26" s="662">
        <f t="shared" si="1"/>
        <v>0</v>
      </c>
      <c r="H26" s="1808"/>
      <c r="I26" s="1634"/>
      <c r="J26" s="1808"/>
      <c r="K26" s="1633"/>
      <c r="L26" s="1808"/>
      <c r="M26" s="1634"/>
      <c r="N26" s="1808"/>
      <c r="O26" s="1634"/>
      <c r="P26" s="1808"/>
      <c r="Q26" s="1633"/>
      <c r="R26" s="1808"/>
      <c r="S26" s="1633"/>
      <c r="Y26" s="297"/>
    </row>
    <row r="27" spans="1:25">
      <c r="A27" s="1802"/>
      <c r="B27" s="1878" t="s">
        <v>4715</v>
      </c>
      <c r="C27" s="1804"/>
      <c r="D27" s="1805"/>
      <c r="E27" s="1806"/>
      <c r="F27" s="1807"/>
      <c r="G27" s="662">
        <f t="shared" si="1"/>
        <v>0</v>
      </c>
      <c r="H27" s="1808"/>
      <c r="I27" s="1634"/>
      <c r="J27" s="1808"/>
      <c r="K27" s="1633"/>
      <c r="L27" s="1808"/>
      <c r="M27" s="1634"/>
      <c r="N27" s="1808"/>
      <c r="O27" s="1634"/>
      <c r="P27" s="1808"/>
      <c r="Q27" s="1633"/>
      <c r="R27" s="1808"/>
      <c r="S27" s="1633"/>
      <c r="Y27" s="297"/>
    </row>
    <row r="28" spans="1:25">
      <c r="A28" s="1802"/>
      <c r="B28" s="1878" t="s">
        <v>4716</v>
      </c>
      <c r="C28" s="1804"/>
      <c r="D28" s="1805"/>
      <c r="E28" s="1806"/>
      <c r="F28" s="1807"/>
      <c r="G28" s="662">
        <f t="shared" si="1"/>
        <v>0</v>
      </c>
      <c r="H28" s="1808"/>
      <c r="I28" s="1634"/>
      <c r="J28" s="1808"/>
      <c r="K28" s="1633"/>
      <c r="L28" s="1808"/>
      <c r="M28" s="1634"/>
      <c r="N28" s="1808"/>
      <c r="O28" s="1634"/>
      <c r="P28" s="1808"/>
      <c r="Q28" s="1633"/>
      <c r="R28" s="1808"/>
      <c r="S28" s="1633"/>
      <c r="Y28" s="297"/>
    </row>
    <row r="29" spans="1:25">
      <c r="A29" s="1802"/>
      <c r="B29" s="1878" t="s">
        <v>4717</v>
      </c>
      <c r="C29" s="1804"/>
      <c r="D29" s="1805"/>
      <c r="E29" s="1806"/>
      <c r="F29" s="1807"/>
      <c r="G29" s="662">
        <f t="shared" si="1"/>
        <v>0</v>
      </c>
      <c r="H29" s="1808"/>
      <c r="I29" s="1634"/>
      <c r="J29" s="1808"/>
      <c r="K29" s="1633"/>
      <c r="L29" s="1808"/>
      <c r="M29" s="1634"/>
      <c r="N29" s="1808"/>
      <c r="O29" s="1634"/>
      <c r="P29" s="1808"/>
      <c r="Q29" s="1633"/>
      <c r="R29" s="1808"/>
      <c r="S29" s="1633"/>
      <c r="Y29" s="297"/>
    </row>
    <row r="30" spans="1:25">
      <c r="A30" s="1802"/>
      <c r="B30" s="1800" t="s">
        <v>4718</v>
      </c>
      <c r="C30" s="1804"/>
      <c r="D30" s="1805"/>
      <c r="E30" s="1806"/>
      <c r="F30" s="1807"/>
      <c r="G30" s="662">
        <f t="shared" si="1"/>
        <v>0</v>
      </c>
      <c r="H30" s="1808"/>
      <c r="I30" s="1634"/>
      <c r="J30" s="1808"/>
      <c r="K30" s="1633"/>
      <c r="L30" s="1808"/>
      <c r="M30" s="1634"/>
      <c r="N30" s="1808"/>
      <c r="O30" s="1634"/>
      <c r="P30" s="1808"/>
      <c r="Q30" s="1633"/>
      <c r="R30" s="1808"/>
      <c r="S30" s="1633"/>
      <c r="Y30" s="297"/>
    </row>
    <row r="31" spans="1:25">
      <c r="A31" s="1802"/>
      <c r="B31" s="1878" t="s">
        <v>4719</v>
      </c>
      <c r="C31" s="1804"/>
      <c r="D31" s="1805"/>
      <c r="E31" s="1806"/>
      <c r="F31" s="1807"/>
      <c r="G31" s="662">
        <f t="shared" si="1"/>
        <v>0</v>
      </c>
      <c r="H31" s="1808"/>
      <c r="I31" s="1634"/>
      <c r="J31" s="1808"/>
      <c r="K31" s="1633"/>
      <c r="L31" s="1808"/>
      <c r="M31" s="1634"/>
      <c r="N31" s="1808"/>
      <c r="O31" s="1634"/>
      <c r="P31" s="1808"/>
      <c r="Q31" s="1633"/>
      <c r="R31" s="1808"/>
      <c r="S31" s="1633"/>
      <c r="Y31" s="297"/>
    </row>
    <row r="32" spans="1:25">
      <c r="A32" s="1802"/>
      <c r="B32" s="1878" t="s">
        <v>4720</v>
      </c>
      <c r="C32" s="1804"/>
      <c r="D32" s="1805"/>
      <c r="E32" s="1806"/>
      <c r="F32" s="1807"/>
      <c r="G32" s="662">
        <f t="shared" si="1"/>
        <v>0</v>
      </c>
      <c r="H32" s="1808"/>
      <c r="I32" s="1634"/>
      <c r="J32" s="1808"/>
      <c r="K32" s="1633"/>
      <c r="L32" s="1808"/>
      <c r="M32" s="1634"/>
      <c r="N32" s="1808"/>
      <c r="O32" s="1634"/>
      <c r="P32" s="1808"/>
      <c r="Q32" s="1633"/>
      <c r="R32" s="1808"/>
      <c r="S32" s="1633"/>
      <c r="Y32" s="297"/>
    </row>
    <row r="33" spans="1:25">
      <c r="A33" s="1802"/>
      <c r="B33" s="1878" t="s">
        <v>4721</v>
      </c>
      <c r="C33" s="1804"/>
      <c r="D33" s="1805"/>
      <c r="E33" s="1806"/>
      <c r="F33" s="1807"/>
      <c r="G33" s="662">
        <f t="shared" si="1"/>
        <v>0</v>
      </c>
      <c r="H33" s="1808"/>
      <c r="I33" s="1634"/>
      <c r="J33" s="1808"/>
      <c r="K33" s="1633"/>
      <c r="L33" s="1808"/>
      <c r="M33" s="1634"/>
      <c r="N33" s="1808"/>
      <c r="O33" s="1634"/>
      <c r="P33" s="1808"/>
      <c r="Q33" s="1633"/>
      <c r="R33" s="1808"/>
      <c r="S33" s="1633"/>
      <c r="Y33" s="297"/>
    </row>
    <row r="34" spans="1:25">
      <c r="A34" s="1802"/>
      <c r="B34" s="1878" t="s">
        <v>4722</v>
      </c>
      <c r="C34" s="1804"/>
      <c r="D34" s="1805"/>
      <c r="E34" s="1806"/>
      <c r="F34" s="1807"/>
      <c r="G34" s="662">
        <f t="shared" si="1"/>
        <v>0</v>
      </c>
      <c r="H34" s="1808"/>
      <c r="I34" s="1634"/>
      <c r="J34" s="1808"/>
      <c r="K34" s="1633"/>
      <c r="L34" s="1808"/>
      <c r="M34" s="1634"/>
      <c r="N34" s="1808"/>
      <c r="O34" s="1634"/>
      <c r="P34" s="1808"/>
      <c r="Q34" s="1633"/>
      <c r="R34" s="1808"/>
      <c r="S34" s="1633"/>
      <c r="Y34" s="297"/>
    </row>
    <row r="35" spans="1:25">
      <c r="A35" s="1802"/>
      <c r="B35" s="1878" t="s">
        <v>4723</v>
      </c>
      <c r="C35" s="1804"/>
      <c r="D35" s="1805"/>
      <c r="E35" s="1806"/>
      <c r="F35" s="1807"/>
      <c r="G35" s="662">
        <f t="shared" si="1"/>
        <v>0</v>
      </c>
      <c r="H35" s="1808"/>
      <c r="I35" s="1634"/>
      <c r="J35" s="1808"/>
      <c r="K35" s="1633"/>
      <c r="L35" s="1808"/>
      <c r="M35" s="1634"/>
      <c r="N35" s="1808"/>
      <c r="O35" s="1634"/>
      <c r="P35" s="1808"/>
      <c r="Q35" s="1633"/>
      <c r="R35" s="1808"/>
      <c r="S35" s="1633"/>
      <c r="Y35" s="297"/>
    </row>
    <row r="36" spans="1:25">
      <c r="A36" s="1802"/>
      <c r="B36" s="1800" t="s">
        <v>4724</v>
      </c>
      <c r="C36" s="1804"/>
      <c r="D36" s="1805"/>
      <c r="E36" s="1806"/>
      <c r="F36" s="1807"/>
      <c r="G36" s="662">
        <f t="shared" si="1"/>
        <v>0</v>
      </c>
      <c r="H36" s="1808"/>
      <c r="I36" s="1634"/>
      <c r="J36" s="1808"/>
      <c r="K36" s="1633"/>
      <c r="L36" s="1808"/>
      <c r="M36" s="1634"/>
      <c r="N36" s="1808"/>
      <c r="O36" s="1634"/>
      <c r="P36" s="1808"/>
      <c r="Q36" s="1633"/>
      <c r="R36" s="1808"/>
      <c r="S36" s="1633"/>
      <c r="Y36" s="297"/>
    </row>
    <row r="37" spans="1:25">
      <c r="A37" s="1802"/>
      <c r="B37" s="1796" t="s">
        <v>4725</v>
      </c>
      <c r="C37" s="1804"/>
      <c r="D37" s="1805">
        <f>SUM(D39:D48)</f>
        <v>48477</v>
      </c>
      <c r="E37" s="1806" t="s">
        <v>2845</v>
      </c>
      <c r="F37" s="1807"/>
      <c r="G37" s="662">
        <f t="shared" si="1"/>
        <v>0</v>
      </c>
      <c r="H37" s="1808"/>
      <c r="I37" s="1634">
        <v>1834790</v>
      </c>
      <c r="J37" s="1808"/>
      <c r="K37" s="1633">
        <f>1106100+340630+593490</f>
        <v>2040220</v>
      </c>
      <c r="L37" s="1808"/>
      <c r="M37" s="1634">
        <f>1930000-M100-M106</f>
        <v>1792443.7216388371</v>
      </c>
      <c r="N37" s="1808"/>
      <c r="O37" s="1634">
        <f>2373000</f>
        <v>2373000</v>
      </c>
      <c r="P37" s="1808"/>
      <c r="Q37" s="1633">
        <f>1071748+498778+922387</f>
        <v>2492913</v>
      </c>
      <c r="R37" s="1808"/>
      <c r="S37" s="1633">
        <v>1017490.5</v>
      </c>
      <c r="Y37" s="297"/>
    </row>
    <row r="38" spans="1:25">
      <c r="A38" s="1802"/>
      <c r="B38" s="1800" t="s">
        <v>4726</v>
      </c>
      <c r="C38" s="1804"/>
      <c r="D38" s="1805">
        <v>4297</v>
      </c>
      <c r="E38" s="1806" t="s">
        <v>2845</v>
      </c>
      <c r="F38" s="1807"/>
      <c r="G38" s="662">
        <f>ROUND(D38*F38,0)</f>
        <v>0</v>
      </c>
      <c r="H38" s="1808" t="s">
        <v>2931</v>
      </c>
      <c r="I38" s="1634"/>
      <c r="J38" s="1808" t="s">
        <v>2931</v>
      </c>
      <c r="K38" s="1633"/>
      <c r="L38" s="1808"/>
      <c r="M38" s="1634"/>
      <c r="N38" s="1808"/>
      <c r="O38" s="1634"/>
      <c r="P38" s="1808"/>
      <c r="Q38" s="1633"/>
      <c r="R38" s="1808"/>
      <c r="S38" s="1633"/>
      <c r="Y38" s="297"/>
    </row>
    <row r="39" spans="1:25">
      <c r="A39" s="1802"/>
      <c r="B39" s="1800" t="s">
        <v>4727</v>
      </c>
      <c r="C39" s="1804"/>
      <c r="D39" s="1805">
        <v>838</v>
      </c>
      <c r="E39" s="1806" t="s">
        <v>2845</v>
      </c>
      <c r="F39" s="1807"/>
      <c r="G39" s="662">
        <f t="shared" ref="G39:G112" si="2">ROUND(D39*F39,0)</f>
        <v>0</v>
      </c>
      <c r="H39" s="1808" t="s">
        <v>2931</v>
      </c>
      <c r="I39" s="1634"/>
      <c r="J39" s="1808" t="s">
        <v>2931</v>
      </c>
      <c r="K39" s="1633"/>
      <c r="L39" s="1808"/>
      <c r="M39" s="1634"/>
      <c r="N39" s="1808"/>
      <c r="O39" s="1634"/>
      <c r="P39" s="1808"/>
      <c r="Q39" s="1633"/>
      <c r="R39" s="1808"/>
      <c r="S39" s="1633"/>
      <c r="Y39" s="297"/>
    </row>
    <row r="40" spans="1:25">
      <c r="A40" s="1802"/>
      <c r="B40" s="1800" t="s">
        <v>4728</v>
      </c>
      <c r="C40" s="1804"/>
      <c r="D40" s="1805">
        <v>3147</v>
      </c>
      <c r="E40" s="1806" t="s">
        <v>2845</v>
      </c>
      <c r="F40" s="1807"/>
      <c r="G40" s="662">
        <f t="shared" ref="G40:G47" si="3">ROUND(D40*F40,0)</f>
        <v>0</v>
      </c>
      <c r="H40" s="1808" t="s">
        <v>2931</v>
      </c>
      <c r="I40" s="1634"/>
      <c r="J40" s="1808" t="s">
        <v>2931</v>
      </c>
      <c r="K40" s="1633"/>
      <c r="L40" s="1808"/>
      <c r="M40" s="1634"/>
      <c r="N40" s="1808"/>
      <c r="O40" s="1634"/>
      <c r="P40" s="1808"/>
      <c r="Q40" s="1633"/>
      <c r="R40" s="1808"/>
      <c r="S40" s="1633"/>
      <c r="Y40" s="297"/>
    </row>
    <row r="41" spans="1:25">
      <c r="A41" s="1802"/>
      <c r="B41" s="1800" t="s">
        <v>4729</v>
      </c>
      <c r="C41" s="1804"/>
      <c r="D41" s="1805">
        <v>3165</v>
      </c>
      <c r="E41" s="1806" t="s">
        <v>2845</v>
      </c>
      <c r="F41" s="1807"/>
      <c r="G41" s="662">
        <f>ROUND(D41*F41,0)</f>
        <v>0</v>
      </c>
      <c r="H41" s="1808" t="s">
        <v>2931</v>
      </c>
      <c r="I41" s="1634"/>
      <c r="J41" s="1808" t="s">
        <v>2931</v>
      </c>
      <c r="K41" s="1633"/>
      <c r="L41" s="1808"/>
      <c r="M41" s="1634"/>
      <c r="N41" s="1808"/>
      <c r="O41" s="1634"/>
      <c r="P41" s="1808"/>
      <c r="Q41" s="1633"/>
      <c r="R41" s="1808"/>
      <c r="S41" s="1633"/>
      <c r="Y41" s="297"/>
    </row>
    <row r="42" spans="1:25">
      <c r="A42" s="1802"/>
      <c r="B42" s="1800" t="s">
        <v>4730</v>
      </c>
      <c r="C42" s="1804"/>
      <c r="D42" s="1805">
        <v>2963</v>
      </c>
      <c r="E42" s="1806" t="s">
        <v>2845</v>
      </c>
      <c r="F42" s="1807"/>
      <c r="G42" s="662"/>
      <c r="H42" s="1808" t="s">
        <v>2931</v>
      </c>
      <c r="I42" s="1634"/>
      <c r="J42" s="1808" t="s">
        <v>2931</v>
      </c>
      <c r="K42" s="1633"/>
      <c r="L42" s="1808"/>
      <c r="M42" s="1634" t="s">
        <v>2795</v>
      </c>
      <c r="N42" s="1808"/>
      <c r="O42" s="1634"/>
      <c r="P42" s="1808"/>
      <c r="Q42" s="1633"/>
      <c r="R42" s="1808"/>
      <c r="S42" s="1633"/>
      <c r="Y42" s="297"/>
    </row>
    <row r="43" spans="1:25">
      <c r="A43" s="1802"/>
      <c r="B43" s="1800" t="s">
        <v>4731</v>
      </c>
      <c r="C43" s="1804"/>
      <c r="D43" s="1805">
        <v>2369</v>
      </c>
      <c r="E43" s="1806" t="s">
        <v>2845</v>
      </c>
      <c r="F43" s="1807"/>
      <c r="G43" s="662">
        <f>ROUND(D43*F43,0)</f>
        <v>0</v>
      </c>
      <c r="H43" s="1808" t="s">
        <v>2931</v>
      </c>
      <c r="I43" s="1634"/>
      <c r="J43" s="1808" t="s">
        <v>2931</v>
      </c>
      <c r="K43" s="1633"/>
      <c r="L43" s="1808"/>
      <c r="M43" s="1634"/>
      <c r="N43" s="1808"/>
      <c r="O43" s="1634"/>
      <c r="P43" s="1808"/>
      <c r="Q43" s="1633"/>
      <c r="R43" s="1808"/>
      <c r="S43" s="1633"/>
      <c r="Y43" s="297"/>
    </row>
    <row r="44" spans="1:25">
      <c r="A44" s="1802"/>
      <c r="B44" s="1800" t="s">
        <v>4732</v>
      </c>
      <c r="C44" s="1804"/>
      <c r="D44" s="1805">
        <v>5339</v>
      </c>
      <c r="E44" s="1806" t="s">
        <v>2845</v>
      </c>
      <c r="F44" s="1807"/>
      <c r="G44" s="662">
        <f t="shared" si="3"/>
        <v>0</v>
      </c>
      <c r="H44" s="1808" t="s">
        <v>2931</v>
      </c>
      <c r="I44" s="1634"/>
      <c r="J44" s="1808" t="s">
        <v>2931</v>
      </c>
      <c r="K44" s="1633"/>
      <c r="L44" s="1808"/>
      <c r="M44" s="1634"/>
      <c r="N44" s="1808"/>
      <c r="O44" s="1634"/>
      <c r="P44" s="1808"/>
      <c r="Q44" s="1633"/>
      <c r="R44" s="1808"/>
      <c r="S44" s="1633"/>
      <c r="Y44" s="297"/>
    </row>
    <row r="45" spans="1:25">
      <c r="A45" s="1802"/>
      <c r="B45" s="1800" t="s">
        <v>4733</v>
      </c>
      <c r="C45" s="1804"/>
      <c r="D45" s="1805">
        <v>9233</v>
      </c>
      <c r="E45" s="1806" t="s">
        <v>2845</v>
      </c>
      <c r="F45" s="1807"/>
      <c r="G45" s="662">
        <f t="shared" si="3"/>
        <v>0</v>
      </c>
      <c r="H45" s="1808" t="s">
        <v>2931</v>
      </c>
      <c r="I45" s="1634"/>
      <c r="J45" s="1808" t="s">
        <v>2931</v>
      </c>
      <c r="K45" s="1633"/>
      <c r="L45" s="1808"/>
      <c r="M45" s="1634"/>
      <c r="N45" s="1808"/>
      <c r="O45" s="1634"/>
      <c r="P45" s="1808"/>
      <c r="Q45" s="1633"/>
      <c r="R45" s="1808"/>
      <c r="S45" s="1633"/>
      <c r="Y45" s="297"/>
    </row>
    <row r="46" spans="1:25">
      <c r="A46" s="1802"/>
      <c r="B46" s="1800" t="s">
        <v>4734</v>
      </c>
      <c r="C46" s="1804"/>
      <c r="D46" s="1805">
        <v>1764</v>
      </c>
      <c r="E46" s="1806" t="s">
        <v>2845</v>
      </c>
      <c r="F46" s="1807"/>
      <c r="G46" s="662">
        <f t="shared" ref="G46" si="4">ROUND(D46*F46,0)</f>
        <v>0</v>
      </c>
      <c r="H46" s="1808" t="s">
        <v>2931</v>
      </c>
      <c r="I46" s="1634"/>
      <c r="J46" s="1808" t="s">
        <v>2931</v>
      </c>
      <c r="K46" s="1633"/>
      <c r="L46" s="1808"/>
      <c r="M46" s="1634"/>
      <c r="N46" s="1808"/>
      <c r="O46" s="1634"/>
      <c r="P46" s="1808"/>
      <c r="Q46" s="1633"/>
      <c r="R46" s="1808"/>
      <c r="S46" s="1633"/>
      <c r="Y46" s="297"/>
    </row>
    <row r="47" spans="1:25">
      <c r="A47" s="1802"/>
      <c r="B47" s="1800" t="s">
        <v>4735</v>
      </c>
      <c r="C47" s="1804"/>
      <c r="D47" s="1805">
        <v>6958</v>
      </c>
      <c r="E47" s="1806" t="s">
        <v>2845</v>
      </c>
      <c r="F47" s="1807"/>
      <c r="G47" s="662">
        <f t="shared" si="3"/>
        <v>0</v>
      </c>
      <c r="H47" s="1808" t="s">
        <v>2931</v>
      </c>
      <c r="I47" s="1634"/>
      <c r="J47" s="1808" t="s">
        <v>2931</v>
      </c>
      <c r="K47" s="1633"/>
      <c r="L47" s="1808"/>
      <c r="M47" s="1634"/>
      <c r="N47" s="1808"/>
      <c r="O47" s="1634"/>
      <c r="P47" s="1808"/>
      <c r="Q47" s="1633"/>
      <c r="R47" s="1808"/>
      <c r="S47" s="1633"/>
      <c r="Y47" s="297"/>
    </row>
    <row r="48" spans="1:25">
      <c r="A48" s="1802"/>
      <c r="B48" s="1800" t="s">
        <v>4736</v>
      </c>
      <c r="C48" s="1804"/>
      <c r="D48" s="1805">
        <v>12701</v>
      </c>
      <c r="E48" s="1806" t="s">
        <v>2845</v>
      </c>
      <c r="F48" s="1807"/>
      <c r="G48" s="662">
        <f t="shared" si="2"/>
        <v>0</v>
      </c>
      <c r="H48" s="1808" t="s">
        <v>2931</v>
      </c>
      <c r="I48" s="1634"/>
      <c r="J48" s="1808" t="s">
        <v>2931</v>
      </c>
      <c r="K48" s="1633"/>
      <c r="L48" s="1808"/>
      <c r="M48" s="1634"/>
      <c r="N48" s="1808"/>
      <c r="O48" s="1634"/>
      <c r="P48" s="1808"/>
      <c r="Q48" s="1633"/>
      <c r="R48" s="1808"/>
      <c r="S48" s="1633"/>
    </row>
    <row r="49" spans="1:25">
      <c r="A49" s="1802"/>
      <c r="B49" s="1877" t="s">
        <v>4737</v>
      </c>
      <c r="C49" s="1804"/>
      <c r="D49" s="1805"/>
      <c r="E49" s="1806"/>
      <c r="F49" s="1807"/>
      <c r="G49" s="662">
        <f t="shared" ref="G49:G87" si="5">ROUND(D49*F49,0)</f>
        <v>0</v>
      </c>
      <c r="H49" s="1808" t="s">
        <v>2931</v>
      </c>
      <c r="I49" s="1634"/>
      <c r="J49" s="1808" t="s">
        <v>2931</v>
      </c>
      <c r="K49" s="1633"/>
      <c r="L49" s="1808"/>
      <c r="M49" s="1634"/>
      <c r="N49" s="1808"/>
      <c r="O49" s="1634"/>
      <c r="P49" s="1808"/>
      <c r="Q49" s="1633"/>
      <c r="R49" s="1808"/>
      <c r="S49" s="1633"/>
      <c r="Y49" s="297"/>
    </row>
    <row r="50" spans="1:25">
      <c r="A50" s="1802"/>
      <c r="B50" s="1877" t="s">
        <v>4738</v>
      </c>
      <c r="C50" s="1804"/>
      <c r="D50" s="1805"/>
      <c r="E50" s="1806"/>
      <c r="F50" s="1807"/>
      <c r="G50" s="662">
        <f t="shared" si="5"/>
        <v>0</v>
      </c>
      <c r="H50" s="1808" t="s">
        <v>2931</v>
      </c>
      <c r="I50" s="1634"/>
      <c r="J50" s="1808" t="s">
        <v>2931</v>
      </c>
      <c r="K50" s="1633"/>
      <c r="L50" s="1808"/>
      <c r="M50" s="1634"/>
      <c r="N50" s="1808"/>
      <c r="O50" s="1634"/>
      <c r="P50" s="1808"/>
      <c r="Q50" s="1633"/>
      <c r="R50" s="1808"/>
      <c r="S50" s="1633"/>
      <c r="Y50" s="297"/>
    </row>
    <row r="51" spans="1:25">
      <c r="A51" s="1802"/>
      <c r="B51" s="1877" t="s">
        <v>4739</v>
      </c>
      <c r="C51" s="1804"/>
      <c r="D51" s="1805">
        <f>D38+D39+D40+D41+D46</f>
        <v>13211</v>
      </c>
      <c r="E51" s="1806" t="s">
        <v>2845</v>
      </c>
      <c r="F51" s="1807">
        <v>3</v>
      </c>
      <c r="G51" s="662">
        <f t="shared" si="5"/>
        <v>39633</v>
      </c>
      <c r="H51" s="1808" t="s">
        <v>2931</v>
      </c>
      <c r="I51" s="1634"/>
      <c r="J51" s="1808" t="s">
        <v>2931</v>
      </c>
      <c r="K51" s="1633"/>
      <c r="L51" s="1808"/>
      <c r="M51" s="1643">
        <f>$G51</f>
        <v>39633</v>
      </c>
      <c r="N51" s="1808"/>
      <c r="O51" s="1634"/>
      <c r="P51" s="1808"/>
      <c r="Q51" s="1633"/>
      <c r="R51" s="1808"/>
      <c r="S51" s="1643">
        <f>$G51</f>
        <v>39633</v>
      </c>
      <c r="Y51" s="297"/>
    </row>
    <row r="52" spans="1:25">
      <c r="A52" s="1802"/>
      <c r="B52" s="1877" t="s">
        <v>4740</v>
      </c>
      <c r="C52" s="1804"/>
      <c r="D52" s="1805"/>
      <c r="E52" s="1806"/>
      <c r="F52" s="1807"/>
      <c r="G52" s="662">
        <f t="shared" si="5"/>
        <v>0</v>
      </c>
      <c r="H52" s="1808"/>
      <c r="I52" s="1634"/>
      <c r="J52" s="1808"/>
      <c r="K52" s="1633"/>
      <c r="L52" s="1808"/>
      <c r="M52" s="1634"/>
      <c r="N52" s="1808"/>
      <c r="O52" s="1634"/>
      <c r="P52" s="1808"/>
      <c r="Q52" s="1633"/>
      <c r="R52" s="1808"/>
      <c r="S52" s="1633"/>
      <c r="Y52" s="297"/>
    </row>
    <row r="53" spans="1:25">
      <c r="A53" s="1802"/>
      <c r="B53" s="1877" t="s">
        <v>4741</v>
      </c>
      <c r="C53" s="1804"/>
      <c r="D53" s="1805"/>
      <c r="E53" s="1806"/>
      <c r="F53" s="1807"/>
      <c r="G53" s="662">
        <f t="shared" si="5"/>
        <v>0</v>
      </c>
      <c r="H53" s="1808"/>
      <c r="I53" s="1634"/>
      <c r="J53" s="1808"/>
      <c r="K53" s="1633"/>
      <c r="L53" s="1808"/>
      <c r="M53" s="1634"/>
      <c r="N53" s="1808"/>
      <c r="O53" s="1634"/>
      <c r="P53" s="1808"/>
      <c r="Q53" s="1633"/>
      <c r="R53" s="1808"/>
      <c r="S53" s="1633"/>
      <c r="Y53" s="297"/>
    </row>
    <row r="54" spans="1:25">
      <c r="A54" s="1802"/>
      <c r="B54" s="1877" t="s">
        <v>4742</v>
      </c>
      <c r="C54" s="1804"/>
      <c r="D54" s="1805"/>
      <c r="E54" s="1806"/>
      <c r="F54" s="1807"/>
      <c r="G54" s="662">
        <f t="shared" si="5"/>
        <v>0</v>
      </c>
      <c r="H54" s="1808"/>
      <c r="I54" s="1634"/>
      <c r="J54" s="1808"/>
      <c r="K54" s="1633"/>
      <c r="L54" s="1808"/>
      <c r="M54" s="1634"/>
      <c r="N54" s="1808"/>
      <c r="O54" s="1634"/>
      <c r="P54" s="1808"/>
      <c r="Q54" s="1633"/>
      <c r="R54" s="1808"/>
      <c r="S54" s="1633"/>
      <c r="Y54" s="297"/>
    </row>
    <row r="55" spans="1:25">
      <c r="A55" s="1802"/>
      <c r="B55" s="1877" t="s">
        <v>4743</v>
      </c>
      <c r="C55" s="1804"/>
      <c r="D55" s="1805"/>
      <c r="E55" s="1806"/>
      <c r="F55" s="1807"/>
      <c r="G55" s="662">
        <f t="shared" si="5"/>
        <v>0</v>
      </c>
      <c r="H55" s="1808"/>
      <c r="I55" s="1634"/>
      <c r="J55" s="1808"/>
      <c r="K55" s="1633"/>
      <c r="L55" s="1808"/>
      <c r="M55" s="1634"/>
      <c r="N55" s="1808"/>
      <c r="O55" s="1634"/>
      <c r="P55" s="1808"/>
      <c r="Q55" s="1633"/>
      <c r="R55" s="1808"/>
      <c r="S55" s="1633"/>
      <c r="Y55" s="297"/>
    </row>
    <row r="56" spans="1:25">
      <c r="A56" s="1802"/>
      <c r="B56" s="1877" t="s">
        <v>4744</v>
      </c>
      <c r="C56" s="1804"/>
      <c r="D56" s="1805"/>
      <c r="E56" s="1806"/>
      <c r="F56" s="1807"/>
      <c r="G56" s="662">
        <f t="shared" si="5"/>
        <v>0</v>
      </c>
      <c r="H56" s="1808"/>
      <c r="I56" s="1634"/>
      <c r="J56" s="1808"/>
      <c r="K56" s="1633"/>
      <c r="L56" s="1808"/>
      <c r="M56" s="1634"/>
      <c r="N56" s="1808"/>
      <c r="O56" s="1634"/>
      <c r="P56" s="1808"/>
      <c r="Q56" s="1633"/>
      <c r="R56" s="1808"/>
      <c r="S56" s="1633"/>
      <c r="Y56" s="297"/>
    </row>
    <row r="57" spans="1:25">
      <c r="A57" s="1802"/>
      <c r="B57" s="1877"/>
      <c r="C57" s="1804"/>
      <c r="D57" s="1805"/>
      <c r="E57" s="1806"/>
      <c r="F57" s="1807"/>
      <c r="G57" s="662">
        <f t="shared" si="5"/>
        <v>0</v>
      </c>
      <c r="H57" s="1808"/>
      <c r="I57" s="1634"/>
      <c r="J57" s="1808"/>
      <c r="K57" s="1633"/>
      <c r="L57" s="1808"/>
      <c r="M57" s="1634"/>
      <c r="N57" s="1808"/>
      <c r="O57" s="1634"/>
      <c r="P57" s="1808"/>
      <c r="Q57" s="1633"/>
      <c r="R57" s="1808"/>
      <c r="S57" s="1633"/>
      <c r="Y57" s="297"/>
    </row>
    <row r="58" spans="1:25">
      <c r="A58" s="1802"/>
      <c r="B58" s="1877" t="s">
        <v>4745</v>
      </c>
      <c r="C58" s="1804"/>
      <c r="D58" s="1805"/>
      <c r="E58" s="1806"/>
      <c r="F58" s="1807"/>
      <c r="G58" s="662">
        <f t="shared" si="5"/>
        <v>0</v>
      </c>
      <c r="H58" s="1808"/>
      <c r="I58" s="1634"/>
      <c r="J58" s="1808"/>
      <c r="K58" s="1633"/>
      <c r="L58" s="1808"/>
      <c r="M58" s="1634"/>
      <c r="N58" s="1808"/>
      <c r="O58" s="1634"/>
      <c r="P58" s="1808"/>
      <c r="Q58" s="1633"/>
      <c r="R58" s="1808"/>
      <c r="S58" s="1633"/>
      <c r="Y58" s="297"/>
    </row>
    <row r="59" spans="1:25">
      <c r="A59" s="1802"/>
      <c r="B59" s="1800" t="s">
        <v>4746</v>
      </c>
      <c r="C59" s="1804"/>
      <c r="D59" s="1805"/>
      <c r="E59" s="1806"/>
      <c r="F59" s="1807"/>
      <c r="G59" s="662">
        <f t="shared" si="5"/>
        <v>0</v>
      </c>
      <c r="H59" s="1808"/>
      <c r="I59" s="1634"/>
      <c r="J59" s="1808"/>
      <c r="K59" s="1633"/>
      <c r="L59" s="1808"/>
      <c r="M59" s="1634"/>
      <c r="N59" s="1808"/>
      <c r="O59" s="1634"/>
      <c r="P59" s="1808"/>
      <c r="Q59" s="1633"/>
      <c r="R59" s="1808"/>
      <c r="S59" s="1633"/>
      <c r="Y59" s="297"/>
    </row>
    <row r="60" spans="1:25">
      <c r="A60" s="1802"/>
      <c r="B60" s="1879" t="s">
        <v>3645</v>
      </c>
      <c r="C60" s="1804" t="s">
        <v>3646</v>
      </c>
      <c r="D60" s="1880">
        <v>128</v>
      </c>
      <c r="E60" s="1881" t="s">
        <v>2864</v>
      </c>
      <c r="F60" s="1807"/>
      <c r="G60" s="662">
        <f t="shared" si="5"/>
        <v>0</v>
      </c>
      <c r="H60" s="1808"/>
      <c r="I60" s="1634"/>
      <c r="J60" s="1808"/>
      <c r="K60" s="1882"/>
      <c r="L60" s="1808"/>
      <c r="M60" s="1634"/>
      <c r="N60" s="1808"/>
      <c r="O60" s="1634"/>
      <c r="P60" s="1808"/>
      <c r="Q60" s="1882"/>
      <c r="R60" s="1808"/>
      <c r="S60" s="1882"/>
      <c r="Y60" s="297"/>
    </row>
    <row r="61" spans="1:25">
      <c r="A61" s="1802"/>
      <c r="B61" s="1879" t="s">
        <v>3647</v>
      </c>
      <c r="C61" s="1804" t="s">
        <v>3648</v>
      </c>
      <c r="D61" s="1805">
        <v>441</v>
      </c>
      <c r="E61" s="1806" t="s">
        <v>2864</v>
      </c>
      <c r="F61" s="1807"/>
      <c r="G61" s="662">
        <f t="shared" si="5"/>
        <v>0</v>
      </c>
      <c r="H61" s="1808"/>
      <c r="I61" s="1634"/>
      <c r="J61" s="1808"/>
      <c r="K61" s="1633"/>
      <c r="L61" s="1808"/>
      <c r="M61" s="1634"/>
      <c r="N61" s="1808"/>
      <c r="O61" s="1634"/>
      <c r="P61" s="1808"/>
      <c r="Q61" s="1633"/>
      <c r="R61" s="1808"/>
      <c r="S61" s="1633"/>
      <c r="Y61" s="297"/>
    </row>
    <row r="62" spans="1:25">
      <c r="A62" s="1802"/>
      <c r="B62" s="1879" t="s">
        <v>3649</v>
      </c>
      <c r="C62" s="1883" t="s">
        <v>3650</v>
      </c>
      <c r="D62" s="1880">
        <v>160</v>
      </c>
      <c r="E62" s="1806" t="s">
        <v>2864</v>
      </c>
      <c r="F62" s="1807"/>
      <c r="G62" s="662">
        <f t="shared" si="5"/>
        <v>0</v>
      </c>
      <c r="H62" s="1808"/>
      <c r="I62" s="1634"/>
      <c r="J62" s="1808"/>
      <c r="K62" s="1882"/>
      <c r="L62" s="1808"/>
      <c r="M62" s="1634"/>
      <c r="N62" s="1808"/>
      <c r="O62" s="1634"/>
      <c r="P62" s="1808"/>
      <c r="Q62" s="1882"/>
      <c r="R62" s="1808"/>
      <c r="S62" s="1882"/>
      <c r="Y62" s="297"/>
    </row>
    <row r="63" spans="1:25">
      <c r="A63" s="1802"/>
      <c r="B63" s="1879" t="s">
        <v>3651</v>
      </c>
      <c r="C63" s="1883" t="s">
        <v>3650</v>
      </c>
      <c r="D63" s="1880">
        <v>400</v>
      </c>
      <c r="E63" s="1881" t="s">
        <v>2864</v>
      </c>
      <c r="F63" s="1807"/>
      <c r="G63" s="662">
        <f t="shared" si="5"/>
        <v>0</v>
      </c>
      <c r="H63" s="1808"/>
      <c r="I63" s="1634"/>
      <c r="J63" s="1808"/>
      <c r="K63" s="1882"/>
      <c r="L63" s="1808"/>
      <c r="M63" s="1634"/>
      <c r="N63" s="1808"/>
      <c r="O63" s="1634"/>
      <c r="P63" s="1808"/>
      <c r="Q63" s="1882"/>
      <c r="R63" s="1808"/>
      <c r="S63" s="1882"/>
      <c r="Y63" s="297"/>
    </row>
    <row r="64" spans="1:25">
      <c r="A64" s="1802"/>
      <c r="B64" s="1879" t="s">
        <v>3652</v>
      </c>
      <c r="C64" s="1883" t="s">
        <v>3653</v>
      </c>
      <c r="D64" s="1880">
        <v>542</v>
      </c>
      <c r="E64" s="1881" t="s">
        <v>2864</v>
      </c>
      <c r="F64" s="1807"/>
      <c r="G64" s="662">
        <f t="shared" si="5"/>
        <v>0</v>
      </c>
      <c r="H64" s="1808"/>
      <c r="I64" s="1634"/>
      <c r="J64" s="1808"/>
      <c r="K64" s="1882"/>
      <c r="L64" s="1808"/>
      <c r="M64" s="1634"/>
      <c r="N64" s="1808"/>
      <c r="O64" s="1634"/>
      <c r="P64" s="1808"/>
      <c r="Q64" s="1882"/>
      <c r="R64" s="1808"/>
      <c r="S64" s="1882"/>
      <c r="Y64" s="297"/>
    </row>
    <row r="65" spans="1:25">
      <c r="A65" s="1802"/>
      <c r="B65" s="1884" t="s">
        <v>4747</v>
      </c>
      <c r="C65" s="1804"/>
      <c r="D65" s="1805"/>
      <c r="E65" s="1806"/>
      <c r="F65" s="1807"/>
      <c r="G65" s="662">
        <f t="shared" si="5"/>
        <v>0</v>
      </c>
      <c r="H65" s="1808"/>
      <c r="I65" s="1634"/>
      <c r="J65" s="1808"/>
      <c r="K65" s="1633"/>
      <c r="L65" s="1808"/>
      <c r="M65" s="1634"/>
      <c r="N65" s="1808"/>
      <c r="O65" s="1634"/>
      <c r="P65" s="1808"/>
      <c r="Q65" s="1633"/>
      <c r="R65" s="1808"/>
      <c r="S65" s="1633"/>
      <c r="Y65" s="297"/>
    </row>
    <row r="66" spans="1:25">
      <c r="A66" s="1802"/>
      <c r="B66" s="1885" t="s">
        <v>3655</v>
      </c>
      <c r="C66" s="1886" t="s">
        <v>3656</v>
      </c>
      <c r="D66" s="1880">
        <f>1058*2</f>
        <v>2116</v>
      </c>
      <c r="E66" s="1881" t="s">
        <v>2864</v>
      </c>
      <c r="F66" s="1807">
        <v>20</v>
      </c>
      <c r="G66" s="662">
        <f t="shared" si="5"/>
        <v>42320</v>
      </c>
      <c r="H66" s="1808"/>
      <c r="I66" s="1643">
        <f>$G66</f>
        <v>42320</v>
      </c>
      <c r="J66" s="1808"/>
      <c r="K66" s="1643">
        <f>$G66</f>
        <v>42320</v>
      </c>
      <c r="L66" s="1808"/>
      <c r="M66" s="1643">
        <f>$G66</f>
        <v>42320</v>
      </c>
      <c r="N66" s="1808"/>
      <c r="O66" s="1643">
        <f>$G66</f>
        <v>42320</v>
      </c>
      <c r="P66" s="1808"/>
      <c r="Q66" s="1643">
        <f>$G66</f>
        <v>42320</v>
      </c>
      <c r="R66" s="1808"/>
      <c r="S66" s="1643">
        <f>$G66</f>
        <v>42320</v>
      </c>
      <c r="Y66" s="297"/>
    </row>
    <row r="67" spans="1:25">
      <c r="A67" s="1802"/>
      <c r="B67" s="1885" t="s">
        <v>3658</v>
      </c>
      <c r="C67" s="1886" t="s">
        <v>3659</v>
      </c>
      <c r="D67" s="1880">
        <f>2*261</f>
        <v>522</v>
      </c>
      <c r="E67" s="1881" t="s">
        <v>2864</v>
      </c>
      <c r="F67" s="1807">
        <v>20</v>
      </c>
      <c r="G67" s="662">
        <f t="shared" si="5"/>
        <v>10440</v>
      </c>
      <c r="H67" s="1808"/>
      <c r="I67" s="1643">
        <f t="shared" ref="I67:S76" si="6">$G67</f>
        <v>10440</v>
      </c>
      <c r="J67" s="1808"/>
      <c r="K67" s="1643">
        <f t="shared" si="6"/>
        <v>10440</v>
      </c>
      <c r="L67" s="1808"/>
      <c r="M67" s="1643">
        <f t="shared" si="6"/>
        <v>10440</v>
      </c>
      <c r="N67" s="1808"/>
      <c r="O67" s="1643">
        <f t="shared" si="6"/>
        <v>10440</v>
      </c>
      <c r="P67" s="1808"/>
      <c r="Q67" s="1643">
        <f t="shared" si="6"/>
        <v>10440</v>
      </c>
      <c r="R67" s="1808"/>
      <c r="S67" s="1643">
        <f t="shared" si="6"/>
        <v>10440</v>
      </c>
      <c r="Y67" s="297"/>
    </row>
    <row r="68" spans="1:25">
      <c r="A68" s="1802"/>
      <c r="B68" s="1885" t="s">
        <v>3660</v>
      </c>
      <c r="C68" s="1883" t="s">
        <v>3661</v>
      </c>
      <c r="D68" s="1880">
        <f>412*2</f>
        <v>824</v>
      </c>
      <c r="E68" s="1881" t="s">
        <v>2864</v>
      </c>
      <c r="F68" s="1807">
        <v>20</v>
      </c>
      <c r="G68" s="662">
        <f t="shared" si="5"/>
        <v>16480</v>
      </c>
      <c r="H68" s="1808"/>
      <c r="I68" s="1643">
        <f t="shared" si="6"/>
        <v>16480</v>
      </c>
      <c r="J68" s="1808"/>
      <c r="K68" s="1643">
        <f t="shared" si="6"/>
        <v>16480</v>
      </c>
      <c r="L68" s="1808"/>
      <c r="M68" s="1643">
        <f t="shared" si="6"/>
        <v>16480</v>
      </c>
      <c r="N68" s="1808"/>
      <c r="O68" s="1643">
        <f t="shared" si="6"/>
        <v>16480</v>
      </c>
      <c r="P68" s="1808"/>
      <c r="Q68" s="1643">
        <f t="shared" si="6"/>
        <v>16480</v>
      </c>
      <c r="R68" s="1808"/>
      <c r="S68" s="1643">
        <f t="shared" si="6"/>
        <v>16480</v>
      </c>
      <c r="Y68" s="297"/>
    </row>
    <row r="69" spans="1:25">
      <c r="A69" s="1802"/>
      <c r="B69" s="1885" t="s">
        <v>3662</v>
      </c>
      <c r="C69" s="1886" t="s">
        <v>3663</v>
      </c>
      <c r="D69" s="1880">
        <v>330</v>
      </c>
      <c r="E69" s="1881" t="s">
        <v>2864</v>
      </c>
      <c r="F69" s="1807">
        <v>20</v>
      </c>
      <c r="G69" s="662">
        <f t="shared" si="5"/>
        <v>6600</v>
      </c>
      <c r="H69" s="1808"/>
      <c r="I69" s="1643">
        <f t="shared" si="6"/>
        <v>6600</v>
      </c>
      <c r="J69" s="1808"/>
      <c r="K69" s="1643">
        <f t="shared" si="6"/>
        <v>6600</v>
      </c>
      <c r="L69" s="1808"/>
      <c r="M69" s="1643">
        <f t="shared" si="6"/>
        <v>6600</v>
      </c>
      <c r="N69" s="1808"/>
      <c r="O69" s="1643">
        <f t="shared" si="6"/>
        <v>6600</v>
      </c>
      <c r="P69" s="1808"/>
      <c r="Q69" s="1643">
        <f t="shared" si="6"/>
        <v>6600</v>
      </c>
      <c r="R69" s="1808"/>
      <c r="S69" s="1643">
        <f t="shared" si="6"/>
        <v>6600</v>
      </c>
      <c r="Y69" s="297"/>
    </row>
    <row r="70" spans="1:25">
      <c r="A70" s="1802"/>
      <c r="B70" s="1885" t="s">
        <v>3664</v>
      </c>
      <c r="C70" s="1886" t="s">
        <v>3659</v>
      </c>
      <c r="D70" s="1880">
        <f>462*2</f>
        <v>924</v>
      </c>
      <c r="E70" s="1881" t="s">
        <v>2864</v>
      </c>
      <c r="F70" s="1807">
        <v>20</v>
      </c>
      <c r="G70" s="662">
        <f t="shared" si="5"/>
        <v>18480</v>
      </c>
      <c r="H70" s="1808"/>
      <c r="I70" s="1643">
        <f t="shared" si="6"/>
        <v>18480</v>
      </c>
      <c r="J70" s="1808"/>
      <c r="K70" s="1643">
        <f t="shared" si="6"/>
        <v>18480</v>
      </c>
      <c r="L70" s="1808"/>
      <c r="M70" s="1643">
        <f t="shared" si="6"/>
        <v>18480</v>
      </c>
      <c r="N70" s="1808"/>
      <c r="O70" s="1643">
        <f t="shared" si="6"/>
        <v>18480</v>
      </c>
      <c r="P70" s="1808"/>
      <c r="Q70" s="1643">
        <f t="shared" si="6"/>
        <v>18480</v>
      </c>
      <c r="R70" s="1808"/>
      <c r="S70" s="1643">
        <f t="shared" si="6"/>
        <v>18480</v>
      </c>
      <c r="Y70" s="297"/>
    </row>
    <row r="71" spans="1:25">
      <c r="A71" s="1802"/>
      <c r="B71" s="1885" t="s">
        <v>3665</v>
      </c>
      <c r="C71" s="1886" t="s">
        <v>3653</v>
      </c>
      <c r="D71" s="1880">
        <f>2*600</f>
        <v>1200</v>
      </c>
      <c r="E71" s="1881" t="s">
        <v>2864</v>
      </c>
      <c r="F71" s="1807">
        <v>20</v>
      </c>
      <c r="G71" s="662">
        <f t="shared" si="5"/>
        <v>24000</v>
      </c>
      <c r="H71" s="1808"/>
      <c r="I71" s="1643">
        <f t="shared" si="6"/>
        <v>24000</v>
      </c>
      <c r="J71" s="1808"/>
      <c r="K71" s="1643">
        <f t="shared" si="6"/>
        <v>24000</v>
      </c>
      <c r="L71" s="1808"/>
      <c r="M71" s="1643">
        <f t="shared" si="6"/>
        <v>24000</v>
      </c>
      <c r="N71" s="1808"/>
      <c r="O71" s="1643">
        <f t="shared" si="6"/>
        <v>24000</v>
      </c>
      <c r="P71" s="1808"/>
      <c r="Q71" s="1643">
        <f t="shared" si="6"/>
        <v>24000</v>
      </c>
      <c r="R71" s="1808"/>
      <c r="S71" s="1643">
        <f t="shared" si="6"/>
        <v>24000</v>
      </c>
      <c r="Y71" s="297"/>
    </row>
    <row r="72" spans="1:25">
      <c r="A72" s="1802"/>
      <c r="B72" s="1884" t="s">
        <v>4748</v>
      </c>
      <c r="C72" s="1804" t="s">
        <v>3656</v>
      </c>
      <c r="D72" s="1805">
        <v>2116</v>
      </c>
      <c r="E72" s="1881" t="s">
        <v>2864</v>
      </c>
      <c r="F72" s="1807">
        <v>20</v>
      </c>
      <c r="G72" s="662">
        <f t="shared" si="5"/>
        <v>42320</v>
      </c>
      <c r="H72" s="1808"/>
      <c r="I72" s="1643">
        <f t="shared" si="6"/>
        <v>42320</v>
      </c>
      <c r="J72" s="1808"/>
      <c r="K72" s="1643">
        <f t="shared" si="6"/>
        <v>42320</v>
      </c>
      <c r="L72" s="1808"/>
      <c r="M72" s="1643">
        <f t="shared" si="6"/>
        <v>42320</v>
      </c>
      <c r="N72" s="1808"/>
      <c r="O72" s="1643">
        <f t="shared" si="6"/>
        <v>42320</v>
      </c>
      <c r="P72" s="1808"/>
      <c r="Q72" s="1643">
        <f t="shared" si="6"/>
        <v>42320</v>
      </c>
      <c r="R72" s="1808"/>
      <c r="S72" s="1643">
        <f t="shared" si="6"/>
        <v>42320</v>
      </c>
      <c r="Y72" s="297"/>
    </row>
    <row r="73" spans="1:25">
      <c r="A73" s="1802"/>
      <c r="B73" s="1884" t="s">
        <v>4748</v>
      </c>
      <c r="C73" s="1804" t="s">
        <v>4749</v>
      </c>
      <c r="D73" s="1805">
        <v>924</v>
      </c>
      <c r="E73" s="1881" t="s">
        <v>2864</v>
      </c>
      <c r="F73" s="1807">
        <v>20</v>
      </c>
      <c r="G73" s="662">
        <f t="shared" si="5"/>
        <v>18480</v>
      </c>
      <c r="H73" s="1808"/>
      <c r="I73" s="1643">
        <f t="shared" si="6"/>
        <v>18480</v>
      </c>
      <c r="J73" s="1808"/>
      <c r="K73" s="1643">
        <f t="shared" si="6"/>
        <v>18480</v>
      </c>
      <c r="L73" s="1808"/>
      <c r="M73" s="1643">
        <f t="shared" si="6"/>
        <v>18480</v>
      </c>
      <c r="N73" s="1808"/>
      <c r="O73" s="1643">
        <f t="shared" si="6"/>
        <v>18480</v>
      </c>
      <c r="P73" s="1808"/>
      <c r="Q73" s="1643">
        <f t="shared" si="6"/>
        <v>18480</v>
      </c>
      <c r="R73" s="1808"/>
      <c r="S73" s="1643">
        <f t="shared" si="6"/>
        <v>18480</v>
      </c>
      <c r="Y73" s="297"/>
    </row>
    <row r="74" spans="1:25">
      <c r="A74" s="1802"/>
      <c r="B74" s="1884" t="s">
        <v>4750</v>
      </c>
      <c r="C74" s="1804" t="s">
        <v>4751</v>
      </c>
      <c r="D74" s="1805">
        <v>150</v>
      </c>
      <c r="E74" s="1881" t="s">
        <v>2864</v>
      </c>
      <c r="F74" s="1807">
        <v>20</v>
      </c>
      <c r="G74" s="662">
        <f t="shared" si="5"/>
        <v>3000</v>
      </c>
      <c r="H74" s="1808"/>
      <c r="I74" s="1643">
        <f t="shared" si="6"/>
        <v>3000</v>
      </c>
      <c r="J74" s="1808"/>
      <c r="K74" s="1643">
        <f t="shared" si="6"/>
        <v>3000</v>
      </c>
      <c r="L74" s="1808"/>
      <c r="M74" s="1643">
        <f t="shared" si="6"/>
        <v>3000</v>
      </c>
      <c r="N74" s="1808"/>
      <c r="O74" s="1643">
        <f t="shared" si="6"/>
        <v>3000</v>
      </c>
      <c r="P74" s="1808"/>
      <c r="Q74" s="1643">
        <f t="shared" si="6"/>
        <v>3000</v>
      </c>
      <c r="R74" s="1808"/>
      <c r="S74" s="1643">
        <f t="shared" si="6"/>
        <v>3000</v>
      </c>
      <c r="Y74" s="297"/>
    </row>
    <row r="75" spans="1:25">
      <c r="A75" s="1802"/>
      <c r="B75" s="1884" t="s">
        <v>4752</v>
      </c>
      <c r="C75" s="1804" t="s">
        <v>4751</v>
      </c>
      <c r="D75" s="1805">
        <v>150</v>
      </c>
      <c r="E75" s="1881" t="s">
        <v>2864</v>
      </c>
      <c r="F75" s="1807">
        <v>20</v>
      </c>
      <c r="G75" s="662">
        <f t="shared" si="5"/>
        <v>3000</v>
      </c>
      <c r="H75" s="1808"/>
      <c r="I75" s="1643">
        <f t="shared" si="6"/>
        <v>3000</v>
      </c>
      <c r="J75" s="1808"/>
      <c r="K75" s="1643">
        <f t="shared" si="6"/>
        <v>3000</v>
      </c>
      <c r="L75" s="1808"/>
      <c r="M75" s="1643">
        <f t="shared" si="6"/>
        <v>3000</v>
      </c>
      <c r="N75" s="1808"/>
      <c r="O75" s="1643">
        <f t="shared" si="6"/>
        <v>3000</v>
      </c>
      <c r="P75" s="1808"/>
      <c r="Q75" s="1643">
        <f t="shared" si="6"/>
        <v>3000</v>
      </c>
      <c r="R75" s="1808"/>
      <c r="S75" s="1643">
        <f t="shared" si="6"/>
        <v>3000</v>
      </c>
      <c r="Y75" s="297"/>
    </row>
    <row r="76" spans="1:25">
      <c r="A76" s="1802"/>
      <c r="B76" s="1884" t="s">
        <v>4753</v>
      </c>
      <c r="C76" s="1804" t="s">
        <v>4754</v>
      </c>
      <c r="D76" s="1805">
        <v>150</v>
      </c>
      <c r="E76" s="1881" t="s">
        <v>2864</v>
      </c>
      <c r="F76" s="1807">
        <v>20</v>
      </c>
      <c r="G76" s="662">
        <f t="shared" si="5"/>
        <v>3000</v>
      </c>
      <c r="H76" s="1808"/>
      <c r="I76" s="1643">
        <f t="shared" si="6"/>
        <v>3000</v>
      </c>
      <c r="J76" s="1808"/>
      <c r="K76" s="1643">
        <f t="shared" si="6"/>
        <v>3000</v>
      </c>
      <c r="L76" s="1808"/>
      <c r="M76" s="1643">
        <f t="shared" si="6"/>
        <v>3000</v>
      </c>
      <c r="N76" s="1808"/>
      <c r="O76" s="1643">
        <f t="shared" si="6"/>
        <v>3000</v>
      </c>
      <c r="P76" s="1808"/>
      <c r="Q76" s="1643">
        <f t="shared" si="6"/>
        <v>3000</v>
      </c>
      <c r="R76" s="1808"/>
      <c r="S76" s="1643">
        <f t="shared" si="6"/>
        <v>3000</v>
      </c>
    </row>
    <row r="77" spans="1:25">
      <c r="A77" s="1802"/>
      <c r="B77" s="1887" t="s">
        <v>4755</v>
      </c>
      <c r="C77" s="1804"/>
      <c r="D77" s="1805"/>
      <c r="E77" s="1806"/>
      <c r="F77" s="1807"/>
      <c r="G77" s="662">
        <f t="shared" si="5"/>
        <v>0</v>
      </c>
      <c r="H77" s="1808"/>
      <c r="I77" s="1634"/>
      <c r="J77" s="1808"/>
      <c r="K77" s="1633"/>
      <c r="L77" s="1808"/>
      <c r="M77" s="1634"/>
      <c r="N77" s="1808"/>
      <c r="O77" s="1634"/>
      <c r="P77" s="1808"/>
      <c r="Q77" s="1633"/>
      <c r="R77" s="1808"/>
      <c r="S77" s="1633"/>
    </row>
    <row r="78" spans="1:25">
      <c r="A78" s="1802"/>
      <c r="C78" s="1804"/>
      <c r="D78" s="1805">
        <v>2781</v>
      </c>
      <c r="E78" s="1806" t="s">
        <v>2845</v>
      </c>
      <c r="F78" s="1807">
        <v>35</v>
      </c>
      <c r="G78" s="662">
        <f t="shared" si="5"/>
        <v>97335</v>
      </c>
      <c r="H78" s="1808" t="s">
        <v>2931</v>
      </c>
      <c r="I78" s="1634"/>
      <c r="J78" s="1808" t="s">
        <v>2931</v>
      </c>
      <c r="K78" s="1633"/>
      <c r="L78" s="1808"/>
      <c r="M78" s="1643">
        <f>$G78</f>
        <v>97335</v>
      </c>
      <c r="N78" s="1808"/>
      <c r="O78" s="1643">
        <f>$G78</f>
        <v>97335</v>
      </c>
      <c r="P78" s="1808" t="s">
        <v>2931</v>
      </c>
      <c r="Q78" s="1633"/>
      <c r="R78" s="1808" t="s">
        <v>2931</v>
      </c>
      <c r="S78" s="1633"/>
    </row>
    <row r="79" spans="1:25">
      <c r="A79" s="1888" t="s">
        <v>2587</v>
      </c>
      <c r="B79" s="1887" t="s">
        <v>2647</v>
      </c>
      <c r="C79" s="1804"/>
      <c r="D79" s="1805">
        <v>1086</v>
      </c>
      <c r="E79" s="1806" t="s">
        <v>2864</v>
      </c>
      <c r="F79" s="1807">
        <v>25</v>
      </c>
      <c r="G79" s="670">
        <f t="shared" si="5"/>
        <v>27150</v>
      </c>
      <c r="H79" s="1808"/>
      <c r="I79" s="1889">
        <f>$G79</f>
        <v>27150</v>
      </c>
      <c r="J79" s="1808"/>
      <c r="K79" s="1889">
        <f>$G79</f>
        <v>27150</v>
      </c>
      <c r="L79" s="1808"/>
      <c r="M79" s="1889">
        <f>$G79</f>
        <v>27150</v>
      </c>
      <c r="N79" s="1808"/>
      <c r="O79" s="1889">
        <f>$G79</f>
        <v>27150</v>
      </c>
      <c r="P79" s="1808"/>
      <c r="Q79" s="1889">
        <f>$G79</f>
        <v>27150</v>
      </c>
      <c r="R79" s="1808"/>
      <c r="S79" s="1889">
        <f>$G79</f>
        <v>27150</v>
      </c>
    </row>
    <row r="80" spans="1:25">
      <c r="A80" s="1888" t="s">
        <v>2587</v>
      </c>
      <c r="B80" s="1887" t="s">
        <v>2648</v>
      </c>
      <c r="C80" s="1804"/>
      <c r="D80" s="1805">
        <v>100</v>
      </c>
      <c r="E80" s="1806" t="s">
        <v>2864</v>
      </c>
      <c r="F80" s="1807">
        <v>25</v>
      </c>
      <c r="G80" s="670">
        <f t="shared" si="5"/>
        <v>2500</v>
      </c>
      <c r="H80" s="1808"/>
      <c r="I80" s="1889">
        <f>$G80</f>
        <v>2500</v>
      </c>
      <c r="J80" s="1808"/>
      <c r="K80" s="1889">
        <f>$G80</f>
        <v>2500</v>
      </c>
      <c r="L80" s="1808"/>
      <c r="M80" s="1889">
        <f>$G80</f>
        <v>2500</v>
      </c>
      <c r="N80" s="1808"/>
      <c r="O80" s="1889">
        <f>$G80</f>
        <v>2500</v>
      </c>
      <c r="P80" s="1808"/>
      <c r="Q80" s="1889">
        <f>$G80</f>
        <v>2500</v>
      </c>
      <c r="R80" s="1808"/>
      <c r="S80" s="1889">
        <f>$G80</f>
        <v>2500</v>
      </c>
    </row>
    <row r="81" spans="1:19">
      <c r="A81" s="1802"/>
      <c r="B81" s="1800"/>
      <c r="C81" s="1804"/>
      <c r="D81" s="1805"/>
      <c r="E81" s="1806"/>
      <c r="F81" s="1807"/>
      <c r="G81" s="662">
        <f t="shared" si="5"/>
        <v>0</v>
      </c>
      <c r="H81" s="1808"/>
      <c r="I81" s="1634"/>
      <c r="J81" s="1808"/>
      <c r="K81" s="1633"/>
      <c r="L81" s="1808"/>
      <c r="M81" s="1634"/>
      <c r="N81" s="1808"/>
      <c r="O81" s="1634"/>
      <c r="P81" s="1808"/>
      <c r="Q81" s="1633"/>
      <c r="R81" s="1808"/>
      <c r="S81" s="1633"/>
    </row>
    <row r="82" spans="1:19">
      <c r="A82" s="1802"/>
      <c r="B82" s="1877" t="s">
        <v>4756</v>
      </c>
      <c r="C82" s="1804"/>
      <c r="D82" s="1805">
        <v>422</v>
      </c>
      <c r="E82" s="1806" t="s">
        <v>2845</v>
      </c>
      <c r="F82" s="1807"/>
      <c r="G82" s="662">
        <f t="shared" si="5"/>
        <v>0</v>
      </c>
      <c r="H82" s="1808"/>
      <c r="I82" s="1634"/>
      <c r="J82" s="1808"/>
      <c r="K82" s="1633"/>
      <c r="L82" s="1808"/>
      <c r="M82" s="1634"/>
      <c r="N82" s="1808"/>
      <c r="O82" s="1634"/>
      <c r="P82" s="1808"/>
      <c r="Q82" s="1633"/>
      <c r="R82" s="1808"/>
      <c r="S82" s="1633"/>
    </row>
    <row r="83" spans="1:19">
      <c r="A83" s="1802"/>
      <c r="B83" s="1796"/>
      <c r="C83" s="1804"/>
      <c r="D83" s="1805"/>
      <c r="E83" s="1806"/>
      <c r="F83" s="1807"/>
      <c r="G83" s="662">
        <f t="shared" si="5"/>
        <v>0</v>
      </c>
      <c r="H83" s="1808"/>
      <c r="I83" s="1634"/>
      <c r="J83" s="1808"/>
      <c r="K83" s="1633"/>
      <c r="L83" s="1808"/>
      <c r="M83" s="1634"/>
      <c r="N83" s="1808"/>
      <c r="O83" s="1634"/>
      <c r="P83" s="1808"/>
      <c r="Q83" s="1633"/>
      <c r="R83" s="1808"/>
      <c r="S83" s="1633"/>
    </row>
    <row r="84" spans="1:19">
      <c r="A84" s="1802"/>
      <c r="B84" s="1796" t="s">
        <v>4757</v>
      </c>
      <c r="C84" s="1804"/>
      <c r="D84" s="1805"/>
      <c r="E84" s="1806"/>
      <c r="F84" s="1807"/>
      <c r="G84" s="662">
        <f t="shared" si="5"/>
        <v>0</v>
      </c>
      <c r="H84" s="1808"/>
      <c r="I84" s="1634"/>
      <c r="J84" s="1808"/>
      <c r="K84" s="1633"/>
      <c r="L84" s="1808"/>
      <c r="M84" s="1634"/>
      <c r="N84" s="1808"/>
      <c r="O84" s="1634"/>
      <c r="P84" s="1808"/>
      <c r="Q84" s="1633"/>
      <c r="R84" s="1808"/>
      <c r="S84" s="1633"/>
    </row>
    <row r="85" spans="1:19">
      <c r="A85" s="1802"/>
      <c r="B85" s="1800" t="s">
        <v>4758</v>
      </c>
      <c r="C85" s="1804"/>
      <c r="D85" s="1805"/>
      <c r="E85" s="1806"/>
      <c r="F85" s="1807"/>
      <c r="G85" s="662">
        <f t="shared" si="5"/>
        <v>0</v>
      </c>
      <c r="H85" s="1808"/>
      <c r="I85" s="1634"/>
      <c r="J85" s="1808"/>
      <c r="K85" s="1633"/>
      <c r="L85" s="1808"/>
      <c r="M85" s="1634"/>
      <c r="N85" s="1808"/>
      <c r="O85" s="1634"/>
      <c r="P85" s="1808"/>
      <c r="Q85" s="1633"/>
      <c r="R85" s="1808"/>
      <c r="S85" s="1633"/>
    </row>
    <row r="86" spans="1:19" s="175" customFormat="1" ht="60">
      <c r="A86" s="1802"/>
      <c r="B86" s="1890" t="s">
        <v>4759</v>
      </c>
      <c r="C86" s="1883"/>
      <c r="D86" s="1805"/>
      <c r="E86" s="1806"/>
      <c r="F86" s="1891"/>
      <c r="G86" s="668">
        <f t="shared" si="5"/>
        <v>0</v>
      </c>
      <c r="H86" s="1892"/>
      <c r="I86" s="1893"/>
      <c r="J86" s="1892"/>
      <c r="K86" s="1894"/>
      <c r="L86" s="1892"/>
      <c r="M86" s="1893"/>
      <c r="N86" s="1892"/>
      <c r="O86" s="1893"/>
      <c r="P86" s="1892"/>
      <c r="Q86" s="1894"/>
      <c r="R86" s="1892"/>
      <c r="S86" s="1894"/>
    </row>
    <row r="87" spans="1:19" s="175" customFormat="1" ht="60">
      <c r="A87" s="1802"/>
      <c r="B87" s="1890" t="s">
        <v>4760</v>
      </c>
      <c r="C87" s="1883"/>
      <c r="D87" s="1880"/>
      <c r="E87" s="1881"/>
      <c r="F87" s="1891"/>
      <c r="G87" s="668">
        <f t="shared" si="5"/>
        <v>0</v>
      </c>
      <c r="H87" s="1892"/>
      <c r="I87" s="1893"/>
      <c r="J87" s="1892"/>
      <c r="K87" s="1894"/>
      <c r="L87" s="1892"/>
      <c r="M87" s="1893"/>
      <c r="N87" s="1892"/>
      <c r="O87" s="1893"/>
      <c r="P87" s="1892"/>
      <c r="Q87" s="1894"/>
      <c r="R87" s="1892"/>
      <c r="S87" s="1894"/>
    </row>
    <row r="88" spans="1:19" ht="45">
      <c r="A88" s="1802"/>
      <c r="B88" s="1895" t="s">
        <v>4761</v>
      </c>
      <c r="C88" s="1804"/>
      <c r="D88" s="1805"/>
      <c r="E88" s="1806"/>
      <c r="F88" s="1807"/>
      <c r="G88" s="668">
        <f t="shared" ref="G88:G96" si="7">ROUND(D88*F88,0)</f>
        <v>0</v>
      </c>
      <c r="H88" s="1808"/>
      <c r="I88" s="1634"/>
      <c r="J88" s="1808"/>
      <c r="K88" s="1633"/>
      <c r="L88" s="1808"/>
      <c r="M88" s="1634"/>
      <c r="N88" s="1808"/>
      <c r="O88" s="1634"/>
      <c r="P88" s="1808"/>
      <c r="Q88" s="1633"/>
      <c r="R88" s="1808"/>
      <c r="S88" s="1633"/>
    </row>
    <row r="89" spans="1:19">
      <c r="A89" s="1802"/>
      <c r="B89" s="1796"/>
      <c r="C89" s="1804"/>
      <c r="D89" s="1805"/>
      <c r="E89" s="1806"/>
      <c r="F89" s="1807"/>
      <c r="G89" s="668">
        <f t="shared" si="7"/>
        <v>0</v>
      </c>
      <c r="H89" s="1808"/>
      <c r="I89" s="1634"/>
      <c r="J89" s="1808"/>
      <c r="K89" s="1633"/>
      <c r="L89" s="1808"/>
      <c r="M89" s="1634"/>
      <c r="N89" s="1808"/>
      <c r="O89" s="1634"/>
      <c r="P89" s="1808"/>
      <c r="Q89" s="1633"/>
      <c r="R89" s="1808"/>
      <c r="S89" s="1633"/>
    </row>
    <row r="90" spans="1:19">
      <c r="A90" s="1802"/>
      <c r="B90" s="1796" t="s">
        <v>4762</v>
      </c>
      <c r="C90" s="1804"/>
      <c r="D90" s="1805"/>
      <c r="E90" s="1806"/>
      <c r="F90" s="1807"/>
      <c r="G90" s="668">
        <f t="shared" si="7"/>
        <v>0</v>
      </c>
      <c r="H90" s="1808"/>
      <c r="I90" s="1634"/>
      <c r="J90" s="1808"/>
      <c r="K90" s="1633"/>
      <c r="L90" s="1808"/>
      <c r="M90" s="1634"/>
      <c r="N90" s="1808"/>
      <c r="O90" s="1634"/>
      <c r="P90" s="1808"/>
      <c r="Q90" s="1633"/>
      <c r="R90" s="1808"/>
      <c r="S90" s="1633"/>
    </row>
    <row r="91" spans="1:19">
      <c r="A91" s="1802"/>
      <c r="B91" s="1800" t="s">
        <v>4763</v>
      </c>
      <c r="C91" s="1804"/>
      <c r="D91" s="1805">
        <v>2963</v>
      </c>
      <c r="E91" s="1806" t="s">
        <v>2845</v>
      </c>
      <c r="F91" s="1807">
        <v>55</v>
      </c>
      <c r="G91" s="668">
        <f t="shared" si="7"/>
        <v>162965</v>
      </c>
      <c r="H91" s="1808"/>
      <c r="I91" s="1643">
        <f>$G91</f>
        <v>162965</v>
      </c>
      <c r="J91" s="1808" t="s">
        <v>2931</v>
      </c>
      <c r="K91" s="1633"/>
      <c r="L91" s="1808"/>
      <c r="M91" s="1643">
        <f>$G91</f>
        <v>162965</v>
      </c>
      <c r="N91" s="1808" t="s">
        <v>2931</v>
      </c>
      <c r="O91" s="1634"/>
      <c r="P91" s="1808" t="s">
        <v>2931</v>
      </c>
      <c r="Q91" s="1633"/>
      <c r="R91" s="1808"/>
      <c r="S91" s="1643">
        <f>$G91</f>
        <v>162965</v>
      </c>
    </row>
    <row r="92" spans="1:19">
      <c r="A92" s="1802"/>
      <c r="B92" s="1796"/>
      <c r="C92" s="1804"/>
      <c r="D92" s="1805"/>
      <c r="E92" s="1806"/>
      <c r="F92" s="1807"/>
      <c r="G92" s="668">
        <f t="shared" si="7"/>
        <v>0</v>
      </c>
      <c r="H92" s="1808"/>
      <c r="I92" s="1634"/>
      <c r="J92" s="1808"/>
      <c r="K92" s="1633"/>
      <c r="L92" s="1808"/>
      <c r="M92" s="1634"/>
      <c r="N92" s="1808"/>
      <c r="O92" s="1634"/>
      <c r="P92" s="1808"/>
      <c r="Q92" s="1633"/>
      <c r="R92" s="1808"/>
      <c r="S92" s="1633"/>
    </row>
    <row r="93" spans="1:19">
      <c r="A93" s="1802"/>
      <c r="B93" s="1796" t="s">
        <v>4764</v>
      </c>
      <c r="C93" s="1804"/>
      <c r="D93" s="1805"/>
      <c r="E93" s="1806" t="s">
        <v>2845</v>
      </c>
      <c r="F93" s="1807"/>
      <c r="G93" s="668">
        <f t="shared" si="7"/>
        <v>0</v>
      </c>
      <c r="H93" s="1808" t="s">
        <v>2929</v>
      </c>
      <c r="I93" s="1634"/>
      <c r="J93" s="1808" t="s">
        <v>2929</v>
      </c>
      <c r="K93" s="1633"/>
      <c r="L93" s="1808" t="s">
        <v>2929</v>
      </c>
      <c r="M93" s="1634"/>
      <c r="N93" s="1808"/>
      <c r="O93" s="1896">
        <v>-73000</v>
      </c>
      <c r="P93" s="1808"/>
      <c r="Q93" s="1633"/>
      <c r="R93" s="1808" t="s">
        <v>2929</v>
      </c>
      <c r="S93" s="1633"/>
    </row>
    <row r="94" spans="1:19">
      <c r="A94" s="1802"/>
      <c r="B94" s="1796"/>
      <c r="C94" s="1804"/>
      <c r="D94" s="1805"/>
      <c r="E94" s="1806"/>
      <c r="F94" s="1807"/>
      <c r="G94" s="668">
        <f t="shared" si="7"/>
        <v>0</v>
      </c>
      <c r="H94" s="1808"/>
      <c r="I94" s="1634"/>
      <c r="J94" s="1808"/>
      <c r="K94" s="1633"/>
      <c r="L94" s="1808"/>
      <c r="M94" s="1634"/>
      <c r="N94" s="1808"/>
      <c r="O94" s="1634"/>
      <c r="P94" s="1808"/>
      <c r="Q94" s="1633"/>
      <c r="R94" s="1808"/>
      <c r="S94" s="1633"/>
    </row>
    <row r="95" spans="1:19">
      <c r="A95" s="1802"/>
      <c r="B95" s="1796" t="s">
        <v>4765</v>
      </c>
      <c r="C95" s="1804"/>
      <c r="D95" s="1805">
        <v>2</v>
      </c>
      <c r="E95" s="1806" t="s">
        <v>2803</v>
      </c>
      <c r="F95" s="1807"/>
      <c r="G95" s="668">
        <f t="shared" si="7"/>
        <v>0</v>
      </c>
      <c r="H95" s="1808" t="s">
        <v>2929</v>
      </c>
      <c r="I95" s="1634"/>
      <c r="J95" s="1808" t="s">
        <v>2929</v>
      </c>
      <c r="K95" s="1633"/>
      <c r="L95" s="1808" t="s">
        <v>2929</v>
      </c>
      <c r="M95" s="1634"/>
      <c r="N95" s="1808" t="s">
        <v>2929</v>
      </c>
      <c r="O95" s="1634"/>
      <c r="P95" s="1808"/>
      <c r="Q95" s="1633"/>
      <c r="R95" s="1808" t="s">
        <v>2931</v>
      </c>
      <c r="S95" s="1633"/>
    </row>
    <row r="96" spans="1:19">
      <c r="A96" s="1802"/>
      <c r="B96" s="1796"/>
      <c r="C96" s="1804"/>
      <c r="D96" s="1805"/>
      <c r="E96" s="1806"/>
      <c r="F96" s="1807"/>
      <c r="G96" s="668">
        <f t="shared" si="7"/>
        <v>0</v>
      </c>
      <c r="H96" s="1808"/>
      <c r="I96" s="1633"/>
      <c r="J96" s="1808"/>
      <c r="K96" s="1633"/>
      <c r="L96" s="1808"/>
      <c r="M96" s="1634"/>
      <c r="N96" s="1808"/>
      <c r="O96" s="1634"/>
      <c r="P96" s="1808"/>
      <c r="Q96" s="1633"/>
      <c r="R96" s="1808"/>
      <c r="S96" s="1633"/>
    </row>
    <row r="97" spans="1:25">
      <c r="A97" s="1802"/>
      <c r="B97" s="1796" t="s">
        <v>4766</v>
      </c>
      <c r="C97" s="1804"/>
      <c r="D97" s="1805"/>
      <c r="E97" s="1806"/>
      <c r="F97" s="1807"/>
      <c r="G97" s="662">
        <f t="shared" ref="G97" si="8">ROUND(D97*F97,0)</f>
        <v>0</v>
      </c>
      <c r="H97" s="1808"/>
      <c r="I97" s="1642">
        <v>5000</v>
      </c>
      <c r="J97" s="1808"/>
      <c r="K97" s="1897">
        <f>2*2500</f>
        <v>5000</v>
      </c>
      <c r="L97" s="1808"/>
      <c r="M97" s="1642">
        <v>5000</v>
      </c>
      <c r="N97" s="1808"/>
      <c r="O97" s="1642">
        <v>5000</v>
      </c>
      <c r="P97" s="1808"/>
      <c r="Q97" s="1642">
        <v>5000</v>
      </c>
      <c r="R97" s="1808"/>
      <c r="S97" s="1642">
        <v>5000</v>
      </c>
    </row>
    <row r="98" spans="1:25">
      <c r="A98" s="1802"/>
      <c r="B98" s="1796"/>
      <c r="C98" s="1804"/>
      <c r="D98" s="1805"/>
      <c r="E98" s="1806"/>
      <c r="F98" s="1807"/>
      <c r="G98" s="662">
        <f t="shared" si="2"/>
        <v>0</v>
      </c>
      <c r="H98" s="1808"/>
      <c r="I98" s="1634"/>
      <c r="J98" s="1808"/>
      <c r="K98" s="1633"/>
      <c r="L98" s="1808"/>
      <c r="M98" s="1634"/>
      <c r="N98" s="1808"/>
      <c r="O98" s="1634"/>
      <c r="P98" s="1808"/>
      <c r="Q98" s="1633"/>
      <c r="R98" s="1808"/>
      <c r="S98" s="1633"/>
    </row>
    <row r="99" spans="1:25">
      <c r="A99" s="1802"/>
      <c r="B99" s="1898" t="s">
        <v>3235</v>
      </c>
      <c r="C99" s="1804"/>
      <c r="D99" s="1805"/>
      <c r="E99" s="1806"/>
      <c r="F99" s="1807"/>
      <c r="G99" s="662">
        <f t="shared" si="2"/>
        <v>0</v>
      </c>
      <c r="H99" s="1808"/>
      <c r="I99" s="1729">
        <f>SUBTOTAL(9,I100:I105)</f>
        <v>60300</v>
      </c>
      <c r="J99" s="1808"/>
      <c r="K99" s="1729">
        <f>SUBTOTAL(9,K100:K105)</f>
        <v>48420</v>
      </c>
      <c r="L99" s="1808"/>
      <c r="M99" s="1729">
        <f>SUBTOTAL(9,M100:M105)</f>
        <v>54387.539080572576</v>
      </c>
      <c r="N99" s="1808"/>
      <c r="O99" s="1729">
        <f>SUBTOTAL(9,O100:O105)</f>
        <v>66000</v>
      </c>
      <c r="P99" s="1808"/>
      <c r="Q99" s="1729">
        <f>SUBTOTAL(9,Q100:Q105)</f>
        <v>48887</v>
      </c>
      <c r="R99" s="1808"/>
      <c r="S99" s="1729">
        <f>SUBTOTAL(9,S100:S105)</f>
        <v>54153.440000000002</v>
      </c>
    </row>
    <row r="100" spans="1:25">
      <c r="A100" s="1802"/>
      <c r="B100" s="1899" t="s">
        <v>4767</v>
      </c>
      <c r="C100" s="1804"/>
      <c r="D100" s="1805">
        <v>4093</v>
      </c>
      <c r="E100" s="1806" t="s">
        <v>2845</v>
      </c>
      <c r="F100" s="1807"/>
      <c r="G100" s="662">
        <f t="shared" si="2"/>
        <v>0</v>
      </c>
      <c r="H100" s="1808"/>
      <c r="I100" s="1634">
        <v>60300</v>
      </c>
      <c r="J100" s="1808"/>
      <c r="K100" s="1633">
        <v>45920</v>
      </c>
      <c r="L100" s="1808" t="s">
        <v>2931</v>
      </c>
      <c r="M100" s="1634">
        <v>54387.539080572576</v>
      </c>
      <c r="N100" s="1808"/>
      <c r="O100" s="1634">
        <v>66000</v>
      </c>
      <c r="P100" s="1808"/>
      <c r="Q100" s="1633">
        <v>48887</v>
      </c>
      <c r="R100" s="1808"/>
      <c r="S100" s="1633">
        <v>54153.440000000002</v>
      </c>
    </row>
    <row r="101" spans="1:25">
      <c r="A101" s="1802"/>
      <c r="B101" s="1877" t="s">
        <v>4740</v>
      </c>
      <c r="C101" s="1804"/>
      <c r="D101" s="1805"/>
      <c r="E101" s="1806" t="s">
        <v>2803</v>
      </c>
      <c r="F101" s="1807"/>
      <c r="G101" s="662">
        <f t="shared" si="2"/>
        <v>0</v>
      </c>
      <c r="H101" s="1808"/>
      <c r="I101" s="1634"/>
      <c r="J101" s="1808"/>
      <c r="K101" s="1633"/>
      <c r="L101" s="1808"/>
      <c r="M101" s="1634"/>
      <c r="N101" s="1808"/>
      <c r="O101" s="1634"/>
      <c r="P101" s="1808"/>
      <c r="Q101" s="1633"/>
      <c r="R101" s="1808"/>
      <c r="S101" s="1633"/>
      <c r="Y101" s="297"/>
    </row>
    <row r="102" spans="1:25">
      <c r="A102" s="1802"/>
      <c r="B102" s="1796"/>
      <c r="C102" s="1804"/>
      <c r="D102" s="1805"/>
      <c r="E102" s="1806"/>
      <c r="F102" s="1807"/>
      <c r="G102" s="662">
        <f t="shared" ref="G102:G103" si="9">ROUND(D102*F102,0)</f>
        <v>0</v>
      </c>
      <c r="H102" s="1808"/>
      <c r="I102" s="1633"/>
      <c r="J102" s="1808"/>
      <c r="K102" s="1633"/>
      <c r="L102" s="1808"/>
      <c r="M102" s="1634"/>
      <c r="N102" s="1808"/>
      <c r="O102" s="1634"/>
      <c r="P102" s="1808"/>
      <c r="Q102" s="1633"/>
      <c r="R102" s="1808"/>
      <c r="S102" s="1633"/>
    </row>
    <row r="103" spans="1:25">
      <c r="A103" s="1802"/>
      <c r="B103" s="1796" t="s">
        <v>4768</v>
      </c>
      <c r="C103" s="1804"/>
      <c r="D103" s="1805"/>
      <c r="E103" s="1806"/>
      <c r="F103" s="1807"/>
      <c r="G103" s="662">
        <f t="shared" si="9"/>
        <v>0</v>
      </c>
      <c r="H103" s="1808"/>
      <c r="I103" s="1633"/>
      <c r="J103" s="1808"/>
      <c r="K103" s="1897">
        <v>2500</v>
      </c>
      <c r="L103" s="1808"/>
      <c r="M103" s="1634"/>
      <c r="N103" s="1808"/>
      <c r="O103" s="1634"/>
      <c r="P103" s="1808"/>
      <c r="Q103" s="1633"/>
      <c r="R103" s="1808"/>
      <c r="S103" s="1633"/>
    </row>
    <row r="104" spans="1:25">
      <c r="A104" s="1802"/>
      <c r="B104" s="1900"/>
      <c r="C104" s="1804"/>
      <c r="D104" s="1805"/>
      <c r="E104" s="1806"/>
      <c r="F104" s="1807"/>
      <c r="G104" s="662">
        <f t="shared" si="2"/>
        <v>0</v>
      </c>
      <c r="H104" s="1808"/>
      <c r="I104" s="1634"/>
      <c r="J104" s="1808"/>
      <c r="K104" s="1633"/>
      <c r="L104" s="1808"/>
      <c r="M104" s="1634"/>
      <c r="N104" s="1808"/>
      <c r="O104" s="1634"/>
      <c r="P104" s="1808"/>
      <c r="Q104" s="1633"/>
      <c r="R104" s="1808"/>
      <c r="S104" s="1633"/>
    </row>
    <row r="105" spans="1:25">
      <c r="A105" s="1802"/>
      <c r="B105" s="1898" t="s">
        <v>2697</v>
      </c>
      <c r="C105" s="1804"/>
      <c r="D105" s="1805"/>
      <c r="E105" s="1806"/>
      <c r="F105" s="1807"/>
      <c r="G105" s="662">
        <f t="shared" si="2"/>
        <v>0</v>
      </c>
      <c r="H105" s="1808"/>
      <c r="I105" s="1729">
        <f>SUBTOTAL(9,I106:I112)</f>
        <v>92210</v>
      </c>
      <c r="J105" s="1808"/>
      <c r="K105" s="1729">
        <f>SUBTOTAL(9,K106:K112)</f>
        <v>96730</v>
      </c>
      <c r="L105" s="1808"/>
      <c r="M105" s="1729">
        <f>SUBTOTAL(9,M106:M112)</f>
        <v>83168.739280590322</v>
      </c>
      <c r="N105" s="1808"/>
      <c r="O105" s="1729">
        <f>SUBTOTAL(9,O106:O112)</f>
        <v>99000</v>
      </c>
      <c r="P105" s="1808"/>
      <c r="Q105" s="1729">
        <f>SUBTOTAL(9,Q106:Q112)</f>
        <v>106933</v>
      </c>
      <c r="R105" s="1808"/>
      <c r="S105" s="1729">
        <f>SUBTOTAL(9,S106:S112)</f>
        <v>144151.06</v>
      </c>
    </row>
    <row r="106" spans="1:25">
      <c r="A106" s="1901"/>
      <c r="B106" s="1899" t="s">
        <v>4767</v>
      </c>
      <c r="C106" s="684"/>
      <c r="D106" s="1902">
        <v>5292</v>
      </c>
      <c r="E106" s="1806" t="s">
        <v>2845</v>
      </c>
      <c r="F106" s="1807"/>
      <c r="G106" s="662">
        <f t="shared" si="2"/>
        <v>0</v>
      </c>
      <c r="H106" s="1808"/>
      <c r="I106" s="1634">
        <v>92210</v>
      </c>
      <c r="J106" s="1808"/>
      <c r="K106" s="1633">
        <v>94230</v>
      </c>
      <c r="L106" s="1808" t="s">
        <v>2931</v>
      </c>
      <c r="M106" s="1634">
        <v>83168.739280590322</v>
      </c>
      <c r="N106" s="1808"/>
      <c r="O106" s="1634">
        <v>99000</v>
      </c>
      <c r="P106" s="1808"/>
      <c r="Q106" s="1633">
        <v>106933</v>
      </c>
      <c r="R106" s="1808"/>
      <c r="S106" s="1633">
        <v>144151.06</v>
      </c>
    </row>
    <row r="107" spans="1:25">
      <c r="A107" s="1802"/>
      <c r="B107" s="1877" t="s">
        <v>4740</v>
      </c>
      <c r="C107" s="1804"/>
      <c r="D107" s="1805"/>
      <c r="E107" s="1806" t="s">
        <v>2803</v>
      </c>
      <c r="F107" s="1807"/>
      <c r="G107" s="662">
        <f t="shared" ref="G107" si="10">ROUND(D107*F107,0)</f>
        <v>0</v>
      </c>
      <c r="H107" s="1808"/>
      <c r="I107" s="1633"/>
      <c r="J107" s="1808"/>
      <c r="K107" s="1633"/>
      <c r="L107" s="1808"/>
      <c r="M107" s="1634"/>
      <c r="N107" s="1808"/>
      <c r="O107" s="1634"/>
      <c r="P107" s="1808"/>
      <c r="Q107" s="1633"/>
      <c r="R107" s="1808"/>
      <c r="S107" s="1633"/>
      <c r="Y107" s="297"/>
    </row>
    <row r="108" spans="1:25">
      <c r="A108" s="1802"/>
      <c r="B108" s="1796"/>
      <c r="C108" s="1804"/>
      <c r="D108" s="1805"/>
      <c r="E108" s="1806"/>
      <c r="F108" s="1807"/>
      <c r="G108" s="662">
        <f t="shared" si="2"/>
        <v>0</v>
      </c>
      <c r="H108" s="1808"/>
      <c r="I108" s="1633"/>
      <c r="J108" s="1808"/>
      <c r="K108" s="1633"/>
      <c r="L108" s="1808"/>
      <c r="M108" s="1634"/>
      <c r="N108" s="1808"/>
      <c r="O108" s="1634"/>
      <c r="P108" s="1808"/>
      <c r="Q108" s="1633"/>
      <c r="R108" s="1808"/>
      <c r="S108" s="1633"/>
    </row>
    <row r="109" spans="1:25">
      <c r="A109" s="1802"/>
      <c r="B109" s="1796" t="s">
        <v>4769</v>
      </c>
      <c r="C109" s="1804"/>
      <c r="D109" s="1805"/>
      <c r="E109" s="1806"/>
      <c r="F109" s="1807"/>
      <c r="G109" s="662">
        <f t="shared" si="2"/>
        <v>0</v>
      </c>
      <c r="H109" s="1808"/>
      <c r="I109" s="1633"/>
      <c r="J109" s="1808"/>
      <c r="K109" s="1897">
        <v>2500</v>
      </c>
      <c r="L109" s="1808"/>
      <c r="M109" s="1634"/>
      <c r="N109" s="1808"/>
      <c r="O109" s="1634"/>
      <c r="P109" s="1808"/>
      <c r="Q109" s="1633"/>
      <c r="R109" s="1808"/>
      <c r="S109" s="1633"/>
    </row>
    <row r="110" spans="1:25">
      <c r="A110" s="1802"/>
      <c r="B110" s="1796"/>
      <c r="C110" s="1804"/>
      <c r="D110" s="1805"/>
      <c r="E110" s="1806"/>
      <c r="F110" s="1807"/>
      <c r="G110" s="662">
        <f t="shared" si="2"/>
        <v>0</v>
      </c>
      <c r="H110" s="1808"/>
      <c r="I110" s="1633"/>
      <c r="J110" s="1808"/>
      <c r="K110" s="1633"/>
      <c r="L110" s="1808"/>
      <c r="M110" s="1634"/>
      <c r="N110" s="1808"/>
      <c r="O110" s="1634"/>
      <c r="P110" s="1808"/>
      <c r="Q110" s="1633"/>
      <c r="R110" s="1808"/>
      <c r="S110" s="1633"/>
    </row>
    <row r="111" spans="1:25">
      <c r="A111" s="1802"/>
      <c r="B111" s="1796"/>
      <c r="C111" s="1804"/>
      <c r="D111" s="1805"/>
      <c r="E111" s="1806"/>
      <c r="F111" s="1807"/>
      <c r="G111" s="662">
        <f t="shared" si="2"/>
        <v>0</v>
      </c>
      <c r="H111" s="1808"/>
      <c r="I111" s="1633"/>
      <c r="J111" s="1808"/>
      <c r="K111" s="1633"/>
      <c r="L111" s="1808"/>
      <c r="M111" s="1634"/>
      <c r="N111" s="1808"/>
      <c r="O111" s="1634"/>
      <c r="P111" s="1808"/>
      <c r="Q111" s="1633"/>
      <c r="R111" s="1808"/>
      <c r="S111" s="1633"/>
    </row>
    <row r="112" spans="1:25">
      <c r="A112" s="1802"/>
      <c r="B112" s="1796"/>
      <c r="C112" s="1804"/>
      <c r="D112" s="1805"/>
      <c r="E112" s="1806"/>
      <c r="F112" s="1807"/>
      <c r="G112" s="662">
        <f t="shared" si="2"/>
        <v>0</v>
      </c>
      <c r="H112" s="1808"/>
      <c r="I112" s="1633"/>
      <c r="J112" s="1808"/>
      <c r="K112" s="1633"/>
      <c r="L112" s="1808"/>
      <c r="M112" s="1634"/>
      <c r="N112" s="1808"/>
      <c r="O112" s="1634"/>
      <c r="P112" s="1808"/>
      <c r="Q112" s="1633"/>
      <c r="R112" s="1808"/>
      <c r="S112" s="1633"/>
    </row>
    <row r="113" spans="1:30" ht="15.75" thickBot="1">
      <c r="A113" s="1802"/>
      <c r="B113" s="1903"/>
      <c r="C113" s="1904"/>
      <c r="D113" s="1902"/>
      <c r="E113" s="1806"/>
      <c r="F113" s="1876"/>
      <c r="G113" s="662"/>
      <c r="H113" s="1808"/>
      <c r="I113" s="1634"/>
      <c r="J113" s="1808"/>
      <c r="K113" s="1634"/>
      <c r="L113" s="1808"/>
      <c r="M113" s="1634"/>
      <c r="N113" s="1808"/>
      <c r="O113" s="1634"/>
      <c r="P113" s="1808"/>
      <c r="Q113" s="1634"/>
      <c r="R113" s="1808"/>
      <c r="S113" s="1634"/>
    </row>
    <row r="114" spans="1:30" ht="15.75" thickTop="1">
      <c r="A114" s="13"/>
      <c r="B114" s="226" t="s">
        <v>3265</v>
      </c>
      <c r="C114" s="15"/>
      <c r="D114" s="168"/>
      <c r="E114" s="176"/>
      <c r="F114" s="17"/>
      <c r="G114" s="227">
        <f>SUBTOTAL(9,G21:G113)</f>
        <v>517703</v>
      </c>
      <c r="H114" s="19"/>
      <c r="I114" s="225">
        <f>SUBTOTAL(9,I20:I113)</f>
        <v>2373035</v>
      </c>
      <c r="J114" s="19"/>
      <c r="K114" s="225">
        <f>SUBTOTAL(9,K20:K113)</f>
        <v>2408140</v>
      </c>
      <c r="L114" s="19"/>
      <c r="M114" s="225">
        <f>SUBTOTAL(9,M20:M113)</f>
        <v>2452703</v>
      </c>
      <c r="N114" s="19"/>
      <c r="O114" s="225">
        <f>SUBTOTAL(9,O20:O113)</f>
        <v>2785105</v>
      </c>
      <c r="P114" s="19"/>
      <c r="Q114" s="225">
        <f>SUBTOTAL(9,Q20:Q113)</f>
        <v>2871503</v>
      </c>
      <c r="R114" s="19"/>
      <c r="S114" s="225">
        <f>SUBTOTAL(9,S20:S113)</f>
        <v>1641163</v>
      </c>
    </row>
    <row r="115" spans="1:30">
      <c r="A115" s="1905"/>
      <c r="B115" s="1906" t="s">
        <v>2976</v>
      </c>
      <c r="C115" s="1907"/>
      <c r="D115" s="1908"/>
      <c r="E115" s="1909"/>
      <c r="F115" s="1910"/>
      <c r="G115" s="654"/>
      <c r="H115" s="1911">
        <v>0</v>
      </c>
      <c r="I115" s="645"/>
      <c r="J115" s="1911">
        <v>0</v>
      </c>
      <c r="K115" s="645"/>
      <c r="L115" s="1911">
        <v>0</v>
      </c>
      <c r="M115" s="645"/>
      <c r="N115" s="1911">
        <v>0</v>
      </c>
      <c r="O115" s="645"/>
      <c r="P115" s="1911">
        <v>0</v>
      </c>
      <c r="Q115" s="645"/>
      <c r="R115" s="1911">
        <v>0</v>
      </c>
      <c r="S115" s="645"/>
    </row>
    <row r="116" spans="1:30">
      <c r="A116" s="1905"/>
      <c r="B116" s="1906" t="s">
        <v>2977</v>
      </c>
      <c r="C116" s="1907"/>
      <c r="D116" s="1908"/>
      <c r="E116" s="1909"/>
      <c r="F116" s="1910"/>
      <c r="G116" s="654">
        <f>F115*G114</f>
        <v>0</v>
      </c>
      <c r="H116" s="1912"/>
      <c r="I116" s="1913">
        <f>H115*I114</f>
        <v>0</v>
      </c>
      <c r="J116" s="1912"/>
      <c r="K116" s="1913">
        <f>J115*K114</f>
        <v>0</v>
      </c>
      <c r="L116" s="1912"/>
      <c r="M116" s="1913">
        <f>L115*M114</f>
        <v>0</v>
      </c>
      <c r="N116" s="1912"/>
      <c r="O116" s="1913">
        <f>N115*O114</f>
        <v>0</v>
      </c>
      <c r="P116" s="1912"/>
      <c r="Q116" s="1913">
        <f>P115*Q114</f>
        <v>0</v>
      </c>
      <c r="R116" s="1912"/>
      <c r="S116" s="1913">
        <f>R115*S114</f>
        <v>0</v>
      </c>
    </row>
    <row r="117" spans="1:30">
      <c r="A117" s="1905"/>
      <c r="B117" s="1906"/>
      <c r="C117" s="1907"/>
      <c r="D117" s="1908"/>
      <c r="E117" s="1909"/>
      <c r="F117" s="1910"/>
      <c r="G117" s="654"/>
      <c r="H117" s="1912"/>
      <c r="I117" s="1913"/>
      <c r="J117" s="1912"/>
      <c r="K117" s="1913"/>
      <c r="L117" s="1912"/>
      <c r="M117" s="1913"/>
      <c r="N117" s="1912"/>
      <c r="O117" s="1913"/>
      <c r="P117" s="1912"/>
      <c r="Q117" s="1913"/>
      <c r="R117" s="1912"/>
      <c r="S117" s="1913"/>
    </row>
    <row r="118" spans="1:30">
      <c r="A118" s="1905"/>
      <c r="B118" s="1906" t="s">
        <v>2978</v>
      </c>
      <c r="C118" s="1907"/>
      <c r="D118" s="1908"/>
      <c r="E118" s="1909"/>
      <c r="F118" s="1910"/>
      <c r="G118" s="654">
        <f>SUM(G114:G116)</f>
        <v>517703</v>
      </c>
      <c r="H118" s="1914"/>
      <c r="I118" s="1913">
        <f>SUM(I114:I116)</f>
        <v>2373035</v>
      </c>
      <c r="J118" s="1914"/>
      <c r="K118" s="1913">
        <f>SUM(K114:K116)</f>
        <v>2408140</v>
      </c>
      <c r="L118" s="1914"/>
      <c r="M118" s="1913">
        <f>SUM(M114:M116)</f>
        <v>2452703</v>
      </c>
      <c r="N118" s="1914"/>
      <c r="O118" s="1913">
        <f>SUM(O114:O116)</f>
        <v>2785105</v>
      </c>
      <c r="P118" s="1914"/>
      <c r="Q118" s="1913">
        <f>SUM(Q114:Q116)</f>
        <v>2871503</v>
      </c>
      <c r="R118" s="1914"/>
      <c r="S118" s="1913">
        <f>SUM(S114:S116)</f>
        <v>1641163</v>
      </c>
    </row>
    <row r="119" spans="1:30">
      <c r="A119" s="1905"/>
      <c r="B119" s="1915" t="s">
        <v>2979</v>
      </c>
      <c r="C119" s="1907"/>
      <c r="D119" s="1908"/>
      <c r="E119" s="1909"/>
      <c r="F119" s="1915"/>
      <c r="G119" s="655">
        <f>G118/'Area Calculations'!$F$5</f>
        <v>5.8384044568747742</v>
      </c>
      <c r="H119" s="1916"/>
      <c r="I119" s="1917">
        <f>I118/'Area Calculations'!$F$5</f>
        <v>26.761942890653195</v>
      </c>
      <c r="J119" s="1916"/>
      <c r="K119" s="1917">
        <f>K118/'Area Calculations'!$F$5</f>
        <v>27.157840129916998</v>
      </c>
      <c r="L119" s="1916"/>
      <c r="M119" s="1917">
        <f>M118/'Area Calculations'!$F$5</f>
        <v>27.660400126308193</v>
      </c>
      <c r="N119" s="1916"/>
      <c r="O119" s="1917">
        <f>O118/'Area Calculations'!$F$5</f>
        <v>31.409069379285455</v>
      </c>
      <c r="P119" s="1918"/>
      <c r="Q119" s="1917">
        <f>Q118/'Area Calculations'!$F$5</f>
        <v>32.383424305304942</v>
      </c>
      <c r="R119" s="1916"/>
      <c r="S119" s="1917">
        <f>S118/'Area Calculations'!$F$5</f>
        <v>18.508243865030675</v>
      </c>
    </row>
    <row r="120" spans="1:30">
      <c r="A120" s="1905"/>
      <c r="B120" s="1919"/>
      <c r="C120" s="1907"/>
      <c r="D120" s="1908"/>
      <c r="E120" s="1909"/>
      <c r="F120" s="1910"/>
      <c r="G120" s="656"/>
      <c r="H120" s="1920"/>
      <c r="I120" s="1920"/>
      <c r="J120" s="1920"/>
      <c r="K120" s="1920"/>
      <c r="L120" s="1920"/>
      <c r="M120" s="1921"/>
      <c r="N120" s="1920"/>
      <c r="O120" s="1921"/>
      <c r="P120" s="1920"/>
      <c r="Q120" s="1920"/>
      <c r="R120" s="1920"/>
      <c r="S120" s="1920"/>
    </row>
    <row r="121" spans="1:30" ht="16.5" hidden="1" thickTop="1" thickBot="1">
      <c r="A121" s="830" t="s">
        <v>2980</v>
      </c>
      <c r="B121" s="831"/>
      <c r="C121" s="12"/>
      <c r="D121" s="169"/>
      <c r="E121" s="177"/>
      <c r="F121" s="12"/>
      <c r="G121" s="228"/>
      <c r="H121" s="20"/>
      <c r="I121" s="20"/>
      <c r="J121" s="20"/>
      <c r="K121" s="20"/>
      <c r="L121" s="20"/>
      <c r="M121" s="20"/>
      <c r="N121" s="20"/>
      <c r="O121" s="20"/>
      <c r="P121" s="20"/>
      <c r="Q121" s="20"/>
      <c r="R121" s="20"/>
      <c r="S121" s="20"/>
    </row>
    <row r="122" spans="1:30" ht="15.75" hidden="1" thickTop="1">
      <c r="A122" s="1768"/>
      <c r="B122" s="1854"/>
      <c r="C122" s="1769"/>
      <c r="D122" s="1770"/>
      <c r="E122" s="1771"/>
      <c r="F122" s="1769"/>
      <c r="G122" s="1773"/>
      <c r="H122" s="1774"/>
      <c r="I122" s="1774"/>
      <c r="J122" s="1774"/>
      <c r="K122" s="1774"/>
      <c r="L122" s="1774"/>
      <c r="M122" s="1774"/>
      <c r="N122" s="1774"/>
      <c r="O122" s="1774"/>
      <c r="P122" s="1774"/>
      <c r="Q122" s="1774"/>
      <c r="R122" s="1774"/>
      <c r="S122" s="1774"/>
    </row>
    <row r="123" spans="1:30" hidden="1">
      <c r="A123" s="1768"/>
      <c r="B123" s="1854"/>
      <c r="C123" s="1769"/>
      <c r="D123" s="1770"/>
      <c r="E123" s="1771"/>
      <c r="F123" s="1769"/>
      <c r="G123" s="1773"/>
      <c r="H123" s="1774"/>
      <c r="I123" s="1774"/>
      <c r="J123" s="1774"/>
      <c r="K123" s="1774"/>
      <c r="L123" s="1774"/>
      <c r="M123" s="1774"/>
      <c r="N123" s="1774"/>
      <c r="O123" s="1774"/>
      <c r="P123" s="1774"/>
      <c r="Q123" s="1774"/>
      <c r="R123" s="1774"/>
      <c r="S123" s="1774"/>
    </row>
    <row r="124" spans="1:30" ht="15.75" hidden="1" thickBot="1">
      <c r="A124" s="1768"/>
      <c r="B124" s="1854"/>
      <c r="C124" s="1769"/>
      <c r="D124" s="1770"/>
      <c r="E124" s="1771"/>
      <c r="F124" s="1769"/>
      <c r="G124" s="1773"/>
      <c r="H124" s="1774"/>
      <c r="I124" s="1774"/>
      <c r="J124" s="1774"/>
      <c r="K124" s="1774"/>
      <c r="L124" s="1774"/>
      <c r="M124" s="1774"/>
      <c r="N124" s="1774"/>
      <c r="O124" s="1774"/>
      <c r="P124" s="1774"/>
      <c r="Q124" s="1774"/>
      <c r="R124" s="1774"/>
      <c r="S124" s="1774"/>
    </row>
    <row r="125" spans="1:30" s="2" customFormat="1" ht="16.5" hidden="1" thickTop="1" thickBot="1">
      <c r="A125" s="830" t="s">
        <v>2981</v>
      </c>
      <c r="B125" s="831"/>
      <c r="C125" s="12"/>
      <c r="D125" s="169"/>
      <c r="E125" s="177"/>
      <c r="F125" s="12"/>
      <c r="G125" s="228"/>
      <c r="H125" s="20"/>
      <c r="I125" s="20"/>
      <c r="J125" s="20"/>
      <c r="K125" s="20"/>
      <c r="L125" s="20"/>
      <c r="M125" s="20"/>
      <c r="N125" s="20"/>
      <c r="O125" s="20"/>
      <c r="P125" s="20"/>
      <c r="Q125" s="20"/>
      <c r="R125" s="20"/>
      <c r="S125" s="20"/>
      <c r="T125"/>
      <c r="U125"/>
      <c r="V125"/>
      <c r="W125"/>
      <c r="X125"/>
      <c r="Y125"/>
      <c r="Z125"/>
      <c r="AA125"/>
      <c r="AB125"/>
      <c r="AC125"/>
      <c r="AD125"/>
    </row>
    <row r="126" spans="1:30" s="2" customFormat="1" ht="15.75" hidden="1" thickTop="1">
      <c r="A126" s="1768"/>
      <c r="B126" s="1854"/>
      <c r="C126" s="1769"/>
      <c r="D126" s="1770"/>
      <c r="E126" s="1771"/>
      <c r="F126" s="1769"/>
      <c r="G126" s="1773"/>
      <c r="H126" s="1774"/>
      <c r="I126" s="1774"/>
      <c r="J126" s="1774"/>
      <c r="K126" s="1774"/>
      <c r="L126" s="1774"/>
      <c r="M126" s="1774"/>
      <c r="N126" s="1774"/>
      <c r="O126" s="1774"/>
      <c r="P126" s="1774"/>
      <c r="Q126" s="1774"/>
      <c r="R126" s="1774"/>
      <c r="S126" s="1774"/>
      <c r="T126"/>
      <c r="U126"/>
      <c r="V126"/>
      <c r="W126"/>
      <c r="X126"/>
      <c r="Y126"/>
      <c r="Z126"/>
      <c r="AA126"/>
      <c r="AB126"/>
      <c r="AC126"/>
      <c r="AD126"/>
    </row>
    <row r="127" spans="1:30" s="2" customFormat="1" hidden="1">
      <c r="A127" s="1768"/>
      <c r="B127" s="1854"/>
      <c r="C127" s="1769"/>
      <c r="D127" s="1770"/>
      <c r="E127" s="1771"/>
      <c r="F127" s="1769"/>
      <c r="G127" s="1773"/>
      <c r="H127" s="1774"/>
      <c r="I127" s="1774"/>
      <c r="J127" s="1774"/>
      <c r="K127" s="1774"/>
      <c r="L127" s="1774"/>
      <c r="M127" s="1774"/>
      <c r="N127" s="1774"/>
      <c r="O127" s="1774"/>
      <c r="P127" s="1774"/>
      <c r="Q127" s="1774"/>
      <c r="R127" s="1774"/>
      <c r="S127" s="1774"/>
      <c r="T127"/>
      <c r="U127"/>
      <c r="V127"/>
      <c r="W127"/>
      <c r="X127"/>
      <c r="Y127"/>
      <c r="Z127"/>
      <c r="AA127"/>
      <c r="AB127"/>
      <c r="AC127"/>
      <c r="AD127"/>
    </row>
    <row r="128" spans="1:30" ht="15.75" hidden="1" thickBot="1">
      <c r="A128" s="1768"/>
      <c r="B128" s="1854"/>
      <c r="C128" s="1769"/>
      <c r="D128" s="1770"/>
      <c r="E128" s="1771"/>
      <c r="F128" s="1769"/>
      <c r="G128" s="1773"/>
      <c r="H128" s="1774"/>
      <c r="I128" s="1774"/>
      <c r="J128" s="1774"/>
      <c r="K128" s="1774"/>
      <c r="L128" s="1774"/>
      <c r="M128" s="1774"/>
      <c r="N128" s="1774"/>
      <c r="O128" s="1774"/>
      <c r="P128" s="1774"/>
      <c r="Q128" s="1774"/>
      <c r="R128" s="1774"/>
      <c r="S128" s="1774"/>
    </row>
    <row r="129" spans="1:30" s="2" customFormat="1" ht="16.5" hidden="1" thickTop="1" thickBot="1">
      <c r="A129" s="830" t="s">
        <v>2982</v>
      </c>
      <c r="B129" s="831"/>
      <c r="C129" s="12"/>
      <c r="D129" s="169"/>
      <c r="E129" s="177"/>
      <c r="F129" s="12"/>
      <c r="G129" s="228"/>
      <c r="H129" s="20"/>
      <c r="I129" s="20"/>
      <c r="J129" s="20"/>
      <c r="K129" s="20"/>
      <c r="L129" s="20"/>
      <c r="M129" s="20"/>
      <c r="N129" s="20"/>
      <c r="O129" s="20"/>
      <c r="P129" s="20"/>
      <c r="Q129" s="20"/>
      <c r="R129" s="20"/>
      <c r="S129" s="20"/>
      <c r="T129"/>
      <c r="U129"/>
      <c r="V129"/>
      <c r="W129"/>
      <c r="X129"/>
      <c r="Y129"/>
      <c r="Z129"/>
      <c r="AA129"/>
      <c r="AB129"/>
      <c r="AC129"/>
      <c r="AD129"/>
    </row>
    <row r="130" spans="1:30" s="2" customFormat="1" ht="15.75" hidden="1" thickTop="1">
      <c r="A130" s="1768"/>
      <c r="B130" s="1854"/>
      <c r="C130" s="1769"/>
      <c r="D130" s="1770"/>
      <c r="E130" s="1771"/>
      <c r="F130" s="1769"/>
      <c r="G130" s="1773"/>
      <c r="H130" s="1774"/>
      <c r="I130" s="1774"/>
      <c r="J130" s="1774"/>
      <c r="K130" s="1774"/>
      <c r="L130" s="1774"/>
      <c r="M130" s="1774"/>
      <c r="N130" s="1774"/>
      <c r="O130" s="1774"/>
      <c r="P130" s="1774"/>
      <c r="Q130" s="1774"/>
      <c r="R130" s="1774"/>
      <c r="S130" s="1774"/>
      <c r="T130"/>
      <c r="U130"/>
      <c r="V130"/>
      <c r="W130"/>
      <c r="X130"/>
      <c r="Y130"/>
      <c r="Z130"/>
      <c r="AA130"/>
      <c r="AB130"/>
      <c r="AC130"/>
      <c r="AD130"/>
    </row>
    <row r="131" spans="1:30" s="2" customFormat="1" hidden="1">
      <c r="A131" s="1922"/>
      <c r="B131" s="1854"/>
      <c r="C131" s="1804"/>
      <c r="D131" s="1805"/>
      <c r="E131" s="1806"/>
      <c r="F131" s="1804"/>
      <c r="G131" s="1923"/>
      <c r="H131" s="1924"/>
      <c r="I131" s="1924"/>
      <c r="J131" s="1924"/>
      <c r="K131" s="1924"/>
      <c r="L131" s="1924"/>
      <c r="M131" s="1924"/>
      <c r="N131" s="1924"/>
      <c r="O131" s="1924"/>
      <c r="P131" s="1924"/>
      <c r="Q131" s="1924"/>
      <c r="R131" s="1924"/>
      <c r="S131" s="1924"/>
      <c r="T131"/>
      <c r="U131"/>
      <c r="V131"/>
      <c r="W131"/>
      <c r="X131"/>
      <c r="Y131"/>
      <c r="Z131"/>
      <c r="AA131"/>
      <c r="AB131"/>
      <c r="AC131"/>
      <c r="AD131"/>
    </row>
    <row r="132" spans="1:30" s="2" customFormat="1" ht="15.75" hidden="1" thickBot="1">
      <c r="A132" s="1925"/>
      <c r="B132" s="1926"/>
      <c r="C132" s="1804"/>
      <c r="D132" s="1805"/>
      <c r="E132" s="1806"/>
      <c r="F132" s="1804"/>
      <c r="G132" s="1923"/>
      <c r="H132" s="1927"/>
      <c r="I132" s="1927"/>
      <c r="J132" s="1927"/>
      <c r="K132" s="1927"/>
      <c r="L132" s="1927"/>
      <c r="M132" s="1927"/>
      <c r="N132" s="1927"/>
      <c r="O132" s="1927"/>
      <c r="P132" s="1927"/>
      <c r="Q132" s="1927"/>
      <c r="R132" s="1927"/>
      <c r="S132" s="1927"/>
    </row>
    <row r="133" spans="1:30" s="2" customFormat="1" ht="16.5" hidden="1" thickTop="1" thickBot="1">
      <c r="A133" s="830" t="s">
        <v>2983</v>
      </c>
      <c r="B133" s="831"/>
      <c r="C133" s="12"/>
      <c r="D133" s="169"/>
      <c r="E133" s="177"/>
      <c r="F133" s="12"/>
      <c r="G133" s="228"/>
      <c r="H133" s="20"/>
      <c r="I133" s="20"/>
      <c r="J133" s="20"/>
      <c r="K133" s="20"/>
      <c r="L133" s="20"/>
      <c r="M133" s="20"/>
      <c r="N133" s="20"/>
      <c r="O133" s="20"/>
      <c r="P133" s="20"/>
      <c r="Q133" s="20"/>
      <c r="R133" s="20"/>
      <c r="S133" s="20"/>
      <c r="T133"/>
      <c r="U133"/>
      <c r="V133"/>
      <c r="W133"/>
      <c r="X133"/>
      <c r="Y133"/>
      <c r="Z133"/>
      <c r="AA133"/>
      <c r="AB133"/>
      <c r="AC133"/>
      <c r="AD133"/>
    </row>
    <row r="134" spans="1:30" ht="15.75" hidden="1" thickTop="1">
      <c r="A134" s="1777"/>
      <c r="B134" s="1778"/>
      <c r="C134" s="1769"/>
      <c r="D134" s="1770"/>
      <c r="E134" s="1771"/>
      <c r="F134" s="1769"/>
      <c r="G134" s="1773"/>
      <c r="H134" s="1774"/>
      <c r="I134" s="1774"/>
      <c r="J134" s="1774"/>
      <c r="K134" s="1774"/>
      <c r="L134" s="1774"/>
      <c r="M134" s="1774"/>
      <c r="N134" s="1774"/>
      <c r="O134" s="1774"/>
      <c r="P134" s="1774"/>
      <c r="Q134" s="1774"/>
      <c r="R134" s="1774"/>
      <c r="S134" s="1774"/>
      <c r="T134" s="2"/>
      <c r="U134" s="2"/>
      <c r="V134" s="2"/>
      <c r="W134" s="2"/>
      <c r="X134" s="2"/>
      <c r="Y134" s="2"/>
      <c r="Z134" s="2"/>
      <c r="AA134" s="2"/>
      <c r="AB134" s="2"/>
      <c r="AC134" s="2"/>
      <c r="AD134" s="2"/>
    </row>
    <row r="135" spans="1:30" hidden="1">
      <c r="A135" s="1925"/>
      <c r="B135" s="1926"/>
      <c r="C135" s="1804"/>
      <c r="D135" s="1805"/>
      <c r="E135" s="1806"/>
      <c r="F135" s="1804"/>
      <c r="G135" s="1923"/>
      <c r="H135" s="1928"/>
      <c r="I135" s="1928"/>
      <c r="J135" s="1928"/>
      <c r="K135" s="1928"/>
      <c r="L135" s="1928"/>
      <c r="M135" s="1928"/>
      <c r="N135" s="1928"/>
      <c r="O135" s="1928"/>
      <c r="P135" s="1928"/>
      <c r="Q135" s="1928"/>
      <c r="R135" s="1928"/>
      <c r="S135" s="1928"/>
      <c r="T135" s="2"/>
      <c r="U135" s="2"/>
      <c r="V135" s="2"/>
      <c r="W135" s="2"/>
      <c r="X135" s="2"/>
      <c r="Y135" s="2"/>
      <c r="Z135" s="2"/>
      <c r="AA135" s="2"/>
      <c r="AB135" s="2"/>
      <c r="AC135" s="2"/>
      <c r="AD135" s="2"/>
    </row>
    <row r="136" spans="1:30" ht="15.75" hidden="1" thickBot="1">
      <c r="A136" s="1925"/>
      <c r="B136" s="1926"/>
      <c r="C136" s="1804"/>
      <c r="D136" s="1805"/>
      <c r="E136" s="1806"/>
      <c r="F136" s="1804"/>
      <c r="G136" s="1923"/>
      <c r="H136" s="1928"/>
      <c r="I136" s="1928"/>
      <c r="J136" s="1928"/>
      <c r="K136" s="1928"/>
      <c r="L136" s="1928"/>
      <c r="M136" s="1928"/>
      <c r="N136" s="1928"/>
      <c r="O136" s="1928"/>
      <c r="P136" s="1928"/>
      <c r="Q136" s="1928"/>
      <c r="R136" s="1928"/>
      <c r="S136" s="1928"/>
      <c r="T136" s="2"/>
      <c r="U136" s="2"/>
      <c r="V136" s="2"/>
      <c r="W136" s="2"/>
      <c r="X136" s="2"/>
      <c r="Y136" s="2"/>
      <c r="Z136" s="2"/>
      <c r="AA136" s="2"/>
      <c r="AB136" s="2"/>
      <c r="AC136" s="2"/>
      <c r="AD136" s="2"/>
    </row>
    <row r="137" spans="1:30" ht="16.5" hidden="1" thickTop="1" thickBot="1">
      <c r="A137" s="830" t="s">
        <v>2984</v>
      </c>
      <c r="B137" s="831"/>
      <c r="C137" s="12"/>
      <c r="D137" s="169"/>
      <c r="E137" s="177"/>
      <c r="F137" s="12"/>
      <c r="G137" s="228"/>
      <c r="H137" s="20"/>
      <c r="I137" s="20"/>
      <c r="J137" s="20"/>
      <c r="K137" s="20"/>
      <c r="L137" s="20"/>
      <c r="M137" s="20"/>
      <c r="N137" s="20"/>
      <c r="O137" s="20"/>
      <c r="P137" s="20"/>
      <c r="Q137" s="20"/>
      <c r="R137" s="20"/>
      <c r="S137" s="20"/>
    </row>
    <row r="138" spans="1:30" ht="15.75" hidden="1" thickTop="1">
      <c r="A138" s="1922"/>
      <c r="B138" s="1854" t="s">
        <v>2985</v>
      </c>
      <c r="C138" s="1804"/>
      <c r="D138" s="1805"/>
      <c r="E138" s="1806"/>
      <c r="F138" s="1804"/>
      <c r="G138" s="1923"/>
      <c r="H138" s="1928"/>
      <c r="I138" s="1928"/>
      <c r="J138" s="1928"/>
      <c r="K138" s="1928"/>
      <c r="L138" s="1928"/>
      <c r="M138" s="1928"/>
      <c r="N138" s="1928"/>
      <c r="O138" s="1928"/>
      <c r="P138" s="1928"/>
      <c r="Q138" s="1928"/>
      <c r="R138" s="1928"/>
      <c r="S138" s="1928"/>
    </row>
    <row r="139" spans="1:30" hidden="1">
      <c r="A139" s="1922"/>
      <c r="B139" s="1854" t="s">
        <v>2986</v>
      </c>
      <c r="C139" s="1804"/>
      <c r="D139" s="1805"/>
      <c r="E139" s="1806"/>
      <c r="F139" s="1804"/>
      <c r="G139" s="1923"/>
      <c r="H139" s="1928"/>
      <c r="I139" s="1928"/>
      <c r="J139" s="1928"/>
      <c r="K139" s="1928"/>
      <c r="L139" s="1928"/>
      <c r="M139" s="1928"/>
      <c r="N139" s="1928"/>
      <c r="O139" s="1928"/>
      <c r="P139" s="1928"/>
      <c r="Q139" s="1928"/>
      <c r="R139" s="1928"/>
      <c r="S139" s="1928"/>
    </row>
    <row r="140" spans="1:30" hidden="1">
      <c r="A140" s="1922"/>
      <c r="B140" s="1854" t="s">
        <v>2987</v>
      </c>
      <c r="C140" s="1804"/>
      <c r="D140" s="1805"/>
      <c r="E140" s="1806"/>
      <c r="F140" s="1804"/>
      <c r="G140" s="1923"/>
      <c r="H140" s="1928"/>
      <c r="I140" s="1928"/>
      <c r="J140" s="1928"/>
      <c r="K140" s="1928"/>
      <c r="L140" s="1928"/>
      <c r="M140" s="1928"/>
      <c r="N140" s="1928"/>
      <c r="O140" s="1928"/>
      <c r="P140" s="1928"/>
      <c r="Q140" s="1928"/>
      <c r="R140" s="1928"/>
      <c r="S140" s="1928"/>
    </row>
    <row r="141" spans="1:30" hidden="1">
      <c r="A141" s="1922"/>
      <c r="B141" s="1854" t="s">
        <v>2988</v>
      </c>
      <c r="C141" s="1804"/>
      <c r="D141" s="1805"/>
      <c r="E141" s="1806"/>
      <c r="F141" s="1804"/>
      <c r="G141" s="1923"/>
      <c r="H141" s="1928"/>
      <c r="I141" s="1928"/>
      <c r="J141" s="1928"/>
      <c r="K141" s="1928"/>
      <c r="L141" s="1928"/>
      <c r="M141" s="1928"/>
      <c r="N141" s="1928"/>
      <c r="O141" s="1928"/>
      <c r="P141" s="1928"/>
      <c r="Q141" s="1928"/>
      <c r="R141" s="1928"/>
      <c r="S141" s="1928"/>
    </row>
    <row r="142" spans="1:30" ht="15.75" hidden="1" thickBot="1">
      <c r="A142" s="646"/>
      <c r="B142" s="619"/>
      <c r="C142" s="616"/>
      <c r="D142" s="621"/>
      <c r="E142" s="622"/>
      <c r="F142" s="616"/>
      <c r="G142" s="620"/>
      <c r="H142" s="647"/>
      <c r="I142" s="647"/>
      <c r="J142" s="647"/>
      <c r="K142" s="647"/>
      <c r="L142" s="647"/>
      <c r="M142" s="647"/>
      <c r="N142" s="647"/>
      <c r="O142" s="647"/>
      <c r="P142" s="647"/>
      <c r="Q142" s="647"/>
      <c r="R142" s="647"/>
      <c r="S142" s="647"/>
    </row>
    <row r="143" spans="1:30" ht="16.5" hidden="1" thickTop="1" thickBot="1">
      <c r="A143" s="7" t="s">
        <v>2989</v>
      </c>
      <c r="B143" s="8"/>
      <c r="C143" s="12"/>
      <c r="D143" s="169"/>
      <c r="E143" s="177"/>
      <c r="F143" s="12"/>
      <c r="G143" s="228"/>
      <c r="H143" s="20"/>
      <c r="I143" s="20"/>
      <c r="J143" s="20"/>
      <c r="K143" s="20"/>
      <c r="L143" s="20"/>
      <c r="M143" s="20"/>
      <c r="N143" s="20"/>
      <c r="O143" s="20"/>
      <c r="P143" s="20"/>
      <c r="Q143" s="20"/>
      <c r="R143" s="20"/>
      <c r="S143" s="20"/>
    </row>
    <row r="144" spans="1:30" ht="15.75" hidden="1" thickTop="1">
      <c r="A144" s="1768"/>
      <c r="B144" s="1779" t="s">
        <v>2990</v>
      </c>
      <c r="C144" s="1769"/>
      <c r="D144" s="1770"/>
      <c r="E144" s="1771"/>
      <c r="F144" s="1769"/>
      <c r="G144" s="1773"/>
      <c r="H144" s="1780"/>
      <c r="I144" s="1780"/>
      <c r="J144" s="1780"/>
      <c r="K144" s="1780"/>
      <c r="L144" s="1780"/>
      <c r="M144" s="1780"/>
      <c r="N144" s="1780"/>
      <c r="O144" s="1780"/>
      <c r="P144" s="1780"/>
      <c r="Q144" s="1780"/>
      <c r="R144" s="1780"/>
      <c r="S144" s="1780"/>
    </row>
    <row r="145" spans="1:19" hidden="1">
      <c r="A145" s="1922"/>
      <c r="B145" s="1854" t="s">
        <v>2991</v>
      </c>
      <c r="C145" s="1804"/>
      <c r="D145" s="1805"/>
      <c r="E145" s="1806"/>
      <c r="F145" s="1804"/>
      <c r="G145" s="1923"/>
      <c r="H145" s="1929"/>
      <c r="I145" s="1929"/>
      <c r="J145" s="1929"/>
      <c r="K145" s="1929"/>
      <c r="L145" s="1929"/>
      <c r="M145" s="1929"/>
      <c r="N145" s="1929"/>
      <c r="O145" s="1929"/>
      <c r="P145" s="1929"/>
      <c r="Q145" s="1929"/>
      <c r="R145" s="1929"/>
      <c r="S145" s="1929"/>
    </row>
    <row r="146" spans="1:19" ht="15.75" hidden="1" thickBot="1">
      <c r="A146" s="1930"/>
      <c r="B146" s="1862" t="s">
        <v>2992</v>
      </c>
      <c r="C146" s="1863"/>
      <c r="D146" s="1931"/>
      <c r="E146" s="1932"/>
      <c r="F146" s="1863"/>
      <c r="G146" s="1933"/>
      <c r="H146" s="1934"/>
      <c r="I146" s="1934"/>
      <c r="J146" s="1934"/>
      <c r="K146" s="1934"/>
      <c r="L146" s="1934"/>
      <c r="M146" s="1934"/>
      <c r="N146" s="1934"/>
      <c r="O146" s="1934"/>
      <c r="P146" s="1934"/>
      <c r="Q146" s="1934"/>
      <c r="R146" s="1934"/>
      <c r="S146" s="1934"/>
    </row>
    <row r="147" spans="1:19" ht="15.75" thickBot="1">
      <c r="S147" s="447"/>
    </row>
    <row r="148" spans="1:19" ht="16.5" thickTop="1" thickBot="1">
      <c r="A148" s="59" t="s">
        <v>2993</v>
      </c>
      <c r="B148" s="61"/>
      <c r="G148" s="2" t="s">
        <v>3584</v>
      </c>
      <c r="H148" s="236"/>
      <c r="I148" s="236">
        <v>1987300</v>
      </c>
      <c r="K148" s="236">
        <v>2180370</v>
      </c>
      <c r="M148" s="236">
        <v>1930000</v>
      </c>
      <c r="O148" s="236">
        <v>2538000</v>
      </c>
      <c r="Q148" s="236">
        <v>2648733</v>
      </c>
      <c r="S148" s="236">
        <v>1215795</v>
      </c>
    </row>
    <row r="149" spans="1:19" ht="15.75" thickTop="1">
      <c r="A149" s="60" t="s">
        <v>2936</v>
      </c>
      <c r="B149" s="1935"/>
      <c r="I149" s="236"/>
      <c r="K149" s="236"/>
      <c r="M149" s="236"/>
      <c r="O149" s="236"/>
      <c r="Q149" s="236"/>
      <c r="S149" s="236"/>
    </row>
    <row r="150" spans="1:19">
      <c r="A150" s="1936" t="s">
        <v>2939</v>
      </c>
      <c r="B150" s="1935"/>
      <c r="G150" s="2" t="s">
        <v>3585</v>
      </c>
      <c r="H150" s="236"/>
      <c r="I150" s="529">
        <f>I79+I80</f>
        <v>29650</v>
      </c>
      <c r="K150" s="529">
        <f>K79+K80</f>
        <v>29650</v>
      </c>
      <c r="M150" s="529">
        <f>M79+M80</f>
        <v>29650</v>
      </c>
      <c r="O150" s="529">
        <f>O79+O80</f>
        <v>29650</v>
      </c>
      <c r="Q150" s="529">
        <f>Q79+Q80</f>
        <v>29650</v>
      </c>
      <c r="S150" s="529">
        <f>S79+S80</f>
        <v>29650</v>
      </c>
    </row>
    <row r="151" spans="1:19">
      <c r="A151" s="1937" t="s">
        <v>2941</v>
      </c>
      <c r="B151" s="1938"/>
      <c r="G151" s="2" t="s">
        <v>3586</v>
      </c>
      <c r="H151" s="236"/>
      <c r="I151" s="527">
        <f>I66+I67+I68+I69+I70+I71+I72+I73+I74+I75+I76+I91+I97</f>
        <v>356085</v>
      </c>
      <c r="K151" s="527"/>
      <c r="M151" s="527">
        <f>M51+M78+M91</f>
        <v>299933</v>
      </c>
      <c r="O151" s="527">
        <f>O78</f>
        <v>97335</v>
      </c>
      <c r="Q151" s="527"/>
      <c r="S151" s="527">
        <f>S51+S91</f>
        <v>202598</v>
      </c>
    </row>
    <row r="152" spans="1:19">
      <c r="A152" s="1937" t="s">
        <v>2943</v>
      </c>
      <c r="B152" s="1939"/>
      <c r="G152" s="2" t="s">
        <v>3587</v>
      </c>
      <c r="H152" s="236"/>
      <c r="I152" s="528"/>
      <c r="K152" s="528"/>
      <c r="M152" s="528"/>
      <c r="O152" s="528">
        <f>O93</f>
        <v>-73000</v>
      </c>
      <c r="Q152" s="528"/>
      <c r="S152" s="528"/>
    </row>
    <row r="153" spans="1:19" ht="15.75" thickBot="1">
      <c r="A153" s="1940" t="s">
        <v>2994</v>
      </c>
      <c r="B153" s="1941">
        <f>I$118</f>
        <v>2373035</v>
      </c>
      <c r="G153" s="2" t="s">
        <v>3588</v>
      </c>
      <c r="H153" s="236"/>
      <c r="I153" s="1942"/>
      <c r="K153" s="1942">
        <f>K97+K103+K109</f>
        <v>10000</v>
      </c>
      <c r="M153" s="1942"/>
      <c r="O153" s="1942"/>
      <c r="Q153" s="1942"/>
      <c r="S153" s="1942"/>
    </row>
    <row r="154" spans="1:19" ht="15.75" thickTop="1">
      <c r="G154" s="2" t="s">
        <v>3589</v>
      </c>
      <c r="H154" s="236"/>
      <c r="I154" s="236">
        <f>SUM(I148:I153)</f>
        <v>2373035</v>
      </c>
      <c r="K154" s="236">
        <f>SUM(K148:K153)</f>
        <v>2220020</v>
      </c>
      <c r="M154" s="236">
        <f>SUM(M148:M153)</f>
        <v>2259583</v>
      </c>
      <c r="O154" s="236">
        <f>SUM(O148:O153)</f>
        <v>2591985</v>
      </c>
      <c r="Q154" s="236">
        <f>SUM(Q148:Q153)</f>
        <v>2678383</v>
      </c>
      <c r="S154" s="236">
        <f>SUM(S148:S153)</f>
        <v>1448043</v>
      </c>
    </row>
    <row r="155" spans="1:19">
      <c r="A155" s="62"/>
      <c r="B155" s="1" t="s">
        <v>2995</v>
      </c>
      <c r="G155" s="2" t="s">
        <v>3590</v>
      </c>
      <c r="H155" s="236"/>
      <c r="I155" s="1943">
        <f>I114</f>
        <v>2373035</v>
      </c>
      <c r="K155" s="1943">
        <f>K114</f>
        <v>2408140</v>
      </c>
      <c r="M155" s="1943">
        <f>M114</f>
        <v>2452703</v>
      </c>
      <c r="O155" s="1943">
        <f>O114</f>
        <v>2785105</v>
      </c>
      <c r="Q155" s="1943">
        <f>Q114</f>
        <v>2871503</v>
      </c>
      <c r="S155" s="1943">
        <f>S114</f>
        <v>1641163</v>
      </c>
    </row>
    <row r="156" spans="1:19">
      <c r="A156" s="63"/>
      <c r="B156" s="1" t="s">
        <v>2996</v>
      </c>
      <c r="G156" s="2" t="s">
        <v>3591</v>
      </c>
      <c r="H156" s="236"/>
      <c r="I156" s="236">
        <f>I155-I154</f>
        <v>0</v>
      </c>
      <c r="K156" s="236">
        <f>K155-K154</f>
        <v>188120</v>
      </c>
      <c r="M156" s="236">
        <f>M155-M154</f>
        <v>193120</v>
      </c>
      <c r="O156" s="236">
        <f>O155-O154</f>
        <v>193120</v>
      </c>
      <c r="Q156" s="236">
        <f>Q155-Q154</f>
        <v>193120</v>
      </c>
      <c r="S156" s="236">
        <f>S155-S154</f>
        <v>193120</v>
      </c>
    </row>
  </sheetData>
  <mergeCells count="35">
    <mergeCell ref="H8:I8"/>
    <mergeCell ref="P8:Q8"/>
    <mergeCell ref="P5:Q5"/>
    <mergeCell ref="H5:I5"/>
    <mergeCell ref="P6:Q6"/>
    <mergeCell ref="P7:Q7"/>
    <mergeCell ref="N7:O7"/>
    <mergeCell ref="H6:I6"/>
    <mergeCell ref="N6:O6"/>
    <mergeCell ref="J7:K7"/>
    <mergeCell ref="R5:S5"/>
    <mergeCell ref="N5:O5"/>
    <mergeCell ref="R6:S6"/>
    <mergeCell ref="H7:I7"/>
    <mergeCell ref="R7:S7"/>
    <mergeCell ref="L5:M5"/>
    <mergeCell ref="J5:K5"/>
    <mergeCell ref="J6:K6"/>
    <mergeCell ref="L7:M7"/>
    <mergeCell ref="L6:M6"/>
    <mergeCell ref="A137:B137"/>
    <mergeCell ref="P9:Q9"/>
    <mergeCell ref="A121:B121"/>
    <mergeCell ref="A125:B125"/>
    <mergeCell ref="A129:B129"/>
    <mergeCell ref="A133:B133"/>
    <mergeCell ref="N9:O9"/>
    <mergeCell ref="H9:I9"/>
    <mergeCell ref="R9:S9"/>
    <mergeCell ref="J9:K9"/>
    <mergeCell ref="L9:M9"/>
    <mergeCell ref="R8:S8"/>
    <mergeCell ref="J8:K8"/>
    <mergeCell ref="L8:M8"/>
    <mergeCell ref="N8:O8"/>
  </mergeCells>
  <conditionalFormatting sqref="H11:H18 J11:J18 N11:N18 P11:P18 R11:R18 H20:H113 J20:J113 L20:L113 N20:N113 P20:P113 R20:R113">
    <cfRule type="cellIs" dxfId="267" priority="17" operator="equal">
      <formula>"X"</formula>
    </cfRule>
    <cfRule type="cellIs" dxfId="266" priority="18" operator="equal">
      <formula>"I"</formula>
    </cfRule>
  </conditionalFormatting>
  <conditionalFormatting sqref="L11:L18">
    <cfRule type="cellIs" dxfId="265" priority="13" operator="equal">
      <formula>"X"</formula>
    </cfRule>
    <cfRule type="cellIs" dxfId="264" priority="14" operator="equal">
      <formula>"I"</formula>
    </cfRule>
  </conditionalFormatting>
  <hyperlinks>
    <hyperlink ref="B4" location="'Cost Summary'!A1" display="BACK TO SUMMARY SHEET" xr:uid="{C849A71C-4ACE-4080-9EF2-589FE9B5803B}"/>
    <hyperlink ref="H8" r:id="rId1" xr:uid="{7762184F-44B5-4C44-87CA-8E941E00C472}"/>
    <hyperlink ref="L8" r:id="rId2" xr:uid="{C5DC0169-BF11-4BDB-8613-9BBF43B54E6F}"/>
    <hyperlink ref="N8" r:id="rId3" xr:uid="{D7F2A452-D66A-49ED-AEE9-E7F88EE85D70}"/>
    <hyperlink ref="R8" r:id="rId4" xr:uid="{CAA6DF93-330D-4811-83A2-E7793CB4209D}"/>
    <hyperlink ref="J8" r:id="rId5" xr:uid="{8B8678DB-A118-4795-93FE-4C83D3CDA460}"/>
    <hyperlink ref="P8" r:id="rId6" xr:uid="{C1FB9461-3993-4ACE-8616-DB15CC40BF2F}"/>
  </hyperlinks>
  <pageMargins left="0.2" right="0.2" top="0.5" bottom="0.25" header="0.3" footer="0.3"/>
  <pageSetup paperSize="3" scale="79" orientation="landscape" horizontalDpi="1200" verticalDpi="1200" r:id="rId7"/>
  <rowBreaks count="1" manualBreakCount="1">
    <brk id="110" max="1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C725-75B2-4C6C-8205-3EA47295A77D}">
  <sheetPr>
    <tabColor rgb="FF00B050"/>
    <pageSetUpPr fitToPage="1"/>
  </sheetPr>
  <dimension ref="A1:AE144"/>
  <sheetViews>
    <sheetView zoomScale="90" zoomScaleNormal="90" workbookViewId="0">
      <pane ySplit="10" topLeftCell="A11" activePane="bottomLeft" state="frozen"/>
      <selection pane="bottomLeft" activeCell="I25" sqref="I25"/>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1" width="21.28515625" bestFit="1" customWidth="1"/>
    <col min="22" max="22" width="7.28515625" bestFit="1" customWidth="1"/>
    <col min="27" max="27" width="25.7109375" bestFit="1" customWidth="1"/>
    <col min="31" max="31" width="10" bestFit="1"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4770</v>
      </c>
      <c r="I5" s="838"/>
      <c r="J5" s="837"/>
      <c r="K5" s="838"/>
      <c r="L5" s="837"/>
      <c r="M5" s="838"/>
      <c r="N5" s="837"/>
      <c r="O5" s="838"/>
      <c r="P5" s="841"/>
      <c r="Q5" s="842"/>
      <c r="R5" s="841"/>
      <c r="S5" s="842"/>
    </row>
    <row r="6" spans="1:19">
      <c r="A6" s="1944" t="s">
        <v>2938</v>
      </c>
      <c r="B6" s="1945" t="s">
        <v>169</v>
      </c>
      <c r="C6" s="1946"/>
      <c r="D6" s="1947"/>
      <c r="E6" s="1948"/>
      <c r="F6" s="1946"/>
      <c r="G6" s="657" t="s">
        <v>2939</v>
      </c>
      <c r="H6" s="1949" t="s">
        <v>4771</v>
      </c>
      <c r="I6" s="839"/>
      <c r="J6" s="1949"/>
      <c r="K6" s="839"/>
      <c r="L6" s="1949"/>
      <c r="M6" s="839"/>
      <c r="N6" s="1949"/>
      <c r="O6" s="839"/>
      <c r="P6" s="1950"/>
      <c r="Q6" s="843"/>
      <c r="R6" s="1950"/>
      <c r="S6" s="843"/>
    </row>
    <row r="7" spans="1:19">
      <c r="A7" s="1944" t="s">
        <v>2940</v>
      </c>
      <c r="B7" s="1951" t="s">
        <v>2709</v>
      </c>
      <c r="C7" s="1946"/>
      <c r="D7" s="1947"/>
      <c r="E7" s="1948"/>
      <c r="F7" s="1946"/>
      <c r="G7" s="1952" t="s">
        <v>2941</v>
      </c>
      <c r="H7" s="1953" t="s">
        <v>4772</v>
      </c>
      <c r="I7" s="840"/>
      <c r="J7" s="1953"/>
      <c r="K7" s="840"/>
      <c r="L7" s="1953"/>
      <c r="M7" s="840"/>
      <c r="N7" s="1953"/>
      <c r="O7" s="840"/>
      <c r="P7" s="1954"/>
      <c r="Q7" s="844"/>
      <c r="R7" s="1954"/>
      <c r="S7" s="844"/>
    </row>
    <row r="8" spans="1:19">
      <c r="A8" s="1944" t="s">
        <v>2942</v>
      </c>
      <c r="B8" s="1955"/>
      <c r="C8" s="1946"/>
      <c r="D8" s="1947"/>
      <c r="E8" s="1948"/>
      <c r="F8" s="1946"/>
      <c r="G8" s="1952" t="s">
        <v>2943</v>
      </c>
      <c r="H8" s="1956" t="s">
        <v>4773</v>
      </c>
      <c r="I8" s="836"/>
      <c r="J8" s="1956"/>
      <c r="K8" s="836"/>
      <c r="L8" s="1956"/>
      <c r="M8" s="836"/>
      <c r="N8" s="1956"/>
      <c r="O8" s="836"/>
      <c r="P8" s="1957"/>
      <c r="Q8" s="845"/>
      <c r="R8" s="1957"/>
      <c r="S8" s="845"/>
    </row>
    <row r="9" spans="1:19" ht="15.75" thickBot="1">
      <c r="A9" s="1958"/>
      <c r="B9" s="1959"/>
      <c r="C9" s="616"/>
      <c r="D9" s="621"/>
      <c r="E9" s="622"/>
      <c r="F9" s="1960"/>
      <c r="G9" s="1961" t="s">
        <v>2944</v>
      </c>
      <c r="H9" s="1962">
        <f>I$55</f>
        <v>343200</v>
      </c>
      <c r="I9" s="1963"/>
      <c r="J9" s="1962">
        <f>K$55</f>
        <v>0</v>
      </c>
      <c r="K9" s="1963"/>
      <c r="L9" s="1964">
        <f t="shared" ref="L9" si="0">M$55</f>
        <v>0</v>
      </c>
      <c r="M9" s="1965"/>
      <c r="N9" s="1964">
        <f t="shared" ref="N9" si="1">O$55</f>
        <v>0</v>
      </c>
      <c r="O9" s="1965"/>
      <c r="P9" s="1964">
        <f t="shared" ref="P9" si="2">Q$55</f>
        <v>0</v>
      </c>
      <c r="Q9" s="1965"/>
      <c r="R9" s="1964">
        <f t="shared" ref="R9" si="3">S$55</f>
        <v>0</v>
      </c>
      <c r="S9" s="1965"/>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1786"/>
      <c r="B11" s="1618" t="s">
        <v>2953</v>
      </c>
      <c r="C11" s="659"/>
      <c r="D11" s="1947"/>
      <c r="E11" s="1948"/>
      <c r="F11" s="1946"/>
      <c r="G11" s="660"/>
      <c r="H11" s="1966"/>
      <c r="I11" s="1619"/>
      <c r="J11" s="1966"/>
      <c r="K11" s="1619"/>
      <c r="L11" s="1966"/>
      <c r="M11" s="182"/>
      <c r="N11" s="1966"/>
      <c r="O11" s="1620"/>
      <c r="P11" s="1966"/>
      <c r="Q11" s="1620"/>
      <c r="R11" s="1966"/>
      <c r="S11" s="1620"/>
    </row>
    <row r="12" spans="1:19">
      <c r="A12" s="1787"/>
      <c r="B12" s="1622" t="s">
        <v>2954</v>
      </c>
      <c r="C12" s="1946"/>
      <c r="D12" s="1947"/>
      <c r="E12" s="1948"/>
      <c r="F12" s="1946"/>
      <c r="G12" s="660"/>
      <c r="H12" s="1966"/>
      <c r="I12" s="1619"/>
      <c r="J12" s="1966"/>
      <c r="K12" s="1619"/>
      <c r="L12" s="1966"/>
      <c r="M12" s="1620"/>
      <c r="N12" s="1966"/>
      <c r="O12" s="1620"/>
      <c r="P12" s="1966"/>
      <c r="Q12" s="1620"/>
      <c r="R12" s="1966"/>
      <c r="S12" s="1620"/>
    </row>
    <row r="13" spans="1:19">
      <c r="A13" s="1967"/>
      <c r="B13" s="1788" t="s">
        <v>2955</v>
      </c>
      <c r="C13" s="1946"/>
      <c r="D13" s="1947"/>
      <c r="E13" s="1948"/>
      <c r="F13" s="1946"/>
      <c r="G13" s="660"/>
      <c r="H13" s="1966"/>
      <c r="I13" s="1619"/>
      <c r="J13" s="1966"/>
      <c r="K13" s="1619"/>
      <c r="L13" s="1966"/>
      <c r="M13" s="1620"/>
      <c r="N13" s="1966"/>
      <c r="O13" s="1620"/>
      <c r="P13" s="1966"/>
      <c r="Q13" s="1620"/>
      <c r="R13" s="1966"/>
      <c r="S13" s="1620"/>
    </row>
    <row r="14" spans="1:19">
      <c r="A14" s="1967"/>
      <c r="B14" s="1789" t="s">
        <v>2956</v>
      </c>
      <c r="C14" s="1946"/>
      <c r="D14" s="1947"/>
      <c r="E14" s="1948"/>
      <c r="F14" s="1946"/>
      <c r="G14" s="660"/>
      <c r="H14" s="1966"/>
      <c r="I14" s="1619"/>
      <c r="J14" s="1966"/>
      <c r="K14" s="1619"/>
      <c r="L14" s="1966"/>
      <c r="M14" s="1620"/>
      <c r="N14" s="1966"/>
      <c r="O14" s="1620"/>
      <c r="P14" s="1966"/>
      <c r="Q14" s="1620"/>
      <c r="R14" s="1966"/>
      <c r="S14" s="1620"/>
    </row>
    <row r="15" spans="1:19">
      <c r="A15" s="1967"/>
      <c r="B15" s="1789" t="s">
        <v>2957</v>
      </c>
      <c r="C15" s="1946"/>
      <c r="D15" s="1947"/>
      <c r="E15" s="1948"/>
      <c r="F15" s="1946"/>
      <c r="G15" s="660"/>
      <c r="H15" s="1966"/>
      <c r="I15" s="1619"/>
      <c r="J15" s="1966"/>
      <c r="K15" s="1619"/>
      <c r="L15" s="1966"/>
      <c r="M15" s="1619"/>
      <c r="N15" s="1966"/>
      <c r="O15" s="1619"/>
      <c r="P15" s="1966"/>
      <c r="Q15" s="1619"/>
      <c r="R15" s="1966"/>
      <c r="S15" s="1619"/>
    </row>
    <row r="16" spans="1:19">
      <c r="A16" s="1967"/>
      <c r="B16" s="1789" t="s">
        <v>2958</v>
      </c>
      <c r="C16" s="1946"/>
      <c r="D16" s="1947"/>
      <c r="E16" s="1948"/>
      <c r="F16" s="1946"/>
      <c r="G16" s="660"/>
      <c r="H16" s="1966"/>
      <c r="I16" s="1619"/>
      <c r="J16" s="1966"/>
      <c r="K16" s="1619"/>
      <c r="L16" s="1966"/>
      <c r="M16" s="1620"/>
      <c r="N16" s="1966"/>
      <c r="O16" s="1620"/>
      <c r="P16" s="1966"/>
      <c r="Q16" s="1620"/>
      <c r="R16" s="1966"/>
      <c r="S16" s="1620"/>
    </row>
    <row r="17" spans="1:31">
      <c r="A17" s="1967"/>
      <c r="B17" s="1789" t="s">
        <v>2959</v>
      </c>
      <c r="C17" s="1946"/>
      <c r="D17" s="1947"/>
      <c r="E17" s="1948"/>
      <c r="F17" s="1946"/>
      <c r="G17" s="660"/>
      <c r="H17" s="1966"/>
      <c r="I17" s="1619"/>
      <c r="J17" s="1966"/>
      <c r="K17" s="1619"/>
      <c r="L17" s="1966"/>
      <c r="M17" s="1620"/>
      <c r="N17" s="1966"/>
      <c r="O17" s="1620"/>
      <c r="P17" s="1966"/>
      <c r="Q17" s="1620"/>
      <c r="R17" s="1966"/>
      <c r="S17" s="1620"/>
    </row>
    <row r="18" spans="1:31">
      <c r="A18" s="1967"/>
      <c r="B18" s="1790" t="s">
        <v>2960</v>
      </c>
      <c r="C18" s="1946"/>
      <c r="D18" s="1947"/>
      <c r="E18" s="1948"/>
      <c r="F18" s="1946"/>
      <c r="G18" s="660"/>
      <c r="H18" s="1966"/>
      <c r="I18" s="1619"/>
      <c r="J18" s="1966"/>
      <c r="K18" s="1619"/>
      <c r="L18" s="1966"/>
      <c r="M18" s="1620"/>
      <c r="N18" s="1966"/>
      <c r="O18" s="1620"/>
      <c r="P18" s="1966"/>
      <c r="Q18" s="1620"/>
      <c r="R18" s="1966"/>
      <c r="S18" s="1620"/>
    </row>
    <row r="19" spans="1:31">
      <c r="A19" s="1967"/>
      <c r="B19" s="1791" t="s">
        <v>2961</v>
      </c>
      <c r="C19" s="1968"/>
      <c r="D19" s="1969"/>
      <c r="E19" s="1970"/>
      <c r="F19" s="1971"/>
      <c r="G19" s="661"/>
      <c r="H19" s="1972"/>
      <c r="I19" s="1629"/>
      <c r="J19" s="1972"/>
      <c r="K19" s="1629"/>
      <c r="L19" s="1972"/>
      <c r="M19" s="1630"/>
      <c r="N19" s="1972"/>
      <c r="O19" s="1630"/>
      <c r="P19" s="1972"/>
      <c r="Q19" s="1630"/>
      <c r="R19" s="1972"/>
      <c r="S19" s="1630"/>
    </row>
    <row r="20" spans="1:31">
      <c r="A20" s="1967"/>
      <c r="B20" s="1796"/>
      <c r="C20" s="1946"/>
      <c r="D20" s="1947"/>
      <c r="E20" s="1948"/>
      <c r="F20" s="1973"/>
      <c r="G20" s="660"/>
      <c r="H20" s="1966"/>
      <c r="I20" s="1633"/>
      <c r="J20" s="1966"/>
      <c r="K20" s="1634"/>
      <c r="L20" s="1966"/>
      <c r="M20" s="1633"/>
      <c r="N20" s="1966"/>
      <c r="O20" s="1633"/>
      <c r="P20" s="1966"/>
      <c r="Q20" s="1633"/>
      <c r="R20" s="1966"/>
      <c r="S20" s="1633"/>
    </row>
    <row r="21" spans="1:31">
      <c r="A21" s="1974"/>
      <c r="B21" s="1975" t="s">
        <v>2695</v>
      </c>
      <c r="C21" s="1946"/>
      <c r="D21" s="1947"/>
      <c r="E21" s="1948"/>
      <c r="F21" s="1973"/>
      <c r="G21" s="662"/>
      <c r="H21" s="1966"/>
      <c r="I21" s="1729">
        <f>SUBTOTAL(9,I22:I49)</f>
        <v>343200</v>
      </c>
      <c r="J21" s="1966"/>
      <c r="K21" s="1729">
        <f>SUBTOTAL(9,K22:K49)</f>
        <v>0</v>
      </c>
      <c r="L21" s="1966"/>
      <c r="M21" s="1729">
        <f>SUBTOTAL(9,M22:M49)</f>
        <v>0</v>
      </c>
      <c r="N21" s="1966"/>
      <c r="O21" s="1729">
        <f>SUBTOTAL(9,O22:O49)</f>
        <v>0</v>
      </c>
      <c r="P21" s="1966"/>
      <c r="Q21" s="1729">
        <f>SUBTOTAL(9,Q22:Q49)</f>
        <v>0</v>
      </c>
      <c r="R21" s="1966"/>
      <c r="S21" s="1729">
        <f>SUBTOTAL(9,S22:S49)</f>
        <v>0</v>
      </c>
    </row>
    <row r="22" spans="1:31">
      <c r="A22" s="1967"/>
      <c r="B22" s="1796" t="s">
        <v>4774</v>
      </c>
      <c r="C22" s="1946"/>
      <c r="D22" s="1947"/>
      <c r="E22" s="1948"/>
      <c r="F22" s="1973"/>
      <c r="G22" s="660"/>
      <c r="H22" s="1966"/>
      <c r="I22" s="1633">
        <f>343200-35000</f>
        <v>308200</v>
      </c>
      <c r="J22" s="1966"/>
      <c r="K22" s="1634"/>
      <c r="L22" s="1966"/>
      <c r="M22" s="1633"/>
      <c r="N22" s="1966"/>
      <c r="O22" s="1633"/>
      <c r="P22" s="1966"/>
      <c r="Q22" s="1633"/>
      <c r="R22" s="1966"/>
      <c r="S22" s="1633"/>
    </row>
    <row r="23" spans="1:31">
      <c r="A23" s="1967"/>
      <c r="B23" s="1800" t="s">
        <v>4775</v>
      </c>
      <c r="C23" s="1946"/>
      <c r="D23" s="1947">
        <v>5578</v>
      </c>
      <c r="E23" s="1948" t="s">
        <v>2845</v>
      </c>
      <c r="F23" s="1973"/>
      <c r="G23" s="662">
        <f t="shared" ref="G23:G49" si="4">ROUND(D23*F23,0)</f>
        <v>0</v>
      </c>
      <c r="H23" s="1966" t="s">
        <v>2931</v>
      </c>
      <c r="I23" s="1634"/>
      <c r="J23" s="1966"/>
      <c r="K23" s="1634"/>
      <c r="L23" s="1966"/>
      <c r="M23" s="1633"/>
      <c r="N23" s="1966"/>
      <c r="O23" s="1633"/>
      <c r="P23" s="1966"/>
      <c r="Q23" s="1633"/>
      <c r="R23" s="1966"/>
      <c r="S23" s="1633"/>
      <c r="U23" t="s">
        <v>3347</v>
      </c>
      <c r="V23" t="s">
        <v>3111</v>
      </c>
      <c r="W23">
        <v>133</v>
      </c>
      <c r="X23" t="s">
        <v>48</v>
      </c>
      <c r="Y23">
        <v>0</v>
      </c>
      <c r="Z23" t="s">
        <v>2795</v>
      </c>
      <c r="AA23" t="s">
        <v>3479</v>
      </c>
      <c r="AB23">
        <v>2</v>
      </c>
      <c r="AC23">
        <v>17</v>
      </c>
      <c r="AD23" s="300">
        <v>16.399999999999999</v>
      </c>
      <c r="AE23" s="493">
        <f>AB23*AC23*AD23</f>
        <v>557.59999999999991</v>
      </c>
    </row>
    <row r="24" spans="1:31">
      <c r="A24" s="1967"/>
      <c r="B24" s="1800" t="s">
        <v>4776</v>
      </c>
      <c r="C24" s="1946"/>
      <c r="D24" s="1947">
        <f>1.67*2*9800</f>
        <v>32732</v>
      </c>
      <c r="E24" s="1948" t="s">
        <v>2845</v>
      </c>
      <c r="F24" s="1973"/>
      <c r="G24" s="662">
        <f t="shared" ref="G24" si="5">ROUND(D24*F24,0)</f>
        <v>0</v>
      </c>
      <c r="H24" s="1966" t="s">
        <v>2931</v>
      </c>
      <c r="I24" s="1634"/>
      <c r="J24" s="1966"/>
      <c r="K24" s="1634"/>
      <c r="L24" s="1966"/>
      <c r="M24" s="1633"/>
      <c r="N24" s="1966"/>
      <c r="O24" s="1633"/>
      <c r="P24" s="1966"/>
      <c r="Q24" s="1633"/>
      <c r="R24" s="1966"/>
      <c r="S24" s="1633"/>
      <c r="U24" t="s">
        <v>3348</v>
      </c>
      <c r="V24" t="s">
        <v>3111</v>
      </c>
      <c r="W24">
        <v>91</v>
      </c>
      <c r="X24" t="s">
        <v>48</v>
      </c>
      <c r="Y24">
        <v>0</v>
      </c>
      <c r="Z24" t="s">
        <v>2795</v>
      </c>
      <c r="AA24" t="s">
        <v>3485</v>
      </c>
      <c r="AB24">
        <v>2</v>
      </c>
      <c r="AC24">
        <v>17</v>
      </c>
      <c r="AD24" s="300">
        <v>21</v>
      </c>
      <c r="AE24" s="493">
        <f t="shared" ref="AE24:AE25" si="6">AB24*AC24*AD24</f>
        <v>714</v>
      </c>
    </row>
    <row r="25" spans="1:31">
      <c r="A25" s="1967"/>
      <c r="B25" s="1884" t="s">
        <v>4777</v>
      </c>
      <c r="C25" s="1946"/>
      <c r="D25" s="1947">
        <v>1907</v>
      </c>
      <c r="E25" s="1948" t="s">
        <v>2845</v>
      </c>
      <c r="F25" s="1973"/>
      <c r="G25" s="662">
        <f t="shared" si="4"/>
        <v>0</v>
      </c>
      <c r="H25" s="1966"/>
      <c r="I25" s="1634">
        <v>35000</v>
      </c>
      <c r="J25" s="1966"/>
      <c r="K25" s="1634"/>
      <c r="L25" s="1966"/>
      <c r="M25" s="1633"/>
      <c r="N25" s="1966"/>
      <c r="O25" s="1633"/>
      <c r="P25" s="1966"/>
      <c r="Q25" s="1633"/>
      <c r="R25" s="1966"/>
      <c r="S25" s="1633"/>
      <c r="U25" t="s">
        <v>3349</v>
      </c>
      <c r="V25" t="s">
        <v>3350</v>
      </c>
      <c r="W25">
        <v>73</v>
      </c>
      <c r="X25" t="s">
        <v>48</v>
      </c>
      <c r="Y25">
        <v>0</v>
      </c>
      <c r="Z25" t="s">
        <v>2795</v>
      </c>
      <c r="AA25" t="s">
        <v>3487</v>
      </c>
      <c r="AB25">
        <v>2</v>
      </c>
      <c r="AC25">
        <v>17</v>
      </c>
      <c r="AD25" s="300">
        <v>18.7</v>
      </c>
      <c r="AE25" s="493">
        <f t="shared" si="6"/>
        <v>635.79999999999995</v>
      </c>
    </row>
    <row r="26" spans="1:31">
      <c r="A26" s="1967"/>
      <c r="B26" s="1796"/>
      <c r="C26" s="1946"/>
      <c r="D26" s="1947"/>
      <c r="E26" s="1948"/>
      <c r="F26" s="1973"/>
      <c r="G26" s="662">
        <f t="shared" si="4"/>
        <v>0</v>
      </c>
      <c r="H26" s="1966"/>
      <c r="I26" s="1634"/>
      <c r="J26" s="1966"/>
      <c r="K26" s="1634"/>
      <c r="L26" s="1966"/>
      <c r="M26" s="1633"/>
      <c r="N26" s="1966"/>
      <c r="O26" s="1633"/>
      <c r="P26" s="1966"/>
      <c r="Q26" s="1633"/>
      <c r="R26" s="1966"/>
      <c r="S26" s="1633"/>
      <c r="U26" t="s">
        <v>3351</v>
      </c>
      <c r="V26" t="s">
        <v>3350</v>
      </c>
      <c r="W26">
        <v>16</v>
      </c>
      <c r="X26" t="s">
        <v>3041</v>
      </c>
      <c r="Y26">
        <v>213.33</v>
      </c>
      <c r="Z26" t="s">
        <v>48</v>
      </c>
      <c r="AE26" s="493">
        <f>SUM(AE23:AE25)</f>
        <v>1907.3999999999999</v>
      </c>
    </row>
    <row r="27" spans="1:31">
      <c r="A27" s="1967"/>
      <c r="B27" s="1796"/>
      <c r="C27" s="1946"/>
      <c r="D27" s="1947"/>
      <c r="E27" s="1948"/>
      <c r="F27" s="1973"/>
      <c r="G27" s="662">
        <f t="shared" si="4"/>
        <v>0</v>
      </c>
      <c r="H27" s="1966"/>
      <c r="I27" s="1634"/>
      <c r="J27" s="1966"/>
      <c r="K27" s="1634"/>
      <c r="L27" s="1966"/>
      <c r="M27" s="1633"/>
      <c r="N27" s="1966"/>
      <c r="O27" s="1633"/>
      <c r="P27" s="1966"/>
      <c r="Q27" s="1633"/>
      <c r="R27" s="1966"/>
      <c r="S27" s="1633"/>
      <c r="U27" t="s">
        <v>3352</v>
      </c>
      <c r="V27" t="s">
        <v>3111</v>
      </c>
      <c r="W27">
        <v>81</v>
      </c>
      <c r="X27" t="s">
        <v>48</v>
      </c>
      <c r="Y27">
        <v>0</v>
      </c>
      <c r="Z27" t="s">
        <v>2795</v>
      </c>
      <c r="AA27" t="s">
        <v>2795</v>
      </c>
    </row>
    <row r="28" spans="1:31">
      <c r="A28" s="1967"/>
      <c r="B28" s="1796"/>
      <c r="C28" s="1946"/>
      <c r="D28" s="1947"/>
      <c r="E28" s="1948"/>
      <c r="F28" s="1973"/>
      <c r="G28" s="662">
        <f t="shared" si="4"/>
        <v>0</v>
      </c>
      <c r="H28" s="1966"/>
      <c r="I28" s="1634"/>
      <c r="J28" s="1966"/>
      <c r="K28" s="1634"/>
      <c r="L28" s="1966"/>
      <c r="M28" s="1633"/>
      <c r="N28" s="1966"/>
      <c r="O28" s="1633"/>
      <c r="P28" s="1966"/>
      <c r="Q28" s="1633"/>
      <c r="R28" s="1966"/>
      <c r="S28" s="1633"/>
      <c r="U28" t="s">
        <v>3353</v>
      </c>
      <c r="V28" t="s">
        <v>3111</v>
      </c>
      <c r="W28">
        <v>312</v>
      </c>
      <c r="X28" t="s">
        <v>48</v>
      </c>
      <c r="Y28">
        <v>0</v>
      </c>
      <c r="Z28" t="s">
        <v>2795</v>
      </c>
      <c r="AA28" t="s">
        <v>2795</v>
      </c>
    </row>
    <row r="29" spans="1:31">
      <c r="A29" s="1967"/>
      <c r="B29" s="1796"/>
      <c r="C29" s="1946"/>
      <c r="D29" s="1947"/>
      <c r="E29" s="1948"/>
      <c r="F29" s="1973"/>
      <c r="G29" s="662">
        <f t="shared" si="4"/>
        <v>0</v>
      </c>
      <c r="H29" s="1966"/>
      <c r="I29" s="1634"/>
      <c r="J29" s="1966"/>
      <c r="K29" s="1634"/>
      <c r="L29" s="1966"/>
      <c r="M29" s="1633"/>
      <c r="N29" s="1966"/>
      <c r="O29" s="1633"/>
      <c r="P29" s="1966"/>
      <c r="Q29" s="1633"/>
      <c r="R29" s="1966"/>
      <c r="S29" s="1633"/>
      <c r="U29" t="s">
        <v>3354</v>
      </c>
      <c r="V29" t="s">
        <v>3111</v>
      </c>
      <c r="W29">
        <v>376</v>
      </c>
      <c r="X29" t="s">
        <v>48</v>
      </c>
      <c r="Y29">
        <v>0</v>
      </c>
      <c r="Z29" t="s">
        <v>2795</v>
      </c>
      <c r="AA29" t="s">
        <v>2795</v>
      </c>
    </row>
    <row r="30" spans="1:31">
      <c r="A30" s="1967"/>
      <c r="B30" s="1796"/>
      <c r="C30" s="1946"/>
      <c r="D30" s="1947"/>
      <c r="E30" s="1948"/>
      <c r="F30" s="1973"/>
      <c r="G30" s="662">
        <f t="shared" si="4"/>
        <v>0</v>
      </c>
      <c r="H30" s="1966"/>
      <c r="I30" s="1634"/>
      <c r="J30" s="1966"/>
      <c r="K30" s="1634"/>
      <c r="L30" s="1966"/>
      <c r="M30" s="1633"/>
      <c r="N30" s="1966"/>
      <c r="O30" s="1633"/>
      <c r="P30" s="1966"/>
      <c r="Q30" s="1633"/>
      <c r="R30" s="1966"/>
      <c r="S30" s="1633"/>
      <c r="U30" t="s">
        <v>3355</v>
      </c>
      <c r="V30" t="s">
        <v>3111</v>
      </c>
      <c r="W30">
        <v>379</v>
      </c>
      <c r="X30" t="s">
        <v>48</v>
      </c>
      <c r="Y30">
        <v>0</v>
      </c>
      <c r="Z30" t="s">
        <v>2795</v>
      </c>
      <c r="AA30" t="s">
        <v>2795</v>
      </c>
    </row>
    <row r="31" spans="1:31">
      <c r="A31" s="1967"/>
      <c r="B31" s="1796"/>
      <c r="C31" s="1946"/>
      <c r="D31" s="1947"/>
      <c r="E31" s="1948"/>
      <c r="F31" s="1973"/>
      <c r="G31" s="662">
        <f>ROUND(D31*F31,0)</f>
        <v>0</v>
      </c>
      <c r="H31" s="1966"/>
      <c r="I31" s="1634"/>
      <c r="J31" s="1966"/>
      <c r="K31" s="1634"/>
      <c r="L31" s="1966"/>
      <c r="M31" s="1633"/>
      <c r="N31" s="1966"/>
      <c r="O31" s="1633"/>
      <c r="P31" s="1966"/>
      <c r="Q31" s="1633"/>
      <c r="R31" s="1966"/>
      <c r="S31" s="1633"/>
      <c r="U31" t="s">
        <v>3356</v>
      </c>
      <c r="V31" t="s">
        <v>3111</v>
      </c>
      <c r="W31">
        <v>109</v>
      </c>
      <c r="X31" t="s">
        <v>48</v>
      </c>
      <c r="Y31">
        <v>0</v>
      </c>
      <c r="Z31" t="s">
        <v>2795</v>
      </c>
      <c r="AA31" t="s">
        <v>2795</v>
      </c>
    </row>
    <row r="32" spans="1:31">
      <c r="A32" s="1967"/>
      <c r="B32" s="1796"/>
      <c r="C32" s="1946"/>
      <c r="D32" s="1947"/>
      <c r="E32" s="1948"/>
      <c r="F32" s="1973"/>
      <c r="G32" s="662">
        <f t="shared" si="4"/>
        <v>0</v>
      </c>
      <c r="H32" s="1966"/>
      <c r="I32" s="1634"/>
      <c r="J32" s="1966"/>
      <c r="K32" s="1634"/>
      <c r="L32" s="1966"/>
      <c r="M32" s="1633"/>
      <c r="N32" s="1966"/>
      <c r="O32" s="1633"/>
      <c r="P32" s="1966"/>
      <c r="Q32" s="1633"/>
      <c r="R32" s="1966"/>
      <c r="S32" s="1633"/>
      <c r="U32" t="s">
        <v>3357</v>
      </c>
      <c r="V32" t="s">
        <v>3358</v>
      </c>
      <c r="W32">
        <v>504</v>
      </c>
      <c r="X32" t="s">
        <v>48</v>
      </c>
      <c r="Y32">
        <v>0</v>
      </c>
      <c r="Z32" t="s">
        <v>2795</v>
      </c>
      <c r="AA32" t="s">
        <v>2795</v>
      </c>
    </row>
    <row r="33" spans="1:27">
      <c r="A33" s="1967"/>
      <c r="B33" s="1796"/>
      <c r="C33" s="1946"/>
      <c r="D33" s="1947"/>
      <c r="E33" s="1948"/>
      <c r="F33" s="1973"/>
      <c r="G33" s="662">
        <f t="shared" si="4"/>
        <v>0</v>
      </c>
      <c r="H33" s="1966"/>
      <c r="I33" s="1634"/>
      <c r="J33" s="1966"/>
      <c r="K33" s="1634"/>
      <c r="L33" s="1966"/>
      <c r="M33" s="1633"/>
      <c r="N33" s="1966"/>
      <c r="O33" s="1633"/>
      <c r="P33" s="1966"/>
      <c r="Q33" s="1633"/>
      <c r="R33" s="1966"/>
      <c r="S33" s="1633"/>
      <c r="U33" t="s">
        <v>3359</v>
      </c>
      <c r="V33" t="s">
        <v>3358</v>
      </c>
      <c r="W33">
        <v>705</v>
      </c>
      <c r="X33" t="s">
        <v>48</v>
      </c>
      <c r="Y33">
        <v>0</v>
      </c>
      <c r="Z33" t="s">
        <v>2795</v>
      </c>
      <c r="AA33" t="s">
        <v>2795</v>
      </c>
    </row>
    <row r="34" spans="1:27">
      <c r="A34" s="1967"/>
      <c r="B34" s="1796"/>
      <c r="C34" s="1946"/>
      <c r="D34" s="1947"/>
      <c r="E34" s="1948"/>
      <c r="F34" s="1973"/>
      <c r="G34" s="662">
        <f t="shared" si="4"/>
        <v>0</v>
      </c>
      <c r="H34" s="1966"/>
      <c r="I34" s="1634"/>
      <c r="J34" s="1966"/>
      <c r="K34" s="1634"/>
      <c r="L34" s="1966"/>
      <c r="M34" s="1633"/>
      <c r="N34" s="1966"/>
      <c r="O34" s="1633"/>
      <c r="P34" s="1966"/>
      <c r="Q34" s="1633"/>
      <c r="R34" s="1966"/>
      <c r="S34" s="1633"/>
      <c r="U34" t="s">
        <v>3360</v>
      </c>
      <c r="V34" t="s">
        <v>3358</v>
      </c>
      <c r="W34">
        <v>23</v>
      </c>
      <c r="X34" t="s">
        <v>3041</v>
      </c>
      <c r="Y34" s="378">
        <v>1144.25</v>
      </c>
      <c r="Z34" t="s">
        <v>48</v>
      </c>
      <c r="AA34" t="s">
        <v>2795</v>
      </c>
    </row>
    <row r="35" spans="1:27">
      <c r="A35" s="1967"/>
      <c r="B35" s="1796"/>
      <c r="C35" s="1946"/>
      <c r="D35" s="1947"/>
      <c r="E35" s="1948"/>
      <c r="F35" s="1973"/>
      <c r="G35" s="662">
        <f t="shared" si="4"/>
        <v>0</v>
      </c>
      <c r="H35" s="1966"/>
      <c r="I35" s="1634"/>
      <c r="J35" s="1966"/>
      <c r="K35" s="1634"/>
      <c r="L35" s="1966"/>
      <c r="M35" s="1633"/>
      <c r="N35" s="1966"/>
      <c r="O35" s="1633"/>
      <c r="P35" s="1966"/>
      <c r="Q35" s="1633"/>
      <c r="R35" s="1966"/>
      <c r="S35" s="1633"/>
      <c r="U35" t="s">
        <v>3391</v>
      </c>
      <c r="V35" t="s">
        <v>3395</v>
      </c>
      <c r="W35">
        <v>151</v>
      </c>
      <c r="X35" t="s">
        <v>48</v>
      </c>
      <c r="Y35">
        <v>0</v>
      </c>
      <c r="Z35" t="s">
        <v>2795</v>
      </c>
      <c r="AA35" t="s">
        <v>2795</v>
      </c>
    </row>
    <row r="36" spans="1:27">
      <c r="A36" s="1967"/>
      <c r="B36" s="1796"/>
      <c r="C36" s="1946"/>
      <c r="D36" s="1947"/>
      <c r="E36" s="1948"/>
      <c r="F36" s="1973"/>
      <c r="G36" s="662">
        <f t="shared" si="4"/>
        <v>0</v>
      </c>
      <c r="H36" s="1966"/>
      <c r="I36" s="1634"/>
      <c r="J36" s="1966"/>
      <c r="K36" s="1634"/>
      <c r="L36" s="1966"/>
      <c r="M36" s="1633"/>
      <c r="N36" s="1966"/>
      <c r="O36" s="1633"/>
      <c r="P36" s="1966"/>
      <c r="Q36" s="1633"/>
      <c r="R36" s="1966"/>
      <c r="S36" s="1633"/>
      <c r="U36" t="s">
        <v>4778</v>
      </c>
      <c r="V36" t="s">
        <v>3395</v>
      </c>
      <c r="W36">
        <v>64</v>
      </c>
      <c r="X36" t="s">
        <v>48</v>
      </c>
      <c r="Y36">
        <v>0</v>
      </c>
      <c r="Z36" t="s">
        <v>2795</v>
      </c>
      <c r="AA36" t="s">
        <v>2795</v>
      </c>
    </row>
    <row r="37" spans="1:27">
      <c r="A37" s="1967"/>
      <c r="B37" s="1796"/>
      <c r="C37" s="1946"/>
      <c r="D37" s="1947"/>
      <c r="E37" s="1948"/>
      <c r="F37" s="1973"/>
      <c r="G37" s="662">
        <f t="shared" si="4"/>
        <v>0</v>
      </c>
      <c r="H37" s="1966"/>
      <c r="I37" s="1634"/>
      <c r="J37" s="1966"/>
      <c r="K37" s="1634"/>
      <c r="L37" s="1966"/>
      <c r="M37" s="1633"/>
      <c r="N37" s="1966"/>
      <c r="O37" s="1633"/>
      <c r="P37" s="1966"/>
      <c r="Q37" s="1633"/>
      <c r="R37" s="1966"/>
      <c r="S37" s="1633"/>
      <c r="U37" t="s">
        <v>4779</v>
      </c>
      <c r="V37" t="s">
        <v>3395</v>
      </c>
      <c r="W37">
        <v>526</v>
      </c>
      <c r="X37" t="s">
        <v>48</v>
      </c>
      <c r="Y37">
        <v>0</v>
      </c>
      <c r="Z37" t="s">
        <v>2795</v>
      </c>
      <c r="AA37" t="s">
        <v>2795</v>
      </c>
    </row>
    <row r="38" spans="1:27">
      <c r="A38" s="1967"/>
      <c r="B38" s="1796"/>
      <c r="C38" s="1946"/>
      <c r="D38" s="1947"/>
      <c r="E38" s="1948"/>
      <c r="F38" s="1973"/>
      <c r="G38" s="662">
        <f t="shared" si="4"/>
        <v>0</v>
      </c>
      <c r="H38" s="1966"/>
      <c r="I38" s="1634"/>
      <c r="J38" s="1966"/>
      <c r="K38" s="1634"/>
      <c r="L38" s="1966"/>
      <c r="M38" s="1633"/>
      <c r="N38" s="1966"/>
      <c r="O38" s="1633"/>
      <c r="P38" s="1966"/>
      <c r="Q38" s="1633"/>
      <c r="R38" s="1966"/>
      <c r="S38" s="1633"/>
      <c r="U38" t="s">
        <v>4780</v>
      </c>
      <c r="V38" t="s">
        <v>3395</v>
      </c>
      <c r="W38">
        <v>199</v>
      </c>
      <c r="X38" t="s">
        <v>48</v>
      </c>
      <c r="Y38">
        <v>0</v>
      </c>
      <c r="Z38" t="s">
        <v>2795</v>
      </c>
      <c r="AA38" t="s">
        <v>2795</v>
      </c>
    </row>
    <row r="39" spans="1:27">
      <c r="A39" s="1967"/>
      <c r="B39" s="1796"/>
      <c r="C39" s="1946"/>
      <c r="D39" s="1947"/>
      <c r="E39" s="1948"/>
      <c r="F39" s="1973"/>
      <c r="G39" s="662">
        <f t="shared" si="4"/>
        <v>0</v>
      </c>
      <c r="H39" s="1966"/>
      <c r="I39" s="1634"/>
      <c r="J39" s="1966"/>
      <c r="K39" s="1634"/>
      <c r="L39" s="1966"/>
      <c r="M39" s="1633"/>
      <c r="N39" s="1966"/>
      <c r="O39" s="1633"/>
      <c r="P39" s="1966"/>
      <c r="Q39" s="1633"/>
      <c r="R39" s="1966"/>
      <c r="S39" s="1633"/>
      <c r="U39" t="s">
        <v>4781</v>
      </c>
      <c r="V39" t="s">
        <v>3395</v>
      </c>
      <c r="W39">
        <v>276</v>
      </c>
      <c r="X39" t="s">
        <v>48</v>
      </c>
      <c r="Y39">
        <v>0</v>
      </c>
      <c r="Z39" t="s">
        <v>2795</v>
      </c>
      <c r="AA39" t="s">
        <v>2795</v>
      </c>
    </row>
    <row r="40" spans="1:27">
      <c r="A40" s="1967"/>
      <c r="B40" s="1796"/>
      <c r="C40" s="1946"/>
      <c r="D40" s="1947"/>
      <c r="E40" s="1948"/>
      <c r="F40" s="1973"/>
      <c r="G40" s="662">
        <f t="shared" si="4"/>
        <v>0</v>
      </c>
      <c r="H40" s="1966"/>
      <c r="I40" s="1634"/>
      <c r="J40" s="1966"/>
      <c r="K40" s="1634"/>
      <c r="L40" s="1966"/>
      <c r="M40" s="1633"/>
      <c r="N40" s="1966"/>
      <c r="O40" s="1633"/>
      <c r="P40" s="1966"/>
      <c r="Q40" s="1633"/>
      <c r="R40" s="1966"/>
      <c r="S40" s="1633"/>
      <c r="U40" t="s">
        <v>3393</v>
      </c>
      <c r="V40" t="s">
        <v>3395</v>
      </c>
      <c r="W40">
        <v>177</v>
      </c>
      <c r="X40" t="s">
        <v>48</v>
      </c>
      <c r="Y40">
        <v>0</v>
      </c>
      <c r="Z40" t="s">
        <v>2795</v>
      </c>
      <c r="AA40" t="s">
        <v>2795</v>
      </c>
    </row>
    <row r="41" spans="1:27">
      <c r="A41" s="1967"/>
      <c r="B41" s="1796"/>
      <c r="C41" s="1946"/>
      <c r="D41" s="1947"/>
      <c r="E41" s="1948"/>
      <c r="F41" s="1973"/>
      <c r="G41" s="662">
        <f t="shared" si="4"/>
        <v>0</v>
      </c>
      <c r="H41" s="1966"/>
      <c r="I41" s="1634"/>
      <c r="J41" s="1966"/>
      <c r="K41" s="1634"/>
      <c r="L41" s="1966"/>
      <c r="M41" s="1633"/>
      <c r="N41" s="1966"/>
      <c r="O41" s="1633"/>
      <c r="P41" s="1966"/>
      <c r="Q41" s="1633"/>
      <c r="R41" s="1966"/>
      <c r="S41" s="1633"/>
      <c r="U41" t="s">
        <v>3394</v>
      </c>
      <c r="V41" t="s">
        <v>3395</v>
      </c>
      <c r="W41">
        <v>16</v>
      </c>
      <c r="X41" t="s">
        <v>3041</v>
      </c>
      <c r="Y41">
        <v>166.67</v>
      </c>
      <c r="Z41" t="s">
        <v>48</v>
      </c>
      <c r="AA41" t="s">
        <v>2795</v>
      </c>
    </row>
    <row r="42" spans="1:27">
      <c r="A42" s="1967"/>
      <c r="B42" s="1796"/>
      <c r="C42" s="1946"/>
      <c r="D42" s="1947"/>
      <c r="E42" s="1948"/>
      <c r="F42" s="1973"/>
      <c r="G42" s="662">
        <f t="shared" si="4"/>
        <v>0</v>
      </c>
      <c r="H42" s="1966"/>
      <c r="I42" s="1634"/>
      <c r="J42" s="1966"/>
      <c r="K42" s="1634"/>
      <c r="L42" s="1966"/>
      <c r="M42" s="1633"/>
      <c r="N42" s="1966"/>
      <c r="O42" s="1633"/>
      <c r="P42" s="1966"/>
      <c r="Q42" s="1633"/>
      <c r="R42" s="1966"/>
      <c r="S42" s="1633"/>
      <c r="U42" t="s">
        <v>3396</v>
      </c>
      <c r="V42" t="s">
        <v>3111</v>
      </c>
      <c r="W42">
        <v>2</v>
      </c>
      <c r="X42" t="s">
        <v>3041</v>
      </c>
      <c r="Y42">
        <v>0</v>
      </c>
      <c r="Z42" t="s">
        <v>2795</v>
      </c>
      <c r="AA42" t="s">
        <v>2795</v>
      </c>
    </row>
    <row r="43" spans="1:27">
      <c r="A43" s="1967"/>
      <c r="B43" s="1796"/>
      <c r="C43" s="1946"/>
      <c r="D43" s="1947"/>
      <c r="E43" s="1948"/>
      <c r="F43" s="1973"/>
      <c r="G43" s="662">
        <f t="shared" si="4"/>
        <v>0</v>
      </c>
      <c r="H43" s="1966"/>
      <c r="I43" s="1634"/>
      <c r="J43" s="1966"/>
      <c r="K43" s="1634"/>
      <c r="L43" s="1966"/>
      <c r="M43" s="1633"/>
      <c r="N43" s="1966"/>
      <c r="O43" s="1633"/>
      <c r="P43" s="1966"/>
      <c r="Q43" s="1633"/>
      <c r="R43" s="1966"/>
      <c r="S43" s="1633"/>
      <c r="U43" t="s">
        <v>3397</v>
      </c>
      <c r="V43" t="s">
        <v>3395</v>
      </c>
      <c r="W43">
        <v>160</v>
      </c>
      <c r="X43" t="s">
        <v>48</v>
      </c>
      <c r="Y43">
        <v>0</v>
      </c>
      <c r="Z43" t="s">
        <v>2795</v>
      </c>
      <c r="AA43" t="s">
        <v>2795</v>
      </c>
    </row>
    <row r="44" spans="1:27">
      <c r="A44" s="1967"/>
      <c r="B44" s="1796"/>
      <c r="C44" s="1946"/>
      <c r="D44" s="1947"/>
      <c r="E44" s="1948"/>
      <c r="F44" s="1973"/>
      <c r="G44" s="662">
        <f t="shared" si="4"/>
        <v>0</v>
      </c>
      <c r="H44" s="1966"/>
      <c r="I44" s="1634"/>
      <c r="J44" s="1966"/>
      <c r="K44" s="1634"/>
      <c r="L44" s="1966"/>
      <c r="M44" s="1633"/>
      <c r="N44" s="1966"/>
      <c r="O44" s="1633"/>
      <c r="P44" s="1966"/>
      <c r="Q44" s="1633"/>
      <c r="R44" s="1966"/>
      <c r="S44" s="1633"/>
      <c r="U44" t="s">
        <v>3398</v>
      </c>
      <c r="V44" t="s">
        <v>3395</v>
      </c>
      <c r="W44">
        <v>35</v>
      </c>
      <c r="X44" t="s">
        <v>48</v>
      </c>
      <c r="Y44">
        <v>0</v>
      </c>
      <c r="Z44" t="s">
        <v>2795</v>
      </c>
      <c r="AA44" t="s">
        <v>2795</v>
      </c>
    </row>
    <row r="45" spans="1:27">
      <c r="A45" s="1967"/>
      <c r="B45" s="1796"/>
      <c r="C45" s="1946"/>
      <c r="D45" s="1947"/>
      <c r="E45" s="1948"/>
      <c r="F45" s="1973"/>
      <c r="G45" s="662">
        <f t="shared" si="4"/>
        <v>0</v>
      </c>
      <c r="H45" s="1966"/>
      <c r="I45" s="1634"/>
      <c r="J45" s="1966"/>
      <c r="K45" s="1634"/>
      <c r="L45" s="1966"/>
      <c r="M45" s="1633"/>
      <c r="N45" s="1966"/>
      <c r="O45" s="1633"/>
      <c r="P45" s="1966"/>
      <c r="Q45" s="1633"/>
      <c r="R45" s="1966"/>
      <c r="S45" s="1633"/>
      <c r="U45" s="2" t="s">
        <v>3399</v>
      </c>
      <c r="V45" s="2" t="s">
        <v>3395</v>
      </c>
      <c r="W45" s="2">
        <v>291</v>
      </c>
      <c r="X45" s="2" t="s">
        <v>48</v>
      </c>
      <c r="Y45" s="2">
        <v>0</v>
      </c>
      <c r="Z45" s="2" t="s">
        <v>2795</v>
      </c>
      <c r="AA45" t="s">
        <v>2795</v>
      </c>
    </row>
    <row r="46" spans="1:27">
      <c r="A46" s="1967"/>
      <c r="B46" s="1796"/>
      <c r="C46" s="1946"/>
      <c r="D46" s="1947"/>
      <c r="E46" s="1948"/>
      <c r="F46" s="1973"/>
      <c r="G46" s="662">
        <f t="shared" si="4"/>
        <v>0</v>
      </c>
      <c r="H46" s="1966"/>
      <c r="I46" s="1634"/>
      <c r="J46" s="1966"/>
      <c r="K46" s="1634"/>
      <c r="L46" s="1966"/>
      <c r="M46" s="1633"/>
      <c r="N46" s="1966"/>
      <c r="O46" s="1633"/>
      <c r="P46" s="1966"/>
      <c r="Q46" s="1633"/>
      <c r="R46" s="1966"/>
      <c r="S46" s="1633"/>
      <c r="U46" t="s">
        <v>3400</v>
      </c>
      <c r="V46" t="s">
        <v>3395</v>
      </c>
      <c r="W46">
        <v>385</v>
      </c>
      <c r="X46" t="s">
        <v>48</v>
      </c>
      <c r="Y46">
        <v>0</v>
      </c>
      <c r="Z46" t="s">
        <v>2795</v>
      </c>
      <c r="AA46" t="s">
        <v>2795</v>
      </c>
    </row>
    <row r="47" spans="1:27">
      <c r="A47" s="1967"/>
      <c r="B47" s="1796"/>
      <c r="C47" s="1946"/>
      <c r="D47" s="1947"/>
      <c r="E47" s="1948"/>
      <c r="F47" s="1973"/>
      <c r="G47" s="662">
        <f t="shared" si="4"/>
        <v>0</v>
      </c>
      <c r="H47" s="1966"/>
      <c r="I47" s="1634"/>
      <c r="J47" s="1966"/>
      <c r="K47" s="1634"/>
      <c r="L47" s="1966"/>
      <c r="M47" s="1633"/>
      <c r="N47" s="1966"/>
      <c r="O47" s="1633"/>
      <c r="P47" s="1966"/>
      <c r="Q47" s="1633"/>
      <c r="R47" s="1966"/>
      <c r="S47" s="1633"/>
      <c r="U47" s="2" t="s">
        <v>3401</v>
      </c>
      <c r="V47" s="2" t="s">
        <v>3395</v>
      </c>
      <c r="W47" s="2">
        <v>181</v>
      </c>
      <c r="X47" s="2" t="s">
        <v>48</v>
      </c>
      <c r="Y47" s="2">
        <v>0</v>
      </c>
      <c r="Z47" s="2" t="s">
        <v>2795</v>
      </c>
      <c r="AA47" t="s">
        <v>2795</v>
      </c>
    </row>
    <row r="48" spans="1:27">
      <c r="A48" s="1967"/>
      <c r="B48" s="1796"/>
      <c r="C48" s="1946"/>
      <c r="D48" s="1947"/>
      <c r="E48" s="1948"/>
      <c r="F48" s="1973"/>
      <c r="G48" s="662">
        <f t="shared" si="4"/>
        <v>0</v>
      </c>
      <c r="H48" s="1966"/>
      <c r="I48" s="1634"/>
      <c r="J48" s="1966"/>
      <c r="K48" s="1634"/>
      <c r="L48" s="1966"/>
      <c r="M48" s="1633"/>
      <c r="N48" s="1966"/>
      <c r="O48" s="1633"/>
      <c r="P48" s="1966"/>
      <c r="Q48" s="1633"/>
      <c r="R48" s="1966"/>
      <c r="S48" s="1633"/>
      <c r="U48" s="2" t="s">
        <v>3402</v>
      </c>
      <c r="V48" s="2" t="s">
        <v>3111</v>
      </c>
      <c r="W48" s="2">
        <v>52</v>
      </c>
      <c r="X48" s="2" t="s">
        <v>48</v>
      </c>
      <c r="Y48" s="2">
        <v>0</v>
      </c>
      <c r="Z48" s="2" t="s">
        <v>2795</v>
      </c>
      <c r="AA48" t="s">
        <v>2795</v>
      </c>
    </row>
    <row r="49" spans="1:31">
      <c r="A49" s="1967"/>
      <c r="B49" s="1796"/>
      <c r="C49" s="1946"/>
      <c r="D49" s="1947"/>
      <c r="E49" s="1948"/>
      <c r="F49" s="1973"/>
      <c r="G49" s="662">
        <f t="shared" si="4"/>
        <v>0</v>
      </c>
      <c r="H49" s="1966"/>
      <c r="I49" s="1634"/>
      <c r="J49" s="1966"/>
      <c r="K49" s="1634"/>
      <c r="L49" s="1966"/>
      <c r="M49" s="1633"/>
      <c r="N49" s="1966"/>
      <c r="O49" s="1633"/>
      <c r="P49" s="1966"/>
      <c r="Q49" s="1633"/>
      <c r="R49" s="1966"/>
      <c r="S49" s="1633"/>
      <c r="U49" s="2" t="s">
        <v>3403</v>
      </c>
      <c r="V49" s="2" t="s">
        <v>3111</v>
      </c>
      <c r="W49" s="2">
        <v>469</v>
      </c>
      <c r="X49" s="2" t="s">
        <v>48</v>
      </c>
      <c r="Y49" s="2">
        <v>0</v>
      </c>
      <c r="Z49" s="2" t="s">
        <v>2795</v>
      </c>
      <c r="AA49" t="s">
        <v>2795</v>
      </c>
    </row>
    <row r="50" spans="1:31" ht="15.75" thickBot="1">
      <c r="A50" s="1967"/>
      <c r="B50" s="1976"/>
      <c r="C50" s="1977"/>
      <c r="D50" s="1978"/>
      <c r="E50" s="1948"/>
      <c r="F50" s="1979"/>
      <c r="G50" s="662"/>
      <c r="H50" s="1966"/>
      <c r="I50" s="1634"/>
      <c r="J50" s="1966"/>
      <c r="K50" s="1634"/>
      <c r="L50" s="1966"/>
      <c r="M50" s="1634"/>
      <c r="N50" s="1966"/>
      <c r="O50" s="1634"/>
      <c r="P50" s="1966"/>
      <c r="Q50" s="1634"/>
      <c r="R50" s="1966"/>
      <c r="S50" s="1634"/>
      <c r="U50" t="s">
        <v>4782</v>
      </c>
      <c r="V50" t="s">
        <v>3111</v>
      </c>
      <c r="W50" s="297">
        <v>2167</v>
      </c>
      <c r="X50" t="s">
        <v>48</v>
      </c>
      <c r="Y50">
        <v>0</v>
      </c>
      <c r="Z50" t="s">
        <v>2795</v>
      </c>
      <c r="AA50" t="s">
        <v>2795</v>
      </c>
    </row>
    <row r="51" spans="1:31" ht="15.75" thickTop="1">
      <c r="A51" s="13"/>
      <c r="B51" s="226" t="s">
        <v>3265</v>
      </c>
      <c r="C51" s="15"/>
      <c r="D51" s="168"/>
      <c r="E51" s="176"/>
      <c r="F51" s="17"/>
      <c r="G51" s="227">
        <f>SUBTOTAL(9,G23:G50)</f>
        <v>0</v>
      </c>
      <c r="H51" s="19"/>
      <c r="I51" s="225">
        <f>SUBTOTAL(9,I20:I50)</f>
        <v>343200</v>
      </c>
      <c r="J51" s="19"/>
      <c r="K51" s="225">
        <f>SUBTOTAL(9,K23:K50)</f>
        <v>0</v>
      </c>
      <c r="L51" s="19"/>
      <c r="M51" s="225">
        <f>SUBTOTAL(9,M23:M50)</f>
        <v>0</v>
      </c>
      <c r="N51" s="19"/>
      <c r="O51" s="225">
        <f>SUBTOTAL(9,O23:O50)</f>
        <v>0</v>
      </c>
      <c r="P51" s="19"/>
      <c r="Q51" s="164">
        <f>SUM(Q19:Q50)</f>
        <v>0</v>
      </c>
      <c r="R51" s="19"/>
      <c r="S51" s="164">
        <f>SUM(S19:S50)</f>
        <v>0</v>
      </c>
      <c r="U51" t="s">
        <v>3494</v>
      </c>
      <c r="V51" t="s">
        <v>3111</v>
      </c>
      <c r="W51">
        <v>226</v>
      </c>
      <c r="X51" t="s">
        <v>48</v>
      </c>
      <c r="Y51">
        <v>0</v>
      </c>
      <c r="Z51" t="s">
        <v>2795</v>
      </c>
      <c r="AA51" t="s">
        <v>2795</v>
      </c>
    </row>
    <row r="52" spans="1:31">
      <c r="A52" s="1980"/>
      <c r="B52" s="1981" t="s">
        <v>2976</v>
      </c>
      <c r="C52" s="1982"/>
      <c r="D52" s="1983"/>
      <c r="E52" s="1984"/>
      <c r="F52" s="1985"/>
      <c r="G52" s="654"/>
      <c r="H52" s="1986">
        <v>0</v>
      </c>
      <c r="I52" s="645"/>
      <c r="J52" s="1986">
        <v>0</v>
      </c>
      <c r="K52" s="645"/>
      <c r="L52" s="1986">
        <v>0</v>
      </c>
      <c r="M52" s="645"/>
      <c r="N52" s="1986">
        <v>0</v>
      </c>
      <c r="O52" s="645"/>
      <c r="P52" s="1986">
        <v>0</v>
      </c>
      <c r="Q52" s="645"/>
      <c r="R52" s="1986">
        <v>0</v>
      </c>
      <c r="S52" s="645"/>
      <c r="U52" t="s">
        <v>4783</v>
      </c>
      <c r="V52" t="s">
        <v>3111</v>
      </c>
      <c r="W52">
        <v>111</v>
      </c>
      <c r="X52" t="s">
        <v>48</v>
      </c>
      <c r="Y52">
        <v>0</v>
      </c>
      <c r="Z52" t="s">
        <v>2795</v>
      </c>
      <c r="AA52" t="s">
        <v>2795</v>
      </c>
    </row>
    <row r="53" spans="1:31">
      <c r="A53" s="1980"/>
      <c r="B53" s="1981" t="s">
        <v>2977</v>
      </c>
      <c r="C53" s="1982"/>
      <c r="D53" s="1983"/>
      <c r="E53" s="1984"/>
      <c r="F53" s="1985"/>
      <c r="G53" s="654">
        <f>F52*G51</f>
        <v>0</v>
      </c>
      <c r="H53" s="1987"/>
      <c r="I53" s="1988">
        <f>H52*I51</f>
        <v>0</v>
      </c>
      <c r="J53" s="1987"/>
      <c r="K53" s="1988">
        <f>J52*K51</f>
        <v>0</v>
      </c>
      <c r="L53" s="1987"/>
      <c r="M53" s="1988">
        <f>L52*M51</f>
        <v>0</v>
      </c>
      <c r="N53" s="1987"/>
      <c r="O53" s="1988">
        <f>N52*O51</f>
        <v>0</v>
      </c>
      <c r="P53" s="1987"/>
      <c r="Q53" s="1988">
        <f>P52*Q51</f>
        <v>0</v>
      </c>
      <c r="R53" s="1987"/>
      <c r="S53" s="1988">
        <f>R52*S51</f>
        <v>0</v>
      </c>
      <c r="U53" t="s">
        <v>4784</v>
      </c>
      <c r="V53" t="s">
        <v>3111</v>
      </c>
      <c r="W53">
        <v>144</v>
      </c>
      <c r="X53" t="s">
        <v>48</v>
      </c>
      <c r="Y53">
        <v>0</v>
      </c>
      <c r="Z53" t="s">
        <v>2795</v>
      </c>
      <c r="AA53" t="s">
        <v>2795</v>
      </c>
    </row>
    <row r="54" spans="1:31">
      <c r="A54" s="1980"/>
      <c r="B54" s="1981"/>
      <c r="C54" s="1982"/>
      <c r="D54" s="1983"/>
      <c r="E54" s="1984"/>
      <c r="F54" s="1985"/>
      <c r="G54" s="654"/>
      <c r="H54" s="1987"/>
      <c r="I54" s="1988"/>
      <c r="J54" s="1987"/>
      <c r="K54" s="1988"/>
      <c r="L54" s="1987"/>
      <c r="M54" s="1988"/>
      <c r="N54" s="1987"/>
      <c r="O54" s="1988"/>
      <c r="P54" s="1987"/>
      <c r="Q54" s="1988"/>
      <c r="R54" s="1987"/>
      <c r="S54" s="1988"/>
      <c r="U54" t="s">
        <v>4785</v>
      </c>
      <c r="V54" t="s">
        <v>3111</v>
      </c>
      <c r="W54">
        <v>53</v>
      </c>
      <c r="X54" t="s">
        <v>48</v>
      </c>
      <c r="Y54">
        <v>0</v>
      </c>
      <c r="Z54" t="s">
        <v>2795</v>
      </c>
      <c r="AA54" t="s">
        <v>2795</v>
      </c>
    </row>
    <row r="55" spans="1:31">
      <c r="A55" s="1980"/>
      <c r="B55" s="1981" t="s">
        <v>2978</v>
      </c>
      <c r="C55" s="1982"/>
      <c r="D55" s="1983"/>
      <c r="E55" s="1984"/>
      <c r="F55" s="1985"/>
      <c r="G55" s="654">
        <f>SUM(G51:G53)</f>
        <v>0</v>
      </c>
      <c r="H55" s="1989"/>
      <c r="I55" s="1988">
        <f>SUM(I51:I53)</f>
        <v>343200</v>
      </c>
      <c r="J55" s="1989"/>
      <c r="K55" s="1988">
        <f>SUM(K51:K53)</f>
        <v>0</v>
      </c>
      <c r="L55" s="1989"/>
      <c r="M55" s="1988">
        <f>SUM(M51:M53)</f>
        <v>0</v>
      </c>
      <c r="N55" s="1989"/>
      <c r="O55" s="1988">
        <f>SUM(O51:O53)</f>
        <v>0</v>
      </c>
      <c r="P55" s="1989"/>
      <c r="Q55" s="1988">
        <f>SUM(Q51:Q53)</f>
        <v>0</v>
      </c>
      <c r="R55" s="1989"/>
      <c r="S55" s="1988">
        <f>SUM(S51:S53)</f>
        <v>0</v>
      </c>
      <c r="U55" t="s">
        <v>4786</v>
      </c>
      <c r="V55" t="s">
        <v>3111</v>
      </c>
      <c r="W55">
        <v>27</v>
      </c>
      <c r="X55" t="s">
        <v>48</v>
      </c>
      <c r="Y55">
        <v>0</v>
      </c>
      <c r="Z55" t="s">
        <v>2795</v>
      </c>
      <c r="AA55" t="s">
        <v>2795</v>
      </c>
    </row>
    <row r="56" spans="1:31">
      <c r="A56" s="1980"/>
      <c r="B56" s="1990" t="s">
        <v>2979</v>
      </c>
      <c r="C56" s="1982"/>
      <c r="D56" s="1983"/>
      <c r="E56" s="1984"/>
      <c r="F56" s="1990"/>
      <c r="G56" s="655">
        <f>G55/'Area Calculations'!$F$5</f>
        <v>0</v>
      </c>
      <c r="H56" s="1991"/>
      <c r="I56" s="1992">
        <f>I55/'Area Calculations'!$F$5</f>
        <v>3.8704438830747021</v>
      </c>
      <c r="J56" s="1991"/>
      <c r="K56" s="1992">
        <f>K55/'Area Calculations'!$F$5</f>
        <v>0</v>
      </c>
      <c r="L56" s="1991"/>
      <c r="M56" s="1992">
        <f>M55/'Area Calculations'!$F$5</f>
        <v>0</v>
      </c>
      <c r="N56" s="1991"/>
      <c r="O56" s="1992">
        <f>O55/'Area Calculations'!$F$5</f>
        <v>0</v>
      </c>
      <c r="P56" s="1991"/>
      <c r="Q56" s="1992">
        <f>Q55/'Area Calculations'!$F$5</f>
        <v>0</v>
      </c>
      <c r="R56" s="1993"/>
      <c r="S56" s="1992">
        <f>S55/'Area Calculations'!$F$5</f>
        <v>0</v>
      </c>
      <c r="U56" t="s">
        <v>3404</v>
      </c>
      <c r="V56" t="s">
        <v>3111</v>
      </c>
      <c r="W56">
        <v>242</v>
      </c>
      <c r="X56" t="s">
        <v>48</v>
      </c>
      <c r="Y56">
        <v>0</v>
      </c>
      <c r="Z56" t="s">
        <v>2795</v>
      </c>
      <c r="AA56" t="s">
        <v>2795</v>
      </c>
    </row>
    <row r="57" spans="1:31">
      <c r="A57" s="1980"/>
      <c r="B57" s="1994"/>
      <c r="C57" s="1982"/>
      <c r="D57" s="1983"/>
      <c r="E57" s="1984"/>
      <c r="F57" s="1985"/>
      <c r="G57" s="656"/>
      <c r="H57" s="1995"/>
      <c r="I57" s="1996"/>
      <c r="J57" s="1995"/>
      <c r="K57" s="1996"/>
      <c r="L57" s="1995"/>
      <c r="M57" s="1995"/>
      <c r="N57" s="1995"/>
      <c r="O57" s="1995"/>
      <c r="P57" s="1995"/>
      <c r="Q57" s="1995"/>
      <c r="R57" s="1995"/>
      <c r="S57" s="1995"/>
      <c r="U57" t="s">
        <v>3405</v>
      </c>
      <c r="V57" t="s">
        <v>3111</v>
      </c>
      <c r="W57">
        <v>207</v>
      </c>
      <c r="X57" t="s">
        <v>48</v>
      </c>
      <c r="Y57">
        <v>0</v>
      </c>
      <c r="Z57" t="s">
        <v>2795</v>
      </c>
      <c r="AA57" t="s">
        <v>2795</v>
      </c>
    </row>
    <row r="58" spans="1:31" ht="16.5" hidden="1" thickTop="1" thickBot="1">
      <c r="A58" s="830" t="s">
        <v>2980</v>
      </c>
      <c r="B58" s="831"/>
      <c r="C58" s="12"/>
      <c r="D58" s="169"/>
      <c r="E58" s="177"/>
      <c r="F58" s="12"/>
      <c r="G58" s="228"/>
      <c r="H58" s="20"/>
      <c r="I58" s="20"/>
      <c r="J58" s="20"/>
      <c r="K58" s="20"/>
      <c r="L58" s="20"/>
      <c r="M58" s="20"/>
      <c r="N58" s="20"/>
      <c r="O58" s="20"/>
      <c r="P58" s="20"/>
      <c r="Q58" s="20"/>
      <c r="R58" s="20"/>
      <c r="S58" s="20"/>
      <c r="U58" t="s">
        <v>3406</v>
      </c>
      <c r="V58" t="s">
        <v>3407</v>
      </c>
      <c r="W58">
        <v>44</v>
      </c>
      <c r="X58" t="s">
        <v>3041</v>
      </c>
      <c r="Y58">
        <v>198</v>
      </c>
      <c r="Z58" t="s">
        <v>48</v>
      </c>
      <c r="AA58" t="s">
        <v>2795</v>
      </c>
    </row>
    <row r="59" spans="1:31" ht="15.75" hidden="1" thickTop="1">
      <c r="A59" s="1768"/>
      <c r="B59" s="1945"/>
      <c r="C59" s="1769"/>
      <c r="D59" s="1770"/>
      <c r="E59" s="1771"/>
      <c r="F59" s="1769"/>
      <c r="G59" s="1773"/>
      <c r="H59" s="1774"/>
      <c r="I59" s="1774"/>
      <c r="J59" s="1774"/>
      <c r="K59" s="1774"/>
      <c r="L59" s="1774"/>
      <c r="M59" s="1774"/>
      <c r="N59" s="1774"/>
      <c r="O59" s="1774"/>
      <c r="P59" s="1774"/>
      <c r="Q59" s="1774"/>
      <c r="R59" s="1774"/>
      <c r="S59" s="1774"/>
      <c r="U59" t="s">
        <v>3408</v>
      </c>
      <c r="V59" t="s">
        <v>3409</v>
      </c>
      <c r="W59">
        <v>10</v>
      </c>
      <c r="X59" t="s">
        <v>3041</v>
      </c>
      <c r="Y59">
        <v>68.33</v>
      </c>
      <c r="Z59" t="s">
        <v>48</v>
      </c>
      <c r="AA59" t="s">
        <v>2795</v>
      </c>
    </row>
    <row r="60" spans="1:31" hidden="1">
      <c r="A60" s="1768"/>
      <c r="B60" s="1945"/>
      <c r="C60" s="1769"/>
      <c r="D60" s="1770"/>
      <c r="E60" s="1771"/>
      <c r="F60" s="1769"/>
      <c r="G60" s="1773"/>
      <c r="H60" s="1774"/>
      <c r="I60" s="1774"/>
      <c r="J60" s="1774"/>
      <c r="K60" s="1774"/>
      <c r="L60" s="1774"/>
      <c r="M60" s="1774"/>
      <c r="N60" s="1774"/>
      <c r="O60" s="1774"/>
      <c r="P60" s="1774"/>
      <c r="Q60" s="1774"/>
      <c r="R60" s="1774"/>
      <c r="S60" s="1774"/>
      <c r="U60" t="s">
        <v>3410</v>
      </c>
      <c r="V60" t="s">
        <v>3411</v>
      </c>
      <c r="W60">
        <v>66</v>
      </c>
      <c r="X60" t="s">
        <v>3041</v>
      </c>
      <c r="Y60">
        <v>429</v>
      </c>
      <c r="Z60" t="s">
        <v>48</v>
      </c>
      <c r="AA60" t="s">
        <v>2795</v>
      </c>
    </row>
    <row r="61" spans="1:31" ht="15.75" hidden="1" thickBot="1">
      <c r="A61" s="1768"/>
      <c r="B61" s="1945"/>
      <c r="C61" s="1769"/>
      <c r="D61" s="1770"/>
      <c r="E61" s="1771"/>
      <c r="F61" s="1769"/>
      <c r="G61" s="1773"/>
      <c r="H61" s="1774"/>
      <c r="I61" s="1774"/>
      <c r="J61" s="1774"/>
      <c r="K61" s="1774"/>
      <c r="L61" s="1774"/>
      <c r="M61" s="1774"/>
      <c r="N61" s="1774"/>
      <c r="O61" s="1774"/>
      <c r="P61" s="1774"/>
      <c r="Q61" s="1774"/>
      <c r="R61" s="1774"/>
      <c r="S61" s="1774"/>
      <c r="U61" t="s">
        <v>3412</v>
      </c>
      <c r="V61" t="s">
        <v>3413</v>
      </c>
      <c r="W61">
        <v>62</v>
      </c>
      <c r="X61" t="s">
        <v>3041</v>
      </c>
      <c r="Y61">
        <v>413.33</v>
      </c>
      <c r="Z61" t="s">
        <v>48</v>
      </c>
      <c r="AA61" t="s">
        <v>2795</v>
      </c>
    </row>
    <row r="62" spans="1:31"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t="s">
        <v>3414</v>
      </c>
      <c r="V62" t="s">
        <v>3203</v>
      </c>
      <c r="W62">
        <v>185</v>
      </c>
      <c r="X62" t="s">
        <v>3041</v>
      </c>
      <c r="Y62" s="378">
        <v>1295</v>
      </c>
      <c r="Z62" t="s">
        <v>48</v>
      </c>
      <c r="AA62" t="s">
        <v>2795</v>
      </c>
      <c r="AB62"/>
      <c r="AC62"/>
      <c r="AD62"/>
      <c r="AE62"/>
    </row>
    <row r="63" spans="1:31" s="2" customFormat="1" ht="15.75" hidden="1" thickTop="1">
      <c r="A63" s="1768"/>
      <c r="B63" s="1945"/>
      <c r="C63" s="1769"/>
      <c r="D63" s="1770"/>
      <c r="E63" s="1771"/>
      <c r="F63" s="1769"/>
      <c r="G63" s="1773"/>
      <c r="H63" s="1774"/>
      <c r="I63" s="1774"/>
      <c r="J63" s="1774"/>
      <c r="K63" s="1774"/>
      <c r="L63" s="1774"/>
      <c r="M63" s="1774"/>
      <c r="N63" s="1774"/>
      <c r="O63" s="1774"/>
      <c r="P63" s="1774"/>
      <c r="Q63" s="1774"/>
      <c r="R63" s="1774"/>
      <c r="S63" s="1774"/>
      <c r="T63"/>
      <c r="U63" t="s">
        <v>3415</v>
      </c>
      <c r="V63" t="s">
        <v>3416</v>
      </c>
      <c r="W63">
        <v>21</v>
      </c>
      <c r="X63" t="s">
        <v>3041</v>
      </c>
      <c r="Y63">
        <v>157.5</v>
      </c>
      <c r="Z63" t="s">
        <v>48</v>
      </c>
      <c r="AA63" t="s">
        <v>2795</v>
      </c>
      <c r="AB63"/>
      <c r="AC63"/>
      <c r="AD63"/>
      <c r="AE63"/>
    </row>
    <row r="64" spans="1:31" s="2" customFormat="1" hidden="1">
      <c r="A64" s="1768"/>
      <c r="B64" s="1945"/>
      <c r="C64" s="1769"/>
      <c r="D64" s="1770"/>
      <c r="E64" s="1771"/>
      <c r="F64" s="1769"/>
      <c r="G64" s="1773"/>
      <c r="H64" s="1774"/>
      <c r="I64" s="1774"/>
      <c r="J64" s="1774"/>
      <c r="K64" s="1774"/>
      <c r="L64" s="1774"/>
      <c r="M64" s="1774"/>
      <c r="N64" s="1774"/>
      <c r="O64" s="1774"/>
      <c r="P64" s="1774"/>
      <c r="Q64" s="1774"/>
      <c r="R64" s="1774"/>
      <c r="S64" s="1774"/>
      <c r="T64"/>
      <c r="U64" t="s">
        <v>3417</v>
      </c>
      <c r="V64" t="s">
        <v>3388</v>
      </c>
      <c r="W64">
        <v>11</v>
      </c>
      <c r="X64" t="s">
        <v>3041</v>
      </c>
      <c r="Y64">
        <v>106.33</v>
      </c>
      <c r="Z64" t="s">
        <v>48</v>
      </c>
      <c r="AA64" t="s">
        <v>2795</v>
      </c>
      <c r="AB64"/>
      <c r="AC64"/>
      <c r="AD64"/>
      <c r="AE64"/>
    </row>
    <row r="65" spans="1:31" ht="15.75" hidden="1" thickBot="1">
      <c r="A65" s="1768"/>
      <c r="B65" s="1945"/>
      <c r="C65" s="1769"/>
      <c r="D65" s="1770"/>
      <c r="E65" s="1771"/>
      <c r="F65" s="1769"/>
      <c r="G65" s="1773"/>
      <c r="H65" s="1774"/>
      <c r="I65" s="1774"/>
      <c r="J65" s="1774"/>
      <c r="K65" s="1774"/>
      <c r="L65" s="1774"/>
      <c r="M65" s="1774"/>
      <c r="N65" s="1774"/>
      <c r="O65" s="1774"/>
      <c r="P65" s="1774"/>
      <c r="Q65" s="1774"/>
      <c r="R65" s="1774"/>
      <c r="S65" s="1774"/>
      <c r="U65" t="s">
        <v>3418</v>
      </c>
      <c r="V65" t="s">
        <v>3411</v>
      </c>
      <c r="W65">
        <v>32</v>
      </c>
      <c r="X65" t="s">
        <v>3041</v>
      </c>
      <c r="Y65">
        <v>208</v>
      </c>
      <c r="Z65" t="s">
        <v>48</v>
      </c>
      <c r="AA65" t="s">
        <v>2795</v>
      </c>
    </row>
    <row r="66" spans="1:31"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t="s">
        <v>3419</v>
      </c>
      <c r="V66" t="s">
        <v>3420</v>
      </c>
      <c r="W66">
        <v>35</v>
      </c>
      <c r="X66" t="s">
        <v>3041</v>
      </c>
      <c r="Y66">
        <v>291.67</v>
      </c>
      <c r="Z66" t="s">
        <v>48</v>
      </c>
      <c r="AA66" t="s">
        <v>2795</v>
      </c>
      <c r="AB66"/>
      <c r="AC66"/>
      <c r="AD66"/>
      <c r="AE66"/>
    </row>
    <row r="67" spans="1:31" s="2" customFormat="1" ht="15.75" hidden="1" thickTop="1">
      <c r="A67" s="1768"/>
      <c r="B67" s="1945"/>
      <c r="C67" s="1769"/>
      <c r="D67" s="1770"/>
      <c r="E67" s="1771"/>
      <c r="F67" s="1769"/>
      <c r="G67" s="1773"/>
      <c r="H67" s="1774"/>
      <c r="I67" s="1774"/>
      <c r="J67" s="1774"/>
      <c r="K67" s="1774"/>
      <c r="L67" s="1774"/>
      <c r="M67" s="1774"/>
      <c r="N67" s="1774"/>
      <c r="O67" s="1774"/>
      <c r="P67" s="1774"/>
      <c r="Q67" s="1774"/>
      <c r="R67" s="1774"/>
      <c r="S67" s="1774"/>
      <c r="T67"/>
      <c r="U67" t="s">
        <v>3421</v>
      </c>
      <c r="V67" t="s">
        <v>3111</v>
      </c>
      <c r="W67">
        <v>263</v>
      </c>
      <c r="X67" t="s">
        <v>48</v>
      </c>
      <c r="Y67">
        <v>0</v>
      </c>
      <c r="Z67" t="s">
        <v>2795</v>
      </c>
      <c r="AA67" t="s">
        <v>2795</v>
      </c>
      <c r="AB67"/>
      <c r="AC67"/>
      <c r="AD67"/>
      <c r="AE67"/>
    </row>
    <row r="68" spans="1:31" s="2" customFormat="1" hidden="1">
      <c r="A68" s="1997"/>
      <c r="B68" s="1945"/>
      <c r="C68" s="1946"/>
      <c r="D68" s="1947"/>
      <c r="E68" s="1948"/>
      <c r="F68" s="1946"/>
      <c r="G68" s="1998"/>
      <c r="H68" s="1999"/>
      <c r="I68" s="1999"/>
      <c r="J68" s="1999"/>
      <c r="K68" s="1999"/>
      <c r="L68" s="1999"/>
      <c r="M68" s="1999"/>
      <c r="N68" s="1999"/>
      <c r="O68" s="1999"/>
      <c r="P68" s="1999"/>
      <c r="Q68" s="1999"/>
      <c r="R68" s="1999"/>
      <c r="S68" s="1999"/>
      <c r="T68"/>
      <c r="U68" t="s">
        <v>3422</v>
      </c>
      <c r="V68" t="s">
        <v>3111</v>
      </c>
      <c r="W68">
        <v>279</v>
      </c>
      <c r="X68" t="s">
        <v>48</v>
      </c>
      <c r="Y68">
        <v>0</v>
      </c>
      <c r="Z68" t="s">
        <v>2795</v>
      </c>
      <c r="AA68" t="s">
        <v>2795</v>
      </c>
      <c r="AB68"/>
      <c r="AC68"/>
      <c r="AD68"/>
      <c r="AE68"/>
    </row>
    <row r="69" spans="1:31" s="2" customFormat="1" ht="15.75" hidden="1" thickBot="1">
      <c r="A69" s="2000"/>
      <c r="B69" s="2001"/>
      <c r="C69" s="1946"/>
      <c r="D69" s="1947"/>
      <c r="E69" s="1948"/>
      <c r="F69" s="1946"/>
      <c r="G69" s="1998"/>
      <c r="H69" s="2002"/>
      <c r="I69" s="2002"/>
      <c r="J69" s="2002"/>
      <c r="K69" s="2002"/>
      <c r="L69" s="2002"/>
      <c r="M69" s="2002"/>
      <c r="N69" s="2002"/>
      <c r="O69" s="2002"/>
      <c r="P69" s="2002"/>
      <c r="Q69" s="2002"/>
      <c r="R69" s="2002"/>
      <c r="S69" s="2002"/>
      <c r="U69" t="s">
        <v>3423</v>
      </c>
      <c r="V69" t="s">
        <v>3111</v>
      </c>
      <c r="W69">
        <v>26</v>
      </c>
      <c r="X69" t="s">
        <v>48</v>
      </c>
      <c r="Y69">
        <v>0</v>
      </c>
      <c r="Z69" t="s">
        <v>2795</v>
      </c>
      <c r="AA69" s="2" t="s">
        <v>2795</v>
      </c>
    </row>
    <row r="70" spans="1:31"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t="s">
        <v>3424</v>
      </c>
      <c r="V70" t="s">
        <v>3111</v>
      </c>
      <c r="W70">
        <v>244</v>
      </c>
      <c r="X70" t="s">
        <v>48</v>
      </c>
      <c r="Y70">
        <v>0</v>
      </c>
      <c r="Z70" t="s">
        <v>2795</v>
      </c>
      <c r="AA70" t="s">
        <v>2795</v>
      </c>
      <c r="AB70"/>
      <c r="AC70"/>
      <c r="AD70"/>
      <c r="AE70"/>
    </row>
    <row r="71" spans="1:31" ht="15.75" hidden="1" thickTop="1">
      <c r="A71" s="1777"/>
      <c r="B71" s="1778"/>
      <c r="C71" s="1769"/>
      <c r="D71" s="1770"/>
      <c r="E71" s="1771"/>
      <c r="F71" s="1769"/>
      <c r="G71" s="1773"/>
      <c r="H71" s="1774"/>
      <c r="I71" s="1774"/>
      <c r="J71" s="1774"/>
      <c r="K71" s="1774"/>
      <c r="L71" s="1774"/>
      <c r="M71" s="1774"/>
      <c r="N71" s="1774"/>
      <c r="O71" s="1774"/>
      <c r="P71" s="1774"/>
      <c r="Q71" s="1774"/>
      <c r="R71" s="1774"/>
      <c r="S71" s="1774"/>
      <c r="T71" s="2"/>
      <c r="U71" t="s">
        <v>3425</v>
      </c>
      <c r="V71" t="s">
        <v>3111</v>
      </c>
      <c r="W71">
        <v>246</v>
      </c>
      <c r="X71" t="s">
        <v>48</v>
      </c>
      <c r="Y71">
        <v>0</v>
      </c>
      <c r="Z71" t="s">
        <v>2795</v>
      </c>
      <c r="AA71" s="2" t="s">
        <v>2795</v>
      </c>
      <c r="AB71" s="2"/>
      <c r="AC71" s="2"/>
      <c r="AD71" s="2"/>
      <c r="AE71" s="2"/>
    </row>
    <row r="72" spans="1:31" hidden="1">
      <c r="A72" s="2000"/>
      <c r="B72" s="2001"/>
      <c r="C72" s="1946"/>
      <c r="D72" s="1947"/>
      <c r="E72" s="1948"/>
      <c r="F72" s="1946"/>
      <c r="G72" s="1998"/>
      <c r="H72" s="2003"/>
      <c r="I72" s="2003"/>
      <c r="J72" s="2003"/>
      <c r="K72" s="2003"/>
      <c r="L72" s="2003"/>
      <c r="M72" s="2003"/>
      <c r="N72" s="2003"/>
      <c r="O72" s="2003"/>
      <c r="P72" s="2003"/>
      <c r="Q72" s="2003"/>
      <c r="R72" s="2003"/>
      <c r="S72" s="2003"/>
      <c r="T72" s="2"/>
      <c r="U72" t="s">
        <v>3426</v>
      </c>
      <c r="V72" t="s">
        <v>3111</v>
      </c>
      <c r="W72">
        <v>57</v>
      </c>
      <c r="X72" t="s">
        <v>48</v>
      </c>
      <c r="Y72">
        <v>0</v>
      </c>
      <c r="Z72" t="s">
        <v>2795</v>
      </c>
      <c r="AA72" s="2" t="s">
        <v>2795</v>
      </c>
      <c r="AB72" s="2"/>
      <c r="AC72" s="2"/>
      <c r="AD72" s="2"/>
      <c r="AE72" s="2"/>
    </row>
    <row r="73" spans="1:31" ht="15.75" hidden="1" thickBot="1">
      <c r="A73" s="2000"/>
      <c r="B73" s="2001"/>
      <c r="C73" s="1946"/>
      <c r="D73" s="1947"/>
      <c r="E73" s="1948"/>
      <c r="F73" s="1946"/>
      <c r="G73" s="1998"/>
      <c r="H73" s="2003"/>
      <c r="I73" s="2003"/>
      <c r="J73" s="2003"/>
      <c r="K73" s="2003"/>
      <c r="L73" s="2003"/>
      <c r="M73" s="2003"/>
      <c r="N73" s="2003"/>
      <c r="O73" s="2003"/>
      <c r="P73" s="2003"/>
      <c r="Q73" s="2003"/>
      <c r="R73" s="2003"/>
      <c r="S73" s="2003"/>
      <c r="T73" s="2"/>
      <c r="U73" t="s">
        <v>3427</v>
      </c>
      <c r="V73" t="s">
        <v>3111</v>
      </c>
      <c r="W73">
        <v>38</v>
      </c>
      <c r="X73" t="s">
        <v>48</v>
      </c>
      <c r="Y73">
        <v>0</v>
      </c>
      <c r="Z73" t="s">
        <v>2795</v>
      </c>
      <c r="AA73" s="2" t="s">
        <v>2795</v>
      </c>
      <c r="AB73" s="2"/>
      <c r="AC73" s="2"/>
      <c r="AD73" s="2"/>
      <c r="AE73" s="2"/>
    </row>
    <row r="74" spans="1:31" ht="16.5" hidden="1" thickTop="1" thickBot="1">
      <c r="A74" s="830" t="s">
        <v>2984</v>
      </c>
      <c r="B74" s="831"/>
      <c r="C74" s="12"/>
      <c r="D74" s="169"/>
      <c r="E74" s="177"/>
      <c r="F74" s="12"/>
      <c r="G74" s="228"/>
      <c r="H74" s="20"/>
      <c r="I74" s="20"/>
      <c r="J74" s="20"/>
      <c r="K74" s="20"/>
      <c r="L74" s="20"/>
      <c r="M74" s="20"/>
      <c r="N74" s="20"/>
      <c r="O74" s="20"/>
      <c r="P74" s="20"/>
      <c r="Q74" s="20"/>
      <c r="R74" s="20"/>
      <c r="S74" s="20"/>
      <c r="U74" t="s">
        <v>3428</v>
      </c>
      <c r="V74" t="s">
        <v>3388</v>
      </c>
      <c r="W74">
        <v>288</v>
      </c>
      <c r="X74" t="s">
        <v>48</v>
      </c>
      <c r="Y74">
        <v>0</v>
      </c>
      <c r="Z74" t="s">
        <v>2795</v>
      </c>
      <c r="AA74" t="s">
        <v>2795</v>
      </c>
    </row>
    <row r="75" spans="1:31" ht="15.75" hidden="1" thickTop="1">
      <c r="A75" s="1997"/>
      <c r="B75" s="1945" t="s">
        <v>2985</v>
      </c>
      <c r="C75" s="1946"/>
      <c r="D75" s="1947"/>
      <c r="E75" s="1948"/>
      <c r="F75" s="1946"/>
      <c r="G75" s="1998"/>
      <c r="H75" s="2003"/>
      <c r="I75" s="2003"/>
      <c r="J75" s="2003"/>
      <c r="K75" s="2003"/>
      <c r="L75" s="2003"/>
      <c r="M75" s="2003"/>
      <c r="N75" s="2003"/>
      <c r="O75" s="2003"/>
      <c r="P75" s="2003"/>
      <c r="Q75" s="2003"/>
      <c r="R75" s="2003"/>
      <c r="S75" s="2003"/>
      <c r="U75" t="s">
        <v>3429</v>
      </c>
      <c r="V75" t="s">
        <v>3388</v>
      </c>
      <c r="W75">
        <v>16</v>
      </c>
      <c r="X75" t="s">
        <v>3041</v>
      </c>
      <c r="Y75">
        <v>154.66999999999999</v>
      </c>
      <c r="Z75" t="s">
        <v>48</v>
      </c>
      <c r="AA75" t="s">
        <v>2795</v>
      </c>
    </row>
    <row r="76" spans="1:31" hidden="1">
      <c r="A76" s="1997"/>
      <c r="B76" s="1945" t="s">
        <v>2986</v>
      </c>
      <c r="C76" s="1946"/>
      <c r="D76" s="1947"/>
      <c r="E76" s="1948"/>
      <c r="F76" s="1946"/>
      <c r="G76" s="1998"/>
      <c r="H76" s="2003"/>
      <c r="I76" s="2003"/>
      <c r="J76" s="2003"/>
      <c r="K76" s="2003"/>
      <c r="L76" s="2003"/>
      <c r="M76" s="2003"/>
      <c r="N76" s="2003"/>
      <c r="O76" s="2003"/>
      <c r="P76" s="2003"/>
      <c r="Q76" s="2003"/>
      <c r="R76" s="2003"/>
      <c r="S76" s="2003"/>
      <c r="U76" t="s">
        <v>3430</v>
      </c>
      <c r="V76" t="s">
        <v>3111</v>
      </c>
      <c r="W76">
        <v>47</v>
      </c>
      <c r="X76" t="s">
        <v>48</v>
      </c>
      <c r="Y76">
        <v>0</v>
      </c>
      <c r="Z76" t="s">
        <v>2795</v>
      </c>
      <c r="AA76" t="s">
        <v>2795</v>
      </c>
    </row>
    <row r="77" spans="1:31" hidden="1">
      <c r="A77" s="1997"/>
      <c r="B77" s="1945" t="s">
        <v>2987</v>
      </c>
      <c r="C77" s="1946"/>
      <c r="D77" s="1947"/>
      <c r="E77" s="1948"/>
      <c r="F77" s="1946"/>
      <c r="G77" s="1998"/>
      <c r="H77" s="2003"/>
      <c r="I77" s="2003"/>
      <c r="J77" s="2003"/>
      <c r="K77" s="2003"/>
      <c r="L77" s="2003"/>
      <c r="M77" s="2003"/>
      <c r="N77" s="2003"/>
      <c r="O77" s="2003"/>
      <c r="P77" s="2003"/>
      <c r="Q77" s="2003"/>
      <c r="R77" s="2003"/>
      <c r="S77" s="2003"/>
      <c r="U77" t="s">
        <v>3431</v>
      </c>
      <c r="V77" t="s">
        <v>3111</v>
      </c>
      <c r="W77">
        <v>164</v>
      </c>
      <c r="X77" t="s">
        <v>48</v>
      </c>
      <c r="Y77">
        <v>0</v>
      </c>
      <c r="Z77" t="s">
        <v>2795</v>
      </c>
      <c r="AA77" t="s">
        <v>2795</v>
      </c>
    </row>
    <row r="78" spans="1:31" hidden="1">
      <c r="A78" s="1997"/>
      <c r="B78" s="1945" t="s">
        <v>2988</v>
      </c>
      <c r="C78" s="1946"/>
      <c r="D78" s="1947"/>
      <c r="E78" s="1948"/>
      <c r="F78" s="1946"/>
      <c r="G78" s="1998"/>
      <c r="H78" s="2003"/>
      <c r="I78" s="2003"/>
      <c r="J78" s="2003"/>
      <c r="K78" s="2003"/>
      <c r="L78" s="2003"/>
      <c r="M78" s="2003"/>
      <c r="N78" s="2003"/>
      <c r="O78" s="2003"/>
      <c r="P78" s="2003"/>
      <c r="Q78" s="2003"/>
      <c r="R78" s="2003"/>
      <c r="S78" s="2003"/>
      <c r="U78" t="s">
        <v>3432</v>
      </c>
      <c r="V78" t="s">
        <v>3111</v>
      </c>
      <c r="W78">
        <v>18</v>
      </c>
      <c r="X78" t="s">
        <v>48</v>
      </c>
      <c r="Y78">
        <v>0</v>
      </c>
      <c r="Z78" t="s">
        <v>2795</v>
      </c>
      <c r="AA78" t="s">
        <v>2795</v>
      </c>
    </row>
    <row r="79" spans="1:31" ht="15.75" hidden="1" thickBot="1">
      <c r="A79" s="646"/>
      <c r="B79" s="619"/>
      <c r="C79" s="616"/>
      <c r="D79" s="621"/>
      <c r="E79" s="622"/>
      <c r="F79" s="616"/>
      <c r="G79" s="620"/>
      <c r="H79" s="647"/>
      <c r="I79" s="647"/>
      <c r="J79" s="647"/>
      <c r="K79" s="647"/>
      <c r="L79" s="647"/>
      <c r="M79" s="647"/>
      <c r="N79" s="647"/>
      <c r="O79" s="647"/>
      <c r="P79" s="647"/>
      <c r="Q79" s="647"/>
      <c r="R79" s="647"/>
      <c r="S79" s="647"/>
      <c r="U79" t="s">
        <v>3433</v>
      </c>
      <c r="V79" t="s">
        <v>3111</v>
      </c>
      <c r="W79" s="297">
        <v>1086</v>
      </c>
      <c r="X79" t="s">
        <v>48</v>
      </c>
      <c r="Y79">
        <v>0</v>
      </c>
      <c r="Z79" t="s">
        <v>2795</v>
      </c>
      <c r="AA79" t="s">
        <v>2795</v>
      </c>
    </row>
    <row r="80" spans="1:31" ht="16.5" hidden="1" thickTop="1" thickBot="1">
      <c r="A80" s="7" t="s">
        <v>2989</v>
      </c>
      <c r="B80" s="8"/>
      <c r="C80" s="12"/>
      <c r="D80" s="169"/>
      <c r="E80" s="177"/>
      <c r="F80" s="12"/>
      <c r="G80" s="228"/>
      <c r="H80" s="20"/>
      <c r="I80" s="20"/>
      <c r="J80" s="20"/>
      <c r="K80" s="20"/>
      <c r="L80" s="20"/>
      <c r="M80" s="20"/>
      <c r="N80" s="20"/>
      <c r="O80" s="20"/>
      <c r="P80" s="20"/>
      <c r="Q80" s="20"/>
      <c r="R80" s="20"/>
      <c r="S80" s="20"/>
      <c r="U80" t="s">
        <v>3434</v>
      </c>
      <c r="V80" t="s">
        <v>3111</v>
      </c>
      <c r="W80">
        <v>508</v>
      </c>
      <c r="X80" t="s">
        <v>48</v>
      </c>
      <c r="Y80">
        <v>0</v>
      </c>
      <c r="Z80" t="s">
        <v>2795</v>
      </c>
      <c r="AA80" t="s">
        <v>2795</v>
      </c>
    </row>
    <row r="81" spans="1:27" ht="15.75" hidden="1" thickTop="1">
      <c r="A81" s="1768"/>
      <c r="B81" s="1779" t="s">
        <v>2990</v>
      </c>
      <c r="C81" s="1769"/>
      <c r="D81" s="1770"/>
      <c r="E81" s="1771"/>
      <c r="F81" s="1769"/>
      <c r="G81" s="1773"/>
      <c r="H81" s="1780"/>
      <c r="I81" s="1780"/>
      <c r="J81" s="1780"/>
      <c r="K81" s="1780"/>
      <c r="L81" s="1780"/>
      <c r="M81" s="1780"/>
      <c r="N81" s="1780"/>
      <c r="O81" s="1780"/>
      <c r="P81" s="1780"/>
      <c r="Q81" s="1780"/>
      <c r="R81" s="1780"/>
      <c r="S81" s="1780"/>
      <c r="U81" t="s">
        <v>4787</v>
      </c>
      <c r="V81" t="s">
        <v>3129</v>
      </c>
      <c r="W81">
        <v>7</v>
      </c>
      <c r="X81" t="s">
        <v>3041</v>
      </c>
      <c r="Y81">
        <v>92.75</v>
      </c>
      <c r="Z81" t="s">
        <v>48</v>
      </c>
      <c r="AA81" t="s">
        <v>2795</v>
      </c>
    </row>
    <row r="82" spans="1:27" hidden="1">
      <c r="A82" s="1997"/>
      <c r="B82" s="1945" t="s">
        <v>2991</v>
      </c>
      <c r="C82" s="1946"/>
      <c r="D82" s="1947"/>
      <c r="E82" s="1948"/>
      <c r="F82" s="1946"/>
      <c r="G82" s="1998"/>
      <c r="H82" s="2004"/>
      <c r="I82" s="2004"/>
      <c r="J82" s="2004"/>
      <c r="K82" s="2004"/>
      <c r="L82" s="2004"/>
      <c r="M82" s="2004"/>
      <c r="N82" s="2004"/>
      <c r="O82" s="2004"/>
      <c r="P82" s="2004"/>
      <c r="Q82" s="2004"/>
      <c r="R82" s="2004"/>
      <c r="S82" s="2004"/>
      <c r="U82" t="s">
        <v>3436</v>
      </c>
      <c r="V82" t="s">
        <v>3111</v>
      </c>
      <c r="W82">
        <v>348</v>
      </c>
      <c r="X82" t="s">
        <v>48</v>
      </c>
      <c r="Y82">
        <v>0</v>
      </c>
      <c r="Z82" t="s">
        <v>2795</v>
      </c>
      <c r="AA82" t="s">
        <v>2795</v>
      </c>
    </row>
    <row r="83" spans="1:27" ht="15.75" hidden="1" thickBot="1">
      <c r="A83" s="2005"/>
      <c r="B83" s="1959" t="s">
        <v>2992</v>
      </c>
      <c r="C83" s="1960"/>
      <c r="D83" s="2006"/>
      <c r="E83" s="2007"/>
      <c r="F83" s="1960"/>
      <c r="G83" s="2008"/>
      <c r="H83" s="2009"/>
      <c r="I83" s="2009"/>
      <c r="J83" s="2009"/>
      <c r="K83" s="2009"/>
      <c r="L83" s="2009"/>
      <c r="M83" s="2009"/>
      <c r="N83" s="2009"/>
      <c r="O83" s="2009"/>
      <c r="P83" s="2009"/>
      <c r="Q83" s="2009"/>
      <c r="R83" s="2009"/>
      <c r="S83" s="2009"/>
      <c r="U83" t="s">
        <v>3437</v>
      </c>
      <c r="V83" t="s">
        <v>3111</v>
      </c>
      <c r="W83">
        <v>521</v>
      </c>
      <c r="X83" t="s">
        <v>48</v>
      </c>
      <c r="Y83">
        <v>0</v>
      </c>
      <c r="Z83" t="s">
        <v>2795</v>
      </c>
      <c r="AA83" t="s">
        <v>2795</v>
      </c>
    </row>
    <row r="84" spans="1:27" ht="15.75" thickBot="1">
      <c r="U84" t="s">
        <v>3438</v>
      </c>
      <c r="V84" t="s">
        <v>3111</v>
      </c>
      <c r="W84">
        <v>802</v>
      </c>
      <c r="X84" t="s">
        <v>48</v>
      </c>
      <c r="Y84">
        <v>0</v>
      </c>
      <c r="Z84" t="s">
        <v>2795</v>
      </c>
      <c r="AA84" t="s">
        <v>2795</v>
      </c>
    </row>
    <row r="85" spans="1:27" ht="16.5" thickTop="1" thickBot="1">
      <c r="A85" s="59" t="s">
        <v>2993</v>
      </c>
      <c r="B85" s="61"/>
      <c r="U85" t="s">
        <v>3439</v>
      </c>
      <c r="V85" t="s">
        <v>3111</v>
      </c>
      <c r="W85">
        <v>396</v>
      </c>
      <c r="X85" t="s">
        <v>48</v>
      </c>
      <c r="Y85">
        <v>0</v>
      </c>
      <c r="Z85" t="s">
        <v>2795</v>
      </c>
      <c r="AA85" t="s">
        <v>2795</v>
      </c>
    </row>
    <row r="86" spans="1:27" ht="15.75" thickTop="1">
      <c r="A86" s="60" t="s">
        <v>2936</v>
      </c>
      <c r="B86" s="2010"/>
      <c r="U86" t="s">
        <v>3440</v>
      </c>
      <c r="V86" t="s">
        <v>3111</v>
      </c>
      <c r="W86">
        <v>956</v>
      </c>
      <c r="X86" t="s">
        <v>48</v>
      </c>
      <c r="Y86">
        <v>0</v>
      </c>
      <c r="Z86" t="s">
        <v>2795</v>
      </c>
      <c r="AA86" t="s">
        <v>2795</v>
      </c>
    </row>
    <row r="87" spans="1:27">
      <c r="A87" s="2011" t="s">
        <v>2939</v>
      </c>
      <c r="B87" s="2010"/>
      <c r="U87" t="s">
        <v>3441</v>
      </c>
      <c r="V87" t="s">
        <v>3111</v>
      </c>
      <c r="W87">
        <v>71</v>
      </c>
      <c r="X87" t="s">
        <v>48</v>
      </c>
      <c r="Y87">
        <v>0</v>
      </c>
      <c r="Z87" t="s">
        <v>2795</v>
      </c>
      <c r="AA87" t="s">
        <v>2795</v>
      </c>
    </row>
    <row r="88" spans="1:27">
      <c r="A88" s="2012" t="s">
        <v>2941</v>
      </c>
      <c r="B88" s="2013"/>
      <c r="U88" t="s">
        <v>3442</v>
      </c>
      <c r="V88" t="s">
        <v>3111</v>
      </c>
      <c r="W88">
        <v>272</v>
      </c>
      <c r="X88" t="s">
        <v>48</v>
      </c>
      <c r="Y88">
        <v>0</v>
      </c>
      <c r="Z88" t="s">
        <v>2795</v>
      </c>
      <c r="AA88" t="s">
        <v>2795</v>
      </c>
    </row>
    <row r="89" spans="1:27">
      <c r="A89" s="2012" t="s">
        <v>2943</v>
      </c>
      <c r="B89" s="2014"/>
      <c r="U89" t="s">
        <v>3443</v>
      </c>
      <c r="V89" t="s">
        <v>3111</v>
      </c>
      <c r="W89">
        <v>250</v>
      </c>
      <c r="X89" t="s">
        <v>48</v>
      </c>
      <c r="Y89">
        <v>0</v>
      </c>
      <c r="Z89" t="s">
        <v>2795</v>
      </c>
      <c r="AA89" t="s">
        <v>2795</v>
      </c>
    </row>
    <row r="90" spans="1:27" ht="15.75" thickBot="1">
      <c r="A90" s="2015" t="s">
        <v>2994</v>
      </c>
      <c r="B90" s="2016">
        <f>$I$55</f>
        <v>343200</v>
      </c>
      <c r="U90" t="s">
        <v>3444</v>
      </c>
      <c r="V90" t="s">
        <v>3111</v>
      </c>
      <c r="W90">
        <v>449</v>
      </c>
      <c r="X90" t="s">
        <v>48</v>
      </c>
      <c r="Y90">
        <v>0</v>
      </c>
      <c r="Z90" t="s">
        <v>2795</v>
      </c>
      <c r="AA90" t="s">
        <v>2795</v>
      </c>
    </row>
    <row r="91" spans="1:27" ht="15.75" thickTop="1">
      <c r="U91" t="s">
        <v>3445</v>
      </c>
      <c r="V91" t="s">
        <v>3111</v>
      </c>
      <c r="W91">
        <v>74</v>
      </c>
      <c r="X91" t="s">
        <v>48</v>
      </c>
      <c r="Y91">
        <v>0</v>
      </c>
      <c r="Z91" t="s">
        <v>2795</v>
      </c>
      <c r="AA91" t="s">
        <v>2795</v>
      </c>
    </row>
    <row r="92" spans="1:27">
      <c r="A92" s="62"/>
      <c r="B92" s="1" t="s">
        <v>2995</v>
      </c>
      <c r="U92" t="s">
        <v>3446</v>
      </c>
      <c r="V92" t="s">
        <v>3111</v>
      </c>
      <c r="W92">
        <v>661</v>
      </c>
      <c r="X92" t="s">
        <v>48</v>
      </c>
      <c r="Y92">
        <v>0</v>
      </c>
      <c r="Z92" t="s">
        <v>2795</v>
      </c>
      <c r="AA92" t="s">
        <v>2795</v>
      </c>
    </row>
    <row r="93" spans="1:27">
      <c r="A93" s="63"/>
      <c r="B93" s="1" t="s">
        <v>2996</v>
      </c>
      <c r="U93" t="s">
        <v>3447</v>
      </c>
      <c r="V93" t="s">
        <v>3111</v>
      </c>
      <c r="W93" s="297">
        <v>2277</v>
      </c>
      <c r="X93" t="s">
        <v>48</v>
      </c>
      <c r="Y93">
        <v>0</v>
      </c>
      <c r="Z93" t="s">
        <v>2795</v>
      </c>
      <c r="AA93" t="s">
        <v>2795</v>
      </c>
    </row>
    <row r="94" spans="1:27">
      <c r="U94" t="s">
        <v>3448</v>
      </c>
      <c r="V94" t="s">
        <v>3111</v>
      </c>
      <c r="W94">
        <v>74</v>
      </c>
      <c r="X94" t="s">
        <v>48</v>
      </c>
      <c r="Y94">
        <v>0</v>
      </c>
      <c r="Z94" t="s">
        <v>2795</v>
      </c>
      <c r="AA94" t="s">
        <v>2795</v>
      </c>
    </row>
    <row r="95" spans="1:27">
      <c r="U95" t="s">
        <v>3449</v>
      </c>
      <c r="V95" t="s">
        <v>3111</v>
      </c>
      <c r="W95">
        <v>72</v>
      </c>
      <c r="X95" t="s">
        <v>48</v>
      </c>
      <c r="Y95">
        <v>0</v>
      </c>
      <c r="Z95" t="s">
        <v>2795</v>
      </c>
      <c r="AA95" t="s">
        <v>2795</v>
      </c>
    </row>
    <row r="96" spans="1:27">
      <c r="U96" t="s">
        <v>3450</v>
      </c>
      <c r="V96" t="s">
        <v>3111</v>
      </c>
      <c r="W96">
        <v>34</v>
      </c>
      <c r="X96" t="s">
        <v>48</v>
      </c>
      <c r="Y96">
        <v>0</v>
      </c>
      <c r="Z96" t="s">
        <v>2795</v>
      </c>
      <c r="AA96" t="s">
        <v>2795</v>
      </c>
    </row>
    <row r="97" spans="21:27">
      <c r="U97" t="s">
        <v>3451</v>
      </c>
      <c r="V97" t="s">
        <v>3111</v>
      </c>
      <c r="W97">
        <v>608</v>
      </c>
      <c r="X97" t="s">
        <v>48</v>
      </c>
      <c r="Y97">
        <v>0</v>
      </c>
      <c r="Z97" t="s">
        <v>2795</v>
      </c>
      <c r="AA97" t="s">
        <v>2795</v>
      </c>
    </row>
    <row r="98" spans="21:27">
      <c r="U98" t="s">
        <v>3452</v>
      </c>
      <c r="V98" t="s">
        <v>3111</v>
      </c>
      <c r="W98">
        <v>689</v>
      </c>
      <c r="X98" t="s">
        <v>48</v>
      </c>
      <c r="Y98">
        <v>0</v>
      </c>
      <c r="Z98" t="s">
        <v>2795</v>
      </c>
      <c r="AA98" t="s">
        <v>2795</v>
      </c>
    </row>
    <row r="99" spans="21:27">
      <c r="U99" t="s">
        <v>3453</v>
      </c>
      <c r="V99" t="s">
        <v>3111</v>
      </c>
      <c r="W99">
        <v>50</v>
      </c>
      <c r="X99" t="s">
        <v>48</v>
      </c>
      <c r="Y99">
        <v>0</v>
      </c>
      <c r="Z99" t="s">
        <v>2795</v>
      </c>
      <c r="AA99" t="s">
        <v>2795</v>
      </c>
    </row>
    <row r="100" spans="21:27">
      <c r="U100" t="s">
        <v>3454</v>
      </c>
      <c r="V100" t="s">
        <v>3111</v>
      </c>
      <c r="W100">
        <v>224</v>
      </c>
      <c r="X100" t="s">
        <v>48</v>
      </c>
      <c r="Y100">
        <v>0</v>
      </c>
      <c r="Z100" t="s">
        <v>2795</v>
      </c>
      <c r="AA100" t="s">
        <v>2795</v>
      </c>
    </row>
    <row r="101" spans="21:27">
      <c r="U101" t="s">
        <v>3455</v>
      </c>
      <c r="V101" t="s">
        <v>3111</v>
      </c>
      <c r="W101">
        <v>26</v>
      </c>
      <c r="X101" t="s">
        <v>48</v>
      </c>
      <c r="Y101">
        <v>0</v>
      </c>
      <c r="Z101" t="s">
        <v>2795</v>
      </c>
      <c r="AA101" t="s">
        <v>2795</v>
      </c>
    </row>
    <row r="102" spans="21:27">
      <c r="U102" t="s">
        <v>3456</v>
      </c>
      <c r="V102" t="s">
        <v>3111</v>
      </c>
      <c r="W102">
        <v>305</v>
      </c>
      <c r="X102" t="s">
        <v>48</v>
      </c>
      <c r="Y102">
        <v>0</v>
      </c>
      <c r="Z102" t="s">
        <v>2795</v>
      </c>
      <c r="AA102" t="s">
        <v>2795</v>
      </c>
    </row>
    <row r="103" spans="21:27">
      <c r="U103" t="s">
        <v>3457</v>
      </c>
      <c r="V103" t="s">
        <v>3111</v>
      </c>
      <c r="W103">
        <v>57</v>
      </c>
      <c r="X103" t="s">
        <v>48</v>
      </c>
      <c r="Y103">
        <v>0</v>
      </c>
      <c r="Z103" t="s">
        <v>2795</v>
      </c>
      <c r="AA103" t="s">
        <v>2795</v>
      </c>
    </row>
    <row r="104" spans="21:27">
      <c r="U104" t="s">
        <v>3457</v>
      </c>
      <c r="V104" t="s">
        <v>3111</v>
      </c>
      <c r="W104">
        <v>26</v>
      </c>
      <c r="X104" t="s">
        <v>48</v>
      </c>
      <c r="Y104">
        <v>0</v>
      </c>
      <c r="Z104" t="s">
        <v>2795</v>
      </c>
      <c r="AA104" t="s">
        <v>2795</v>
      </c>
    </row>
    <row r="105" spans="21:27">
      <c r="U105" t="s">
        <v>3458</v>
      </c>
      <c r="V105" t="s">
        <v>3111</v>
      </c>
      <c r="W105">
        <v>550</v>
      </c>
      <c r="X105" t="s">
        <v>48</v>
      </c>
      <c r="Y105">
        <v>0</v>
      </c>
      <c r="Z105" t="s">
        <v>2795</v>
      </c>
      <c r="AA105" t="s">
        <v>2795</v>
      </c>
    </row>
    <row r="106" spans="21:27">
      <c r="U106" t="s">
        <v>3459</v>
      </c>
      <c r="V106" t="s">
        <v>3111</v>
      </c>
      <c r="W106">
        <v>72</v>
      </c>
      <c r="X106" t="s">
        <v>48</v>
      </c>
      <c r="Y106">
        <v>0</v>
      </c>
      <c r="Z106" t="s">
        <v>2795</v>
      </c>
      <c r="AA106" t="s">
        <v>2795</v>
      </c>
    </row>
    <row r="107" spans="21:27">
      <c r="U107" t="s">
        <v>3460</v>
      </c>
      <c r="V107" t="s">
        <v>3111</v>
      </c>
      <c r="W107" s="297">
        <v>1581</v>
      </c>
      <c r="X107" t="s">
        <v>48</v>
      </c>
      <c r="Y107">
        <v>0</v>
      </c>
      <c r="Z107" t="s">
        <v>2795</v>
      </c>
      <c r="AA107" t="s">
        <v>2795</v>
      </c>
    </row>
    <row r="108" spans="21:27">
      <c r="U108" t="s">
        <v>3461</v>
      </c>
      <c r="V108" t="s">
        <v>3111</v>
      </c>
      <c r="W108">
        <v>30</v>
      </c>
      <c r="X108" t="s">
        <v>48</v>
      </c>
      <c r="Y108">
        <v>0</v>
      </c>
      <c r="Z108" t="s">
        <v>2795</v>
      </c>
      <c r="AA108" t="s">
        <v>2795</v>
      </c>
    </row>
    <row r="109" spans="21:27">
      <c r="U109" t="s">
        <v>3462</v>
      </c>
      <c r="V109" t="s">
        <v>3111</v>
      </c>
      <c r="W109">
        <v>77</v>
      </c>
      <c r="X109" t="s">
        <v>48</v>
      </c>
      <c r="Y109">
        <v>0</v>
      </c>
      <c r="Z109" t="s">
        <v>2795</v>
      </c>
      <c r="AA109" t="s">
        <v>2795</v>
      </c>
    </row>
    <row r="110" spans="21:27">
      <c r="U110" t="s">
        <v>3463</v>
      </c>
      <c r="V110" t="s">
        <v>3111</v>
      </c>
      <c r="W110">
        <v>29</v>
      </c>
      <c r="X110" t="s">
        <v>48</v>
      </c>
      <c r="Y110">
        <v>0</v>
      </c>
      <c r="Z110" t="s">
        <v>2795</v>
      </c>
      <c r="AA110" t="s">
        <v>2795</v>
      </c>
    </row>
    <row r="111" spans="21:27">
      <c r="U111" t="s">
        <v>3464</v>
      </c>
      <c r="V111" t="s">
        <v>3111</v>
      </c>
      <c r="W111">
        <v>30</v>
      </c>
      <c r="X111" t="s">
        <v>48</v>
      </c>
      <c r="Y111">
        <v>0</v>
      </c>
      <c r="Z111" t="s">
        <v>2795</v>
      </c>
      <c r="AA111" t="s">
        <v>2795</v>
      </c>
    </row>
    <row r="112" spans="21:27">
      <c r="U112" t="s">
        <v>3465</v>
      </c>
      <c r="V112" t="s">
        <v>3111</v>
      </c>
      <c r="W112">
        <v>141</v>
      </c>
      <c r="X112" t="s">
        <v>48</v>
      </c>
      <c r="Y112">
        <v>0</v>
      </c>
      <c r="Z112" t="s">
        <v>2795</v>
      </c>
      <c r="AA112" t="s">
        <v>2795</v>
      </c>
    </row>
    <row r="113" spans="21:27">
      <c r="U113" t="s">
        <v>3466</v>
      </c>
      <c r="V113" t="s">
        <v>3111</v>
      </c>
      <c r="W113">
        <v>47</v>
      </c>
      <c r="X113" t="s">
        <v>48</v>
      </c>
      <c r="Y113">
        <v>0</v>
      </c>
      <c r="Z113" t="s">
        <v>2795</v>
      </c>
      <c r="AA113" t="s">
        <v>2795</v>
      </c>
    </row>
    <row r="114" spans="21:27">
      <c r="U114" t="s">
        <v>3467</v>
      </c>
      <c r="V114" t="s">
        <v>3111</v>
      </c>
      <c r="W114">
        <v>502</v>
      </c>
      <c r="X114" t="s">
        <v>48</v>
      </c>
      <c r="Y114">
        <v>0</v>
      </c>
      <c r="Z114" t="s">
        <v>2795</v>
      </c>
      <c r="AA114" t="s">
        <v>2795</v>
      </c>
    </row>
    <row r="115" spans="21:27">
      <c r="U115" t="s">
        <v>3468</v>
      </c>
      <c r="V115" t="s">
        <v>3111</v>
      </c>
      <c r="W115">
        <v>119</v>
      </c>
      <c r="X115" t="s">
        <v>48</v>
      </c>
      <c r="Y115">
        <v>0</v>
      </c>
      <c r="Z115" t="s">
        <v>2795</v>
      </c>
      <c r="AA115" t="s">
        <v>2795</v>
      </c>
    </row>
    <row r="116" spans="21:27">
      <c r="U116" t="s">
        <v>3469</v>
      </c>
      <c r="V116" t="s">
        <v>3111</v>
      </c>
      <c r="W116">
        <v>127</v>
      </c>
      <c r="X116" t="s">
        <v>48</v>
      </c>
      <c r="Y116">
        <v>0</v>
      </c>
      <c r="Z116" t="s">
        <v>2795</v>
      </c>
      <c r="AA116" t="s">
        <v>2795</v>
      </c>
    </row>
    <row r="117" spans="21:27">
      <c r="U117" t="s">
        <v>3470</v>
      </c>
      <c r="V117" t="s">
        <v>3111</v>
      </c>
      <c r="W117">
        <v>89</v>
      </c>
      <c r="X117" t="s">
        <v>48</v>
      </c>
      <c r="Y117">
        <v>0</v>
      </c>
      <c r="Z117" t="s">
        <v>2795</v>
      </c>
      <c r="AA117" t="s">
        <v>2795</v>
      </c>
    </row>
    <row r="118" spans="21:27">
      <c r="U118" t="s">
        <v>3471</v>
      </c>
      <c r="V118" t="s">
        <v>3111</v>
      </c>
      <c r="W118">
        <v>24</v>
      </c>
      <c r="X118" t="s">
        <v>48</v>
      </c>
      <c r="Y118">
        <v>0</v>
      </c>
      <c r="Z118" t="s">
        <v>2795</v>
      </c>
      <c r="AA118" t="s">
        <v>2795</v>
      </c>
    </row>
    <row r="119" spans="21:27">
      <c r="U119" t="s">
        <v>3472</v>
      </c>
      <c r="V119" t="s">
        <v>3111</v>
      </c>
      <c r="W119">
        <v>34</v>
      </c>
      <c r="X119" t="s">
        <v>48</v>
      </c>
      <c r="Y119">
        <v>0</v>
      </c>
      <c r="Z119" t="s">
        <v>2795</v>
      </c>
      <c r="AA119" t="s">
        <v>2795</v>
      </c>
    </row>
    <row r="120" spans="21:27">
      <c r="U120" t="s">
        <v>3473</v>
      </c>
      <c r="V120" t="s">
        <v>3111</v>
      </c>
      <c r="W120">
        <v>34</v>
      </c>
      <c r="X120" t="s">
        <v>48</v>
      </c>
      <c r="Y120">
        <v>0</v>
      </c>
      <c r="Z120" t="s">
        <v>2795</v>
      </c>
      <c r="AA120" t="s">
        <v>2795</v>
      </c>
    </row>
    <row r="121" spans="21:27">
      <c r="Y121">
        <f>SUM(Y23:Y120)</f>
        <v>4938.83</v>
      </c>
      <c r="AA121" t="s">
        <v>2795</v>
      </c>
    </row>
    <row r="122" spans="21:27">
      <c r="Y122">
        <f>Y121*2</f>
        <v>9877.66</v>
      </c>
      <c r="AA122" t="s">
        <v>2795</v>
      </c>
    </row>
    <row r="123" spans="21:27">
      <c r="AA123" t="s">
        <v>2795</v>
      </c>
    </row>
    <row r="124" spans="21:27">
      <c r="AA124" t="s">
        <v>2795</v>
      </c>
    </row>
    <row r="125" spans="21:27">
      <c r="AA125" t="s">
        <v>2795</v>
      </c>
    </row>
    <row r="126" spans="21:27">
      <c r="AA126" t="s">
        <v>2795</v>
      </c>
    </row>
    <row r="127" spans="21:27">
      <c r="AA127" t="s">
        <v>2795</v>
      </c>
    </row>
    <row r="128" spans="21:27">
      <c r="AA128" t="s">
        <v>2795</v>
      </c>
    </row>
    <row r="129" spans="27:27">
      <c r="AA129" t="s">
        <v>2795</v>
      </c>
    </row>
    <row r="130" spans="27:27">
      <c r="AA130" t="s">
        <v>2795</v>
      </c>
    </row>
    <row r="131" spans="27:27">
      <c r="AA131" t="s">
        <v>2795</v>
      </c>
    </row>
    <row r="132" spans="27:27">
      <c r="AA132" t="s">
        <v>2795</v>
      </c>
    </row>
    <row r="133" spans="27:27">
      <c r="AA133" t="s">
        <v>2795</v>
      </c>
    </row>
    <row r="134" spans="27:27">
      <c r="AA134" t="s">
        <v>2795</v>
      </c>
    </row>
    <row r="135" spans="27:27">
      <c r="AA135" t="s">
        <v>2795</v>
      </c>
    </row>
    <row r="136" spans="27:27">
      <c r="AA136" t="s">
        <v>2795</v>
      </c>
    </row>
    <row r="137" spans="27:27">
      <c r="AA137" t="s">
        <v>2795</v>
      </c>
    </row>
    <row r="138" spans="27:27">
      <c r="AA138" t="s">
        <v>2795</v>
      </c>
    </row>
    <row r="139" spans="27:27">
      <c r="AA139" t="s">
        <v>2795</v>
      </c>
    </row>
    <row r="140" spans="27:27">
      <c r="AA140" t="s">
        <v>2795</v>
      </c>
    </row>
    <row r="141" spans="27:27">
      <c r="AA141" t="s">
        <v>2795</v>
      </c>
    </row>
    <row r="142" spans="27:27">
      <c r="AA142" t="s">
        <v>2795</v>
      </c>
    </row>
    <row r="143" spans="27:27">
      <c r="AA143" t="s">
        <v>2795</v>
      </c>
    </row>
    <row r="144" spans="27:27">
      <c r="AA144" t="s">
        <v>2795</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L11:L18 N11:N18 P11:P18 R11:R18">
    <cfRule type="cellIs" dxfId="263" priority="9" operator="equal">
      <formula>"X"</formula>
    </cfRule>
    <cfRule type="cellIs" dxfId="262" priority="10" operator="equal">
      <formula>"I"</formula>
    </cfRule>
  </conditionalFormatting>
  <conditionalFormatting sqref="H20:H50 J20:J50 L20:L50 N20:N50 P20:P50 R20:R50">
    <cfRule type="cellIs" dxfId="261" priority="1" operator="equal">
      <formula>"X"</formula>
    </cfRule>
    <cfRule type="cellIs" dxfId="260" priority="2" operator="equal">
      <formula>"I"</formula>
    </cfRule>
  </conditionalFormatting>
  <conditionalFormatting sqref="J11:J18">
    <cfRule type="cellIs" dxfId="259" priority="7" operator="equal">
      <formula>"X"</formula>
    </cfRule>
    <cfRule type="cellIs" dxfId="258" priority="8" operator="equal">
      <formula>"I"</formula>
    </cfRule>
  </conditionalFormatting>
  <hyperlinks>
    <hyperlink ref="B4" location="'Cost Summary'!A1" display="BACK TO SUMMARY SHEET" xr:uid="{CC5B8BE8-F4F4-43A1-BAAD-884F264741F5}"/>
    <hyperlink ref="H8" r:id="rId1" xr:uid="{4B84DBE2-4A6E-45E8-9662-F99DE5941323}"/>
  </hyperlinks>
  <pageMargins left="0.2" right="0.2" top="0.5" bottom="0.25" header="0.3" footer="0.3"/>
  <pageSetup paperSize="3" scale="79" orientation="landscape" horizontalDpi="1200" verticalDpi="1200" r:id="rId2"/>
  <rowBreaks count="1" manualBreakCount="1">
    <brk id="47" max="1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FFFF00"/>
    <pageSetUpPr fitToPage="1"/>
  </sheetPr>
  <dimension ref="A1:Y223"/>
  <sheetViews>
    <sheetView zoomScale="90" zoomScaleNormal="90" zoomScaleSheetLayoutView="100" workbookViewId="0">
      <pane xSplit="6" ySplit="10" topLeftCell="G25" activePane="bottomRight" state="frozen"/>
      <selection pane="bottomRight" activeCell="F46" sqref="F46"/>
      <selection pane="bottomLeft" activeCell="A11" sqref="A11"/>
      <selection pane="topRight" activeCell="G1" sqref="G1"/>
    </sheetView>
  </sheetViews>
  <sheetFormatPr defaultColWidth="8.85546875" defaultRowHeight="15" outlineLevelRow="2"/>
  <cols>
    <col min="1" max="1" width="10.7109375" customWidth="1"/>
    <col min="2" max="2" width="70.7109375" style="1" customWidth="1"/>
    <col min="3" max="3" width="10.85546875" style="2" hidden="1" customWidth="1"/>
    <col min="4" max="4" width="15.7109375" style="379"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2" max="22" width="51.42578125" style="46" bestFit="1" customWidth="1"/>
  </cols>
  <sheetData>
    <row r="1" spans="1:22">
      <c r="F1" s="178"/>
      <c r="G1" s="56" t="s">
        <v>2928</v>
      </c>
    </row>
    <row r="2" spans="1:22">
      <c r="F2" s="179" t="s">
        <v>2929</v>
      </c>
      <c r="G2" s="56" t="s">
        <v>2930</v>
      </c>
    </row>
    <row r="3" spans="1:22">
      <c r="F3" s="180" t="s">
        <v>2931</v>
      </c>
      <c r="G3" s="56" t="s">
        <v>2932</v>
      </c>
    </row>
    <row r="4" spans="1:22" ht="15.75" thickBot="1">
      <c r="B4" s="181" t="s">
        <v>2933</v>
      </c>
      <c r="F4" s="170"/>
      <c r="G4" s="2" t="s">
        <v>2934</v>
      </c>
    </row>
    <row r="5" spans="1:22" ht="15.75" thickTop="1">
      <c r="A5" s="3" t="s">
        <v>2935</v>
      </c>
      <c r="B5" s="4" t="str">
        <f>'Area Calculations'!B4</f>
        <v>Atlantic Fields Club Core / Dock Bar / Spa Pods / Water Features</v>
      </c>
      <c r="C5" s="5"/>
      <c r="D5" s="380"/>
      <c r="E5" s="171"/>
      <c r="F5" s="5"/>
      <c r="G5" s="6" t="s">
        <v>2936</v>
      </c>
      <c r="H5" s="841" t="s">
        <v>4788</v>
      </c>
      <c r="I5" s="842"/>
      <c r="J5" s="841"/>
      <c r="K5" s="842"/>
      <c r="L5" s="841"/>
      <c r="M5" s="842"/>
      <c r="N5" s="841"/>
      <c r="O5" s="842"/>
      <c r="P5" s="841"/>
      <c r="Q5" s="842"/>
      <c r="R5" s="841"/>
      <c r="S5" s="842"/>
    </row>
    <row r="6" spans="1:22">
      <c r="A6" s="2017" t="s">
        <v>2938</v>
      </c>
      <c r="B6" s="2018" t="s">
        <v>4789</v>
      </c>
      <c r="C6" s="2019"/>
      <c r="D6" s="2020"/>
      <c r="E6" s="2021"/>
      <c r="F6" s="2019"/>
      <c r="G6" s="657" t="s">
        <v>2939</v>
      </c>
      <c r="H6" s="2022"/>
      <c r="I6" s="843"/>
      <c r="J6" s="2022"/>
      <c r="K6" s="843"/>
      <c r="L6" s="2022"/>
      <c r="M6" s="843"/>
      <c r="N6" s="2022"/>
      <c r="O6" s="843"/>
      <c r="P6" s="2022"/>
      <c r="Q6" s="843"/>
      <c r="R6" s="2022"/>
      <c r="S6" s="843"/>
    </row>
    <row r="7" spans="1:22">
      <c r="A7" s="2017" t="s">
        <v>2940</v>
      </c>
      <c r="B7" s="2023" t="s">
        <v>2649</v>
      </c>
      <c r="C7" s="2019"/>
      <c r="D7" s="2020"/>
      <c r="E7" s="2021"/>
      <c r="F7" s="2019"/>
      <c r="G7" s="2024" t="s">
        <v>2941</v>
      </c>
      <c r="H7" s="2025"/>
      <c r="I7" s="844"/>
      <c r="J7" s="2025"/>
      <c r="K7" s="844"/>
      <c r="L7" s="2025"/>
      <c r="M7" s="844"/>
      <c r="N7" s="2025"/>
      <c r="O7" s="844"/>
      <c r="P7" s="2025"/>
      <c r="Q7" s="844"/>
      <c r="R7" s="2025"/>
      <c r="S7" s="844"/>
    </row>
    <row r="8" spans="1:22">
      <c r="A8" s="2017" t="s">
        <v>2942</v>
      </c>
      <c r="B8" s="2026"/>
      <c r="C8" s="2019"/>
      <c r="D8" s="2020"/>
      <c r="E8" s="2021"/>
      <c r="F8" s="2019"/>
      <c r="G8" s="2024" t="s">
        <v>2943</v>
      </c>
      <c r="H8" s="2027"/>
      <c r="I8" s="845"/>
      <c r="J8" s="2027"/>
      <c r="K8" s="845"/>
      <c r="L8" s="2027"/>
      <c r="M8" s="845"/>
      <c r="N8" s="2027"/>
      <c r="O8" s="845"/>
      <c r="P8" s="2027"/>
      <c r="Q8" s="845"/>
      <c r="R8" s="2027"/>
      <c r="S8" s="845"/>
    </row>
    <row r="9" spans="1:22" ht="15.75" thickBot="1">
      <c r="A9" s="2028"/>
      <c r="B9" s="2029"/>
      <c r="C9" s="616"/>
      <c r="D9" s="628"/>
      <c r="E9" s="622"/>
      <c r="F9" s="2030"/>
      <c r="G9" s="2031" t="s">
        <v>2944</v>
      </c>
      <c r="H9" s="2032">
        <f>I$185</f>
        <v>711746</v>
      </c>
      <c r="I9" s="2033"/>
      <c r="J9" s="2034">
        <f t="shared" ref="J9" si="0">K$186</f>
        <v>0</v>
      </c>
      <c r="K9" s="2035"/>
      <c r="L9" s="2034">
        <f t="shared" ref="L9" si="1">M$186</f>
        <v>0</v>
      </c>
      <c r="M9" s="2035"/>
      <c r="N9" s="2034">
        <f t="shared" ref="N9" si="2">O$186</f>
        <v>0</v>
      </c>
      <c r="O9" s="2035"/>
      <c r="P9" s="2034">
        <f t="shared" ref="P9" si="3">Q$186</f>
        <v>0</v>
      </c>
      <c r="Q9" s="2035"/>
      <c r="R9" s="2034">
        <f t="shared" ref="R9" si="4">S$186</f>
        <v>0</v>
      </c>
      <c r="S9" s="2035"/>
    </row>
    <row r="10" spans="1:22" s="175" customFormat="1" ht="31.5" thickTop="1" thickBot="1">
      <c r="A10" s="160" t="s">
        <v>2945</v>
      </c>
      <c r="B10" s="172"/>
      <c r="C10" s="173" t="s">
        <v>2946</v>
      </c>
      <c r="D10" s="381"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V10" s="570"/>
    </row>
    <row r="11" spans="1:22" ht="16.5" thickTop="1" thickBot="1">
      <c r="A11" s="1786"/>
      <c r="B11" s="1618" t="s">
        <v>2953</v>
      </c>
      <c r="C11" s="659"/>
      <c r="D11" s="2020"/>
      <c r="E11" s="2021"/>
      <c r="F11" s="2019"/>
      <c r="G11" s="660"/>
      <c r="H11" s="2036"/>
      <c r="I11" s="1619"/>
      <c r="J11" s="2036"/>
      <c r="K11" s="182"/>
      <c r="L11" s="2036"/>
      <c r="M11" s="1620"/>
      <c r="N11" s="2036"/>
      <c r="O11" s="1620"/>
      <c r="P11" s="2036"/>
      <c r="Q11" s="1620"/>
      <c r="R11" s="2036"/>
      <c r="S11" s="1620"/>
    </row>
    <row r="12" spans="1:22">
      <c r="A12" s="1787"/>
      <c r="B12" s="1622" t="s">
        <v>2954</v>
      </c>
      <c r="C12" s="2019"/>
      <c r="D12" s="2020"/>
      <c r="E12" s="2021"/>
      <c r="F12" s="2019"/>
      <c r="G12" s="660"/>
      <c r="H12" s="2036"/>
      <c r="I12" s="1619"/>
      <c r="J12" s="2036"/>
      <c r="K12" s="1620"/>
      <c r="L12" s="2036"/>
      <c r="M12" s="1620"/>
      <c r="N12" s="2036"/>
      <c r="O12" s="1620"/>
      <c r="P12" s="2036"/>
      <c r="Q12" s="1620"/>
      <c r="R12" s="2036"/>
      <c r="S12" s="1620"/>
    </row>
    <row r="13" spans="1:22">
      <c r="A13" s="2037"/>
      <c r="B13" s="1788" t="s">
        <v>2955</v>
      </c>
      <c r="C13" s="2019"/>
      <c r="D13" s="2020"/>
      <c r="E13" s="2021"/>
      <c r="F13" s="2019"/>
      <c r="G13" s="660"/>
      <c r="H13" s="2036"/>
      <c r="I13" s="1619"/>
      <c r="J13" s="2036"/>
      <c r="K13" s="1620"/>
      <c r="L13" s="2036"/>
      <c r="M13" s="1620"/>
      <c r="N13" s="2036"/>
      <c r="O13" s="1620"/>
      <c r="P13" s="2036"/>
      <c r="Q13" s="1620"/>
      <c r="R13" s="2036"/>
      <c r="S13" s="1620"/>
    </row>
    <row r="14" spans="1:22">
      <c r="A14" s="2037"/>
      <c r="B14" s="1789" t="s">
        <v>2956</v>
      </c>
      <c r="C14" s="2019"/>
      <c r="D14" s="2020"/>
      <c r="E14" s="2021"/>
      <c r="F14" s="2019"/>
      <c r="G14" s="660"/>
      <c r="H14" s="2036"/>
      <c r="I14" s="1619"/>
      <c r="J14" s="2036"/>
      <c r="K14" s="1620"/>
      <c r="L14" s="2036"/>
      <c r="M14" s="1620"/>
      <c r="N14" s="2036"/>
      <c r="O14" s="1620"/>
      <c r="P14" s="2036"/>
      <c r="Q14" s="1620"/>
      <c r="R14" s="2036"/>
      <c r="S14" s="1620"/>
    </row>
    <row r="15" spans="1:22">
      <c r="A15" s="2037"/>
      <c r="B15" s="1789" t="s">
        <v>2957</v>
      </c>
      <c r="C15" s="2019"/>
      <c r="D15" s="2020"/>
      <c r="E15" s="2021"/>
      <c r="F15" s="2019"/>
      <c r="G15" s="660"/>
      <c r="H15" s="2036"/>
      <c r="I15" s="1619"/>
      <c r="J15" s="2036"/>
      <c r="K15" s="1619"/>
      <c r="L15" s="2036"/>
      <c r="M15" s="1619"/>
      <c r="N15" s="2036"/>
      <c r="O15" s="1619"/>
      <c r="P15" s="2036"/>
      <c r="Q15" s="1619"/>
      <c r="R15" s="2036"/>
      <c r="S15" s="1619"/>
    </row>
    <row r="16" spans="1:22">
      <c r="A16" s="2037"/>
      <c r="B16" s="1789" t="s">
        <v>2958</v>
      </c>
      <c r="C16" s="2019"/>
      <c r="D16" s="2020"/>
      <c r="E16" s="2021"/>
      <c r="F16" s="2019"/>
      <c r="G16" s="660"/>
      <c r="H16" s="2036"/>
      <c r="I16" s="1619"/>
      <c r="J16" s="2036"/>
      <c r="K16" s="1620"/>
      <c r="L16" s="2036"/>
      <c r="M16" s="1620"/>
      <c r="N16" s="2036"/>
      <c r="O16" s="1620"/>
      <c r="P16" s="2036"/>
      <c r="Q16" s="1620"/>
      <c r="R16" s="2036"/>
      <c r="S16" s="1620"/>
    </row>
    <row r="17" spans="1:22">
      <c r="A17" s="2037"/>
      <c r="B17" s="1789" t="s">
        <v>2959</v>
      </c>
      <c r="C17" s="2019"/>
      <c r="D17" s="2020"/>
      <c r="E17" s="2021"/>
      <c r="F17" s="2019"/>
      <c r="G17" s="660"/>
      <c r="H17" s="2036"/>
      <c r="I17" s="1619"/>
      <c r="J17" s="2036"/>
      <c r="K17" s="1620"/>
      <c r="L17" s="2036"/>
      <c r="M17" s="1620"/>
      <c r="N17" s="2036"/>
      <c r="O17" s="1620"/>
      <c r="P17" s="2036"/>
      <c r="Q17" s="1620"/>
      <c r="R17" s="2036"/>
      <c r="S17" s="1620"/>
    </row>
    <row r="18" spans="1:22">
      <c r="A18" s="2037"/>
      <c r="B18" s="1790" t="s">
        <v>2960</v>
      </c>
      <c r="C18" s="2019"/>
      <c r="D18" s="2020"/>
      <c r="E18" s="2021"/>
      <c r="F18" s="2019"/>
      <c r="G18" s="660"/>
      <c r="H18" s="2036"/>
      <c r="I18" s="1619"/>
      <c r="J18" s="2036"/>
      <c r="K18" s="1620"/>
      <c r="L18" s="2036"/>
      <c r="M18" s="1620"/>
      <c r="N18" s="2036"/>
      <c r="O18" s="1620"/>
      <c r="P18" s="2036"/>
      <c r="Q18" s="1620"/>
      <c r="R18" s="2036"/>
      <c r="S18" s="1620"/>
    </row>
    <row r="19" spans="1:22">
      <c r="A19" s="2037"/>
      <c r="B19" s="1791" t="s">
        <v>2961</v>
      </c>
      <c r="C19" s="2038"/>
      <c r="D19" s="2039"/>
      <c r="E19" s="2040"/>
      <c r="F19" s="2041"/>
      <c r="G19" s="661"/>
      <c r="H19" s="2042"/>
      <c r="I19" s="1629"/>
      <c r="J19" s="2042"/>
      <c r="K19" s="1630"/>
      <c r="L19" s="2042"/>
      <c r="M19" s="1630"/>
      <c r="N19" s="2042"/>
      <c r="O19" s="1630"/>
      <c r="P19" s="2042"/>
      <c r="Q19" s="1630"/>
      <c r="R19" s="2042"/>
      <c r="S19" s="1630"/>
    </row>
    <row r="20" spans="1:22">
      <c r="A20" s="2037"/>
      <c r="B20" s="1796"/>
      <c r="C20" s="2019"/>
      <c r="D20" s="2020"/>
      <c r="E20" s="2021"/>
      <c r="F20" s="2043"/>
      <c r="G20" s="660"/>
      <c r="H20" s="2036"/>
      <c r="I20" s="1633"/>
      <c r="J20" s="2036"/>
      <c r="K20" s="1634"/>
      <c r="L20" s="2036"/>
      <c r="M20" s="1633"/>
      <c r="N20" s="2036"/>
      <c r="O20" s="1633"/>
      <c r="P20" s="2036"/>
      <c r="Q20" s="1633"/>
      <c r="R20" s="2036"/>
      <c r="S20" s="1633"/>
    </row>
    <row r="21" spans="1:22">
      <c r="A21" s="2037"/>
      <c r="B21" s="1975" t="s">
        <v>2695</v>
      </c>
      <c r="C21" s="2019"/>
      <c r="D21" s="2044"/>
      <c r="E21" s="2021"/>
      <c r="F21" s="2043"/>
      <c r="G21" s="662">
        <f>ROUND(D21*F21,0)</f>
        <v>0</v>
      </c>
      <c r="H21" s="2036"/>
      <c r="I21" s="1729">
        <f>SUBTOTAL(9,I23:I144)</f>
        <v>555850</v>
      </c>
      <c r="J21" s="2036"/>
      <c r="K21" s="1729">
        <f>SUBTOTAL(9,K23:K144)</f>
        <v>0</v>
      </c>
      <c r="L21" s="2036"/>
      <c r="M21" s="1729">
        <f>SUBTOTAL(9,M23:M144)</f>
        <v>0</v>
      </c>
      <c r="N21" s="2036"/>
      <c r="O21" s="1729">
        <f>SUBTOTAL(9,O23:O144)</f>
        <v>0</v>
      </c>
      <c r="P21" s="2036"/>
      <c r="Q21" s="1729">
        <f>SUBTOTAL(9,Q23:Q144)</f>
        <v>0</v>
      </c>
      <c r="R21" s="2036"/>
      <c r="S21" s="1729">
        <f>SUBTOTAL(9,S23:S52)</f>
        <v>0</v>
      </c>
      <c r="V21"/>
    </row>
    <row r="22" spans="1:22">
      <c r="A22" s="2037"/>
      <c r="B22" s="2045" t="s">
        <v>4790</v>
      </c>
      <c r="C22" s="2019"/>
      <c r="D22" s="2044"/>
      <c r="E22" s="2021"/>
      <c r="F22" s="2043"/>
      <c r="G22" s="662"/>
      <c r="H22" s="2036"/>
      <c r="I22" s="1634">
        <v>93500</v>
      </c>
      <c r="J22" s="2036"/>
      <c r="K22" s="1634"/>
      <c r="L22" s="2036"/>
      <c r="M22" s="1633"/>
      <c r="N22" s="2036"/>
      <c r="O22" s="1633"/>
      <c r="P22" s="2036"/>
      <c r="Q22" s="1633"/>
      <c r="R22" s="2036"/>
      <c r="S22" s="1633"/>
      <c r="V22"/>
    </row>
    <row r="23" spans="1:22">
      <c r="A23" s="2037"/>
      <c r="B23" s="1796" t="s">
        <v>4791</v>
      </c>
      <c r="C23" s="2019"/>
      <c r="D23" s="2020"/>
      <c r="E23" s="2021"/>
      <c r="F23" s="2043"/>
      <c r="G23" s="662">
        <f t="shared" ref="G23:G180" si="5">ROUND(D23*F23,0)</f>
        <v>0</v>
      </c>
      <c r="H23" s="2036"/>
      <c r="I23" s="1634"/>
      <c r="J23" s="2036"/>
      <c r="K23" s="1634"/>
      <c r="L23" s="2036"/>
      <c r="M23" s="1633"/>
      <c r="N23" s="2036"/>
      <c r="O23" s="1633"/>
      <c r="P23" s="2036"/>
      <c r="Q23" s="1633"/>
      <c r="R23" s="2036"/>
      <c r="S23" s="1633"/>
    </row>
    <row r="24" spans="1:22">
      <c r="A24" s="2037"/>
      <c r="B24" s="1800" t="s">
        <v>4792</v>
      </c>
      <c r="C24" s="2019">
        <v>2</v>
      </c>
      <c r="D24" s="2020">
        <v>38</v>
      </c>
      <c r="E24" s="2021" t="s">
        <v>2803</v>
      </c>
      <c r="F24" s="2043">
        <v>600</v>
      </c>
      <c r="G24" s="662">
        <f t="shared" si="5"/>
        <v>22800</v>
      </c>
      <c r="H24" s="2036"/>
      <c r="I24" s="1634"/>
      <c r="J24" s="2036"/>
      <c r="K24" s="1634"/>
      <c r="L24" s="2036"/>
      <c r="M24" s="1633"/>
      <c r="N24" s="2036"/>
      <c r="O24" s="1633"/>
      <c r="P24" s="2036"/>
      <c r="Q24" s="1633"/>
      <c r="R24" s="2036"/>
      <c r="S24" s="1633"/>
    </row>
    <row r="25" spans="1:22">
      <c r="A25" s="2037"/>
      <c r="B25" s="1800" t="s">
        <v>4793</v>
      </c>
      <c r="C25" s="2019">
        <v>2</v>
      </c>
      <c r="D25" s="2020">
        <v>3</v>
      </c>
      <c r="E25" s="2021" t="s">
        <v>2803</v>
      </c>
      <c r="F25" s="2043">
        <v>650</v>
      </c>
      <c r="G25" s="662">
        <f t="shared" si="5"/>
        <v>1950</v>
      </c>
      <c r="H25" s="2036"/>
      <c r="I25" s="1634"/>
      <c r="J25" s="2036"/>
      <c r="K25" s="1634"/>
      <c r="L25" s="2036"/>
      <c r="M25" s="1633"/>
      <c r="N25" s="2036"/>
      <c r="O25" s="1633"/>
      <c r="P25" s="2036"/>
      <c r="Q25" s="1633"/>
      <c r="R25" s="2036"/>
      <c r="S25" s="1633"/>
    </row>
    <row r="26" spans="1:22">
      <c r="A26" s="2037"/>
      <c r="B26" s="1800" t="s">
        <v>4794</v>
      </c>
      <c r="C26" s="2019">
        <v>56</v>
      </c>
      <c r="D26" s="2020">
        <v>6</v>
      </c>
      <c r="E26" s="2021" t="s">
        <v>2803</v>
      </c>
      <c r="F26" s="2043">
        <v>650</v>
      </c>
      <c r="G26" s="662">
        <f t="shared" si="5"/>
        <v>3900</v>
      </c>
      <c r="H26" s="2036"/>
      <c r="I26" s="1634"/>
      <c r="J26" s="2036"/>
      <c r="K26" s="1634"/>
      <c r="L26" s="2036"/>
      <c r="M26" s="1633"/>
      <c r="N26" s="2036"/>
      <c r="O26" s="1633"/>
      <c r="P26" s="2036"/>
      <c r="Q26" s="1633"/>
      <c r="R26" s="2036"/>
      <c r="S26" s="1633"/>
    </row>
    <row r="27" spans="1:22">
      <c r="A27" s="2037"/>
      <c r="B27" s="1796" t="s">
        <v>4795</v>
      </c>
      <c r="C27" s="2019"/>
      <c r="D27" s="2020"/>
      <c r="E27" s="2021"/>
      <c r="F27" s="2043"/>
      <c r="G27" s="662">
        <f t="shared" si="5"/>
        <v>0</v>
      </c>
      <c r="H27" s="2036"/>
      <c r="I27" s="1634"/>
      <c r="J27" s="2036"/>
      <c r="K27" s="1634"/>
      <c r="L27" s="2036"/>
      <c r="M27" s="1633"/>
      <c r="N27" s="2036"/>
      <c r="O27" s="1633"/>
      <c r="P27" s="2036"/>
      <c r="Q27" s="1633"/>
      <c r="R27" s="2036"/>
      <c r="S27" s="1633"/>
    </row>
    <row r="28" spans="1:22">
      <c r="A28" s="2037"/>
      <c r="B28" s="1800" t="s">
        <v>4796</v>
      </c>
      <c r="C28" s="2019">
        <v>5</v>
      </c>
      <c r="D28" s="2020">
        <v>5</v>
      </c>
      <c r="E28" s="2021" t="s">
        <v>2803</v>
      </c>
      <c r="F28" s="2043">
        <v>650</v>
      </c>
      <c r="G28" s="662">
        <f>ROUND(D28*F28,0)</f>
        <v>3250</v>
      </c>
      <c r="H28" s="2036"/>
      <c r="I28" s="1634"/>
      <c r="J28" s="2036"/>
      <c r="K28" s="1634"/>
      <c r="L28" s="2036"/>
      <c r="M28" s="1633"/>
      <c r="N28" s="2036"/>
      <c r="O28" s="1633"/>
      <c r="P28" s="2036"/>
      <c r="Q28" s="1633"/>
      <c r="R28" s="2036"/>
      <c r="S28" s="1633"/>
    </row>
    <row r="29" spans="1:22">
      <c r="A29" s="2037"/>
      <c r="B29" s="1800" t="s">
        <v>4797</v>
      </c>
      <c r="C29" s="2019">
        <v>1</v>
      </c>
      <c r="D29" s="2020">
        <v>8</v>
      </c>
      <c r="E29" s="2021" t="s">
        <v>2803</v>
      </c>
      <c r="F29" s="2043">
        <v>650</v>
      </c>
      <c r="G29" s="662">
        <f>ROUND(D29*F29,0)</f>
        <v>5200</v>
      </c>
      <c r="H29" s="2036"/>
      <c r="I29" s="1634"/>
      <c r="J29" s="2036"/>
      <c r="K29" s="1634"/>
      <c r="L29" s="2036"/>
      <c r="M29" s="1633"/>
      <c r="N29" s="2036"/>
      <c r="O29" s="1633"/>
      <c r="P29" s="2036"/>
      <c r="Q29" s="1633"/>
      <c r="R29" s="2036"/>
      <c r="S29" s="1633"/>
    </row>
    <row r="30" spans="1:22">
      <c r="A30" s="2037"/>
      <c r="B30" s="1800" t="s">
        <v>4798</v>
      </c>
      <c r="C30" s="2019">
        <v>4</v>
      </c>
      <c r="D30" s="2020">
        <v>2</v>
      </c>
      <c r="E30" s="2021" t="s">
        <v>2803</v>
      </c>
      <c r="F30" s="2043">
        <v>750</v>
      </c>
      <c r="G30" s="662">
        <f>ROUND(D30*F30,0)</f>
        <v>1500</v>
      </c>
      <c r="H30" s="2036"/>
      <c r="I30" s="1634"/>
      <c r="J30" s="2036"/>
      <c r="K30" s="1634"/>
      <c r="L30" s="2036"/>
      <c r="M30" s="1633"/>
      <c r="N30" s="2036"/>
      <c r="O30" s="1633"/>
      <c r="P30" s="2036"/>
      <c r="Q30" s="1633"/>
      <c r="R30" s="2036"/>
      <c r="S30" s="1633"/>
    </row>
    <row r="31" spans="1:22">
      <c r="A31" s="2037"/>
      <c r="B31" s="1796" t="s">
        <v>4799</v>
      </c>
      <c r="C31" s="2019"/>
      <c r="D31" s="2020"/>
      <c r="E31" s="2021"/>
      <c r="F31" s="2043"/>
      <c r="G31" s="662">
        <f t="shared" si="5"/>
        <v>0</v>
      </c>
      <c r="H31" s="2036"/>
      <c r="I31" s="1634"/>
      <c r="J31" s="2036"/>
      <c r="K31" s="1634"/>
      <c r="L31" s="2036"/>
      <c r="M31" s="1633"/>
      <c r="N31" s="2036"/>
      <c r="O31" s="1633"/>
      <c r="P31" s="2036"/>
      <c r="Q31" s="1633"/>
      <c r="R31" s="2036"/>
      <c r="S31" s="1633"/>
    </row>
    <row r="32" spans="1:22">
      <c r="A32" s="2037"/>
      <c r="B32" s="1800" t="s">
        <v>4792</v>
      </c>
      <c r="C32" s="2019">
        <v>2</v>
      </c>
      <c r="D32" s="2020">
        <v>38</v>
      </c>
      <c r="E32" s="2021" t="s">
        <v>2803</v>
      </c>
      <c r="F32" s="2043">
        <v>1000</v>
      </c>
      <c r="G32" s="662">
        <f t="shared" si="5"/>
        <v>38000</v>
      </c>
      <c r="H32" s="2036"/>
      <c r="I32" s="1634"/>
      <c r="J32" s="2036"/>
      <c r="K32" s="1634"/>
      <c r="L32" s="2036"/>
      <c r="M32" s="1633"/>
      <c r="N32" s="2036"/>
      <c r="O32" s="1633"/>
      <c r="P32" s="2036"/>
      <c r="Q32" s="1633"/>
      <c r="R32" s="2036"/>
      <c r="S32" s="1633"/>
    </row>
    <row r="33" spans="1:25">
      <c r="A33" s="2037"/>
      <c r="B33" s="1800" t="s">
        <v>4793</v>
      </c>
      <c r="C33" s="2019">
        <v>2</v>
      </c>
      <c r="D33" s="2020">
        <v>3</v>
      </c>
      <c r="E33" s="2021" t="s">
        <v>2803</v>
      </c>
      <c r="F33" s="2043">
        <v>1050</v>
      </c>
      <c r="G33" s="662">
        <f t="shared" si="5"/>
        <v>3150</v>
      </c>
      <c r="H33" s="2036"/>
      <c r="I33" s="1634"/>
      <c r="J33" s="2036"/>
      <c r="K33" s="1634"/>
      <c r="L33" s="2036"/>
      <c r="M33" s="1633"/>
      <c r="N33" s="2036"/>
      <c r="O33" s="1633"/>
      <c r="P33" s="2036"/>
      <c r="Q33" s="1633"/>
      <c r="R33" s="2036"/>
      <c r="S33" s="1633"/>
    </row>
    <row r="34" spans="1:25">
      <c r="A34" s="2037"/>
      <c r="B34" s="1800" t="s">
        <v>4800</v>
      </c>
      <c r="C34" s="2019">
        <v>56</v>
      </c>
      <c r="D34" s="2020">
        <f>6*2</f>
        <v>12</v>
      </c>
      <c r="E34" s="2021" t="s">
        <v>2803</v>
      </c>
      <c r="F34" s="2043">
        <v>1050</v>
      </c>
      <c r="G34" s="662">
        <f t="shared" si="5"/>
        <v>12600</v>
      </c>
      <c r="H34" s="2036"/>
      <c r="I34" s="1634"/>
      <c r="J34" s="2036"/>
      <c r="K34" s="1634"/>
      <c r="L34" s="2036"/>
      <c r="M34" s="1633"/>
      <c r="N34" s="2036"/>
      <c r="O34" s="1633"/>
      <c r="P34" s="2036"/>
      <c r="Q34" s="1633"/>
      <c r="R34" s="2036"/>
      <c r="S34" s="1633"/>
    </row>
    <row r="35" spans="1:25">
      <c r="A35" s="2037"/>
      <c r="B35" s="1796" t="s">
        <v>4801</v>
      </c>
      <c r="C35" s="2019">
        <v>1</v>
      </c>
      <c r="D35" s="2020"/>
      <c r="E35" s="2021"/>
      <c r="F35" s="2043"/>
      <c r="G35" s="662">
        <f t="shared" ref="G35" si="6">ROUND(D35*F35,0)</f>
        <v>0</v>
      </c>
      <c r="H35" s="2036"/>
      <c r="I35" s="1634"/>
      <c r="J35" s="2036"/>
      <c r="K35" s="1634"/>
      <c r="L35" s="2036"/>
      <c r="M35" s="1633"/>
      <c r="N35" s="2036"/>
      <c r="O35" s="1633"/>
      <c r="P35" s="2036"/>
      <c r="Q35" s="1633"/>
      <c r="R35" s="2036"/>
      <c r="S35" s="1633"/>
    </row>
    <row r="36" spans="1:25">
      <c r="A36" s="2037"/>
      <c r="B36" s="1800" t="s">
        <v>4792</v>
      </c>
      <c r="C36" s="2019">
        <v>17</v>
      </c>
      <c r="D36" s="2020">
        <v>5</v>
      </c>
      <c r="E36" s="2021" t="s">
        <v>2803</v>
      </c>
      <c r="F36" s="2043">
        <v>1200</v>
      </c>
      <c r="G36" s="662">
        <f t="shared" si="5"/>
        <v>6000</v>
      </c>
      <c r="H36" s="2036"/>
      <c r="I36" s="1634"/>
      <c r="J36" s="2036"/>
      <c r="K36" s="1634"/>
      <c r="L36" s="2036"/>
      <c r="M36" s="1633"/>
      <c r="N36" s="2036"/>
      <c r="O36" s="1633"/>
      <c r="P36" s="2036"/>
      <c r="Q36" s="1633"/>
      <c r="R36" s="2036"/>
      <c r="S36" s="1633"/>
    </row>
    <row r="37" spans="1:25">
      <c r="A37" s="2037"/>
      <c r="B37" s="1800" t="s">
        <v>4793</v>
      </c>
      <c r="C37" s="2019">
        <v>1</v>
      </c>
      <c r="D37" s="2020">
        <v>8</v>
      </c>
      <c r="E37" s="2021" t="s">
        <v>2803</v>
      </c>
      <c r="F37" s="2043">
        <v>1250</v>
      </c>
      <c r="G37" s="662">
        <f t="shared" si="5"/>
        <v>10000</v>
      </c>
      <c r="H37" s="2036"/>
      <c r="I37" s="1634"/>
      <c r="J37" s="2036"/>
      <c r="K37" s="1634"/>
      <c r="L37" s="2036"/>
      <c r="M37" s="1633"/>
      <c r="N37" s="2036"/>
      <c r="O37" s="1633"/>
      <c r="P37" s="2036"/>
      <c r="Q37" s="1633"/>
      <c r="R37" s="2036"/>
      <c r="S37" s="1633"/>
    </row>
    <row r="38" spans="1:25">
      <c r="A38" s="2037"/>
      <c r="B38" s="1800" t="s">
        <v>4800</v>
      </c>
      <c r="C38" s="2019">
        <v>2</v>
      </c>
      <c r="D38" s="2020">
        <f>2*2</f>
        <v>4</v>
      </c>
      <c r="E38" s="2021" t="s">
        <v>2803</v>
      </c>
      <c r="F38" s="2043">
        <v>1250</v>
      </c>
      <c r="G38" s="662">
        <f t="shared" si="5"/>
        <v>5000</v>
      </c>
      <c r="H38" s="2036"/>
      <c r="I38" s="1634"/>
      <c r="J38" s="2036"/>
      <c r="K38" s="1634"/>
      <c r="L38" s="2036"/>
      <c r="M38" s="1633"/>
      <c r="N38" s="2036"/>
      <c r="O38" s="1633"/>
      <c r="P38" s="2036"/>
      <c r="Q38" s="1633"/>
      <c r="R38" s="2036"/>
      <c r="S38" s="1633"/>
    </row>
    <row r="39" spans="1:25">
      <c r="A39" s="2037"/>
      <c r="B39" s="1796"/>
      <c r="C39" s="2019"/>
      <c r="D39" s="2020"/>
      <c r="E39" s="2021"/>
      <c r="F39" s="2043"/>
      <c r="G39" s="662">
        <f t="shared" si="5"/>
        <v>0</v>
      </c>
      <c r="H39" s="2036"/>
      <c r="I39" s="1634"/>
      <c r="J39" s="2036"/>
      <c r="K39" s="1634"/>
      <c r="L39" s="2036"/>
      <c r="M39" s="1633"/>
      <c r="N39" s="2036"/>
      <c r="O39" s="1633"/>
      <c r="P39" s="2036"/>
      <c r="Q39" s="1633"/>
      <c r="R39" s="2036"/>
      <c r="S39" s="1633"/>
    </row>
    <row r="40" spans="1:25">
      <c r="A40" s="2037"/>
      <c r="B40" s="1796" t="s">
        <v>4802</v>
      </c>
      <c r="C40" s="2019"/>
      <c r="D40" s="2020"/>
      <c r="E40" s="2021"/>
      <c r="F40" s="2043"/>
      <c r="G40" s="662">
        <f t="shared" si="5"/>
        <v>0</v>
      </c>
      <c r="H40" s="2036"/>
      <c r="I40" s="1634"/>
      <c r="J40" s="2036"/>
      <c r="K40" s="1634"/>
      <c r="L40" s="2036"/>
      <c r="M40" s="1633"/>
      <c r="N40" s="2036"/>
      <c r="O40" s="1633"/>
      <c r="P40" s="2036"/>
      <c r="Q40" s="1633"/>
      <c r="R40" s="2036"/>
      <c r="S40" s="1633"/>
    </row>
    <row r="41" spans="1:25">
      <c r="A41" s="2037"/>
      <c r="B41" s="1796" t="s">
        <v>4803</v>
      </c>
      <c r="C41" s="2019"/>
      <c r="D41" s="2020"/>
      <c r="E41" s="2021"/>
      <c r="F41" s="2043"/>
      <c r="G41" s="662"/>
      <c r="H41" s="2036"/>
      <c r="I41" s="1634"/>
      <c r="J41" s="2036"/>
      <c r="K41" s="1634"/>
      <c r="L41" s="2036"/>
      <c r="M41" s="1633"/>
      <c r="N41" s="2036"/>
      <c r="O41" s="1633"/>
      <c r="P41" s="2036"/>
      <c r="Q41" s="1633"/>
      <c r="R41" s="2036"/>
      <c r="S41" s="1633"/>
    </row>
    <row r="42" spans="1:25">
      <c r="A42" s="2037"/>
      <c r="B42" s="1796"/>
      <c r="C42" s="2019"/>
      <c r="D42" s="2020"/>
      <c r="E42" s="2021"/>
      <c r="F42" s="2043"/>
      <c r="G42" s="662"/>
      <c r="H42" s="2036"/>
      <c r="I42" s="1634"/>
      <c r="J42" s="2036"/>
      <c r="K42" s="1634"/>
      <c r="L42" s="2036"/>
      <c r="M42" s="1633"/>
      <c r="N42" s="2036"/>
      <c r="O42" s="1633"/>
      <c r="P42" s="2036"/>
      <c r="Q42" s="1633"/>
      <c r="R42" s="2036"/>
      <c r="S42" s="1633"/>
    </row>
    <row r="43" spans="1:25">
      <c r="A43" s="2037"/>
      <c r="B43" s="1800" t="s">
        <v>4804</v>
      </c>
      <c r="C43" s="2019"/>
      <c r="D43" s="2020"/>
      <c r="E43" s="2021"/>
      <c r="F43" s="2043"/>
      <c r="G43" s="662"/>
      <c r="H43" s="2036"/>
      <c r="I43" s="1634">
        <v>118000</v>
      </c>
      <c r="J43" s="2036"/>
      <c r="K43" s="1634"/>
      <c r="L43" s="2036"/>
      <c r="M43" s="1633"/>
      <c r="N43" s="2036"/>
      <c r="O43" s="1633"/>
      <c r="P43" s="2036"/>
      <c r="Q43" s="1633"/>
      <c r="R43" s="2036"/>
      <c r="S43" s="1633"/>
    </row>
    <row r="44" spans="1:25">
      <c r="A44" s="2037"/>
      <c r="B44" s="1800" t="s">
        <v>4805</v>
      </c>
      <c r="C44" s="2019"/>
      <c r="D44" s="2020"/>
      <c r="E44" s="2021"/>
      <c r="F44" s="2043"/>
      <c r="G44" s="662"/>
      <c r="H44" s="2036"/>
      <c r="I44" s="1634">
        <v>80000</v>
      </c>
      <c r="J44" s="2036"/>
      <c r="K44" s="1634"/>
      <c r="L44" s="2036"/>
      <c r="M44" s="1633"/>
      <c r="N44" s="2036"/>
      <c r="O44" s="1633"/>
      <c r="P44" s="2036"/>
      <c r="Q44" s="1633"/>
      <c r="R44" s="2036"/>
      <c r="S44" s="1633"/>
    </row>
    <row r="45" spans="1:25">
      <c r="A45" s="2037"/>
      <c r="B45" s="1800"/>
      <c r="C45" s="2019"/>
      <c r="D45" s="2020">
        <v>2</v>
      </c>
      <c r="E45" s="2021" t="s">
        <v>2803</v>
      </c>
      <c r="F45" s="2043">
        <v>650</v>
      </c>
      <c r="G45" s="662">
        <f t="shared" si="5"/>
        <v>1300</v>
      </c>
      <c r="H45" s="2036"/>
      <c r="I45" s="1634"/>
      <c r="J45" s="2036"/>
      <c r="K45" s="1634"/>
      <c r="L45" s="2036"/>
      <c r="M45" s="1633"/>
      <c r="N45" s="2036"/>
      <c r="O45" s="1633"/>
      <c r="P45" s="2036"/>
      <c r="Q45" s="1633"/>
      <c r="R45" s="2036"/>
      <c r="S45" s="1633"/>
      <c r="U45">
        <v>12</v>
      </c>
      <c r="V45" s="46" t="s">
        <v>4806</v>
      </c>
      <c r="W45">
        <v>2</v>
      </c>
      <c r="X45" t="s">
        <v>3041</v>
      </c>
      <c r="Y45" t="s">
        <v>2795</v>
      </c>
    </row>
    <row r="46" spans="1:25">
      <c r="A46" s="2037"/>
      <c r="B46" s="1800" t="s">
        <v>4807</v>
      </c>
      <c r="C46" s="2019"/>
      <c r="D46" s="2020">
        <v>2</v>
      </c>
      <c r="E46" s="2021" t="s">
        <v>2803</v>
      </c>
      <c r="F46" s="2043">
        <v>650</v>
      </c>
      <c r="G46" s="662">
        <f t="shared" si="5"/>
        <v>1300</v>
      </c>
      <c r="H46" s="2036"/>
      <c r="I46" s="1634"/>
      <c r="J46" s="2036"/>
      <c r="K46" s="1634"/>
      <c r="L46" s="2036"/>
      <c r="M46" s="1633"/>
      <c r="N46" s="2036"/>
      <c r="O46" s="1633"/>
      <c r="P46" s="2036"/>
      <c r="Q46" s="1633"/>
      <c r="R46" s="2036"/>
      <c r="S46" s="1633"/>
      <c r="U46">
        <v>11</v>
      </c>
      <c r="V46" s="46" t="s">
        <v>4807</v>
      </c>
      <c r="W46">
        <v>2</v>
      </c>
      <c r="X46" t="s">
        <v>3041</v>
      </c>
      <c r="Y46" t="s">
        <v>2795</v>
      </c>
    </row>
    <row r="47" spans="1:25">
      <c r="A47" s="2037"/>
      <c r="B47" s="1800" t="s">
        <v>4808</v>
      </c>
      <c r="C47" s="2019"/>
      <c r="D47" s="2020">
        <v>26</v>
      </c>
      <c r="E47" s="2021" t="s">
        <v>2803</v>
      </c>
      <c r="F47" s="2043">
        <v>650</v>
      </c>
      <c r="G47" s="662">
        <f t="shared" si="5"/>
        <v>16900</v>
      </c>
      <c r="H47" s="2036"/>
      <c r="I47" s="1634"/>
      <c r="J47" s="2036"/>
      <c r="K47" s="1634"/>
      <c r="L47" s="2036"/>
      <c r="M47" s="1633"/>
      <c r="N47" s="2036"/>
      <c r="O47" s="1633"/>
      <c r="P47" s="2036"/>
      <c r="Q47" s="1633"/>
      <c r="R47" s="2036"/>
      <c r="S47" s="1633"/>
      <c r="U47">
        <v>9</v>
      </c>
      <c r="V47" s="46" t="s">
        <v>4808</v>
      </c>
      <c r="W47">
        <v>26</v>
      </c>
      <c r="X47" t="s">
        <v>3041</v>
      </c>
      <c r="Y47" t="s">
        <v>2795</v>
      </c>
    </row>
    <row r="48" spans="1:25">
      <c r="A48" s="2037"/>
      <c r="B48" s="1800" t="s">
        <v>4809</v>
      </c>
      <c r="C48" s="2019"/>
      <c r="D48" s="2020">
        <v>3</v>
      </c>
      <c r="E48" s="2021" t="s">
        <v>2803</v>
      </c>
      <c r="F48" s="2043">
        <v>700</v>
      </c>
      <c r="G48" s="662">
        <f t="shared" si="5"/>
        <v>2100</v>
      </c>
      <c r="H48" s="2036"/>
      <c r="I48" s="1634"/>
      <c r="J48" s="2036"/>
      <c r="K48" s="1634"/>
      <c r="L48" s="2036"/>
      <c r="M48" s="1633"/>
      <c r="N48" s="2036"/>
      <c r="O48" s="1633"/>
      <c r="P48" s="2036"/>
      <c r="Q48" s="1633"/>
      <c r="R48" s="2036"/>
      <c r="S48" s="1633"/>
      <c r="U48">
        <v>33</v>
      </c>
      <c r="V48" s="46" t="s">
        <v>4809</v>
      </c>
      <c r="W48">
        <v>3</v>
      </c>
      <c r="X48" t="s">
        <v>3041</v>
      </c>
      <c r="Y48" t="s">
        <v>2795</v>
      </c>
    </row>
    <row r="49" spans="1:25">
      <c r="A49" s="2037"/>
      <c r="B49" s="1800" t="s">
        <v>4810</v>
      </c>
      <c r="C49" s="2019"/>
      <c r="D49" s="2020">
        <v>1</v>
      </c>
      <c r="E49" s="2021" t="s">
        <v>2803</v>
      </c>
      <c r="F49" s="2043">
        <v>800</v>
      </c>
      <c r="G49" s="662">
        <f t="shared" si="5"/>
        <v>800</v>
      </c>
      <c r="H49" s="2036"/>
      <c r="I49" s="1634"/>
      <c r="J49" s="2036"/>
      <c r="K49" s="1634"/>
      <c r="L49" s="2036"/>
      <c r="M49" s="1633"/>
      <c r="N49" s="2036"/>
      <c r="O49" s="1633"/>
      <c r="P49" s="2036"/>
      <c r="Q49" s="1633"/>
      <c r="R49" s="2036"/>
      <c r="S49" s="1633"/>
      <c r="U49">
        <v>21</v>
      </c>
      <c r="V49" s="46" t="s">
        <v>4810</v>
      </c>
      <c r="W49">
        <v>1</v>
      </c>
      <c r="X49" t="s">
        <v>3041</v>
      </c>
      <c r="Y49" t="s">
        <v>2795</v>
      </c>
    </row>
    <row r="50" spans="1:25">
      <c r="A50" s="2037"/>
      <c r="B50" s="1800" t="s">
        <v>4811</v>
      </c>
      <c r="C50" s="2019"/>
      <c r="D50" s="2020">
        <v>2</v>
      </c>
      <c r="E50" s="2021" t="s">
        <v>2803</v>
      </c>
      <c r="F50" s="2043">
        <v>1000</v>
      </c>
      <c r="G50" s="662">
        <f t="shared" si="5"/>
        <v>2000</v>
      </c>
      <c r="H50" s="2036"/>
      <c r="I50" s="1634"/>
      <c r="J50" s="2036"/>
      <c r="K50" s="1634"/>
      <c r="L50" s="2036"/>
      <c r="M50" s="1633"/>
      <c r="N50" s="2036"/>
      <c r="O50" s="1633"/>
      <c r="P50" s="2036"/>
      <c r="Q50" s="1633"/>
      <c r="R50" s="2036"/>
      <c r="S50" s="1633"/>
      <c r="U50">
        <v>23</v>
      </c>
      <c r="V50" s="46" t="s">
        <v>4811</v>
      </c>
      <c r="W50">
        <v>2</v>
      </c>
      <c r="X50" t="s">
        <v>3041</v>
      </c>
      <c r="Y50" t="s">
        <v>2795</v>
      </c>
    </row>
    <row r="51" spans="1:25">
      <c r="A51" s="2037"/>
      <c r="B51" s="2046" t="s">
        <v>4812</v>
      </c>
      <c r="C51" s="2019"/>
      <c r="D51" s="2020">
        <v>3</v>
      </c>
      <c r="E51" s="2021" t="s">
        <v>2803</v>
      </c>
      <c r="F51" s="2043">
        <v>1000</v>
      </c>
      <c r="G51" s="2047">
        <f t="shared" si="5"/>
        <v>3000</v>
      </c>
      <c r="H51" s="2036"/>
      <c r="I51" s="1634"/>
      <c r="J51" s="2036"/>
      <c r="K51" s="1634"/>
      <c r="L51" s="2036"/>
      <c r="M51" s="1633"/>
      <c r="N51" s="2036"/>
      <c r="O51" s="1633"/>
      <c r="P51" s="2036"/>
      <c r="Q51" s="1633"/>
      <c r="R51" s="2036"/>
      <c r="S51" s="1633"/>
      <c r="U51">
        <v>14</v>
      </c>
      <c r="V51" s="46" t="s">
        <v>4812</v>
      </c>
      <c r="W51">
        <v>3</v>
      </c>
      <c r="X51" t="s">
        <v>3041</v>
      </c>
      <c r="Y51" t="s">
        <v>2795</v>
      </c>
    </row>
    <row r="52" spans="1:25">
      <c r="A52" s="2037"/>
      <c r="B52" s="2048" t="s">
        <v>4813</v>
      </c>
      <c r="C52" s="2049"/>
      <c r="D52" s="2050">
        <v>65</v>
      </c>
      <c r="E52" s="2051" t="s">
        <v>2803</v>
      </c>
      <c r="F52" s="2052">
        <v>1000</v>
      </c>
      <c r="G52" s="2053">
        <f t="shared" si="5"/>
        <v>65000</v>
      </c>
      <c r="H52" s="2036"/>
      <c r="I52" s="1634"/>
      <c r="J52" s="2036"/>
      <c r="K52" s="1634"/>
      <c r="L52" s="2036"/>
      <c r="M52" s="1633"/>
      <c r="N52" s="2036"/>
      <c r="O52" s="1633"/>
      <c r="P52" s="2036"/>
      <c r="Q52" s="1633"/>
      <c r="R52" s="2036"/>
      <c r="S52" s="1633"/>
      <c r="U52">
        <v>13</v>
      </c>
      <c r="V52" s="46" t="s">
        <v>4813</v>
      </c>
      <c r="W52">
        <v>65</v>
      </c>
      <c r="X52" t="s">
        <v>3041</v>
      </c>
      <c r="Y52" t="s">
        <v>2795</v>
      </c>
    </row>
    <row r="53" spans="1:25">
      <c r="A53" s="2037"/>
      <c r="B53" s="1800" t="s">
        <v>4814</v>
      </c>
      <c r="C53" s="2019"/>
      <c r="D53" s="2020">
        <v>2</v>
      </c>
      <c r="E53" s="2021" t="s">
        <v>2803</v>
      </c>
      <c r="F53" s="2043">
        <v>1100</v>
      </c>
      <c r="G53" s="662">
        <f t="shared" si="5"/>
        <v>2200</v>
      </c>
      <c r="H53" s="2036"/>
      <c r="I53" s="1634"/>
      <c r="J53" s="2036"/>
      <c r="K53" s="1634"/>
      <c r="L53" s="2036"/>
      <c r="M53" s="1633"/>
      <c r="N53" s="2036"/>
      <c r="O53" s="1633"/>
      <c r="P53" s="2036"/>
      <c r="Q53" s="1633"/>
      <c r="R53" s="2036"/>
      <c r="S53" s="1633"/>
      <c r="U53">
        <v>36</v>
      </c>
      <c r="V53" s="46" t="s">
        <v>4814</v>
      </c>
      <c r="W53">
        <v>2</v>
      </c>
      <c r="X53" t="s">
        <v>3041</v>
      </c>
      <c r="Y53" t="s">
        <v>2795</v>
      </c>
    </row>
    <row r="54" spans="1:25">
      <c r="A54" s="2037"/>
      <c r="B54" s="1800" t="s">
        <v>4815</v>
      </c>
      <c r="C54" s="2019"/>
      <c r="D54" s="2020">
        <v>5</v>
      </c>
      <c r="E54" s="2021" t="s">
        <v>2803</v>
      </c>
      <c r="F54" s="2043">
        <v>2000</v>
      </c>
      <c r="G54" s="662">
        <f t="shared" si="5"/>
        <v>10000</v>
      </c>
      <c r="H54" s="2036"/>
      <c r="I54" s="1634"/>
      <c r="J54" s="2036"/>
      <c r="K54" s="1634"/>
      <c r="L54" s="2036"/>
      <c r="M54" s="1633"/>
      <c r="N54" s="2036"/>
      <c r="O54" s="1633"/>
      <c r="P54" s="2036"/>
      <c r="Q54" s="1633"/>
      <c r="R54" s="2036"/>
      <c r="S54" s="1633"/>
      <c r="U54">
        <v>15</v>
      </c>
      <c r="V54" s="46" t="s">
        <v>4815</v>
      </c>
      <c r="W54">
        <v>5</v>
      </c>
      <c r="X54" t="s">
        <v>3041</v>
      </c>
      <c r="Y54" t="s">
        <v>2795</v>
      </c>
    </row>
    <row r="55" spans="1:25">
      <c r="A55" s="2037"/>
      <c r="B55" s="1800" t="s">
        <v>4816</v>
      </c>
      <c r="C55" s="2019"/>
      <c r="D55" s="2020">
        <v>2</v>
      </c>
      <c r="E55" s="2021" t="s">
        <v>2803</v>
      </c>
      <c r="F55" s="2043">
        <v>2000</v>
      </c>
      <c r="G55" s="662">
        <f t="shared" si="5"/>
        <v>4000</v>
      </c>
      <c r="H55" s="2036"/>
      <c r="I55" s="1634"/>
      <c r="J55" s="2036"/>
      <c r="K55" s="1634"/>
      <c r="L55" s="2036"/>
      <c r="M55" s="1633"/>
      <c r="N55" s="2036"/>
      <c r="O55" s="1633"/>
      <c r="P55" s="2036"/>
      <c r="Q55" s="1633"/>
      <c r="R55" s="2036"/>
      <c r="S55" s="1633"/>
      <c r="U55">
        <v>16</v>
      </c>
      <c r="V55" s="46" t="s">
        <v>4816</v>
      </c>
      <c r="W55">
        <v>2</v>
      </c>
      <c r="X55" t="s">
        <v>3041</v>
      </c>
      <c r="Y55" t="s">
        <v>2795</v>
      </c>
    </row>
    <row r="56" spans="1:25">
      <c r="A56" s="2037"/>
      <c r="B56" s="1796"/>
      <c r="C56" s="2049"/>
      <c r="D56" s="2050"/>
      <c r="E56" s="2051"/>
      <c r="F56" s="2052"/>
      <c r="G56" s="662"/>
      <c r="H56" s="2036"/>
      <c r="I56" s="1634"/>
      <c r="J56" s="2036"/>
      <c r="K56" s="1634"/>
      <c r="L56" s="2036"/>
      <c r="M56" s="1633"/>
      <c r="N56" s="2036"/>
      <c r="O56" s="1633"/>
      <c r="P56" s="2036"/>
      <c r="Q56" s="1633"/>
      <c r="R56" s="2036"/>
      <c r="S56" s="1633"/>
    </row>
    <row r="57" spans="1:25">
      <c r="A57" s="2037"/>
      <c r="B57" s="1796" t="s">
        <v>4817</v>
      </c>
      <c r="C57" s="2019"/>
      <c r="D57" s="2020"/>
      <c r="E57" s="2021"/>
      <c r="F57" s="2043"/>
      <c r="G57" s="662">
        <f t="shared" si="5"/>
        <v>0</v>
      </c>
      <c r="H57" s="2036"/>
      <c r="I57" s="1634"/>
      <c r="J57" s="2036"/>
      <c r="K57" s="1634"/>
      <c r="L57" s="2036"/>
      <c r="M57" s="1633"/>
      <c r="N57" s="2036"/>
      <c r="O57" s="1633"/>
      <c r="P57" s="2036"/>
      <c r="Q57" s="1633"/>
      <c r="R57" s="2036"/>
      <c r="S57" s="1633"/>
    </row>
    <row r="58" spans="1:25">
      <c r="A58" s="2037"/>
      <c r="B58" s="1800" t="s">
        <v>4818</v>
      </c>
      <c r="C58" s="2019"/>
      <c r="D58" s="2020">
        <v>4</v>
      </c>
      <c r="E58" s="2021" t="s">
        <v>2803</v>
      </c>
      <c r="F58" s="2043">
        <v>4100</v>
      </c>
      <c r="G58" s="662">
        <f t="shared" si="5"/>
        <v>16400</v>
      </c>
      <c r="H58" s="2036"/>
      <c r="I58" s="1643">
        <f t="shared" ref="I58:I63" si="7">$G58</f>
        <v>16400</v>
      </c>
      <c r="J58" s="2036"/>
      <c r="K58" s="1634"/>
      <c r="L58" s="2036"/>
      <c r="M58" s="1633"/>
      <c r="N58" s="2036"/>
      <c r="O58" s="1633"/>
      <c r="P58" s="2036"/>
      <c r="Q58" s="1633"/>
      <c r="R58" s="2036"/>
      <c r="S58" s="1633"/>
    </row>
    <row r="59" spans="1:25">
      <c r="A59" s="2037"/>
      <c r="B59" s="1796" t="s">
        <v>4819</v>
      </c>
      <c r="C59" s="2019"/>
      <c r="D59" s="2020"/>
      <c r="E59" s="2021"/>
      <c r="F59" s="2043"/>
      <c r="G59" s="662">
        <f t="shared" si="5"/>
        <v>0</v>
      </c>
      <c r="H59" s="2036"/>
      <c r="I59" s="1634">
        <f t="shared" si="7"/>
        <v>0</v>
      </c>
      <c r="J59" s="2036"/>
      <c r="K59" s="1634"/>
      <c r="L59" s="2036"/>
      <c r="M59" s="1633"/>
      <c r="N59" s="2036"/>
      <c r="O59" s="1633"/>
      <c r="P59" s="2036"/>
      <c r="Q59" s="1633"/>
      <c r="R59" s="2036"/>
      <c r="S59" s="1633"/>
    </row>
    <row r="60" spans="1:25">
      <c r="A60" s="2037"/>
      <c r="B60" s="1800" t="s">
        <v>4818</v>
      </c>
      <c r="C60" s="2019"/>
      <c r="D60" s="2020">
        <v>4</v>
      </c>
      <c r="E60" s="2021" t="s">
        <v>2803</v>
      </c>
      <c r="F60" s="2043">
        <v>2800</v>
      </c>
      <c r="G60" s="662">
        <f t="shared" si="5"/>
        <v>11200</v>
      </c>
      <c r="H60" s="2036"/>
      <c r="I60" s="1643">
        <f t="shared" si="7"/>
        <v>11200</v>
      </c>
      <c r="J60" s="2036"/>
      <c r="K60" s="1634"/>
      <c r="L60" s="2036"/>
      <c r="M60" s="1633"/>
      <c r="N60" s="2036"/>
      <c r="O60" s="1633"/>
      <c r="P60" s="2036"/>
      <c r="Q60" s="1633"/>
      <c r="R60" s="2036"/>
      <c r="S60" s="1633"/>
    </row>
    <row r="61" spans="1:25">
      <c r="A61" s="2037"/>
      <c r="B61" s="1800" t="s">
        <v>4820</v>
      </c>
      <c r="C61" s="2019"/>
      <c r="D61" s="2020">
        <v>1</v>
      </c>
      <c r="E61" s="2021" t="s">
        <v>2803</v>
      </c>
      <c r="F61" s="2043">
        <v>2800</v>
      </c>
      <c r="G61" s="662">
        <f t="shared" si="5"/>
        <v>2800</v>
      </c>
      <c r="H61" s="2036"/>
      <c r="I61" s="1643">
        <f t="shared" si="7"/>
        <v>2800</v>
      </c>
      <c r="J61" s="2036"/>
      <c r="K61" s="1634"/>
      <c r="L61" s="2036"/>
      <c r="M61" s="1633"/>
      <c r="N61" s="2036"/>
      <c r="O61" s="1633"/>
      <c r="P61" s="2036"/>
      <c r="Q61" s="1633"/>
      <c r="R61" s="2036"/>
      <c r="S61" s="1633"/>
    </row>
    <row r="62" spans="1:25">
      <c r="A62" s="2037"/>
      <c r="B62" s="1800"/>
      <c r="C62" s="2019"/>
      <c r="D62" s="2020"/>
      <c r="E62" s="2021"/>
      <c r="F62" s="2043"/>
      <c r="G62" s="662">
        <f t="shared" si="5"/>
        <v>0</v>
      </c>
      <c r="H62" s="2036"/>
      <c r="I62" s="1634"/>
      <c r="J62" s="2036"/>
      <c r="K62" s="1634"/>
      <c r="L62" s="2036"/>
      <c r="M62" s="1633"/>
      <c r="N62" s="2036"/>
      <c r="O62" s="1633"/>
      <c r="P62" s="2036"/>
      <c r="Q62" s="1633"/>
      <c r="R62" s="2036"/>
      <c r="S62" s="1633"/>
    </row>
    <row r="63" spans="1:25">
      <c r="A63" s="2037"/>
      <c r="B63" s="1877" t="s">
        <v>4821</v>
      </c>
      <c r="C63" s="2019"/>
      <c r="D63" s="2020">
        <f>SUM(D64:D129)</f>
        <v>182</v>
      </c>
      <c r="E63" s="2021" t="s">
        <v>2803</v>
      </c>
      <c r="F63" s="2043">
        <v>750</v>
      </c>
      <c r="G63" s="662">
        <f t="shared" si="5"/>
        <v>136500</v>
      </c>
      <c r="H63" s="2036"/>
      <c r="I63" s="1643">
        <f t="shared" si="7"/>
        <v>136500</v>
      </c>
      <c r="J63" s="2036"/>
      <c r="K63" s="1634"/>
      <c r="L63" s="2036"/>
      <c r="M63" s="1633"/>
      <c r="N63" s="2036"/>
      <c r="O63" s="1633"/>
      <c r="P63" s="2036"/>
      <c r="Q63" s="1633"/>
      <c r="R63" s="2036"/>
      <c r="S63" s="1633"/>
    </row>
    <row r="64" spans="1:25" outlineLevel="1">
      <c r="A64" s="2037"/>
      <c r="B64" s="1800">
        <v>1</v>
      </c>
      <c r="C64" s="2049"/>
      <c r="D64" s="2050">
        <v>1</v>
      </c>
      <c r="E64" s="2021" t="s">
        <v>2803</v>
      </c>
      <c r="F64" s="2043"/>
      <c r="G64" s="662">
        <f t="shared" ref="G64:G122" si="8">ROUND(D64*F64,0)</f>
        <v>0</v>
      </c>
      <c r="H64" s="2036"/>
      <c r="I64" s="1634"/>
      <c r="J64" s="2036"/>
      <c r="K64" s="1634"/>
      <c r="L64" s="2036"/>
      <c r="M64" s="1633"/>
      <c r="N64" s="2036"/>
      <c r="O64" s="1633"/>
      <c r="P64" s="2036"/>
      <c r="Q64" s="1633"/>
      <c r="R64" s="2036"/>
      <c r="S64" s="1633"/>
      <c r="V64" s="46">
        <v>1</v>
      </c>
      <c r="W64">
        <v>1</v>
      </c>
      <c r="X64" t="s">
        <v>3041</v>
      </c>
      <c r="Y64" t="s">
        <v>2795</v>
      </c>
    </row>
    <row r="65" spans="1:25" outlineLevel="1">
      <c r="A65" s="2037"/>
      <c r="B65" s="1800">
        <v>3</v>
      </c>
      <c r="C65" s="2049"/>
      <c r="D65" s="2050">
        <v>1</v>
      </c>
      <c r="E65" s="2021" t="s">
        <v>2803</v>
      </c>
      <c r="F65" s="2043"/>
      <c r="G65" s="662">
        <f t="shared" si="8"/>
        <v>0</v>
      </c>
      <c r="H65" s="2036"/>
      <c r="I65" s="1634"/>
      <c r="J65" s="2036"/>
      <c r="K65" s="1634"/>
      <c r="L65" s="2036"/>
      <c r="M65" s="1633"/>
      <c r="N65" s="2036"/>
      <c r="O65" s="1633"/>
      <c r="P65" s="2036"/>
      <c r="Q65" s="1633"/>
      <c r="R65" s="2036"/>
      <c r="S65" s="1633"/>
      <c r="V65" s="46">
        <v>3</v>
      </c>
      <c r="W65">
        <v>1</v>
      </c>
      <c r="X65" t="s">
        <v>3041</v>
      </c>
      <c r="Y65" t="s">
        <v>2795</v>
      </c>
    </row>
    <row r="66" spans="1:25" outlineLevel="1">
      <c r="A66" s="2037"/>
      <c r="B66" s="1800">
        <v>4</v>
      </c>
      <c r="C66" s="2049"/>
      <c r="D66" s="2050">
        <v>2</v>
      </c>
      <c r="E66" s="2021" t="s">
        <v>2803</v>
      </c>
      <c r="F66" s="2043"/>
      <c r="G66" s="662">
        <f t="shared" si="8"/>
        <v>0</v>
      </c>
      <c r="H66" s="2036"/>
      <c r="I66" s="1634"/>
      <c r="J66" s="2036"/>
      <c r="K66" s="1634"/>
      <c r="L66" s="2036"/>
      <c r="M66" s="1633"/>
      <c r="N66" s="2036"/>
      <c r="O66" s="1633"/>
      <c r="P66" s="2036"/>
      <c r="Q66" s="1633"/>
      <c r="R66" s="2036"/>
      <c r="S66" s="1633"/>
      <c r="V66" s="46">
        <v>4</v>
      </c>
      <c r="W66">
        <v>2</v>
      </c>
      <c r="X66" t="s">
        <v>3041</v>
      </c>
      <c r="Y66" t="s">
        <v>2795</v>
      </c>
    </row>
    <row r="67" spans="1:25" outlineLevel="1">
      <c r="A67" s="2037"/>
      <c r="B67" s="1800">
        <v>5</v>
      </c>
      <c r="C67" s="2049"/>
      <c r="D67" s="2050">
        <v>1</v>
      </c>
      <c r="E67" s="2021" t="s">
        <v>2803</v>
      </c>
      <c r="F67" s="2043"/>
      <c r="G67" s="662">
        <f t="shared" si="8"/>
        <v>0</v>
      </c>
      <c r="H67" s="2036"/>
      <c r="I67" s="1634"/>
      <c r="J67" s="2036"/>
      <c r="K67" s="1634"/>
      <c r="L67" s="2036"/>
      <c r="M67" s="1633"/>
      <c r="N67" s="2036"/>
      <c r="O67" s="1633"/>
      <c r="P67" s="2036"/>
      <c r="Q67" s="1633"/>
      <c r="R67" s="2036"/>
      <c r="S67" s="1633"/>
      <c r="V67" s="46">
        <v>5</v>
      </c>
      <c r="W67">
        <v>1</v>
      </c>
      <c r="X67" t="s">
        <v>3041</v>
      </c>
      <c r="Y67" t="s">
        <v>2795</v>
      </c>
    </row>
    <row r="68" spans="1:25" outlineLevel="1">
      <c r="A68" s="2037"/>
      <c r="B68" s="1800">
        <v>10</v>
      </c>
      <c r="C68" s="2049"/>
      <c r="D68" s="2050">
        <v>1</v>
      </c>
      <c r="E68" s="2021" t="s">
        <v>2803</v>
      </c>
      <c r="F68" s="2043"/>
      <c r="G68" s="662">
        <f t="shared" si="8"/>
        <v>0</v>
      </c>
      <c r="H68" s="2036"/>
      <c r="I68" s="1634"/>
      <c r="J68" s="2036"/>
      <c r="K68" s="1634"/>
      <c r="L68" s="2036"/>
      <c r="M68" s="1633"/>
      <c r="N68" s="2036"/>
      <c r="O68" s="1633"/>
      <c r="P68" s="2036"/>
      <c r="Q68" s="1633"/>
      <c r="R68" s="2036"/>
      <c r="S68" s="1633"/>
      <c r="V68" s="46">
        <v>10</v>
      </c>
      <c r="W68">
        <v>1</v>
      </c>
      <c r="X68" t="s">
        <v>3041</v>
      </c>
      <c r="Y68" t="s">
        <v>2795</v>
      </c>
    </row>
    <row r="69" spans="1:25" outlineLevel="1">
      <c r="A69" s="2037"/>
      <c r="B69" s="1800" t="s">
        <v>4822</v>
      </c>
      <c r="C69" s="2049"/>
      <c r="D69" s="2050">
        <v>3</v>
      </c>
      <c r="E69" s="2021" t="s">
        <v>2803</v>
      </c>
      <c r="F69" s="2043"/>
      <c r="G69" s="662">
        <f t="shared" si="8"/>
        <v>0</v>
      </c>
      <c r="H69" s="2036"/>
      <c r="I69" s="1634"/>
      <c r="J69" s="2036"/>
      <c r="K69" s="1634"/>
      <c r="L69" s="2036"/>
      <c r="M69" s="1633"/>
      <c r="N69" s="2036"/>
      <c r="O69" s="1633"/>
      <c r="P69" s="2036"/>
      <c r="Q69" s="1633"/>
      <c r="R69" s="2036"/>
      <c r="S69" s="1633"/>
      <c r="V69" s="46" t="s">
        <v>4822</v>
      </c>
      <c r="W69">
        <v>3</v>
      </c>
      <c r="X69" t="s">
        <v>3041</v>
      </c>
      <c r="Y69" t="s">
        <v>2795</v>
      </c>
    </row>
    <row r="70" spans="1:25" outlineLevel="1">
      <c r="A70" s="2037"/>
      <c r="B70" s="1800">
        <v>12</v>
      </c>
      <c r="C70" s="2049"/>
      <c r="D70" s="2050">
        <v>2</v>
      </c>
      <c r="E70" s="2021" t="s">
        <v>2803</v>
      </c>
      <c r="F70" s="2043"/>
      <c r="G70" s="662">
        <f t="shared" si="8"/>
        <v>0</v>
      </c>
      <c r="H70" s="2036"/>
      <c r="I70" s="1634"/>
      <c r="J70" s="2036"/>
      <c r="K70" s="1634"/>
      <c r="L70" s="2036"/>
      <c r="M70" s="1633"/>
      <c r="N70" s="2036"/>
      <c r="O70" s="1633"/>
      <c r="P70" s="2036"/>
      <c r="Q70" s="1633"/>
      <c r="R70" s="2036"/>
      <c r="S70" s="1633"/>
      <c r="V70" s="46">
        <v>12</v>
      </c>
      <c r="W70">
        <v>2</v>
      </c>
      <c r="X70" t="s">
        <v>3041</v>
      </c>
      <c r="Y70" t="s">
        <v>2795</v>
      </c>
    </row>
    <row r="71" spans="1:25" outlineLevel="1">
      <c r="A71" s="2037"/>
      <c r="B71" s="1800">
        <v>14</v>
      </c>
      <c r="C71" s="2049"/>
      <c r="D71" s="2050">
        <v>1</v>
      </c>
      <c r="E71" s="2021" t="s">
        <v>2803</v>
      </c>
      <c r="F71" s="2043"/>
      <c r="G71" s="662">
        <f t="shared" si="8"/>
        <v>0</v>
      </c>
      <c r="H71" s="2036"/>
      <c r="I71" s="1634"/>
      <c r="J71" s="2036"/>
      <c r="K71" s="1634"/>
      <c r="L71" s="2036"/>
      <c r="M71" s="1633"/>
      <c r="N71" s="2036"/>
      <c r="O71" s="1633"/>
      <c r="P71" s="2036"/>
      <c r="Q71" s="1633"/>
      <c r="R71" s="2036"/>
      <c r="S71" s="1633"/>
      <c r="V71" s="46">
        <v>14</v>
      </c>
      <c r="W71">
        <v>1</v>
      </c>
      <c r="X71" t="s">
        <v>3041</v>
      </c>
      <c r="Y71" t="s">
        <v>2795</v>
      </c>
    </row>
    <row r="72" spans="1:25" outlineLevel="1">
      <c r="A72" s="2037"/>
      <c r="B72" s="1800" t="s">
        <v>4823</v>
      </c>
      <c r="C72" s="2049"/>
      <c r="D72" s="2050">
        <v>1</v>
      </c>
      <c r="E72" s="2021" t="s">
        <v>2803</v>
      </c>
      <c r="F72" s="2043"/>
      <c r="G72" s="662">
        <f t="shared" si="8"/>
        <v>0</v>
      </c>
      <c r="H72" s="2036"/>
      <c r="I72" s="1634"/>
      <c r="J72" s="2036"/>
      <c r="K72" s="1634"/>
      <c r="L72" s="2036"/>
      <c r="M72" s="1633"/>
      <c r="N72" s="2036"/>
      <c r="O72" s="1633"/>
      <c r="P72" s="2036"/>
      <c r="Q72" s="1633"/>
      <c r="R72" s="2036"/>
      <c r="S72" s="1633"/>
      <c r="V72" s="46" t="s">
        <v>4823</v>
      </c>
      <c r="W72">
        <v>1</v>
      </c>
      <c r="X72" t="s">
        <v>3041</v>
      </c>
      <c r="Y72" t="s">
        <v>2795</v>
      </c>
    </row>
    <row r="73" spans="1:25" outlineLevel="1">
      <c r="A73" s="2037"/>
      <c r="B73" s="1800" t="s">
        <v>4824</v>
      </c>
      <c r="C73" s="2049"/>
      <c r="D73" s="2050">
        <v>1</v>
      </c>
      <c r="E73" s="2021" t="s">
        <v>2803</v>
      </c>
      <c r="F73" s="2043"/>
      <c r="G73" s="662">
        <f t="shared" si="8"/>
        <v>0</v>
      </c>
      <c r="H73" s="2036"/>
      <c r="I73" s="1634"/>
      <c r="J73" s="2036"/>
      <c r="K73" s="1634"/>
      <c r="L73" s="2036"/>
      <c r="M73" s="1633"/>
      <c r="N73" s="2036"/>
      <c r="O73" s="1633"/>
      <c r="P73" s="2036"/>
      <c r="Q73" s="1633"/>
      <c r="R73" s="2036"/>
      <c r="S73" s="1633"/>
      <c r="V73" s="46" t="s">
        <v>4824</v>
      </c>
      <c r="W73">
        <v>1</v>
      </c>
      <c r="X73" t="s">
        <v>3041</v>
      </c>
      <c r="Y73" t="s">
        <v>2795</v>
      </c>
    </row>
    <row r="74" spans="1:25" outlineLevel="1">
      <c r="A74" s="2037"/>
      <c r="B74" s="1800">
        <v>15</v>
      </c>
      <c r="C74" s="2049"/>
      <c r="D74" s="2050">
        <v>2</v>
      </c>
      <c r="E74" s="2021" t="s">
        <v>2803</v>
      </c>
      <c r="F74" s="2043"/>
      <c r="G74" s="662">
        <f t="shared" si="8"/>
        <v>0</v>
      </c>
      <c r="H74" s="2036"/>
      <c r="I74" s="1634"/>
      <c r="J74" s="2036"/>
      <c r="K74" s="1634"/>
      <c r="L74" s="2036"/>
      <c r="M74" s="1633"/>
      <c r="N74" s="2036"/>
      <c r="O74" s="1633"/>
      <c r="P74" s="2036"/>
      <c r="Q74" s="1633"/>
      <c r="R74" s="2036"/>
      <c r="S74" s="1633"/>
      <c r="V74" s="46">
        <v>15</v>
      </c>
      <c r="W74">
        <v>2</v>
      </c>
      <c r="X74" t="s">
        <v>3041</v>
      </c>
      <c r="Y74" t="s">
        <v>2795</v>
      </c>
    </row>
    <row r="75" spans="1:25" outlineLevel="1">
      <c r="A75" s="2037"/>
      <c r="B75" s="1800">
        <v>17</v>
      </c>
      <c r="C75" s="2049"/>
      <c r="D75" s="2050">
        <v>1</v>
      </c>
      <c r="E75" s="2021" t="s">
        <v>2803</v>
      </c>
      <c r="F75" s="2043"/>
      <c r="G75" s="662">
        <f t="shared" si="8"/>
        <v>0</v>
      </c>
      <c r="H75" s="2036"/>
      <c r="I75" s="1634"/>
      <c r="J75" s="2036"/>
      <c r="K75" s="1634"/>
      <c r="L75" s="2036"/>
      <c r="M75" s="1633"/>
      <c r="N75" s="2036"/>
      <c r="O75" s="1633"/>
      <c r="P75" s="2036"/>
      <c r="Q75" s="1633"/>
      <c r="R75" s="2036"/>
      <c r="S75" s="1633"/>
      <c r="V75" s="46">
        <v>17</v>
      </c>
      <c r="W75">
        <v>1</v>
      </c>
      <c r="X75" t="s">
        <v>3041</v>
      </c>
      <c r="Y75" t="s">
        <v>2795</v>
      </c>
    </row>
    <row r="76" spans="1:25" outlineLevel="1">
      <c r="A76" s="2037"/>
      <c r="B76" s="1800">
        <v>18</v>
      </c>
      <c r="C76" s="2049"/>
      <c r="D76" s="2050">
        <v>1</v>
      </c>
      <c r="E76" s="2021" t="s">
        <v>2803</v>
      </c>
      <c r="F76" s="2043"/>
      <c r="G76" s="662">
        <f t="shared" si="8"/>
        <v>0</v>
      </c>
      <c r="H76" s="2036"/>
      <c r="I76" s="1634"/>
      <c r="J76" s="2036"/>
      <c r="K76" s="1634"/>
      <c r="L76" s="2036"/>
      <c r="M76" s="1633"/>
      <c r="N76" s="2036"/>
      <c r="O76" s="1633"/>
      <c r="P76" s="2036"/>
      <c r="Q76" s="1633"/>
      <c r="R76" s="2036"/>
      <c r="S76" s="1633"/>
      <c r="V76" s="46">
        <v>18</v>
      </c>
      <c r="W76">
        <v>1</v>
      </c>
      <c r="X76" t="s">
        <v>3041</v>
      </c>
      <c r="Y76" t="s">
        <v>2795</v>
      </c>
    </row>
    <row r="77" spans="1:25" outlineLevel="1">
      <c r="A77" s="2037"/>
      <c r="B77" s="1800" t="s">
        <v>4825</v>
      </c>
      <c r="C77" s="2049"/>
      <c r="D77" s="2050">
        <v>1</v>
      </c>
      <c r="E77" s="2021" t="s">
        <v>2803</v>
      </c>
      <c r="F77" s="2043"/>
      <c r="G77" s="662">
        <f t="shared" si="8"/>
        <v>0</v>
      </c>
      <c r="H77" s="2036"/>
      <c r="I77" s="1634"/>
      <c r="J77" s="2036"/>
      <c r="K77" s="1634"/>
      <c r="L77" s="2036"/>
      <c r="M77" s="1633"/>
      <c r="N77" s="2036"/>
      <c r="O77" s="1633"/>
      <c r="P77" s="2036"/>
      <c r="Q77" s="1633"/>
      <c r="R77" s="2036"/>
      <c r="S77" s="1633"/>
      <c r="V77" s="46" t="s">
        <v>4825</v>
      </c>
      <c r="W77">
        <v>1</v>
      </c>
      <c r="X77" t="s">
        <v>3041</v>
      </c>
      <c r="Y77" t="s">
        <v>2795</v>
      </c>
    </row>
    <row r="78" spans="1:25" outlineLevel="1">
      <c r="A78" s="2037"/>
      <c r="B78" s="1800">
        <v>20</v>
      </c>
      <c r="C78" s="2049"/>
      <c r="D78" s="2050">
        <v>1</v>
      </c>
      <c r="E78" s="2021" t="s">
        <v>2803</v>
      </c>
      <c r="F78" s="2043"/>
      <c r="G78" s="662">
        <f t="shared" si="8"/>
        <v>0</v>
      </c>
      <c r="H78" s="2036"/>
      <c r="I78" s="1634"/>
      <c r="J78" s="2036"/>
      <c r="K78" s="1634"/>
      <c r="L78" s="2036"/>
      <c r="M78" s="1633"/>
      <c r="N78" s="2036"/>
      <c r="O78" s="1633"/>
      <c r="P78" s="2036"/>
      <c r="Q78" s="1633"/>
      <c r="R78" s="2036"/>
      <c r="S78" s="1633"/>
      <c r="V78" s="46">
        <v>20</v>
      </c>
      <c r="W78">
        <v>1</v>
      </c>
      <c r="X78" t="s">
        <v>3041</v>
      </c>
      <c r="Y78" t="s">
        <v>2795</v>
      </c>
    </row>
    <row r="79" spans="1:25" outlineLevel="1">
      <c r="A79" s="2037"/>
      <c r="B79" s="1800">
        <v>22</v>
      </c>
      <c r="C79" s="2049"/>
      <c r="D79" s="2050">
        <v>4</v>
      </c>
      <c r="E79" s="2021" t="s">
        <v>2803</v>
      </c>
      <c r="F79" s="2043"/>
      <c r="G79" s="662">
        <f t="shared" si="8"/>
        <v>0</v>
      </c>
      <c r="H79" s="2036"/>
      <c r="I79" s="1634"/>
      <c r="J79" s="2036"/>
      <c r="K79" s="1634"/>
      <c r="L79" s="2036"/>
      <c r="M79" s="1633"/>
      <c r="N79" s="2036"/>
      <c r="O79" s="1633"/>
      <c r="P79" s="2036"/>
      <c r="Q79" s="1633"/>
      <c r="R79" s="2036"/>
      <c r="S79" s="1633"/>
      <c r="V79" s="46">
        <v>22</v>
      </c>
      <c r="W79">
        <v>4</v>
      </c>
      <c r="X79" t="s">
        <v>3041</v>
      </c>
      <c r="Y79" t="s">
        <v>2795</v>
      </c>
    </row>
    <row r="80" spans="1:25" outlineLevel="1">
      <c r="A80" s="2037"/>
      <c r="B80" s="1800">
        <v>23</v>
      </c>
      <c r="C80" s="2049"/>
      <c r="D80" s="2050">
        <v>2</v>
      </c>
      <c r="E80" s="2021" t="s">
        <v>2803</v>
      </c>
      <c r="F80" s="2043"/>
      <c r="G80" s="662">
        <f t="shared" si="8"/>
        <v>0</v>
      </c>
      <c r="H80" s="2036"/>
      <c r="I80" s="1634"/>
      <c r="J80" s="2036"/>
      <c r="K80" s="1634"/>
      <c r="L80" s="2036"/>
      <c r="M80" s="1633"/>
      <c r="N80" s="2036"/>
      <c r="O80" s="1633"/>
      <c r="P80" s="2036"/>
      <c r="Q80" s="1633"/>
      <c r="R80" s="2036"/>
      <c r="S80" s="1633"/>
      <c r="V80" s="46">
        <v>23</v>
      </c>
      <c r="W80">
        <v>2</v>
      </c>
      <c r="X80" t="s">
        <v>3041</v>
      </c>
      <c r="Y80" t="s">
        <v>2795</v>
      </c>
    </row>
    <row r="81" spans="1:25" outlineLevel="1">
      <c r="A81" s="2037"/>
      <c r="B81" s="1800">
        <v>24</v>
      </c>
      <c r="C81" s="2049"/>
      <c r="D81" s="2050">
        <v>1</v>
      </c>
      <c r="E81" s="2021" t="s">
        <v>2803</v>
      </c>
      <c r="F81" s="2043"/>
      <c r="G81" s="662">
        <f t="shared" si="8"/>
        <v>0</v>
      </c>
      <c r="H81" s="2036"/>
      <c r="I81" s="1634"/>
      <c r="J81" s="2036"/>
      <c r="K81" s="1634"/>
      <c r="L81" s="2036"/>
      <c r="M81" s="1633"/>
      <c r="N81" s="2036"/>
      <c r="O81" s="1633"/>
      <c r="P81" s="2036"/>
      <c r="Q81" s="1633"/>
      <c r="R81" s="2036"/>
      <c r="S81" s="1633"/>
      <c r="V81" s="46">
        <v>24</v>
      </c>
      <c r="W81">
        <v>1</v>
      </c>
      <c r="X81" t="s">
        <v>3041</v>
      </c>
      <c r="Y81" t="s">
        <v>2795</v>
      </c>
    </row>
    <row r="82" spans="1:25" outlineLevel="1">
      <c r="A82" s="2037"/>
      <c r="B82" s="1800">
        <v>25</v>
      </c>
      <c r="C82" s="2049"/>
      <c r="D82" s="2050">
        <v>2</v>
      </c>
      <c r="E82" s="2021" t="s">
        <v>2803</v>
      </c>
      <c r="F82" s="2043"/>
      <c r="G82" s="662">
        <f t="shared" si="8"/>
        <v>0</v>
      </c>
      <c r="H82" s="2036"/>
      <c r="I82" s="1634"/>
      <c r="J82" s="2036"/>
      <c r="K82" s="1634"/>
      <c r="L82" s="2036"/>
      <c r="M82" s="1633"/>
      <c r="N82" s="2036"/>
      <c r="O82" s="1633"/>
      <c r="P82" s="2036"/>
      <c r="Q82" s="1633"/>
      <c r="R82" s="2036"/>
      <c r="S82" s="1633"/>
      <c r="V82" s="46">
        <v>25</v>
      </c>
      <c r="W82">
        <v>2</v>
      </c>
      <c r="X82" t="s">
        <v>3041</v>
      </c>
      <c r="Y82" t="s">
        <v>2795</v>
      </c>
    </row>
    <row r="83" spans="1:25" outlineLevel="1">
      <c r="A83" s="2037"/>
      <c r="B83" s="1800">
        <v>27</v>
      </c>
      <c r="C83" s="2049"/>
      <c r="D83" s="2050">
        <v>1</v>
      </c>
      <c r="E83" s="2021" t="s">
        <v>2803</v>
      </c>
      <c r="F83" s="2043"/>
      <c r="G83" s="662">
        <f t="shared" si="8"/>
        <v>0</v>
      </c>
      <c r="H83" s="2036"/>
      <c r="I83" s="1634"/>
      <c r="J83" s="2036"/>
      <c r="K83" s="1634"/>
      <c r="L83" s="2036"/>
      <c r="M83" s="1633"/>
      <c r="N83" s="2036"/>
      <c r="O83" s="1633"/>
      <c r="P83" s="2036"/>
      <c r="Q83" s="1633"/>
      <c r="R83" s="2036"/>
      <c r="S83" s="1633"/>
      <c r="V83" s="46">
        <v>27</v>
      </c>
      <c r="W83">
        <v>1</v>
      </c>
      <c r="X83" t="s">
        <v>3041</v>
      </c>
      <c r="Y83" t="s">
        <v>2795</v>
      </c>
    </row>
    <row r="84" spans="1:25" outlineLevel="1">
      <c r="A84" s="2037"/>
      <c r="B84" s="1800">
        <v>29</v>
      </c>
      <c r="C84" s="2049"/>
      <c r="D84" s="2050">
        <v>2</v>
      </c>
      <c r="E84" s="2021" t="s">
        <v>2803</v>
      </c>
      <c r="F84" s="2043"/>
      <c r="G84" s="662">
        <f t="shared" si="8"/>
        <v>0</v>
      </c>
      <c r="H84" s="2036"/>
      <c r="I84" s="1634"/>
      <c r="J84" s="2036"/>
      <c r="K84" s="1634"/>
      <c r="L84" s="2036"/>
      <c r="M84" s="1633"/>
      <c r="N84" s="2036"/>
      <c r="O84" s="1633"/>
      <c r="P84" s="2036"/>
      <c r="Q84" s="1633"/>
      <c r="R84" s="2036"/>
      <c r="S84" s="1633"/>
      <c r="V84" s="46">
        <v>29</v>
      </c>
      <c r="W84">
        <v>2</v>
      </c>
      <c r="X84" t="s">
        <v>3041</v>
      </c>
      <c r="Y84" t="s">
        <v>2795</v>
      </c>
    </row>
    <row r="85" spans="1:25" outlineLevel="1">
      <c r="A85" s="2037"/>
      <c r="B85" s="1800">
        <v>30</v>
      </c>
      <c r="C85" s="2049"/>
      <c r="D85" s="2050">
        <v>1</v>
      </c>
      <c r="E85" s="2021" t="s">
        <v>2803</v>
      </c>
      <c r="F85" s="2043"/>
      <c r="G85" s="662">
        <f t="shared" si="8"/>
        <v>0</v>
      </c>
      <c r="H85" s="2036"/>
      <c r="I85" s="1634"/>
      <c r="J85" s="2036"/>
      <c r="K85" s="1634"/>
      <c r="L85" s="2036"/>
      <c r="M85" s="1633"/>
      <c r="N85" s="2036"/>
      <c r="O85" s="1633"/>
      <c r="P85" s="2036"/>
      <c r="Q85" s="1633"/>
      <c r="R85" s="2036"/>
      <c r="S85" s="1633"/>
      <c r="V85" s="46">
        <v>30</v>
      </c>
      <c r="W85">
        <v>1</v>
      </c>
      <c r="X85" t="s">
        <v>3041</v>
      </c>
      <c r="Y85" t="s">
        <v>2795</v>
      </c>
    </row>
    <row r="86" spans="1:25" outlineLevel="1">
      <c r="A86" s="2037"/>
      <c r="B86" s="1800">
        <v>31</v>
      </c>
      <c r="C86" s="2049"/>
      <c r="D86" s="2050">
        <v>8</v>
      </c>
      <c r="E86" s="2021" t="s">
        <v>2803</v>
      </c>
      <c r="F86" s="2043"/>
      <c r="G86" s="662">
        <f t="shared" si="8"/>
        <v>0</v>
      </c>
      <c r="H86" s="2036"/>
      <c r="I86" s="1634"/>
      <c r="J86" s="2036"/>
      <c r="K86" s="1634"/>
      <c r="L86" s="2036"/>
      <c r="M86" s="1633"/>
      <c r="N86" s="2036"/>
      <c r="O86" s="1633"/>
      <c r="P86" s="2036"/>
      <c r="Q86" s="1633"/>
      <c r="R86" s="2036"/>
      <c r="S86" s="1633"/>
      <c r="V86" s="46">
        <v>31</v>
      </c>
      <c r="W86">
        <v>8</v>
      </c>
      <c r="X86" t="s">
        <v>3041</v>
      </c>
      <c r="Y86" t="s">
        <v>2795</v>
      </c>
    </row>
    <row r="87" spans="1:25" outlineLevel="1">
      <c r="A87" s="2037"/>
      <c r="B87" s="1800">
        <v>32</v>
      </c>
      <c r="C87" s="2049"/>
      <c r="D87" s="2050">
        <v>11</v>
      </c>
      <c r="E87" s="2021" t="s">
        <v>2803</v>
      </c>
      <c r="F87" s="2043"/>
      <c r="G87" s="662">
        <f t="shared" si="8"/>
        <v>0</v>
      </c>
      <c r="H87" s="2036"/>
      <c r="I87" s="1634"/>
      <c r="J87" s="2036"/>
      <c r="K87" s="1634"/>
      <c r="L87" s="2036"/>
      <c r="M87" s="1633"/>
      <c r="N87" s="2036"/>
      <c r="O87" s="1633"/>
      <c r="P87" s="2036"/>
      <c r="Q87" s="1633"/>
      <c r="R87" s="2036"/>
      <c r="S87" s="1633"/>
      <c r="V87" s="46">
        <v>32</v>
      </c>
      <c r="W87">
        <v>11</v>
      </c>
      <c r="X87" t="s">
        <v>3041</v>
      </c>
      <c r="Y87" t="s">
        <v>2795</v>
      </c>
    </row>
    <row r="88" spans="1:25" outlineLevel="1">
      <c r="A88" s="2037"/>
      <c r="B88" s="1800">
        <v>33</v>
      </c>
      <c r="C88" s="2049"/>
      <c r="D88" s="2050">
        <v>5</v>
      </c>
      <c r="E88" s="2021" t="s">
        <v>2803</v>
      </c>
      <c r="F88" s="2043"/>
      <c r="G88" s="662">
        <f t="shared" si="8"/>
        <v>0</v>
      </c>
      <c r="H88" s="2036"/>
      <c r="I88" s="1634"/>
      <c r="J88" s="2036"/>
      <c r="K88" s="1634"/>
      <c r="L88" s="2036"/>
      <c r="M88" s="1633"/>
      <c r="N88" s="2036"/>
      <c r="O88" s="1633"/>
      <c r="P88" s="2036"/>
      <c r="Q88" s="1633"/>
      <c r="R88" s="2036"/>
      <c r="S88" s="1633"/>
      <c r="V88" s="46">
        <v>33</v>
      </c>
      <c r="W88">
        <v>5</v>
      </c>
      <c r="X88" t="s">
        <v>3041</v>
      </c>
      <c r="Y88" t="s">
        <v>2795</v>
      </c>
    </row>
    <row r="89" spans="1:25" outlineLevel="1">
      <c r="A89" s="2037"/>
      <c r="B89" s="1800">
        <v>35</v>
      </c>
      <c r="C89" s="2049"/>
      <c r="D89" s="2050">
        <v>2</v>
      </c>
      <c r="E89" s="2021" t="s">
        <v>2803</v>
      </c>
      <c r="F89" s="2043"/>
      <c r="G89" s="662">
        <f t="shared" si="8"/>
        <v>0</v>
      </c>
      <c r="H89" s="2036"/>
      <c r="I89" s="1634"/>
      <c r="J89" s="2036"/>
      <c r="K89" s="1634"/>
      <c r="L89" s="2036"/>
      <c r="M89" s="1633"/>
      <c r="N89" s="2036"/>
      <c r="O89" s="1633"/>
      <c r="P89" s="2036"/>
      <c r="Q89" s="1633"/>
      <c r="R89" s="2036"/>
      <c r="S89" s="1633"/>
      <c r="V89" s="46">
        <v>35</v>
      </c>
      <c r="W89">
        <v>2</v>
      </c>
      <c r="X89" t="s">
        <v>3041</v>
      </c>
      <c r="Y89" t="s">
        <v>2795</v>
      </c>
    </row>
    <row r="90" spans="1:25" outlineLevel="1">
      <c r="A90" s="2037"/>
      <c r="B90" s="1800">
        <v>36</v>
      </c>
      <c r="C90" s="2049"/>
      <c r="D90" s="2050">
        <v>1</v>
      </c>
      <c r="E90" s="2021" t="s">
        <v>2803</v>
      </c>
      <c r="F90" s="2043"/>
      <c r="G90" s="662">
        <f t="shared" si="8"/>
        <v>0</v>
      </c>
      <c r="H90" s="2036"/>
      <c r="I90" s="1634"/>
      <c r="J90" s="2036"/>
      <c r="K90" s="1634"/>
      <c r="L90" s="2036"/>
      <c r="M90" s="1633"/>
      <c r="N90" s="2036"/>
      <c r="O90" s="1633"/>
      <c r="P90" s="2036"/>
      <c r="Q90" s="1633"/>
      <c r="R90" s="2036"/>
      <c r="S90" s="1633"/>
      <c r="V90" s="46">
        <v>36</v>
      </c>
      <c r="W90">
        <v>1</v>
      </c>
      <c r="X90" t="s">
        <v>3041</v>
      </c>
      <c r="Y90" t="s">
        <v>2795</v>
      </c>
    </row>
    <row r="91" spans="1:25" outlineLevel="1">
      <c r="A91" s="2037"/>
      <c r="B91" s="1800">
        <v>37</v>
      </c>
      <c r="C91" s="2049"/>
      <c r="D91" s="2050">
        <v>5</v>
      </c>
      <c r="E91" s="2021" t="s">
        <v>2803</v>
      </c>
      <c r="F91" s="2043"/>
      <c r="G91" s="662">
        <f t="shared" si="8"/>
        <v>0</v>
      </c>
      <c r="H91" s="2036"/>
      <c r="I91" s="1634"/>
      <c r="J91" s="2036"/>
      <c r="K91" s="1634"/>
      <c r="L91" s="2036"/>
      <c r="M91" s="1633"/>
      <c r="N91" s="2036"/>
      <c r="O91" s="1633"/>
      <c r="P91" s="2036"/>
      <c r="Q91" s="1633"/>
      <c r="R91" s="2036"/>
      <c r="S91" s="1633"/>
      <c r="V91" s="46">
        <v>37</v>
      </c>
      <c r="W91">
        <v>5</v>
      </c>
      <c r="X91" t="s">
        <v>3041</v>
      </c>
      <c r="Y91" t="s">
        <v>2795</v>
      </c>
    </row>
    <row r="92" spans="1:25" outlineLevel="1">
      <c r="A92" s="2037"/>
      <c r="B92" s="1800" t="s">
        <v>4826</v>
      </c>
      <c r="C92" s="2049"/>
      <c r="D92" s="2050">
        <v>1</v>
      </c>
      <c r="E92" s="2021" t="s">
        <v>2803</v>
      </c>
      <c r="F92" s="2043"/>
      <c r="G92" s="662">
        <f t="shared" si="8"/>
        <v>0</v>
      </c>
      <c r="H92" s="2036"/>
      <c r="I92" s="1634"/>
      <c r="J92" s="2036"/>
      <c r="K92" s="1634"/>
      <c r="L92" s="2036"/>
      <c r="M92" s="1633"/>
      <c r="N92" s="2036"/>
      <c r="O92" s="1633"/>
      <c r="P92" s="2036"/>
      <c r="Q92" s="1633"/>
      <c r="R92" s="2036"/>
      <c r="S92" s="1633"/>
      <c r="V92" s="46" t="s">
        <v>4826</v>
      </c>
      <c r="W92">
        <v>1</v>
      </c>
      <c r="X92" t="s">
        <v>3041</v>
      </c>
      <c r="Y92" t="s">
        <v>2795</v>
      </c>
    </row>
    <row r="93" spans="1:25" outlineLevel="1">
      <c r="A93" s="2037"/>
      <c r="B93" s="1800">
        <v>38</v>
      </c>
      <c r="C93" s="2049"/>
      <c r="D93" s="2050">
        <v>2</v>
      </c>
      <c r="E93" s="2021" t="s">
        <v>2803</v>
      </c>
      <c r="F93" s="2043"/>
      <c r="G93" s="662">
        <f t="shared" si="8"/>
        <v>0</v>
      </c>
      <c r="H93" s="2036"/>
      <c r="I93" s="1634"/>
      <c r="J93" s="2036"/>
      <c r="K93" s="1634"/>
      <c r="L93" s="2036"/>
      <c r="M93" s="1633"/>
      <c r="N93" s="2036"/>
      <c r="O93" s="1633"/>
      <c r="P93" s="2036"/>
      <c r="Q93" s="1633"/>
      <c r="R93" s="2036"/>
      <c r="S93" s="1633"/>
      <c r="V93" s="46">
        <v>38</v>
      </c>
      <c r="W93">
        <v>2</v>
      </c>
      <c r="X93" t="s">
        <v>3041</v>
      </c>
      <c r="Y93" t="s">
        <v>2795</v>
      </c>
    </row>
    <row r="94" spans="1:25" outlineLevel="1">
      <c r="A94" s="2037"/>
      <c r="B94" s="1800">
        <v>39</v>
      </c>
      <c r="C94" s="2049"/>
      <c r="D94" s="2050">
        <v>2</v>
      </c>
      <c r="E94" s="2021" t="s">
        <v>2803</v>
      </c>
      <c r="F94" s="2043"/>
      <c r="G94" s="662">
        <f t="shared" si="8"/>
        <v>0</v>
      </c>
      <c r="H94" s="2036"/>
      <c r="I94" s="1634"/>
      <c r="J94" s="2036"/>
      <c r="K94" s="1634"/>
      <c r="L94" s="2036"/>
      <c r="M94" s="1633"/>
      <c r="N94" s="2036"/>
      <c r="O94" s="1633"/>
      <c r="P94" s="2036"/>
      <c r="Q94" s="1633"/>
      <c r="R94" s="2036"/>
      <c r="S94" s="1633"/>
      <c r="V94" s="46">
        <v>39</v>
      </c>
      <c r="W94">
        <v>2</v>
      </c>
      <c r="X94" t="s">
        <v>3041</v>
      </c>
      <c r="Y94" t="s">
        <v>2795</v>
      </c>
    </row>
    <row r="95" spans="1:25" outlineLevel="1">
      <c r="A95" s="2037"/>
      <c r="B95" s="1800" t="s">
        <v>4827</v>
      </c>
      <c r="C95" s="2049"/>
      <c r="D95" s="2050">
        <v>3</v>
      </c>
      <c r="E95" s="2021" t="s">
        <v>2803</v>
      </c>
      <c r="F95" s="2043"/>
      <c r="G95" s="662">
        <f t="shared" si="8"/>
        <v>0</v>
      </c>
      <c r="H95" s="2036"/>
      <c r="I95" s="1634"/>
      <c r="J95" s="2036"/>
      <c r="K95" s="1634"/>
      <c r="L95" s="2036"/>
      <c r="M95" s="1633"/>
      <c r="N95" s="2036"/>
      <c r="O95" s="1633"/>
      <c r="P95" s="2036"/>
      <c r="Q95" s="1633"/>
      <c r="R95" s="2036"/>
      <c r="S95" s="1633"/>
      <c r="V95" s="46" t="s">
        <v>4827</v>
      </c>
      <c r="W95">
        <v>3</v>
      </c>
      <c r="X95" t="s">
        <v>3041</v>
      </c>
      <c r="Y95" t="s">
        <v>2795</v>
      </c>
    </row>
    <row r="96" spans="1:25" outlineLevel="1">
      <c r="A96" s="2037"/>
      <c r="B96" s="1800" t="s">
        <v>4828</v>
      </c>
      <c r="C96" s="2049"/>
      <c r="D96" s="2050">
        <v>2</v>
      </c>
      <c r="E96" s="2021" t="s">
        <v>2803</v>
      </c>
      <c r="F96" s="2043"/>
      <c r="G96" s="662">
        <f t="shared" si="8"/>
        <v>0</v>
      </c>
      <c r="H96" s="2036"/>
      <c r="I96" s="1634"/>
      <c r="J96" s="2036"/>
      <c r="K96" s="1634"/>
      <c r="L96" s="2036"/>
      <c r="M96" s="1633"/>
      <c r="N96" s="2036"/>
      <c r="O96" s="1633"/>
      <c r="P96" s="2036"/>
      <c r="Q96" s="1633"/>
      <c r="R96" s="2036"/>
      <c r="S96" s="1633"/>
      <c r="V96" s="46" t="s">
        <v>4828</v>
      </c>
      <c r="W96">
        <v>2</v>
      </c>
      <c r="X96" t="s">
        <v>3041</v>
      </c>
      <c r="Y96" t="s">
        <v>2795</v>
      </c>
    </row>
    <row r="97" spans="1:25" outlineLevel="1">
      <c r="A97" s="2037"/>
      <c r="B97" s="1800">
        <v>40</v>
      </c>
      <c r="C97" s="2049"/>
      <c r="D97" s="2050">
        <v>6</v>
      </c>
      <c r="E97" s="2021" t="s">
        <v>2803</v>
      </c>
      <c r="F97" s="2043"/>
      <c r="G97" s="662">
        <f t="shared" si="8"/>
        <v>0</v>
      </c>
      <c r="H97" s="2036"/>
      <c r="I97" s="1634"/>
      <c r="J97" s="2036"/>
      <c r="K97" s="1634"/>
      <c r="L97" s="2036"/>
      <c r="M97" s="1633"/>
      <c r="N97" s="2036"/>
      <c r="O97" s="1633"/>
      <c r="P97" s="2036"/>
      <c r="Q97" s="1633"/>
      <c r="R97" s="2036"/>
      <c r="S97" s="1633"/>
      <c r="V97" s="46">
        <v>40</v>
      </c>
      <c r="W97">
        <v>6</v>
      </c>
      <c r="X97" t="s">
        <v>3041</v>
      </c>
      <c r="Y97" t="s">
        <v>2795</v>
      </c>
    </row>
    <row r="98" spans="1:25" outlineLevel="1">
      <c r="A98" s="2037"/>
      <c r="B98" s="1800">
        <v>41</v>
      </c>
      <c r="C98" s="2049"/>
      <c r="D98" s="2050">
        <v>1</v>
      </c>
      <c r="E98" s="2021" t="s">
        <v>2803</v>
      </c>
      <c r="F98" s="2043"/>
      <c r="G98" s="662">
        <f t="shared" si="8"/>
        <v>0</v>
      </c>
      <c r="H98" s="2036"/>
      <c r="I98" s="1634"/>
      <c r="J98" s="2036"/>
      <c r="K98" s="1634"/>
      <c r="L98" s="2036"/>
      <c r="M98" s="1633"/>
      <c r="N98" s="2036"/>
      <c r="O98" s="1633"/>
      <c r="P98" s="2036"/>
      <c r="Q98" s="1633"/>
      <c r="R98" s="2036"/>
      <c r="S98" s="1633"/>
      <c r="V98" s="46">
        <v>41</v>
      </c>
      <c r="W98">
        <v>1</v>
      </c>
      <c r="X98" t="s">
        <v>3041</v>
      </c>
      <c r="Y98" t="s">
        <v>2795</v>
      </c>
    </row>
    <row r="99" spans="1:25" outlineLevel="1">
      <c r="A99" s="2037"/>
      <c r="B99" s="2046">
        <v>42</v>
      </c>
      <c r="C99" s="2019"/>
      <c r="D99" s="2020">
        <v>3</v>
      </c>
      <c r="E99" s="2021" t="s">
        <v>2803</v>
      </c>
      <c r="F99" s="2043"/>
      <c r="G99" s="2053">
        <f t="shared" si="8"/>
        <v>0</v>
      </c>
      <c r="H99" s="2036"/>
      <c r="I99" s="1634"/>
      <c r="J99" s="2036"/>
      <c r="K99" s="1634"/>
      <c r="L99" s="2036"/>
      <c r="M99" s="1633"/>
      <c r="N99" s="2036"/>
      <c r="O99" s="1633"/>
      <c r="P99" s="2036"/>
      <c r="Q99" s="1633"/>
      <c r="R99" s="2036"/>
      <c r="S99" s="1633"/>
      <c r="V99" s="46">
        <v>42</v>
      </c>
      <c r="W99">
        <v>3</v>
      </c>
      <c r="X99" t="s">
        <v>3041</v>
      </c>
      <c r="Y99" t="s">
        <v>2795</v>
      </c>
    </row>
    <row r="100" spans="1:25" outlineLevel="1">
      <c r="A100" s="2037"/>
      <c r="B100" s="2048">
        <v>44</v>
      </c>
      <c r="C100" s="2049"/>
      <c r="D100" s="2050">
        <v>3</v>
      </c>
      <c r="E100" s="2051" t="s">
        <v>2803</v>
      </c>
      <c r="F100" s="2052"/>
      <c r="G100" s="2053">
        <f t="shared" si="8"/>
        <v>0</v>
      </c>
      <c r="H100" s="2036"/>
      <c r="I100" s="1634"/>
      <c r="J100" s="2036"/>
      <c r="K100" s="1634"/>
      <c r="L100" s="2036"/>
      <c r="M100" s="1633"/>
      <c r="N100" s="2036"/>
      <c r="O100" s="1633"/>
      <c r="P100" s="2036"/>
      <c r="Q100" s="1633"/>
      <c r="R100" s="2036"/>
      <c r="S100" s="1633"/>
      <c r="V100" s="46">
        <v>44</v>
      </c>
      <c r="W100">
        <v>3</v>
      </c>
      <c r="X100" t="s">
        <v>3041</v>
      </c>
      <c r="Y100" t="s">
        <v>2795</v>
      </c>
    </row>
    <row r="101" spans="1:25" outlineLevel="1">
      <c r="A101" s="2037"/>
      <c r="B101" s="1800">
        <v>45</v>
      </c>
      <c r="C101" s="2049"/>
      <c r="D101" s="2050">
        <v>1</v>
      </c>
      <c r="E101" s="2021" t="s">
        <v>2803</v>
      </c>
      <c r="F101" s="2043"/>
      <c r="G101" s="662">
        <f t="shared" si="8"/>
        <v>0</v>
      </c>
      <c r="H101" s="2036"/>
      <c r="I101" s="1634"/>
      <c r="J101" s="2036"/>
      <c r="K101" s="1634"/>
      <c r="L101" s="2036"/>
      <c r="M101" s="1633"/>
      <c r="N101" s="2036"/>
      <c r="O101" s="1633"/>
      <c r="P101" s="2036"/>
      <c r="Q101" s="1633"/>
      <c r="R101" s="2036"/>
      <c r="S101" s="1633"/>
      <c r="V101" s="46">
        <v>45</v>
      </c>
      <c r="W101">
        <v>1</v>
      </c>
      <c r="X101" t="s">
        <v>3041</v>
      </c>
      <c r="Y101" t="s">
        <v>2795</v>
      </c>
    </row>
    <row r="102" spans="1:25" outlineLevel="1">
      <c r="A102" s="2037"/>
      <c r="B102" s="1800">
        <v>46</v>
      </c>
      <c r="C102" s="2049"/>
      <c r="D102" s="2050">
        <v>1</v>
      </c>
      <c r="E102" s="2021" t="s">
        <v>2803</v>
      </c>
      <c r="F102" s="2043"/>
      <c r="G102" s="662">
        <f t="shared" si="8"/>
        <v>0</v>
      </c>
      <c r="H102" s="2036"/>
      <c r="I102" s="1634"/>
      <c r="J102" s="2036"/>
      <c r="K102" s="1634"/>
      <c r="L102" s="2036"/>
      <c r="M102" s="1633"/>
      <c r="N102" s="2036"/>
      <c r="O102" s="1633"/>
      <c r="P102" s="2036"/>
      <c r="Q102" s="1633"/>
      <c r="R102" s="2036"/>
      <c r="S102" s="1633"/>
      <c r="V102" s="46">
        <v>46</v>
      </c>
      <c r="W102">
        <v>1</v>
      </c>
      <c r="X102" t="s">
        <v>3041</v>
      </c>
      <c r="Y102" t="s">
        <v>2795</v>
      </c>
    </row>
    <row r="103" spans="1:25" outlineLevel="1">
      <c r="A103" s="2037"/>
      <c r="B103" s="1800">
        <v>48</v>
      </c>
      <c r="C103" s="2049"/>
      <c r="D103" s="2050">
        <v>7</v>
      </c>
      <c r="E103" s="2021" t="s">
        <v>2803</v>
      </c>
      <c r="F103" s="2043"/>
      <c r="G103" s="662">
        <f t="shared" si="8"/>
        <v>0</v>
      </c>
      <c r="H103" s="2036"/>
      <c r="I103" s="1634"/>
      <c r="J103" s="2036"/>
      <c r="K103" s="1634"/>
      <c r="L103" s="2036"/>
      <c r="M103" s="1633"/>
      <c r="N103" s="2036"/>
      <c r="O103" s="1633"/>
      <c r="P103" s="2036"/>
      <c r="Q103" s="1633"/>
      <c r="R103" s="2036"/>
      <c r="S103" s="1633"/>
      <c r="V103" s="46">
        <v>48</v>
      </c>
      <c r="W103">
        <v>7</v>
      </c>
      <c r="X103" t="s">
        <v>3041</v>
      </c>
      <c r="Y103" t="s">
        <v>2795</v>
      </c>
    </row>
    <row r="104" spans="1:25" outlineLevel="1">
      <c r="A104" s="2037"/>
      <c r="B104" s="1800" t="s">
        <v>4829</v>
      </c>
      <c r="C104" s="2049"/>
      <c r="D104" s="2050">
        <v>1</v>
      </c>
      <c r="E104" s="2021" t="s">
        <v>2803</v>
      </c>
      <c r="F104" s="2043"/>
      <c r="G104" s="662">
        <f t="shared" si="8"/>
        <v>0</v>
      </c>
      <c r="H104" s="2036"/>
      <c r="I104" s="1634"/>
      <c r="J104" s="2036"/>
      <c r="K104" s="1634"/>
      <c r="L104" s="2036"/>
      <c r="M104" s="1633"/>
      <c r="N104" s="2036"/>
      <c r="O104" s="1633"/>
      <c r="P104" s="2036"/>
      <c r="Q104" s="1633"/>
      <c r="R104" s="2036"/>
      <c r="S104" s="1633"/>
      <c r="V104" s="46" t="s">
        <v>4829</v>
      </c>
      <c r="W104">
        <v>1</v>
      </c>
      <c r="X104" t="s">
        <v>3041</v>
      </c>
      <c r="Y104" t="s">
        <v>2795</v>
      </c>
    </row>
    <row r="105" spans="1:25" outlineLevel="1">
      <c r="A105" s="2037"/>
      <c r="B105" s="1800">
        <v>51</v>
      </c>
      <c r="C105" s="2049"/>
      <c r="D105" s="2050">
        <v>2</v>
      </c>
      <c r="E105" s="2021" t="s">
        <v>2803</v>
      </c>
      <c r="F105" s="2043"/>
      <c r="G105" s="662">
        <f t="shared" si="8"/>
        <v>0</v>
      </c>
      <c r="H105" s="2036"/>
      <c r="I105" s="1634"/>
      <c r="J105" s="2036"/>
      <c r="K105" s="1634"/>
      <c r="L105" s="2036"/>
      <c r="M105" s="1633"/>
      <c r="N105" s="2036"/>
      <c r="O105" s="1633"/>
      <c r="P105" s="2036"/>
      <c r="Q105" s="1633"/>
      <c r="R105" s="2036"/>
      <c r="S105" s="1633"/>
      <c r="V105" s="46">
        <v>51</v>
      </c>
      <c r="W105">
        <v>2</v>
      </c>
      <c r="X105" t="s">
        <v>3041</v>
      </c>
      <c r="Y105" t="s">
        <v>2795</v>
      </c>
    </row>
    <row r="106" spans="1:25" outlineLevel="1">
      <c r="A106" s="2037"/>
      <c r="B106" s="1800">
        <v>53</v>
      </c>
      <c r="C106" s="2049"/>
      <c r="D106" s="2050">
        <v>5</v>
      </c>
      <c r="E106" s="2021" t="s">
        <v>2803</v>
      </c>
      <c r="F106" s="2043"/>
      <c r="G106" s="662">
        <f t="shared" si="8"/>
        <v>0</v>
      </c>
      <c r="H106" s="2036"/>
      <c r="I106" s="1634"/>
      <c r="J106" s="2036"/>
      <c r="K106" s="1634"/>
      <c r="L106" s="2036"/>
      <c r="M106" s="1633"/>
      <c r="N106" s="2036"/>
      <c r="O106" s="1633"/>
      <c r="P106" s="2036"/>
      <c r="Q106" s="1633"/>
      <c r="R106" s="2036"/>
      <c r="S106" s="1633"/>
      <c r="V106" s="46">
        <v>53</v>
      </c>
      <c r="W106">
        <v>5</v>
      </c>
      <c r="X106" t="s">
        <v>3041</v>
      </c>
      <c r="Y106" t="s">
        <v>2795</v>
      </c>
    </row>
    <row r="107" spans="1:25" outlineLevel="1">
      <c r="A107" s="2037"/>
      <c r="B107" s="1800">
        <v>54</v>
      </c>
      <c r="C107" s="2049"/>
      <c r="D107" s="2050">
        <v>2</v>
      </c>
      <c r="E107" s="2021" t="s">
        <v>2803</v>
      </c>
      <c r="F107" s="2043"/>
      <c r="G107" s="662">
        <f t="shared" si="8"/>
        <v>0</v>
      </c>
      <c r="H107" s="2036"/>
      <c r="I107" s="1634"/>
      <c r="J107" s="2036"/>
      <c r="K107" s="1634"/>
      <c r="L107" s="2036"/>
      <c r="M107" s="1633"/>
      <c r="N107" s="2036"/>
      <c r="O107" s="1633"/>
      <c r="P107" s="2036"/>
      <c r="Q107" s="1633"/>
      <c r="R107" s="2036"/>
      <c r="S107" s="1633"/>
      <c r="V107" s="46">
        <v>54</v>
      </c>
      <c r="W107">
        <v>2</v>
      </c>
      <c r="X107" t="s">
        <v>3041</v>
      </c>
      <c r="Y107" t="s">
        <v>2795</v>
      </c>
    </row>
    <row r="108" spans="1:25" outlineLevel="1">
      <c r="A108" s="2037"/>
      <c r="B108" s="1800">
        <v>55</v>
      </c>
      <c r="C108" s="2049"/>
      <c r="D108" s="2050">
        <v>5</v>
      </c>
      <c r="E108" s="2021" t="s">
        <v>2803</v>
      </c>
      <c r="F108" s="2043"/>
      <c r="G108" s="662">
        <f t="shared" si="8"/>
        <v>0</v>
      </c>
      <c r="H108" s="2036"/>
      <c r="I108" s="1634"/>
      <c r="J108" s="2036"/>
      <c r="K108" s="1634"/>
      <c r="L108" s="2036"/>
      <c r="M108" s="1633"/>
      <c r="N108" s="2036"/>
      <c r="O108" s="1633"/>
      <c r="P108" s="2036"/>
      <c r="Q108" s="1633"/>
      <c r="R108" s="2036"/>
      <c r="S108" s="1633"/>
      <c r="V108" s="46">
        <v>55</v>
      </c>
      <c r="W108">
        <v>5</v>
      </c>
      <c r="X108" t="s">
        <v>3041</v>
      </c>
      <c r="Y108" t="s">
        <v>2795</v>
      </c>
    </row>
    <row r="109" spans="1:25" outlineLevel="1">
      <c r="A109" s="2037"/>
      <c r="B109" s="1800">
        <v>56</v>
      </c>
      <c r="C109" s="2049"/>
      <c r="D109" s="2050">
        <v>2</v>
      </c>
      <c r="E109" s="2021" t="s">
        <v>2803</v>
      </c>
      <c r="F109" s="2043"/>
      <c r="G109" s="662">
        <f t="shared" si="8"/>
        <v>0</v>
      </c>
      <c r="H109" s="2036"/>
      <c r="I109" s="1634"/>
      <c r="J109" s="2036"/>
      <c r="K109" s="1634"/>
      <c r="L109" s="2036"/>
      <c r="M109" s="1633"/>
      <c r="N109" s="2036"/>
      <c r="O109" s="1633"/>
      <c r="P109" s="2036"/>
      <c r="Q109" s="1633"/>
      <c r="R109" s="2036"/>
      <c r="S109" s="1633"/>
      <c r="V109" s="46">
        <v>56</v>
      </c>
      <c r="W109">
        <v>2</v>
      </c>
      <c r="X109" t="s">
        <v>3041</v>
      </c>
      <c r="Y109" t="s">
        <v>2795</v>
      </c>
    </row>
    <row r="110" spans="1:25" outlineLevel="1">
      <c r="A110" s="2037"/>
      <c r="B110" s="1800" t="s">
        <v>4830</v>
      </c>
      <c r="C110" s="2049"/>
      <c r="D110" s="2050">
        <v>1</v>
      </c>
      <c r="E110" s="2021" t="s">
        <v>2803</v>
      </c>
      <c r="F110" s="2043"/>
      <c r="G110" s="662">
        <f t="shared" si="8"/>
        <v>0</v>
      </c>
      <c r="H110" s="2036"/>
      <c r="I110" s="1634"/>
      <c r="J110" s="2036"/>
      <c r="K110" s="1634"/>
      <c r="L110" s="2036"/>
      <c r="M110" s="1633"/>
      <c r="N110" s="2036"/>
      <c r="O110" s="1633"/>
      <c r="P110" s="2036"/>
      <c r="Q110" s="1633"/>
      <c r="R110" s="2036"/>
      <c r="S110" s="1633"/>
      <c r="V110" s="46" t="s">
        <v>4830</v>
      </c>
      <c r="W110">
        <v>1</v>
      </c>
      <c r="X110" t="s">
        <v>3041</v>
      </c>
      <c r="Y110" t="s">
        <v>2795</v>
      </c>
    </row>
    <row r="111" spans="1:25" outlineLevel="1">
      <c r="A111" s="2037"/>
      <c r="B111" s="1800">
        <v>57</v>
      </c>
      <c r="C111" s="2049"/>
      <c r="D111" s="2050">
        <v>3</v>
      </c>
      <c r="E111" s="2021" t="s">
        <v>2803</v>
      </c>
      <c r="F111" s="2043"/>
      <c r="G111" s="662">
        <f t="shared" si="8"/>
        <v>0</v>
      </c>
      <c r="H111" s="2036"/>
      <c r="I111" s="1634"/>
      <c r="J111" s="2036"/>
      <c r="K111" s="1634"/>
      <c r="L111" s="2036"/>
      <c r="M111" s="1633"/>
      <c r="N111" s="2036"/>
      <c r="O111" s="1633"/>
      <c r="P111" s="2036"/>
      <c r="Q111" s="1633"/>
      <c r="R111" s="2036"/>
      <c r="S111" s="1633"/>
      <c r="V111" s="46">
        <v>57</v>
      </c>
      <c r="W111">
        <v>3</v>
      </c>
      <c r="X111" t="s">
        <v>3041</v>
      </c>
      <c r="Y111" t="s">
        <v>2795</v>
      </c>
    </row>
    <row r="112" spans="1:25" outlineLevel="1">
      <c r="A112" s="2037"/>
      <c r="B112" s="1800" t="s">
        <v>4831</v>
      </c>
      <c r="C112" s="2049"/>
      <c r="D112" s="2050">
        <v>1</v>
      </c>
      <c r="E112" s="2021" t="s">
        <v>2803</v>
      </c>
      <c r="F112" s="2043"/>
      <c r="G112" s="662">
        <f t="shared" si="8"/>
        <v>0</v>
      </c>
      <c r="H112" s="2036"/>
      <c r="I112" s="1634"/>
      <c r="J112" s="2036"/>
      <c r="K112" s="1634"/>
      <c r="L112" s="2036"/>
      <c r="M112" s="1633"/>
      <c r="N112" s="2036"/>
      <c r="O112" s="1633"/>
      <c r="P112" s="2036"/>
      <c r="Q112" s="1633"/>
      <c r="R112" s="2036"/>
      <c r="S112" s="1633"/>
      <c r="V112" s="46" t="s">
        <v>4831</v>
      </c>
      <c r="W112">
        <v>1</v>
      </c>
      <c r="X112" t="s">
        <v>3041</v>
      </c>
      <c r="Y112" t="s">
        <v>2795</v>
      </c>
    </row>
    <row r="113" spans="1:25" outlineLevel="1">
      <c r="A113" s="2037"/>
      <c r="B113" s="1800" t="s">
        <v>4832</v>
      </c>
      <c r="C113" s="2049"/>
      <c r="D113" s="2050">
        <v>1</v>
      </c>
      <c r="E113" s="2021" t="s">
        <v>2803</v>
      </c>
      <c r="F113" s="2043"/>
      <c r="G113" s="662">
        <f t="shared" si="8"/>
        <v>0</v>
      </c>
      <c r="H113" s="2036"/>
      <c r="I113" s="1634"/>
      <c r="J113" s="2036"/>
      <c r="K113" s="1634"/>
      <c r="L113" s="2036"/>
      <c r="M113" s="1633"/>
      <c r="N113" s="2036"/>
      <c r="O113" s="1633"/>
      <c r="P113" s="2036"/>
      <c r="Q113" s="1633"/>
      <c r="R113" s="2036"/>
      <c r="S113" s="1633"/>
      <c r="V113" s="46" t="s">
        <v>4832</v>
      </c>
      <c r="W113">
        <v>1</v>
      </c>
      <c r="X113" t="s">
        <v>3041</v>
      </c>
      <c r="Y113" t="s">
        <v>2795</v>
      </c>
    </row>
    <row r="114" spans="1:25" outlineLevel="1">
      <c r="A114" s="2037"/>
      <c r="B114" s="1800">
        <v>59</v>
      </c>
      <c r="C114" s="2049"/>
      <c r="D114" s="2050">
        <v>4</v>
      </c>
      <c r="E114" s="2021" t="s">
        <v>2803</v>
      </c>
      <c r="F114" s="2043"/>
      <c r="G114" s="662">
        <f t="shared" si="8"/>
        <v>0</v>
      </c>
      <c r="H114" s="2036"/>
      <c r="I114" s="1634"/>
      <c r="J114" s="2036"/>
      <c r="K114" s="1634"/>
      <c r="L114" s="2036"/>
      <c r="M114" s="1633"/>
      <c r="N114" s="2036"/>
      <c r="O114" s="1633"/>
      <c r="P114" s="2036"/>
      <c r="Q114" s="1633"/>
      <c r="R114" s="2036"/>
      <c r="S114" s="1633"/>
      <c r="V114" s="46">
        <v>59</v>
      </c>
      <c r="W114">
        <v>4</v>
      </c>
      <c r="X114" t="s">
        <v>3041</v>
      </c>
      <c r="Y114" t="s">
        <v>2795</v>
      </c>
    </row>
    <row r="115" spans="1:25" outlineLevel="1">
      <c r="A115" s="2037"/>
      <c r="B115" s="1800">
        <v>60</v>
      </c>
      <c r="C115" s="2049"/>
      <c r="D115" s="2050">
        <v>3</v>
      </c>
      <c r="E115" s="2021" t="s">
        <v>2803</v>
      </c>
      <c r="F115" s="2043"/>
      <c r="G115" s="662">
        <f t="shared" si="8"/>
        <v>0</v>
      </c>
      <c r="H115" s="2036"/>
      <c r="I115" s="1634"/>
      <c r="J115" s="2036"/>
      <c r="K115" s="1634"/>
      <c r="L115" s="2036"/>
      <c r="M115" s="1633"/>
      <c r="N115" s="2036"/>
      <c r="O115" s="1633"/>
      <c r="P115" s="2036"/>
      <c r="Q115" s="1633"/>
      <c r="R115" s="2036"/>
      <c r="S115" s="1633"/>
      <c r="V115" s="46">
        <v>60</v>
      </c>
      <c r="W115">
        <v>3</v>
      </c>
      <c r="X115" t="s">
        <v>3041</v>
      </c>
      <c r="Y115" t="s">
        <v>2795</v>
      </c>
    </row>
    <row r="116" spans="1:25" outlineLevel="1">
      <c r="A116" s="2037"/>
      <c r="B116" s="1800">
        <v>61</v>
      </c>
      <c r="C116" s="2049"/>
      <c r="D116" s="2050">
        <v>1</v>
      </c>
      <c r="E116" s="2021" t="s">
        <v>2803</v>
      </c>
      <c r="F116" s="2043"/>
      <c r="G116" s="662">
        <f t="shared" si="8"/>
        <v>0</v>
      </c>
      <c r="H116" s="2036"/>
      <c r="I116" s="1634"/>
      <c r="J116" s="2036"/>
      <c r="K116" s="1634"/>
      <c r="L116" s="2036"/>
      <c r="M116" s="1633"/>
      <c r="N116" s="2036"/>
      <c r="O116" s="1633"/>
      <c r="P116" s="2036"/>
      <c r="Q116" s="1633"/>
      <c r="R116" s="2036"/>
      <c r="S116" s="1633"/>
      <c r="V116" s="46">
        <v>61</v>
      </c>
      <c r="W116">
        <v>1</v>
      </c>
      <c r="X116" t="s">
        <v>3041</v>
      </c>
      <c r="Y116" t="s">
        <v>2795</v>
      </c>
    </row>
    <row r="117" spans="1:25" outlineLevel="1">
      <c r="A117" s="2037"/>
      <c r="B117" s="1800">
        <v>62</v>
      </c>
      <c r="C117" s="2049"/>
      <c r="D117" s="2050">
        <v>3</v>
      </c>
      <c r="E117" s="2021" t="s">
        <v>2803</v>
      </c>
      <c r="F117" s="2043"/>
      <c r="G117" s="662">
        <f t="shared" si="8"/>
        <v>0</v>
      </c>
      <c r="H117" s="2036"/>
      <c r="I117" s="1634"/>
      <c r="J117" s="2036"/>
      <c r="K117" s="1634"/>
      <c r="L117" s="2036"/>
      <c r="M117" s="1633"/>
      <c r="N117" s="2036"/>
      <c r="O117" s="1633"/>
      <c r="P117" s="2036"/>
      <c r="Q117" s="1633"/>
      <c r="R117" s="2036"/>
      <c r="S117" s="1633"/>
      <c r="V117" s="46">
        <v>62</v>
      </c>
      <c r="W117">
        <v>3</v>
      </c>
      <c r="X117" t="s">
        <v>3041</v>
      </c>
      <c r="Y117" t="s">
        <v>2795</v>
      </c>
    </row>
    <row r="118" spans="1:25" outlineLevel="1">
      <c r="A118" s="2037"/>
      <c r="B118" s="1800">
        <v>63</v>
      </c>
      <c r="C118" s="2049"/>
      <c r="D118" s="2050">
        <v>2</v>
      </c>
      <c r="E118" s="2021" t="s">
        <v>2803</v>
      </c>
      <c r="F118" s="2043"/>
      <c r="G118" s="662">
        <f t="shared" si="8"/>
        <v>0</v>
      </c>
      <c r="H118" s="2036"/>
      <c r="I118" s="1634"/>
      <c r="J118" s="2036"/>
      <c r="K118" s="1634"/>
      <c r="L118" s="2036"/>
      <c r="M118" s="1633"/>
      <c r="N118" s="2036"/>
      <c r="O118" s="1633"/>
      <c r="P118" s="2036"/>
      <c r="Q118" s="1633"/>
      <c r="R118" s="2036"/>
      <c r="S118" s="1633"/>
      <c r="V118" s="46">
        <v>63</v>
      </c>
      <c r="W118">
        <v>2</v>
      </c>
      <c r="X118" t="s">
        <v>3041</v>
      </c>
      <c r="Y118" t="s">
        <v>2795</v>
      </c>
    </row>
    <row r="119" spans="1:25" outlineLevel="1">
      <c r="A119" s="2037"/>
      <c r="B119" s="1800">
        <v>64</v>
      </c>
      <c r="C119" s="2049"/>
      <c r="D119" s="2050">
        <v>2</v>
      </c>
      <c r="E119" s="2021" t="s">
        <v>2803</v>
      </c>
      <c r="F119" s="2043"/>
      <c r="G119" s="662">
        <f t="shared" si="8"/>
        <v>0</v>
      </c>
      <c r="H119" s="2036"/>
      <c r="I119" s="1634"/>
      <c r="J119" s="2036"/>
      <c r="K119" s="1634"/>
      <c r="L119" s="2036"/>
      <c r="M119" s="1633"/>
      <c r="N119" s="2036"/>
      <c r="O119" s="1633"/>
      <c r="P119" s="2036"/>
      <c r="Q119" s="1633"/>
      <c r="R119" s="2036"/>
      <c r="S119" s="1633"/>
      <c r="V119" s="46">
        <v>64</v>
      </c>
      <c r="W119">
        <v>2</v>
      </c>
      <c r="X119" t="s">
        <v>3041</v>
      </c>
      <c r="Y119" t="s">
        <v>2795</v>
      </c>
    </row>
    <row r="120" spans="1:25" outlineLevel="1">
      <c r="A120" s="2037"/>
      <c r="B120" s="1800">
        <v>65</v>
      </c>
      <c r="C120" s="2049"/>
      <c r="D120" s="2050">
        <v>1</v>
      </c>
      <c r="E120" s="2021" t="s">
        <v>2803</v>
      </c>
      <c r="F120" s="2043"/>
      <c r="G120" s="662">
        <f t="shared" si="8"/>
        <v>0</v>
      </c>
      <c r="H120" s="2036"/>
      <c r="I120" s="1634"/>
      <c r="J120" s="2036"/>
      <c r="K120" s="1634"/>
      <c r="L120" s="2036"/>
      <c r="M120" s="1633"/>
      <c r="N120" s="2036"/>
      <c r="O120" s="1633"/>
      <c r="P120" s="2036"/>
      <c r="Q120" s="1633"/>
      <c r="R120" s="2036"/>
      <c r="S120" s="1633"/>
      <c r="V120" s="46">
        <v>65</v>
      </c>
      <c r="W120">
        <v>1</v>
      </c>
      <c r="X120" t="s">
        <v>3041</v>
      </c>
      <c r="Y120" t="s">
        <v>2795</v>
      </c>
    </row>
    <row r="121" spans="1:25" outlineLevel="1">
      <c r="A121" s="2037"/>
      <c r="B121" s="1800" t="s">
        <v>4833</v>
      </c>
      <c r="C121" s="2049"/>
      <c r="D121" s="2050">
        <v>1</v>
      </c>
      <c r="E121" s="2021" t="s">
        <v>2803</v>
      </c>
      <c r="F121" s="2043"/>
      <c r="G121" s="662">
        <f t="shared" si="8"/>
        <v>0</v>
      </c>
      <c r="H121" s="2036"/>
      <c r="I121" s="1634"/>
      <c r="J121" s="2036"/>
      <c r="K121" s="1634"/>
      <c r="L121" s="2036"/>
      <c r="M121" s="1633"/>
      <c r="N121" s="2036"/>
      <c r="O121" s="1633"/>
      <c r="P121" s="2036"/>
      <c r="Q121" s="1633"/>
      <c r="R121" s="2036"/>
      <c r="S121" s="1633"/>
      <c r="V121" s="46" t="s">
        <v>4833</v>
      </c>
      <c r="W121">
        <v>1</v>
      </c>
      <c r="X121" t="s">
        <v>3041</v>
      </c>
      <c r="Y121" t="s">
        <v>2795</v>
      </c>
    </row>
    <row r="122" spans="1:25" outlineLevel="1">
      <c r="A122" s="2037"/>
      <c r="B122" s="1800">
        <v>66</v>
      </c>
      <c r="C122" s="2049"/>
      <c r="D122" s="2050">
        <v>4</v>
      </c>
      <c r="E122" s="2021" t="s">
        <v>2803</v>
      </c>
      <c r="F122" s="2043"/>
      <c r="G122" s="662">
        <f t="shared" si="8"/>
        <v>0</v>
      </c>
      <c r="H122" s="2036"/>
      <c r="I122" s="1634"/>
      <c r="J122" s="2036"/>
      <c r="K122" s="1634"/>
      <c r="L122" s="2036"/>
      <c r="M122" s="1633"/>
      <c r="N122" s="2036"/>
      <c r="O122" s="1633"/>
      <c r="P122" s="2036"/>
      <c r="Q122" s="1633"/>
      <c r="R122" s="2036"/>
      <c r="S122" s="1633"/>
      <c r="V122" s="46">
        <v>66</v>
      </c>
      <c r="W122">
        <v>4</v>
      </c>
      <c r="X122" t="s">
        <v>3041</v>
      </c>
      <c r="Y122" t="s">
        <v>2795</v>
      </c>
    </row>
    <row r="123" spans="1:25" outlineLevel="2">
      <c r="A123" s="2037"/>
      <c r="B123" s="1800">
        <v>67</v>
      </c>
      <c r="C123" s="2019"/>
      <c r="D123" s="2020">
        <v>1</v>
      </c>
      <c r="E123" s="2021" t="s">
        <v>2803</v>
      </c>
      <c r="F123" s="2043"/>
      <c r="G123" s="662">
        <f t="shared" si="5"/>
        <v>0</v>
      </c>
      <c r="H123" s="2036"/>
      <c r="I123" s="1634"/>
      <c r="J123" s="2036"/>
      <c r="K123" s="1634"/>
      <c r="L123" s="2036"/>
      <c r="M123" s="1633"/>
      <c r="N123" s="2036"/>
      <c r="O123" s="1633"/>
      <c r="P123" s="2036"/>
      <c r="Q123" s="1633"/>
      <c r="R123" s="2036"/>
      <c r="S123" s="1633"/>
      <c r="V123" s="46">
        <v>67</v>
      </c>
      <c r="W123">
        <v>1</v>
      </c>
      <c r="X123" t="s">
        <v>3041</v>
      </c>
      <c r="Y123" t="s">
        <v>2795</v>
      </c>
    </row>
    <row r="124" spans="1:25" outlineLevel="2">
      <c r="A124" s="2037"/>
      <c r="B124" s="1800">
        <v>68</v>
      </c>
      <c r="C124" s="2019"/>
      <c r="D124" s="2020">
        <v>7</v>
      </c>
      <c r="E124" s="2021" t="s">
        <v>2803</v>
      </c>
      <c r="F124" s="2043"/>
      <c r="G124" s="662">
        <f t="shared" si="5"/>
        <v>0</v>
      </c>
      <c r="H124" s="2036"/>
      <c r="I124" s="1634"/>
      <c r="J124" s="2036"/>
      <c r="K124" s="1634"/>
      <c r="L124" s="2036"/>
      <c r="M124" s="1633"/>
      <c r="N124" s="2036"/>
      <c r="O124" s="1633"/>
      <c r="P124" s="2036"/>
      <c r="Q124" s="1633"/>
      <c r="R124" s="2036"/>
      <c r="S124" s="1633"/>
      <c r="V124" s="46">
        <v>68</v>
      </c>
      <c r="W124">
        <v>7</v>
      </c>
      <c r="X124" t="s">
        <v>3041</v>
      </c>
      <c r="Y124" t="s">
        <v>2795</v>
      </c>
    </row>
    <row r="125" spans="1:25" outlineLevel="2">
      <c r="A125" s="2037"/>
      <c r="B125" s="1800">
        <v>69</v>
      </c>
      <c r="C125" s="2019"/>
      <c r="D125" s="2020">
        <v>8</v>
      </c>
      <c r="E125" s="2021" t="s">
        <v>2803</v>
      </c>
      <c r="F125" s="2043"/>
      <c r="G125" s="662">
        <f t="shared" si="5"/>
        <v>0</v>
      </c>
      <c r="H125" s="2036"/>
      <c r="I125" s="1634"/>
      <c r="J125" s="2036"/>
      <c r="K125" s="1634"/>
      <c r="L125" s="2036"/>
      <c r="M125" s="1633"/>
      <c r="N125" s="2036"/>
      <c r="O125" s="1633"/>
      <c r="P125" s="2036"/>
      <c r="Q125" s="1633"/>
      <c r="R125" s="2036"/>
      <c r="S125" s="1633"/>
      <c r="V125" s="46">
        <v>69</v>
      </c>
      <c r="W125">
        <v>8</v>
      </c>
      <c r="X125" t="s">
        <v>3041</v>
      </c>
      <c r="Y125" t="s">
        <v>2795</v>
      </c>
    </row>
    <row r="126" spans="1:25" outlineLevel="2">
      <c r="A126" s="2037"/>
      <c r="B126" s="1800" t="s">
        <v>4834</v>
      </c>
      <c r="C126" s="2019"/>
      <c r="D126" s="2020">
        <v>4</v>
      </c>
      <c r="E126" s="2021" t="s">
        <v>2803</v>
      </c>
      <c r="F126" s="2043"/>
      <c r="G126" s="662">
        <f t="shared" si="5"/>
        <v>0</v>
      </c>
      <c r="H126" s="2036"/>
      <c r="I126" s="1634"/>
      <c r="J126" s="2036"/>
      <c r="K126" s="1634"/>
      <c r="L126" s="2036"/>
      <c r="M126" s="1633"/>
      <c r="N126" s="2036"/>
      <c r="O126" s="1633"/>
      <c r="P126" s="2036"/>
      <c r="Q126" s="1633"/>
      <c r="R126" s="2036"/>
      <c r="S126" s="1633"/>
      <c r="V126" s="46" t="s">
        <v>4834</v>
      </c>
      <c r="W126">
        <v>4</v>
      </c>
      <c r="X126" t="s">
        <v>3041</v>
      </c>
      <c r="Y126" t="s">
        <v>2795</v>
      </c>
    </row>
    <row r="127" spans="1:25" outlineLevel="2">
      <c r="A127" s="2037"/>
      <c r="B127" s="1800" t="s">
        <v>4835</v>
      </c>
      <c r="C127" s="2019"/>
      <c r="D127" s="2020">
        <v>1</v>
      </c>
      <c r="E127" s="2021" t="s">
        <v>2803</v>
      </c>
      <c r="F127" s="2043"/>
      <c r="G127" s="662">
        <f t="shared" si="5"/>
        <v>0</v>
      </c>
      <c r="H127" s="2036"/>
      <c r="I127" s="1634"/>
      <c r="J127" s="2036"/>
      <c r="K127" s="1634"/>
      <c r="L127" s="2036"/>
      <c r="M127" s="1633"/>
      <c r="N127" s="2036"/>
      <c r="O127" s="1633"/>
      <c r="P127" s="2036"/>
      <c r="Q127" s="1633"/>
      <c r="R127" s="2036"/>
      <c r="S127" s="1633"/>
      <c r="V127" s="46" t="s">
        <v>4835</v>
      </c>
      <c r="W127">
        <v>1</v>
      </c>
      <c r="X127" t="s">
        <v>3041</v>
      </c>
      <c r="Y127" t="s">
        <v>2795</v>
      </c>
    </row>
    <row r="128" spans="1:25" outlineLevel="2">
      <c r="A128" s="2037"/>
      <c r="B128" s="1800" t="s">
        <v>4836</v>
      </c>
      <c r="C128" s="2019"/>
      <c r="D128" s="2020">
        <v>9</v>
      </c>
      <c r="E128" s="2021" t="s">
        <v>2803</v>
      </c>
      <c r="F128" s="2043"/>
      <c r="G128" s="662">
        <f t="shared" si="5"/>
        <v>0</v>
      </c>
      <c r="H128" s="2036"/>
      <c r="I128" s="1634"/>
      <c r="J128" s="2036"/>
      <c r="K128" s="1634"/>
      <c r="L128" s="2036"/>
      <c r="M128" s="1633"/>
      <c r="N128" s="2036"/>
      <c r="O128" s="1633"/>
      <c r="P128" s="2036"/>
      <c r="Q128" s="1633"/>
      <c r="R128" s="2036"/>
      <c r="S128" s="1633"/>
      <c r="V128" s="46" t="s">
        <v>4836</v>
      </c>
      <c r="W128">
        <v>9</v>
      </c>
      <c r="X128" t="s">
        <v>3041</v>
      </c>
      <c r="Y128" t="s">
        <v>2795</v>
      </c>
    </row>
    <row r="129" spans="1:25" outlineLevel="2">
      <c r="A129" s="2037"/>
      <c r="B129" s="1800">
        <v>70</v>
      </c>
      <c r="C129" s="2019"/>
      <c r="D129" s="2020">
        <v>11</v>
      </c>
      <c r="E129" s="2021" t="s">
        <v>2803</v>
      </c>
      <c r="F129" s="2043"/>
      <c r="G129" s="662">
        <f t="shared" si="5"/>
        <v>0</v>
      </c>
      <c r="H129" s="2036"/>
      <c r="I129" s="1634"/>
      <c r="J129" s="2036"/>
      <c r="K129" s="1634"/>
      <c r="L129" s="2036"/>
      <c r="M129" s="1633"/>
      <c r="N129" s="2036"/>
      <c r="O129" s="1633"/>
      <c r="P129" s="2036"/>
      <c r="Q129" s="1633"/>
      <c r="R129" s="2036"/>
      <c r="S129" s="1633"/>
      <c r="V129" s="46">
        <v>70</v>
      </c>
      <c r="W129">
        <v>11</v>
      </c>
      <c r="X129" t="s">
        <v>3041</v>
      </c>
      <c r="Y129" t="s">
        <v>2795</v>
      </c>
    </row>
    <row r="130" spans="1:25">
      <c r="A130" s="2037"/>
      <c r="B130" s="1800"/>
      <c r="C130" s="2019"/>
      <c r="D130" s="2020"/>
      <c r="E130" s="2021"/>
      <c r="F130" s="2043"/>
      <c r="G130" s="662">
        <f t="shared" si="5"/>
        <v>0</v>
      </c>
      <c r="H130" s="2036"/>
      <c r="I130" s="1634"/>
      <c r="J130" s="2036"/>
      <c r="K130" s="1634"/>
      <c r="L130" s="2036"/>
      <c r="M130" s="1633"/>
      <c r="N130" s="2036"/>
      <c r="O130" s="1633"/>
      <c r="P130" s="2036"/>
      <c r="Q130" s="1633"/>
      <c r="R130" s="2036"/>
      <c r="S130" s="1633"/>
    </row>
    <row r="131" spans="1:25">
      <c r="A131" s="2037"/>
      <c r="B131" s="1877" t="s">
        <v>4837</v>
      </c>
      <c r="C131" s="2019"/>
      <c r="D131" s="2020"/>
      <c r="E131" s="2021"/>
      <c r="F131" s="2043"/>
      <c r="G131" s="662">
        <f t="shared" si="5"/>
        <v>0</v>
      </c>
      <c r="H131" s="2036"/>
      <c r="I131" s="1634"/>
      <c r="J131" s="2036"/>
      <c r="K131" s="1634"/>
      <c r="L131" s="2036"/>
      <c r="M131" s="1633"/>
      <c r="N131" s="2036"/>
      <c r="O131" s="1633"/>
      <c r="P131" s="2036"/>
      <c r="Q131" s="1633"/>
      <c r="R131" s="2036"/>
      <c r="S131" s="1633"/>
    </row>
    <row r="132" spans="1:25">
      <c r="A132" s="2037"/>
      <c r="B132" s="1800" t="s">
        <v>4838</v>
      </c>
      <c r="C132" s="2019"/>
      <c r="D132" s="2020">
        <f>SUM(D32:D38)</f>
        <v>70</v>
      </c>
      <c r="E132" s="2021" t="s">
        <v>2803</v>
      </c>
      <c r="F132" s="2043">
        <v>500</v>
      </c>
      <c r="G132" s="662">
        <f t="shared" si="5"/>
        <v>35000</v>
      </c>
      <c r="H132" s="2036"/>
      <c r="I132" s="1643">
        <f>$G132</f>
        <v>35000</v>
      </c>
      <c r="J132" s="2036"/>
      <c r="K132" s="1634"/>
      <c r="L132" s="2036"/>
      <c r="M132" s="1633"/>
      <c r="N132" s="2036"/>
      <c r="O132" s="1633"/>
      <c r="P132" s="2036"/>
      <c r="Q132" s="1633"/>
      <c r="R132" s="2036"/>
      <c r="S132" s="1633"/>
    </row>
    <row r="133" spans="1:25">
      <c r="A133" s="2037"/>
      <c r="B133" s="1800" t="s">
        <v>4839</v>
      </c>
      <c r="C133" s="2019"/>
      <c r="D133" s="2020">
        <f>SUM(D45:D55)</f>
        <v>113</v>
      </c>
      <c r="E133" s="2021" t="s">
        <v>2803</v>
      </c>
      <c r="F133" s="2043">
        <v>650</v>
      </c>
      <c r="G133" s="662">
        <f t="shared" si="5"/>
        <v>73450</v>
      </c>
      <c r="H133" s="2036"/>
      <c r="I133" s="1643">
        <f t="shared" ref="I133" si="9">$G133</f>
        <v>73450</v>
      </c>
      <c r="J133" s="2036"/>
      <c r="K133" s="1634"/>
      <c r="L133" s="2036"/>
      <c r="M133" s="1633"/>
      <c r="N133" s="2036"/>
      <c r="O133" s="1633"/>
      <c r="P133" s="2036"/>
      <c r="Q133" s="1633"/>
      <c r="R133" s="2036"/>
      <c r="S133" s="1633"/>
    </row>
    <row r="134" spans="1:25">
      <c r="A134" s="2037"/>
      <c r="B134" s="1800" t="s">
        <v>4840</v>
      </c>
      <c r="C134" s="2019"/>
      <c r="D134" s="2020">
        <f>SUM(D60:D61)</f>
        <v>5</v>
      </c>
      <c r="E134" s="2021" t="s">
        <v>2803</v>
      </c>
      <c r="F134" s="2043">
        <v>500</v>
      </c>
      <c r="G134" s="662">
        <f t="shared" si="5"/>
        <v>2500</v>
      </c>
      <c r="H134" s="2036"/>
      <c r="I134" s="1643">
        <f>$G134</f>
        <v>2500</v>
      </c>
      <c r="J134" s="2036"/>
      <c r="K134" s="1634"/>
      <c r="L134" s="2036"/>
      <c r="M134" s="1633"/>
      <c r="N134" s="2036"/>
      <c r="O134" s="1633"/>
      <c r="P134" s="2036"/>
      <c r="Q134" s="1633"/>
      <c r="R134" s="2036"/>
      <c r="S134" s="1633"/>
    </row>
    <row r="135" spans="1:25">
      <c r="A135" s="2037"/>
      <c r="B135" s="1800"/>
      <c r="C135" s="2019"/>
      <c r="D135" s="2020"/>
      <c r="E135" s="2021"/>
      <c r="F135" s="2043"/>
      <c r="G135" s="662">
        <f t="shared" si="5"/>
        <v>0</v>
      </c>
      <c r="H135" s="2036"/>
      <c r="I135" s="1634"/>
      <c r="J135" s="2036"/>
      <c r="K135" s="1634"/>
      <c r="L135" s="2036"/>
      <c r="M135" s="1633"/>
      <c r="N135" s="2036"/>
      <c r="O135" s="1633"/>
      <c r="P135" s="2036"/>
      <c r="Q135" s="1633"/>
      <c r="R135" s="2036"/>
      <c r="S135" s="1633"/>
    </row>
    <row r="136" spans="1:25">
      <c r="A136" s="2037"/>
      <c r="B136" s="1877" t="s">
        <v>4841</v>
      </c>
      <c r="C136" s="2019"/>
      <c r="D136" s="2020">
        <f>SUM(D28:D30)</f>
        <v>15</v>
      </c>
      <c r="E136" s="2021" t="s">
        <v>2803</v>
      </c>
      <c r="F136" s="2043">
        <v>500</v>
      </c>
      <c r="G136" s="662">
        <f t="shared" si="5"/>
        <v>7500</v>
      </c>
      <c r="H136" s="2036"/>
      <c r="I136" s="1643">
        <f>$G136</f>
        <v>7500</v>
      </c>
      <c r="J136" s="2036"/>
      <c r="K136" s="1634"/>
      <c r="L136" s="2036"/>
      <c r="M136" s="1633"/>
      <c r="N136" s="2036"/>
      <c r="O136" s="1633"/>
      <c r="P136" s="2036"/>
      <c r="Q136" s="1633"/>
      <c r="R136" s="2036"/>
      <c r="S136" s="1633"/>
    </row>
    <row r="137" spans="1:25">
      <c r="A137" s="2037"/>
      <c r="B137" s="1800"/>
      <c r="C137" s="2019"/>
      <c r="D137" s="2020"/>
      <c r="E137" s="2021"/>
      <c r="F137" s="2043"/>
      <c r="G137" s="662">
        <f t="shared" si="5"/>
        <v>0</v>
      </c>
      <c r="H137" s="2036"/>
      <c r="I137" s="1634"/>
      <c r="J137" s="2036"/>
      <c r="K137" s="1634"/>
      <c r="L137" s="2036"/>
      <c r="M137" s="1633"/>
      <c r="N137" s="2036"/>
      <c r="O137" s="1633"/>
      <c r="P137" s="2036"/>
      <c r="Q137" s="1633"/>
      <c r="R137" s="2036"/>
      <c r="S137" s="1633"/>
    </row>
    <row r="138" spans="1:25">
      <c r="A138" s="2037"/>
      <c r="B138" s="1887" t="s">
        <v>4842</v>
      </c>
      <c r="C138" s="2019"/>
      <c r="D138" s="2050">
        <v>1</v>
      </c>
      <c r="E138" s="2021" t="s">
        <v>2818</v>
      </c>
      <c r="F138" s="2043">
        <v>2500</v>
      </c>
      <c r="G138" s="662">
        <f t="shared" ref="G138" si="10">ROUND(D138*F138,0)</f>
        <v>2500</v>
      </c>
      <c r="H138" s="2036"/>
      <c r="I138" s="1643">
        <f>$G138</f>
        <v>2500</v>
      </c>
      <c r="J138" s="2036"/>
      <c r="K138" s="1634"/>
      <c r="L138" s="2036"/>
      <c r="M138" s="1633"/>
      <c r="N138" s="2036"/>
      <c r="O138" s="1633"/>
      <c r="P138" s="2036"/>
      <c r="Q138" s="1633"/>
      <c r="R138" s="2036"/>
      <c r="S138" s="1633"/>
    </row>
    <row r="139" spans="1:25">
      <c r="A139" s="2037"/>
      <c r="B139" s="1800"/>
      <c r="C139" s="2019"/>
      <c r="D139" s="2020"/>
      <c r="E139" s="2021"/>
      <c r="F139" s="2043"/>
      <c r="G139" s="662">
        <f>ROUND(D139*F139,0)</f>
        <v>0</v>
      </c>
      <c r="H139" s="2036"/>
      <c r="I139" s="1634"/>
      <c r="J139" s="2036"/>
      <c r="K139" s="1634"/>
      <c r="L139" s="2036"/>
      <c r="M139" s="1633"/>
      <c r="N139" s="2036"/>
      <c r="O139" s="1633"/>
      <c r="P139" s="2036"/>
      <c r="Q139" s="1633"/>
      <c r="R139" s="2036"/>
      <c r="S139" s="1633"/>
    </row>
    <row r="140" spans="1:25">
      <c r="A140" s="2037"/>
      <c r="B140" s="1877"/>
      <c r="C140" s="2019"/>
      <c r="D140" s="2020"/>
      <c r="E140" s="2021"/>
      <c r="F140" s="2043"/>
      <c r="G140" s="662">
        <f t="shared" si="5"/>
        <v>0</v>
      </c>
      <c r="H140" s="2036"/>
      <c r="I140" s="1634"/>
      <c r="J140" s="2036"/>
      <c r="K140" s="1634"/>
      <c r="L140" s="2036"/>
      <c r="M140" s="1633"/>
      <c r="N140" s="2036"/>
      <c r="O140" s="1633"/>
      <c r="P140" s="2036"/>
      <c r="Q140" s="1633"/>
      <c r="R140" s="2036"/>
      <c r="S140" s="1633"/>
    </row>
    <row r="141" spans="1:25" s="175" customFormat="1" ht="120" hidden="1">
      <c r="A141" s="2054" t="s">
        <v>2587</v>
      </c>
      <c r="B141" s="2055" t="s">
        <v>4843</v>
      </c>
      <c r="C141" s="2056"/>
      <c r="D141" s="2057">
        <v>6</v>
      </c>
      <c r="E141" s="2058" t="s">
        <v>2803</v>
      </c>
      <c r="F141" s="2059">
        <v>10000</v>
      </c>
      <c r="G141" s="653">
        <f t="shared" si="5"/>
        <v>60000</v>
      </c>
      <c r="H141" s="2060"/>
      <c r="I141" s="2061">
        <f>$G141</f>
        <v>60000</v>
      </c>
      <c r="J141" s="2060"/>
      <c r="K141" s="1893"/>
      <c r="L141" s="2060"/>
      <c r="M141" s="1894"/>
      <c r="N141" s="2060"/>
      <c r="O141" s="1894"/>
      <c r="P141" s="2060"/>
      <c r="Q141" s="1894"/>
      <c r="R141" s="2060"/>
      <c r="S141" s="1894"/>
      <c r="V141" s="570"/>
    </row>
    <row r="142" spans="1:25" hidden="1">
      <c r="A142" s="2037"/>
      <c r="B142" s="1800"/>
      <c r="C142" s="2019"/>
      <c r="D142" s="2020"/>
      <c r="E142" s="2021"/>
      <c r="F142" s="2043"/>
      <c r="G142" s="662">
        <f t="shared" si="5"/>
        <v>0</v>
      </c>
      <c r="H142" s="2036"/>
      <c r="I142" s="1634"/>
      <c r="J142" s="2036"/>
      <c r="K142" s="1634"/>
      <c r="L142" s="2036"/>
      <c r="M142" s="1633"/>
      <c r="N142" s="2036"/>
      <c r="O142" s="1633"/>
      <c r="P142" s="2036"/>
      <c r="Q142" s="1633"/>
      <c r="R142" s="2036"/>
      <c r="S142" s="1633"/>
    </row>
    <row r="143" spans="1:25" hidden="1">
      <c r="A143" s="2054" t="s">
        <v>2587</v>
      </c>
      <c r="B143" s="2062" t="s">
        <v>4844</v>
      </c>
      <c r="C143" s="659"/>
      <c r="D143" s="2057">
        <v>1</v>
      </c>
      <c r="E143" s="2058" t="s">
        <v>2818</v>
      </c>
      <c r="F143" s="2059">
        <v>10000</v>
      </c>
      <c r="G143" s="653">
        <f t="shared" si="5"/>
        <v>10000</v>
      </c>
      <c r="H143" s="2060"/>
      <c r="I143" s="2061">
        <f>$G143</f>
        <v>10000</v>
      </c>
      <c r="J143" s="2036"/>
      <c r="K143" s="1634"/>
      <c r="L143" s="2036"/>
      <c r="M143" s="1633"/>
      <c r="N143" s="2036"/>
      <c r="O143" s="1633"/>
      <c r="P143" s="2036"/>
      <c r="Q143" s="1633"/>
      <c r="R143" s="2036"/>
      <c r="S143" s="1633"/>
    </row>
    <row r="144" spans="1:25">
      <c r="A144" s="2063"/>
      <c r="B144" s="2064"/>
      <c r="C144" s="659"/>
      <c r="D144" s="2050"/>
      <c r="E144" s="2021"/>
      <c r="F144" s="2043"/>
      <c r="G144" s="662">
        <f t="shared" si="5"/>
        <v>0</v>
      </c>
      <c r="H144" s="2036"/>
      <c r="I144" s="1634"/>
      <c r="J144" s="2036"/>
      <c r="K144" s="1634"/>
      <c r="L144" s="2036"/>
      <c r="M144" s="1633"/>
      <c r="N144" s="2036"/>
      <c r="O144" s="1633"/>
      <c r="P144" s="2036"/>
      <c r="Q144" s="1633"/>
      <c r="R144" s="2036"/>
      <c r="S144" s="1633"/>
    </row>
    <row r="145" spans="1:22">
      <c r="A145" s="2037"/>
      <c r="B145" s="2065" t="s">
        <v>3235</v>
      </c>
      <c r="C145" s="2019"/>
      <c r="D145" s="2044"/>
      <c r="E145" s="2021"/>
      <c r="F145" s="2043"/>
      <c r="G145" s="662">
        <f t="shared" si="5"/>
        <v>0</v>
      </c>
      <c r="H145" s="2036"/>
      <c r="I145" s="1729">
        <f>SUBTOTAL(9,I146:I159)</f>
        <v>19950</v>
      </c>
      <c r="J145" s="2036"/>
      <c r="K145" s="1729">
        <f>SUBTOTAL(9,K146:K159)</f>
        <v>0</v>
      </c>
      <c r="L145" s="2036"/>
      <c r="M145" s="1729">
        <f>SUBTOTAL(9,M146:M159)</f>
        <v>0</v>
      </c>
      <c r="N145" s="2036"/>
      <c r="O145" s="1729">
        <f>SUBTOTAL(9,O146:O159)</f>
        <v>0</v>
      </c>
      <c r="P145" s="2036"/>
      <c r="Q145" s="1729">
        <f>SUBTOTAL(9,Q146:Q159)</f>
        <v>0</v>
      </c>
      <c r="R145" s="2036"/>
      <c r="S145" s="1729">
        <f>SUBTOTAL(9,S146:S159)</f>
        <v>0</v>
      </c>
      <c r="V145"/>
    </row>
    <row r="146" spans="1:22">
      <c r="A146" s="2037"/>
      <c r="B146" s="1796" t="s">
        <v>4845</v>
      </c>
      <c r="C146" s="2019"/>
      <c r="D146" s="2020"/>
      <c r="E146" s="2021"/>
      <c r="F146" s="2043"/>
      <c r="G146" s="662">
        <f t="shared" si="5"/>
        <v>0</v>
      </c>
      <c r="H146" s="2036"/>
      <c r="I146" s="1634"/>
      <c r="J146" s="2036"/>
      <c r="K146" s="1634"/>
      <c r="L146" s="2036"/>
      <c r="M146" s="1633"/>
      <c r="N146" s="2036"/>
      <c r="O146" s="1633"/>
      <c r="P146" s="2036"/>
      <c r="Q146" s="1633"/>
      <c r="R146" s="2036"/>
      <c r="S146" s="1633"/>
    </row>
    <row r="147" spans="1:22">
      <c r="A147" s="2037"/>
      <c r="B147" s="1800" t="s">
        <v>4846</v>
      </c>
      <c r="C147" s="2019"/>
      <c r="D147" s="2020">
        <v>1</v>
      </c>
      <c r="E147" s="2021" t="s">
        <v>2803</v>
      </c>
      <c r="F147" s="2043">
        <v>1200</v>
      </c>
      <c r="G147" s="662">
        <f t="shared" ref="G147:G150" si="11">ROUND(D147*F147,0)</f>
        <v>1200</v>
      </c>
      <c r="H147" s="2036"/>
      <c r="I147" s="1643">
        <f t="shared" ref="I147:I149" si="12">$G147</f>
        <v>1200</v>
      </c>
      <c r="J147" s="2036"/>
      <c r="K147" s="1634"/>
      <c r="L147" s="2036"/>
      <c r="M147" s="1633"/>
      <c r="N147" s="2036"/>
      <c r="O147" s="1633"/>
      <c r="P147" s="2036"/>
      <c r="Q147" s="1633"/>
      <c r="R147" s="2036"/>
      <c r="S147" s="1633"/>
    </row>
    <row r="148" spans="1:22">
      <c r="A148" s="2037"/>
      <c r="B148" s="1800" t="s">
        <v>4847</v>
      </c>
      <c r="C148" s="2019"/>
      <c r="D148" s="2020">
        <v>5</v>
      </c>
      <c r="E148" s="2021" t="s">
        <v>2803</v>
      </c>
      <c r="F148" s="2043">
        <v>1200</v>
      </c>
      <c r="G148" s="662">
        <f t="shared" si="11"/>
        <v>6000</v>
      </c>
      <c r="H148" s="2036"/>
      <c r="I148" s="1643">
        <f t="shared" si="12"/>
        <v>6000</v>
      </c>
      <c r="J148" s="2036"/>
      <c r="K148" s="1634"/>
      <c r="L148" s="2036"/>
      <c r="M148" s="1633"/>
      <c r="N148" s="2036"/>
      <c r="O148" s="1633"/>
      <c r="P148" s="2036"/>
      <c r="Q148" s="1633"/>
      <c r="R148" s="2036"/>
      <c r="S148" s="1633"/>
    </row>
    <row r="149" spans="1:22">
      <c r="A149" s="2037"/>
      <c r="B149" s="1800" t="s">
        <v>4848</v>
      </c>
      <c r="C149" s="2019"/>
      <c r="D149" s="2020">
        <v>1</v>
      </c>
      <c r="E149" s="2021" t="s">
        <v>2803</v>
      </c>
      <c r="F149" s="2043">
        <v>1200</v>
      </c>
      <c r="G149" s="662">
        <f t="shared" si="11"/>
        <v>1200</v>
      </c>
      <c r="H149" s="2036"/>
      <c r="I149" s="1643">
        <f t="shared" si="12"/>
        <v>1200</v>
      </c>
      <c r="J149" s="2036"/>
      <c r="K149" s="1634"/>
      <c r="L149" s="2036"/>
      <c r="M149" s="1633"/>
      <c r="N149" s="2036"/>
      <c r="O149" s="1633"/>
      <c r="P149" s="2036"/>
      <c r="Q149" s="1633"/>
      <c r="R149" s="2036"/>
      <c r="S149" s="1633"/>
    </row>
    <row r="150" spans="1:22">
      <c r="A150" s="2037"/>
      <c r="B150" s="2046"/>
      <c r="C150" s="2049"/>
      <c r="D150" s="2050"/>
      <c r="E150" s="2051"/>
      <c r="F150" s="2052"/>
      <c r="G150" s="2053">
        <f t="shared" si="11"/>
        <v>0</v>
      </c>
      <c r="H150" s="2036"/>
      <c r="I150" s="1634"/>
      <c r="J150" s="2036"/>
      <c r="K150" s="1634"/>
      <c r="L150" s="2036"/>
      <c r="M150" s="1633"/>
      <c r="N150" s="2036"/>
      <c r="O150" s="1633"/>
      <c r="P150" s="2036"/>
      <c r="Q150" s="1633"/>
      <c r="R150" s="2036"/>
      <c r="S150" s="1633"/>
    </row>
    <row r="151" spans="1:22">
      <c r="A151" s="2037"/>
      <c r="B151" s="2066" t="s">
        <v>4849</v>
      </c>
      <c r="C151" s="2049"/>
      <c r="D151" s="2050">
        <f>SUM(D152:D155)</f>
        <v>7</v>
      </c>
      <c r="E151" s="2051" t="s">
        <v>2803</v>
      </c>
      <c r="F151" s="2052">
        <v>1000</v>
      </c>
      <c r="G151" s="2053">
        <f t="shared" ref="G151:G160" si="13">ROUND(D151*F151,0)</f>
        <v>7000</v>
      </c>
      <c r="H151" s="2036"/>
      <c r="I151" s="1643">
        <f>$G151</f>
        <v>7000</v>
      </c>
      <c r="J151" s="2036"/>
      <c r="K151" s="1634"/>
      <c r="L151" s="2036"/>
      <c r="M151" s="1633"/>
      <c r="N151" s="2036"/>
      <c r="O151" s="1633"/>
      <c r="P151" s="2036"/>
      <c r="Q151" s="1633"/>
      <c r="R151" s="2036"/>
      <c r="S151" s="1633"/>
    </row>
    <row r="152" spans="1:22">
      <c r="A152" s="2037"/>
      <c r="B152" s="1800" t="s">
        <v>4850</v>
      </c>
      <c r="C152" s="2019"/>
      <c r="D152" s="2020">
        <v>1</v>
      </c>
      <c r="E152" s="2021" t="s">
        <v>2803</v>
      </c>
      <c r="F152" s="2043"/>
      <c r="G152" s="662">
        <f t="shared" si="13"/>
        <v>0</v>
      </c>
      <c r="H152" s="2036"/>
      <c r="I152" s="1634"/>
      <c r="J152" s="2036"/>
      <c r="K152" s="1634"/>
      <c r="L152" s="2036"/>
      <c r="M152" s="1633"/>
      <c r="N152" s="2036"/>
      <c r="O152" s="1633"/>
      <c r="P152" s="2036"/>
      <c r="Q152" s="1633"/>
      <c r="R152" s="2036"/>
      <c r="S152" s="1633"/>
    </row>
    <row r="153" spans="1:22">
      <c r="A153" s="2037"/>
      <c r="B153" s="1800" t="s">
        <v>4851</v>
      </c>
      <c r="C153" s="2019"/>
      <c r="D153" s="2020">
        <v>1</v>
      </c>
      <c r="E153" s="2021" t="s">
        <v>2803</v>
      </c>
      <c r="F153" s="2043"/>
      <c r="G153" s="662">
        <f t="shared" si="13"/>
        <v>0</v>
      </c>
      <c r="H153" s="2036"/>
      <c r="I153" s="1634"/>
      <c r="J153" s="2036"/>
      <c r="K153" s="1634"/>
      <c r="L153" s="2036"/>
      <c r="M153" s="1633"/>
      <c r="N153" s="2036"/>
      <c r="O153" s="1633"/>
      <c r="P153" s="2036"/>
      <c r="Q153" s="1633"/>
      <c r="R153" s="2036"/>
      <c r="S153" s="1633"/>
    </row>
    <row r="154" spans="1:22">
      <c r="A154" s="2037"/>
      <c r="B154" s="1800" t="s">
        <v>4852</v>
      </c>
      <c r="C154" s="2019"/>
      <c r="D154" s="2020">
        <v>4</v>
      </c>
      <c r="E154" s="2021" t="s">
        <v>2803</v>
      </c>
      <c r="F154" s="2043"/>
      <c r="G154" s="662">
        <f t="shared" si="13"/>
        <v>0</v>
      </c>
      <c r="H154" s="2036"/>
      <c r="I154" s="1634"/>
      <c r="J154" s="2036"/>
      <c r="K154" s="1634"/>
      <c r="L154" s="2036"/>
      <c r="M154" s="1633"/>
      <c r="N154" s="2036"/>
      <c r="O154" s="1633"/>
      <c r="P154" s="2036"/>
      <c r="Q154" s="1633"/>
      <c r="R154" s="2036"/>
      <c r="S154" s="1633"/>
    </row>
    <row r="155" spans="1:22">
      <c r="A155" s="2037"/>
      <c r="B155" s="1800" t="s">
        <v>4853</v>
      </c>
      <c r="C155" s="2019"/>
      <c r="D155" s="2020">
        <v>1</v>
      </c>
      <c r="E155" s="2021" t="s">
        <v>2803</v>
      </c>
      <c r="F155" s="2043"/>
      <c r="G155" s="662">
        <f t="shared" si="13"/>
        <v>0</v>
      </c>
      <c r="H155" s="2036"/>
      <c r="I155" s="1634"/>
      <c r="J155" s="2036"/>
      <c r="K155" s="1634"/>
      <c r="L155" s="2036"/>
      <c r="M155" s="1633"/>
      <c r="N155" s="2036"/>
      <c r="O155" s="1633"/>
      <c r="P155" s="2036"/>
      <c r="Q155" s="1633"/>
      <c r="R155" s="2036"/>
      <c r="S155" s="1633"/>
    </row>
    <row r="156" spans="1:22">
      <c r="A156" s="2037"/>
      <c r="B156" s="1800"/>
      <c r="C156" s="2019"/>
      <c r="D156" s="2020"/>
      <c r="E156" s="2021"/>
      <c r="F156" s="2043"/>
      <c r="G156" s="662">
        <f t="shared" si="13"/>
        <v>0</v>
      </c>
      <c r="H156" s="2036"/>
      <c r="I156" s="1634"/>
      <c r="J156" s="2036"/>
      <c r="K156" s="1634"/>
      <c r="L156" s="2036"/>
      <c r="M156" s="1633"/>
      <c r="N156" s="2036"/>
      <c r="O156" s="1633"/>
      <c r="P156" s="2036"/>
      <c r="Q156" s="1633"/>
      <c r="R156" s="2036"/>
      <c r="S156" s="1633"/>
    </row>
    <row r="157" spans="1:22">
      <c r="A157" s="2037"/>
      <c r="B157" s="1877" t="s">
        <v>4837</v>
      </c>
      <c r="C157" s="2019"/>
      <c r="D157" s="2020"/>
      <c r="E157" s="2021"/>
      <c r="F157" s="2043"/>
      <c r="G157" s="662">
        <f t="shared" si="13"/>
        <v>0</v>
      </c>
      <c r="H157" s="2036"/>
      <c r="I157" s="1634"/>
      <c r="J157" s="2036"/>
      <c r="K157" s="1634"/>
      <c r="L157" s="2036"/>
      <c r="M157" s="1633"/>
      <c r="N157" s="2036"/>
      <c r="O157" s="1633"/>
      <c r="P157" s="2036"/>
      <c r="Q157" s="1633"/>
      <c r="R157" s="2036"/>
      <c r="S157" s="1633"/>
    </row>
    <row r="158" spans="1:22">
      <c r="A158" s="2037"/>
      <c r="B158" s="1800" t="s">
        <v>4845</v>
      </c>
      <c r="C158" s="2019"/>
      <c r="D158" s="2020">
        <f>SUM(D147:D149)</f>
        <v>7</v>
      </c>
      <c r="E158" s="2021" t="s">
        <v>2803</v>
      </c>
      <c r="F158" s="2043">
        <v>650</v>
      </c>
      <c r="G158" s="662">
        <f t="shared" si="13"/>
        <v>4550</v>
      </c>
      <c r="H158" s="2036"/>
      <c r="I158" s="1643">
        <f>$G158</f>
        <v>4550</v>
      </c>
      <c r="J158" s="2036"/>
      <c r="K158" s="1634"/>
      <c r="L158" s="2036"/>
      <c r="M158" s="1633"/>
      <c r="N158" s="2036"/>
      <c r="O158" s="1633"/>
      <c r="P158" s="2036"/>
      <c r="Q158" s="1633"/>
      <c r="R158" s="2036"/>
      <c r="S158" s="1633"/>
    </row>
    <row r="159" spans="1:22">
      <c r="A159" s="2037"/>
      <c r="B159" s="1800"/>
      <c r="C159" s="2019"/>
      <c r="D159" s="2020"/>
      <c r="E159" s="2021"/>
      <c r="F159" s="2043"/>
      <c r="G159" s="662">
        <f t="shared" si="13"/>
        <v>0</v>
      </c>
      <c r="H159" s="2036"/>
      <c r="I159" s="1634"/>
      <c r="J159" s="2036"/>
      <c r="K159" s="1634"/>
      <c r="L159" s="2036"/>
      <c r="M159" s="1633"/>
      <c r="N159" s="2036"/>
      <c r="O159" s="1633"/>
      <c r="P159" s="2036"/>
      <c r="Q159" s="1633"/>
      <c r="R159" s="2036"/>
      <c r="S159" s="1633"/>
    </row>
    <row r="160" spans="1:22">
      <c r="A160" s="2037"/>
      <c r="B160" s="2065" t="s">
        <v>2697</v>
      </c>
      <c r="C160" s="2019"/>
      <c r="D160" s="2044"/>
      <c r="E160" s="2021"/>
      <c r="F160" s="2043"/>
      <c r="G160" s="662">
        <f t="shared" si="13"/>
        <v>0</v>
      </c>
      <c r="H160" s="2036"/>
      <c r="I160" s="1729">
        <f>SUBTOTAL(9,I161:I179)</f>
        <v>135946</v>
      </c>
      <c r="J160" s="2036"/>
      <c r="K160" s="1729">
        <f>SUBTOTAL(9,K161:K179)</f>
        <v>0</v>
      </c>
      <c r="L160" s="2036"/>
      <c r="M160" s="1729">
        <f>SUBTOTAL(9,M161:M179)</f>
        <v>0</v>
      </c>
      <c r="N160" s="2036"/>
      <c r="O160" s="1729">
        <f>SUBTOTAL(9,O161:O179)</f>
        <v>0</v>
      </c>
      <c r="P160" s="2036"/>
      <c r="Q160" s="1729">
        <f>SUBTOTAL(9,Q161:Q179)</f>
        <v>0</v>
      </c>
      <c r="R160" s="2036"/>
      <c r="S160" s="1729">
        <f>SUBTOTAL(9,S161:S179)</f>
        <v>0</v>
      </c>
      <c r="V160"/>
    </row>
    <row r="161" spans="1:19">
      <c r="A161" s="2037"/>
      <c r="B161" s="1877" t="s">
        <v>4845</v>
      </c>
      <c r="C161" s="2019"/>
      <c r="D161" s="2020"/>
      <c r="E161" s="2021"/>
      <c r="F161" s="2043"/>
      <c r="G161" s="662">
        <f t="shared" si="5"/>
        <v>0</v>
      </c>
      <c r="H161" s="2036"/>
      <c r="I161" s="1634"/>
      <c r="J161" s="2036"/>
      <c r="K161" s="1634"/>
      <c r="L161" s="2036"/>
      <c r="M161" s="1633"/>
      <c r="N161" s="2036"/>
      <c r="O161" s="1633"/>
      <c r="P161" s="2036"/>
      <c r="Q161" s="1633"/>
      <c r="R161" s="2036"/>
      <c r="S161" s="1633"/>
    </row>
    <row r="162" spans="1:19">
      <c r="A162" s="2037"/>
      <c r="B162" s="1800" t="s">
        <v>4854</v>
      </c>
      <c r="C162" s="2019"/>
      <c r="D162" s="2020">
        <v>7</v>
      </c>
      <c r="E162" s="2021" t="s">
        <v>2803</v>
      </c>
      <c r="F162" s="2043">
        <v>800</v>
      </c>
      <c r="G162" s="662">
        <f t="shared" si="5"/>
        <v>5600</v>
      </c>
      <c r="H162" s="2036"/>
      <c r="I162" s="1643">
        <f t="shared" ref="I162:I165" si="14">$G162</f>
        <v>5600</v>
      </c>
      <c r="J162" s="2036"/>
      <c r="K162" s="1634"/>
      <c r="L162" s="2036"/>
      <c r="M162" s="1633"/>
      <c r="N162" s="2036"/>
      <c r="O162" s="1633"/>
      <c r="P162" s="2036"/>
      <c r="Q162" s="1633"/>
      <c r="R162" s="2036"/>
      <c r="S162" s="1633"/>
    </row>
    <row r="163" spans="1:19">
      <c r="A163" s="2037"/>
      <c r="B163" s="1800" t="s">
        <v>4855</v>
      </c>
      <c r="C163" s="2019"/>
      <c r="D163" s="2020">
        <v>5</v>
      </c>
      <c r="E163" s="2021" t="s">
        <v>2803</v>
      </c>
      <c r="F163" s="2043">
        <v>1500</v>
      </c>
      <c r="G163" s="662">
        <f t="shared" si="5"/>
        <v>7500</v>
      </c>
      <c r="H163" s="2036"/>
      <c r="I163" s="1643">
        <f t="shared" si="14"/>
        <v>7500</v>
      </c>
      <c r="J163" s="2036"/>
      <c r="K163" s="1634"/>
      <c r="L163" s="2036"/>
      <c r="M163" s="1633"/>
      <c r="N163" s="2036"/>
      <c r="O163" s="1633"/>
      <c r="P163" s="2036"/>
      <c r="Q163" s="1633"/>
      <c r="R163" s="2036"/>
      <c r="S163" s="1633"/>
    </row>
    <row r="164" spans="1:19">
      <c r="A164" s="2037"/>
      <c r="B164" s="1800" t="s">
        <v>4856</v>
      </c>
      <c r="C164" s="2019"/>
      <c r="D164" s="2020">
        <v>5</v>
      </c>
      <c r="E164" s="2021" t="s">
        <v>2803</v>
      </c>
      <c r="F164" s="2043">
        <v>1500</v>
      </c>
      <c r="G164" s="662">
        <f t="shared" si="5"/>
        <v>7500</v>
      </c>
      <c r="H164" s="2036"/>
      <c r="I164" s="1643">
        <f t="shared" si="14"/>
        <v>7500</v>
      </c>
      <c r="J164" s="2036"/>
      <c r="K164" s="1634"/>
      <c r="L164" s="2036"/>
      <c r="M164" s="1633"/>
      <c r="N164" s="2036"/>
      <c r="O164" s="1633"/>
      <c r="P164" s="2036"/>
      <c r="Q164" s="1633"/>
      <c r="R164" s="2036"/>
      <c r="S164" s="1633"/>
    </row>
    <row r="165" spans="1:19">
      <c r="A165" s="2037"/>
      <c r="B165" s="1800" t="s">
        <v>4857</v>
      </c>
      <c r="C165" s="2019"/>
      <c r="D165" s="2020">
        <v>1</v>
      </c>
      <c r="E165" s="2021" t="s">
        <v>2803</v>
      </c>
      <c r="F165" s="2043">
        <v>650</v>
      </c>
      <c r="G165" s="662">
        <f t="shared" si="5"/>
        <v>650</v>
      </c>
      <c r="H165" s="2036"/>
      <c r="I165" s="1643">
        <f t="shared" si="14"/>
        <v>650</v>
      </c>
      <c r="J165" s="2036"/>
      <c r="K165" s="1634"/>
      <c r="L165" s="2036"/>
      <c r="M165" s="1633"/>
      <c r="N165" s="2036"/>
      <c r="O165" s="1633"/>
      <c r="P165" s="2036"/>
      <c r="Q165" s="1633"/>
      <c r="R165" s="2036"/>
      <c r="S165" s="1633"/>
    </row>
    <row r="166" spans="1:19">
      <c r="A166" s="2037"/>
      <c r="B166" s="1800"/>
      <c r="C166" s="2019"/>
      <c r="D166" s="2020"/>
      <c r="E166" s="2021"/>
      <c r="F166" s="2043"/>
      <c r="G166" s="662">
        <f t="shared" si="5"/>
        <v>0</v>
      </c>
      <c r="H166" s="2036"/>
      <c r="I166" s="1634"/>
      <c r="J166" s="2036"/>
      <c r="K166" s="1634"/>
      <c r="L166" s="2036"/>
      <c r="M166" s="1633"/>
      <c r="N166" s="2036"/>
      <c r="O166" s="1633"/>
      <c r="P166" s="2036"/>
      <c r="Q166" s="1633"/>
      <c r="R166" s="2036"/>
      <c r="S166" s="1633"/>
    </row>
    <row r="167" spans="1:19">
      <c r="A167" s="2054" t="s">
        <v>3585</v>
      </c>
      <c r="B167" s="1796" t="s">
        <v>2650</v>
      </c>
      <c r="C167" s="2019"/>
      <c r="D167" s="2020"/>
      <c r="E167" s="2021"/>
      <c r="F167" s="2043"/>
      <c r="G167" s="670">
        <f>SUM(G168:G170)</f>
        <v>84996</v>
      </c>
      <c r="H167" s="2036"/>
      <c r="I167" s="1889">
        <f>$G167</f>
        <v>84996</v>
      </c>
      <c r="J167" s="2036"/>
      <c r="K167" s="1634"/>
      <c r="L167" s="2036"/>
      <c r="M167" s="1633"/>
      <c r="N167" s="2036"/>
      <c r="O167" s="1633"/>
      <c r="P167" s="2036"/>
      <c r="Q167" s="1633"/>
      <c r="R167" s="2036"/>
      <c r="S167" s="1633"/>
    </row>
    <row r="168" spans="1:19">
      <c r="A168" s="2037"/>
      <c r="B168" s="1800" t="s">
        <v>4858</v>
      </c>
      <c r="C168" s="2019"/>
      <c r="D168" s="2020">
        <f>8.56*9</f>
        <v>77.040000000000006</v>
      </c>
      <c r="E168" s="2021" t="s">
        <v>2845</v>
      </c>
      <c r="F168" s="2043">
        <v>300</v>
      </c>
      <c r="G168" s="662">
        <f t="shared" ref="G168:G171" si="15">ROUND(D168*F168,0)</f>
        <v>23112</v>
      </c>
      <c r="H168" s="2036"/>
      <c r="I168" s="1634"/>
      <c r="J168" s="2036"/>
      <c r="K168" s="1634"/>
      <c r="L168" s="2036"/>
      <c r="M168" s="1633"/>
      <c r="N168" s="2036"/>
      <c r="O168" s="1633"/>
      <c r="P168" s="2036"/>
      <c r="Q168" s="1633"/>
      <c r="R168" s="2036"/>
      <c r="S168" s="1633"/>
    </row>
    <row r="169" spans="1:19">
      <c r="A169" s="2037"/>
      <c r="B169" s="1800" t="s">
        <v>4859</v>
      </c>
      <c r="C169" s="2019"/>
      <c r="D169" s="2020">
        <f>9*9</f>
        <v>81</v>
      </c>
      <c r="E169" s="2021" t="s">
        <v>2845</v>
      </c>
      <c r="F169" s="2043">
        <v>300</v>
      </c>
      <c r="G169" s="662">
        <f t="shared" si="15"/>
        <v>24300</v>
      </c>
      <c r="H169" s="2036"/>
      <c r="I169" s="1634"/>
      <c r="J169" s="2036"/>
      <c r="K169" s="1634"/>
      <c r="L169" s="2036"/>
      <c r="M169" s="1633"/>
      <c r="N169" s="2036"/>
      <c r="O169" s="1633"/>
      <c r="P169" s="2036"/>
      <c r="Q169" s="1633"/>
      <c r="R169" s="2036"/>
      <c r="S169" s="1633"/>
    </row>
    <row r="170" spans="1:19">
      <c r="A170" s="2037"/>
      <c r="B170" s="1800" t="s">
        <v>4860</v>
      </c>
      <c r="C170" s="2049"/>
      <c r="D170" s="2050">
        <f>13.92*9</f>
        <v>125.28</v>
      </c>
      <c r="E170" s="2021" t="s">
        <v>2845</v>
      </c>
      <c r="F170" s="2052">
        <v>300</v>
      </c>
      <c r="G170" s="662">
        <f t="shared" si="15"/>
        <v>37584</v>
      </c>
      <c r="H170" s="2036"/>
      <c r="I170" s="1634"/>
      <c r="J170" s="2036"/>
      <c r="K170" s="1634"/>
      <c r="L170" s="2036"/>
      <c r="M170" s="1633"/>
      <c r="N170" s="2036"/>
      <c r="O170" s="1633"/>
      <c r="P170" s="2036"/>
      <c r="Q170" s="1633"/>
      <c r="R170" s="2036"/>
      <c r="S170" s="1633"/>
    </row>
    <row r="171" spans="1:19">
      <c r="A171" s="2037"/>
      <c r="B171" s="1800"/>
      <c r="C171" s="2049"/>
      <c r="D171" s="2050"/>
      <c r="E171" s="2051"/>
      <c r="F171" s="2052"/>
      <c r="G171" s="662">
        <f t="shared" si="15"/>
        <v>0</v>
      </c>
      <c r="H171" s="2036"/>
      <c r="I171" s="1634"/>
      <c r="J171" s="2036"/>
      <c r="K171" s="1634"/>
      <c r="L171" s="2036"/>
      <c r="M171" s="1633"/>
      <c r="N171" s="2036"/>
      <c r="O171" s="1633"/>
      <c r="P171" s="2036"/>
      <c r="Q171" s="1633"/>
      <c r="R171" s="2036"/>
      <c r="S171" s="1633"/>
    </row>
    <row r="172" spans="1:19">
      <c r="A172" s="2037"/>
      <c r="B172" s="1877" t="s">
        <v>4849</v>
      </c>
      <c r="C172" s="2019"/>
      <c r="D172" s="2020">
        <f>SUM(D173:D176)</f>
        <v>18</v>
      </c>
      <c r="E172" s="2021" t="s">
        <v>2803</v>
      </c>
      <c r="F172" s="2043">
        <v>1000</v>
      </c>
      <c r="G172" s="662">
        <f t="shared" si="5"/>
        <v>18000</v>
      </c>
      <c r="H172" s="2036"/>
      <c r="I172" s="1643">
        <f>$G172</f>
        <v>18000</v>
      </c>
      <c r="J172" s="2036"/>
      <c r="K172" s="1634"/>
      <c r="L172" s="2036"/>
      <c r="M172" s="1633"/>
      <c r="N172" s="2036"/>
      <c r="O172" s="1633"/>
      <c r="P172" s="2036"/>
      <c r="Q172" s="1633"/>
      <c r="R172" s="2036"/>
      <c r="S172" s="1633"/>
    </row>
    <row r="173" spans="1:19">
      <c r="A173" s="2037"/>
      <c r="B173" s="1800" t="s">
        <v>4861</v>
      </c>
      <c r="C173" s="2049"/>
      <c r="D173" s="2050">
        <v>5</v>
      </c>
      <c r="E173" s="2021" t="s">
        <v>2803</v>
      </c>
      <c r="F173" s="2052"/>
      <c r="G173" s="662"/>
      <c r="H173" s="2036"/>
      <c r="I173" s="1634"/>
      <c r="J173" s="2036"/>
      <c r="K173" s="1634"/>
      <c r="L173" s="2036"/>
      <c r="M173" s="1633"/>
      <c r="N173" s="2036"/>
      <c r="O173" s="1633"/>
      <c r="P173" s="2036"/>
      <c r="Q173" s="1633"/>
      <c r="R173" s="2036"/>
      <c r="S173" s="1633"/>
    </row>
    <row r="174" spans="1:19">
      <c r="A174" s="2037"/>
      <c r="B174" s="1800" t="s">
        <v>4862</v>
      </c>
      <c r="C174" s="2049"/>
      <c r="D174" s="2050">
        <v>6</v>
      </c>
      <c r="E174" s="2021" t="s">
        <v>2803</v>
      </c>
      <c r="F174" s="2052"/>
      <c r="G174" s="662"/>
      <c r="H174" s="2036"/>
      <c r="I174" s="1634"/>
      <c r="J174" s="2036"/>
      <c r="K174" s="1634"/>
      <c r="L174" s="2036"/>
      <c r="M174" s="1633"/>
      <c r="N174" s="2036"/>
      <c r="O174" s="1633"/>
      <c r="P174" s="2036"/>
      <c r="Q174" s="1633"/>
      <c r="R174" s="2036"/>
      <c r="S174" s="1633"/>
    </row>
    <row r="175" spans="1:19">
      <c r="A175" s="2037"/>
      <c r="B175" s="1800" t="s">
        <v>4863</v>
      </c>
      <c r="C175" s="2049"/>
      <c r="D175" s="2050">
        <v>5</v>
      </c>
      <c r="E175" s="2021" t="s">
        <v>2803</v>
      </c>
      <c r="F175" s="2052"/>
      <c r="G175" s="662"/>
      <c r="H175" s="2036"/>
      <c r="I175" s="1634"/>
      <c r="J175" s="2036"/>
      <c r="K175" s="1634"/>
      <c r="L175" s="2036"/>
      <c r="M175" s="1633"/>
      <c r="N175" s="2036"/>
      <c r="O175" s="1633"/>
      <c r="P175" s="2036"/>
      <c r="Q175" s="1633"/>
      <c r="R175" s="2036"/>
      <c r="S175" s="1633"/>
    </row>
    <row r="176" spans="1:19">
      <c r="A176" s="2037"/>
      <c r="B176" s="1800" t="s">
        <v>4864</v>
      </c>
      <c r="C176" s="2049"/>
      <c r="D176" s="2050">
        <v>2</v>
      </c>
      <c r="E176" s="2021" t="s">
        <v>2803</v>
      </c>
      <c r="F176" s="2052"/>
      <c r="G176" s="662"/>
      <c r="H176" s="2036"/>
      <c r="I176" s="1634"/>
      <c r="J176" s="2036"/>
      <c r="K176" s="1634"/>
      <c r="L176" s="2036"/>
      <c r="M176" s="1633"/>
      <c r="N176" s="2036"/>
      <c r="O176" s="1633"/>
      <c r="P176" s="2036"/>
      <c r="Q176" s="1633"/>
      <c r="R176" s="2036"/>
      <c r="S176" s="1633"/>
    </row>
    <row r="177" spans="1:22">
      <c r="A177" s="2037"/>
      <c r="B177" s="1800"/>
      <c r="C177" s="2019"/>
      <c r="D177" s="2020"/>
      <c r="E177" s="2021"/>
      <c r="F177" s="2043"/>
      <c r="G177" s="662">
        <f t="shared" si="5"/>
        <v>0</v>
      </c>
      <c r="H177" s="2036"/>
      <c r="I177" s="1634"/>
      <c r="J177" s="2036"/>
      <c r="K177" s="1634"/>
      <c r="L177" s="2036"/>
      <c r="M177" s="1633"/>
      <c r="N177" s="2036"/>
      <c r="O177" s="1633"/>
      <c r="P177" s="2036"/>
      <c r="Q177" s="1633"/>
      <c r="R177" s="2036"/>
      <c r="S177" s="1633"/>
    </row>
    <row r="178" spans="1:22">
      <c r="A178" s="2037"/>
      <c r="B178" s="1877" t="s">
        <v>4837</v>
      </c>
      <c r="C178" s="2019"/>
      <c r="D178" s="2020">
        <f>SUM(D162:D165)</f>
        <v>18</v>
      </c>
      <c r="E178" s="2021" t="s">
        <v>2803</v>
      </c>
      <c r="F178" s="2043">
        <v>650</v>
      </c>
      <c r="G178" s="662">
        <f t="shared" si="5"/>
        <v>11700</v>
      </c>
      <c r="H178" s="2036"/>
      <c r="I178" s="1643">
        <f>$G178</f>
        <v>11700</v>
      </c>
      <c r="J178" s="2036"/>
      <c r="K178" s="1634"/>
      <c r="L178" s="2036"/>
      <c r="M178" s="1633"/>
      <c r="N178" s="2036"/>
      <c r="O178" s="1633"/>
      <c r="P178" s="2036"/>
      <c r="Q178" s="1633"/>
      <c r="R178" s="2036"/>
      <c r="S178" s="1633"/>
    </row>
    <row r="179" spans="1:22">
      <c r="A179" s="2037"/>
      <c r="B179" s="1800"/>
      <c r="C179" s="2019"/>
      <c r="D179" s="2020"/>
      <c r="E179" s="2021"/>
      <c r="F179" s="2043"/>
      <c r="G179" s="662">
        <f t="shared" si="5"/>
        <v>0</v>
      </c>
      <c r="H179" s="2036"/>
      <c r="I179" s="1634"/>
      <c r="J179" s="2036"/>
      <c r="K179" s="1634"/>
      <c r="L179" s="2036"/>
      <c r="M179" s="1633"/>
      <c r="N179" s="2036"/>
      <c r="O179" s="1633"/>
      <c r="P179" s="2036"/>
      <c r="Q179" s="1633"/>
      <c r="R179" s="2036"/>
      <c r="S179" s="1633"/>
    </row>
    <row r="180" spans="1:22" ht="15.75" thickBot="1">
      <c r="A180" s="2037"/>
      <c r="B180" s="1800"/>
      <c r="C180" s="2019"/>
      <c r="D180" s="2020"/>
      <c r="E180" s="2021"/>
      <c r="F180" s="2043"/>
      <c r="G180" s="662">
        <f t="shared" si="5"/>
        <v>0</v>
      </c>
      <c r="H180" s="2036"/>
      <c r="I180" s="1634"/>
      <c r="J180" s="2036"/>
      <c r="K180" s="1634"/>
      <c r="L180" s="2036"/>
      <c r="M180" s="1633"/>
      <c r="N180" s="2036"/>
      <c r="O180" s="1633"/>
      <c r="P180" s="2036"/>
      <c r="Q180" s="1633"/>
      <c r="R180" s="2036"/>
      <c r="S180" s="1633"/>
    </row>
    <row r="181" spans="1:22" ht="15.75" thickTop="1">
      <c r="A181" s="13"/>
      <c r="B181" s="226" t="s">
        <v>3265</v>
      </c>
      <c r="C181" s="15"/>
      <c r="D181" s="382"/>
      <c r="E181" s="176"/>
      <c r="F181" s="17"/>
      <c r="G181" s="227">
        <f>SUBTOTAL(9,G23:G180)</f>
        <v>820692</v>
      </c>
      <c r="H181" s="19"/>
      <c r="I181" s="225">
        <f>SUBTOTAL(9,I23:I180)</f>
        <v>711746</v>
      </c>
      <c r="J181" s="19"/>
      <c r="K181" s="164">
        <f>SUM(K19:K180)</f>
        <v>0</v>
      </c>
      <c r="L181" s="19"/>
      <c r="M181" s="164">
        <f>SUM(M19:M180)</f>
        <v>0</v>
      </c>
      <c r="N181" s="19"/>
      <c r="O181" s="164">
        <f>SUM(O19:O180)</f>
        <v>0</v>
      </c>
      <c r="P181" s="19"/>
      <c r="Q181" s="164">
        <f>SUM(Q19:Q180)</f>
        <v>0</v>
      </c>
      <c r="R181" s="19"/>
      <c r="S181" s="164">
        <f>SUM(S19:S180)</f>
        <v>0</v>
      </c>
    </row>
    <row r="182" spans="1:22">
      <c r="A182" s="2067"/>
      <c r="B182" s="2068" t="s">
        <v>2976</v>
      </c>
      <c r="C182" s="2069"/>
      <c r="D182" s="2070"/>
      <c r="E182" s="2071"/>
      <c r="F182" s="2072"/>
      <c r="G182" s="654"/>
      <c r="H182" s="2073">
        <v>0</v>
      </c>
      <c r="I182" s="645"/>
      <c r="J182" s="2073">
        <v>0</v>
      </c>
      <c r="K182" s="645"/>
      <c r="L182" s="2073">
        <v>0</v>
      </c>
      <c r="M182" s="645"/>
      <c r="N182" s="2073">
        <v>0</v>
      </c>
      <c r="O182" s="645"/>
      <c r="P182" s="2073">
        <v>0</v>
      </c>
      <c r="Q182" s="645"/>
      <c r="R182" s="2073">
        <v>0</v>
      </c>
      <c r="S182" s="645"/>
    </row>
    <row r="183" spans="1:22">
      <c r="A183" s="2067"/>
      <c r="B183" s="2068" t="s">
        <v>2977</v>
      </c>
      <c r="C183" s="2069"/>
      <c r="D183" s="2070"/>
      <c r="E183" s="2071"/>
      <c r="F183" s="2072"/>
      <c r="G183" s="654">
        <f>F182*G181</f>
        <v>0</v>
      </c>
      <c r="H183" s="2074"/>
      <c r="I183" s="2075">
        <f>H182*I181</f>
        <v>0</v>
      </c>
      <c r="J183" s="2074"/>
      <c r="K183" s="2075">
        <f>J182*K181</f>
        <v>0</v>
      </c>
      <c r="L183" s="2074"/>
      <c r="M183" s="2075">
        <f>L182*M181</f>
        <v>0</v>
      </c>
      <c r="N183" s="2074"/>
      <c r="O183" s="2075">
        <f>N182*O181</f>
        <v>0</v>
      </c>
      <c r="P183" s="2074"/>
      <c r="Q183" s="2075">
        <f>P182*Q181</f>
        <v>0</v>
      </c>
      <c r="R183" s="2074"/>
      <c r="S183" s="2075">
        <f>R182*S181</f>
        <v>0</v>
      </c>
    </row>
    <row r="184" spans="1:22">
      <c r="A184" s="2067"/>
      <c r="B184" s="2068"/>
      <c r="C184" s="2069"/>
      <c r="D184" s="2070"/>
      <c r="E184" s="2071"/>
      <c r="F184" s="2072"/>
      <c r="G184" s="654"/>
      <c r="H184" s="2074"/>
      <c r="I184" s="2075"/>
      <c r="J184" s="2074"/>
      <c r="K184" s="2075"/>
      <c r="L184" s="2074"/>
      <c r="M184" s="2075"/>
      <c r="N184" s="2074"/>
      <c r="O184" s="2075"/>
      <c r="P184" s="2074"/>
      <c r="Q184" s="2075"/>
      <c r="R184" s="2074"/>
      <c r="S184" s="2075"/>
    </row>
    <row r="185" spans="1:22">
      <c r="A185" s="2067"/>
      <c r="B185" s="2068" t="s">
        <v>2978</v>
      </c>
      <c r="C185" s="2069"/>
      <c r="D185" s="2070"/>
      <c r="E185" s="2071"/>
      <c r="F185" s="2072"/>
      <c r="G185" s="654">
        <f>SUM(G181:G183)</f>
        <v>820692</v>
      </c>
      <c r="H185" s="2076"/>
      <c r="I185" s="2075">
        <f>SUM(I181:I183)</f>
        <v>711746</v>
      </c>
      <c r="J185" s="2076"/>
      <c r="K185" s="2075">
        <f>SUM(K181:K183)</f>
        <v>0</v>
      </c>
      <c r="L185" s="2076"/>
      <c r="M185" s="2075">
        <f>SUM(M181:M183)</f>
        <v>0</v>
      </c>
      <c r="N185" s="2076"/>
      <c r="O185" s="2075">
        <f>SUM(O181:O183)</f>
        <v>0</v>
      </c>
      <c r="P185" s="2076"/>
      <c r="Q185" s="2075">
        <f>SUM(Q181:Q183)</f>
        <v>0</v>
      </c>
      <c r="R185" s="2076"/>
      <c r="S185" s="2075">
        <f>SUM(S181:S183)</f>
        <v>0</v>
      </c>
    </row>
    <row r="186" spans="1:22">
      <c r="A186" s="2067"/>
      <c r="B186" s="2077" t="s">
        <v>2979</v>
      </c>
      <c r="C186" s="2069"/>
      <c r="D186" s="2070"/>
      <c r="E186" s="2071"/>
      <c r="F186" s="2077"/>
      <c r="G186" s="655">
        <f>G185/'Area Calculations'!$F$5</f>
        <v>9.2553680981595097</v>
      </c>
      <c r="H186" s="2078"/>
      <c r="I186" s="2079">
        <f>I185/'Area Calculations'!$F$5</f>
        <v>8.0267277156261283</v>
      </c>
      <c r="J186" s="2078"/>
      <c r="K186" s="2079">
        <f>K185/'Area Calculations'!$F$5</f>
        <v>0</v>
      </c>
      <c r="L186" s="2078"/>
      <c r="M186" s="2079">
        <f>M185/'Area Calculations'!$F$5</f>
        <v>0</v>
      </c>
      <c r="N186" s="2078"/>
      <c r="O186" s="2079">
        <f>O185/'Area Calculations'!$F$5</f>
        <v>0</v>
      </c>
      <c r="P186" s="2078"/>
      <c r="Q186" s="2079">
        <f>Q185/'Area Calculations'!$F$5</f>
        <v>0</v>
      </c>
      <c r="R186" s="2080"/>
      <c r="S186" s="2079">
        <f>S185/'Area Calculations'!$F$5</f>
        <v>0</v>
      </c>
    </row>
    <row r="187" spans="1:22">
      <c r="A187" s="2067"/>
      <c r="B187" s="2081"/>
      <c r="C187" s="2069"/>
      <c r="D187" s="2070"/>
      <c r="E187" s="2071"/>
      <c r="F187" s="2072"/>
      <c r="G187" s="656"/>
      <c r="H187" s="2082"/>
      <c r="I187" s="2083"/>
      <c r="J187" s="2082"/>
      <c r="K187" s="2082"/>
      <c r="L187" s="2082"/>
      <c r="M187" s="2082"/>
      <c r="N187" s="2082"/>
      <c r="O187" s="2082"/>
      <c r="P187" s="2082"/>
      <c r="Q187" s="2082"/>
      <c r="R187" s="2082"/>
      <c r="S187" s="2082"/>
    </row>
    <row r="188" spans="1:22" ht="16.5" hidden="1" thickTop="1" thickBot="1">
      <c r="A188" s="830" t="s">
        <v>2980</v>
      </c>
      <c r="B188" s="831"/>
      <c r="C188" s="12"/>
      <c r="D188" s="383"/>
      <c r="E188" s="177"/>
      <c r="F188" s="12"/>
      <c r="G188" s="228"/>
      <c r="H188" s="20"/>
      <c r="I188" s="20"/>
      <c r="J188" s="20"/>
      <c r="K188" s="20"/>
      <c r="L188" s="20"/>
      <c r="M188" s="20"/>
      <c r="N188" s="20"/>
      <c r="O188" s="20"/>
      <c r="P188" s="20"/>
      <c r="Q188" s="20"/>
      <c r="R188" s="20"/>
      <c r="S188" s="20"/>
    </row>
    <row r="189" spans="1:22" hidden="1">
      <c r="A189" s="1768"/>
      <c r="B189" s="2018"/>
      <c r="C189" s="1769"/>
      <c r="D189" s="2084"/>
      <c r="E189" s="1771"/>
      <c r="F189" s="1769"/>
      <c r="G189" s="1773"/>
      <c r="H189" s="1774"/>
      <c r="I189" s="1774"/>
      <c r="J189" s="1774"/>
      <c r="K189" s="1774"/>
      <c r="L189" s="1774"/>
      <c r="M189" s="1774"/>
      <c r="N189" s="1774"/>
      <c r="O189" s="1774"/>
      <c r="P189" s="1774"/>
      <c r="Q189" s="1774"/>
      <c r="R189" s="1774"/>
      <c r="S189" s="1774"/>
    </row>
    <row r="190" spans="1:22" hidden="1">
      <c r="A190" s="1768"/>
      <c r="B190" s="2018"/>
      <c r="C190" s="1769"/>
      <c r="D190" s="2084"/>
      <c r="E190" s="1771"/>
      <c r="F190" s="1769"/>
      <c r="G190" s="1773"/>
      <c r="H190" s="1774"/>
      <c r="I190" s="1774"/>
      <c r="J190" s="1774"/>
      <c r="K190" s="1774"/>
      <c r="L190" s="1774"/>
      <c r="M190" s="1774"/>
      <c r="N190" s="1774"/>
      <c r="O190" s="1774"/>
      <c r="P190" s="1774"/>
      <c r="Q190" s="1774"/>
      <c r="R190" s="1774"/>
      <c r="S190" s="1774"/>
    </row>
    <row r="191" spans="1:22" hidden="1">
      <c r="A191" s="1768"/>
      <c r="B191" s="2018"/>
      <c r="C191" s="1769"/>
      <c r="D191" s="2084"/>
      <c r="E191" s="1771"/>
      <c r="F191" s="1769"/>
      <c r="G191" s="1773"/>
      <c r="H191" s="1774"/>
      <c r="I191" s="1774"/>
      <c r="J191" s="1774"/>
      <c r="K191" s="1774"/>
      <c r="L191" s="1774"/>
      <c r="M191" s="1774"/>
      <c r="N191" s="1774"/>
      <c r="O191" s="1774"/>
      <c r="P191" s="1774"/>
      <c r="Q191" s="1774"/>
      <c r="R191" s="1774"/>
      <c r="S191" s="1774"/>
    </row>
    <row r="192" spans="1:22" s="2" customFormat="1" ht="16.5" hidden="1" thickTop="1" thickBot="1">
      <c r="A192" s="830" t="s">
        <v>2981</v>
      </c>
      <c r="B192" s="831"/>
      <c r="C192" s="12"/>
      <c r="D192" s="383"/>
      <c r="E192" s="177"/>
      <c r="F192" s="12"/>
      <c r="G192" s="228"/>
      <c r="H192" s="20"/>
      <c r="I192" s="20"/>
      <c r="J192" s="20"/>
      <c r="K192" s="20"/>
      <c r="L192" s="20"/>
      <c r="M192" s="20"/>
      <c r="N192" s="20"/>
      <c r="O192" s="20"/>
      <c r="P192" s="20"/>
      <c r="Q192" s="20"/>
      <c r="R192" s="20"/>
      <c r="S192" s="20"/>
      <c r="T192"/>
      <c r="V192" s="237"/>
    </row>
    <row r="193" spans="1:22" s="2" customFormat="1" hidden="1">
      <c r="A193" s="1768"/>
      <c r="B193" s="2018"/>
      <c r="C193" s="1769"/>
      <c r="D193" s="2084"/>
      <c r="E193" s="1771"/>
      <c r="F193" s="1769"/>
      <c r="G193" s="1773"/>
      <c r="H193" s="1774"/>
      <c r="I193" s="1774"/>
      <c r="J193" s="1774"/>
      <c r="K193" s="1774"/>
      <c r="L193" s="1774"/>
      <c r="M193" s="1774"/>
      <c r="N193" s="1774"/>
      <c r="O193" s="1774"/>
      <c r="P193" s="1774"/>
      <c r="Q193" s="1774"/>
      <c r="R193" s="1774"/>
      <c r="S193" s="1774"/>
      <c r="T193"/>
      <c r="V193" s="237"/>
    </row>
    <row r="194" spans="1:22" s="2" customFormat="1" hidden="1">
      <c r="A194" s="1768"/>
      <c r="B194" s="2018"/>
      <c r="C194" s="1769"/>
      <c r="D194" s="2084"/>
      <c r="E194" s="1771"/>
      <c r="F194" s="1769"/>
      <c r="G194" s="1773"/>
      <c r="H194" s="1774"/>
      <c r="I194" s="1774"/>
      <c r="J194" s="1774"/>
      <c r="K194" s="1774"/>
      <c r="L194" s="1774"/>
      <c r="M194" s="1774"/>
      <c r="N194" s="1774"/>
      <c r="O194" s="1774"/>
      <c r="P194" s="1774"/>
      <c r="Q194" s="1774"/>
      <c r="R194" s="1774"/>
      <c r="S194" s="1774"/>
      <c r="T194"/>
      <c r="V194" s="237"/>
    </row>
    <row r="195" spans="1:22" hidden="1">
      <c r="A195" s="1768"/>
      <c r="B195" s="2018"/>
      <c r="C195" s="1769"/>
      <c r="D195" s="2084"/>
      <c r="E195" s="1771"/>
      <c r="F195" s="1769"/>
      <c r="G195" s="1773"/>
      <c r="H195" s="1774"/>
      <c r="I195" s="1774"/>
      <c r="J195" s="1774"/>
      <c r="K195" s="1774"/>
      <c r="L195" s="1774"/>
      <c r="M195" s="1774"/>
      <c r="N195" s="1774"/>
      <c r="O195" s="1774"/>
      <c r="P195" s="1774"/>
      <c r="Q195" s="1774"/>
      <c r="R195" s="1774"/>
      <c r="S195" s="1774"/>
    </row>
    <row r="196" spans="1:22" s="2" customFormat="1" ht="16.5" hidden="1" thickTop="1" thickBot="1">
      <c r="A196" s="830" t="s">
        <v>2982</v>
      </c>
      <c r="B196" s="831"/>
      <c r="C196" s="12"/>
      <c r="D196" s="383"/>
      <c r="E196" s="177"/>
      <c r="F196" s="12"/>
      <c r="G196" s="228"/>
      <c r="H196" s="20"/>
      <c r="I196" s="20"/>
      <c r="J196" s="20"/>
      <c r="K196" s="20"/>
      <c r="L196" s="20"/>
      <c r="M196" s="20"/>
      <c r="N196" s="20"/>
      <c r="O196" s="20"/>
      <c r="P196" s="20"/>
      <c r="Q196" s="20"/>
      <c r="R196" s="20"/>
      <c r="S196" s="20"/>
      <c r="T196"/>
      <c r="V196" s="237"/>
    </row>
    <row r="197" spans="1:22" s="2" customFormat="1" hidden="1">
      <c r="A197" s="1768"/>
      <c r="B197" s="2018"/>
      <c r="C197" s="1769"/>
      <c r="D197" s="2084"/>
      <c r="E197" s="1771"/>
      <c r="F197" s="1769"/>
      <c r="G197" s="1773"/>
      <c r="H197" s="1774"/>
      <c r="I197" s="1774"/>
      <c r="J197" s="1774"/>
      <c r="K197" s="1774"/>
      <c r="L197" s="1774"/>
      <c r="M197" s="1774"/>
      <c r="N197" s="1774"/>
      <c r="O197" s="1774"/>
      <c r="P197" s="1774"/>
      <c r="Q197" s="1774"/>
      <c r="R197" s="1774"/>
      <c r="S197" s="1774"/>
      <c r="T197"/>
      <c r="V197" s="237"/>
    </row>
    <row r="198" spans="1:22" s="2" customFormat="1" hidden="1">
      <c r="A198" s="2085"/>
      <c r="B198" s="2018"/>
      <c r="C198" s="2019"/>
      <c r="D198" s="2020"/>
      <c r="E198" s="2021"/>
      <c r="F198" s="2019"/>
      <c r="G198" s="2086"/>
      <c r="H198" s="2087"/>
      <c r="I198" s="2087"/>
      <c r="J198" s="2087"/>
      <c r="K198" s="2087"/>
      <c r="L198" s="2087"/>
      <c r="M198" s="2087"/>
      <c r="N198" s="2087"/>
      <c r="O198" s="2087"/>
      <c r="P198" s="2087"/>
      <c r="Q198" s="2087"/>
      <c r="R198" s="2087"/>
      <c r="S198" s="2087"/>
      <c r="T198"/>
      <c r="V198" s="237"/>
    </row>
    <row r="199" spans="1:22" s="2" customFormat="1" hidden="1">
      <c r="A199" s="2088"/>
      <c r="B199" s="2089"/>
      <c r="C199" s="2019"/>
      <c r="D199" s="2020"/>
      <c r="E199" s="2021"/>
      <c r="F199" s="2019"/>
      <c r="G199" s="2086"/>
      <c r="H199" s="2090"/>
      <c r="I199" s="2090"/>
      <c r="J199" s="2090"/>
      <c r="K199" s="2090"/>
      <c r="L199" s="2090"/>
      <c r="M199" s="2090"/>
      <c r="N199" s="2090"/>
      <c r="O199" s="2090"/>
      <c r="P199" s="2090"/>
      <c r="Q199" s="2090"/>
      <c r="R199" s="2090"/>
      <c r="S199" s="2090"/>
      <c r="V199" s="237"/>
    </row>
    <row r="200" spans="1:22" s="2" customFormat="1" ht="16.5" hidden="1" thickTop="1" thickBot="1">
      <c r="A200" s="830" t="s">
        <v>2983</v>
      </c>
      <c r="B200" s="831"/>
      <c r="C200" s="12"/>
      <c r="D200" s="383"/>
      <c r="E200" s="177"/>
      <c r="F200" s="12"/>
      <c r="G200" s="228"/>
      <c r="H200" s="20"/>
      <c r="I200" s="20"/>
      <c r="J200" s="20"/>
      <c r="K200" s="20"/>
      <c r="L200" s="20"/>
      <c r="M200" s="20"/>
      <c r="N200" s="20"/>
      <c r="O200" s="20"/>
      <c r="P200" s="20"/>
      <c r="Q200" s="20"/>
      <c r="R200" s="20"/>
      <c r="S200" s="20"/>
      <c r="T200"/>
      <c r="V200" s="237"/>
    </row>
    <row r="201" spans="1:22" hidden="1">
      <c r="A201" s="1777"/>
      <c r="B201" s="1778"/>
      <c r="C201" s="1769"/>
      <c r="D201" s="2084"/>
      <c r="E201" s="1771"/>
      <c r="F201" s="1769"/>
      <c r="G201" s="1773"/>
      <c r="H201" s="1774"/>
      <c r="I201" s="1774"/>
      <c r="J201" s="1774"/>
      <c r="K201" s="1774"/>
      <c r="L201" s="1774"/>
      <c r="M201" s="1774"/>
      <c r="N201" s="1774"/>
      <c r="O201" s="1774"/>
      <c r="P201" s="1774"/>
      <c r="Q201" s="1774"/>
      <c r="R201" s="1774"/>
      <c r="S201" s="1774"/>
      <c r="T201" s="2"/>
    </row>
    <row r="202" spans="1:22" hidden="1">
      <c r="A202" s="2088"/>
      <c r="B202" s="2089"/>
      <c r="C202" s="2019"/>
      <c r="D202" s="2020"/>
      <c r="E202" s="2021"/>
      <c r="F202" s="2019"/>
      <c r="G202" s="2086"/>
      <c r="H202" s="2091"/>
      <c r="I202" s="2091"/>
      <c r="J202" s="2091"/>
      <c r="K202" s="2091"/>
      <c r="L202" s="2091"/>
      <c r="M202" s="2091"/>
      <c r="N202" s="2091"/>
      <c r="O202" s="2091"/>
      <c r="P202" s="2091"/>
      <c r="Q202" s="2091"/>
      <c r="R202" s="2091"/>
      <c r="S202" s="2091"/>
      <c r="T202" s="2"/>
    </row>
    <row r="203" spans="1:22" hidden="1">
      <c r="A203" s="2088"/>
      <c r="B203" s="2089"/>
      <c r="C203" s="2019"/>
      <c r="D203" s="2020"/>
      <c r="E203" s="2021"/>
      <c r="F203" s="2019"/>
      <c r="G203" s="2086"/>
      <c r="H203" s="2091"/>
      <c r="I203" s="2091"/>
      <c r="J203" s="2091"/>
      <c r="K203" s="2091"/>
      <c r="L203" s="2091"/>
      <c r="M203" s="2091"/>
      <c r="N203" s="2091"/>
      <c r="O203" s="2091"/>
      <c r="P203" s="2091"/>
      <c r="Q203" s="2091"/>
      <c r="R203" s="2091"/>
      <c r="S203" s="2091"/>
      <c r="T203" s="2"/>
    </row>
    <row r="204" spans="1:22" ht="16.5" hidden="1" thickTop="1" thickBot="1">
      <c r="A204" s="830" t="s">
        <v>2984</v>
      </c>
      <c r="B204" s="831"/>
      <c r="C204" s="12"/>
      <c r="D204" s="383"/>
      <c r="E204" s="177"/>
      <c r="F204" s="12"/>
      <c r="G204" s="228"/>
      <c r="H204" s="20"/>
      <c r="I204" s="20"/>
      <c r="J204" s="20"/>
      <c r="K204" s="20"/>
      <c r="L204" s="20"/>
      <c r="M204" s="20"/>
      <c r="N204" s="20"/>
      <c r="O204" s="20"/>
      <c r="P204" s="20"/>
      <c r="Q204" s="20"/>
      <c r="R204" s="20"/>
      <c r="S204" s="20"/>
    </row>
    <row r="205" spans="1:22" hidden="1">
      <c r="A205" s="2085"/>
      <c r="B205" s="2018" t="s">
        <v>2985</v>
      </c>
      <c r="C205" s="2019"/>
      <c r="D205" s="2020"/>
      <c r="E205" s="2021"/>
      <c r="F205" s="2019"/>
      <c r="G205" s="2086"/>
      <c r="H205" s="2091"/>
      <c r="I205" s="2091"/>
      <c r="J205" s="2091"/>
      <c r="K205" s="2091"/>
      <c r="L205" s="2091"/>
      <c r="M205" s="2091"/>
      <c r="N205" s="2091"/>
      <c r="O205" s="2091"/>
      <c r="P205" s="2091"/>
      <c r="Q205" s="2091"/>
      <c r="R205" s="2091"/>
      <c r="S205" s="2091"/>
    </row>
    <row r="206" spans="1:22" hidden="1">
      <c r="A206" s="2085"/>
      <c r="B206" s="2018" t="s">
        <v>2986</v>
      </c>
      <c r="C206" s="2019"/>
      <c r="D206" s="2020"/>
      <c r="E206" s="2021"/>
      <c r="F206" s="2019"/>
      <c r="G206" s="2086"/>
      <c r="H206" s="2091"/>
      <c r="I206" s="2091"/>
      <c r="J206" s="2091"/>
      <c r="K206" s="2091"/>
      <c r="L206" s="2091"/>
      <c r="M206" s="2091"/>
      <c r="N206" s="2091"/>
      <c r="O206" s="2091"/>
      <c r="P206" s="2091"/>
      <c r="Q206" s="2091"/>
      <c r="R206" s="2091"/>
      <c r="S206" s="2091"/>
    </row>
    <row r="207" spans="1:22" hidden="1">
      <c r="A207" s="2085"/>
      <c r="B207" s="2018" t="s">
        <v>2987</v>
      </c>
      <c r="C207" s="2019"/>
      <c r="D207" s="2020"/>
      <c r="E207" s="2021"/>
      <c r="F207" s="2019"/>
      <c r="G207" s="2086"/>
      <c r="H207" s="2091"/>
      <c r="I207" s="2091"/>
      <c r="J207" s="2091"/>
      <c r="K207" s="2091"/>
      <c r="L207" s="2091"/>
      <c r="M207" s="2091"/>
      <c r="N207" s="2091"/>
      <c r="O207" s="2091"/>
      <c r="P207" s="2091"/>
      <c r="Q207" s="2091"/>
      <c r="R207" s="2091"/>
      <c r="S207" s="2091"/>
    </row>
    <row r="208" spans="1:22" hidden="1">
      <c r="A208" s="2085"/>
      <c r="B208" s="2018" t="s">
        <v>2988</v>
      </c>
      <c r="C208" s="2019"/>
      <c r="D208" s="2020"/>
      <c r="E208" s="2021"/>
      <c r="F208" s="2019"/>
      <c r="G208" s="2086"/>
      <c r="H208" s="2091"/>
      <c r="I208" s="2091"/>
      <c r="J208" s="2091"/>
      <c r="K208" s="2091"/>
      <c r="L208" s="2091"/>
      <c r="M208" s="2091"/>
      <c r="N208" s="2091"/>
      <c r="O208" s="2091"/>
      <c r="P208" s="2091"/>
      <c r="Q208" s="2091"/>
      <c r="R208" s="2091"/>
      <c r="S208" s="2091"/>
    </row>
    <row r="209" spans="1:19" hidden="1">
      <c r="A209" s="646"/>
      <c r="B209" s="619"/>
      <c r="C209" s="616"/>
      <c r="D209" s="628"/>
      <c r="E209" s="622"/>
      <c r="F209" s="616"/>
      <c r="G209" s="620"/>
      <c r="H209" s="647"/>
      <c r="I209" s="647"/>
      <c r="J209" s="647"/>
      <c r="K209" s="647"/>
      <c r="L209" s="647"/>
      <c r="M209" s="647"/>
      <c r="N209" s="647"/>
      <c r="O209" s="647"/>
      <c r="P209" s="647"/>
      <c r="Q209" s="647"/>
      <c r="R209" s="647"/>
      <c r="S209" s="647"/>
    </row>
    <row r="210" spans="1:19" ht="16.5" hidden="1" thickTop="1" thickBot="1">
      <c r="A210" s="7" t="s">
        <v>2989</v>
      </c>
      <c r="B210" s="8"/>
      <c r="C210" s="12"/>
      <c r="D210" s="383"/>
      <c r="E210" s="177"/>
      <c r="F210" s="12"/>
      <c r="G210" s="228"/>
      <c r="H210" s="20"/>
      <c r="I210" s="20"/>
      <c r="J210" s="20"/>
      <c r="K210" s="20"/>
      <c r="L210" s="20"/>
      <c r="M210" s="20"/>
      <c r="N210" s="20"/>
      <c r="O210" s="20"/>
      <c r="P210" s="20"/>
      <c r="Q210" s="20"/>
      <c r="R210" s="20"/>
      <c r="S210" s="20"/>
    </row>
    <row r="211" spans="1:19" hidden="1">
      <c r="A211" s="1768"/>
      <c r="B211" s="1779" t="s">
        <v>2990</v>
      </c>
      <c r="C211" s="1769"/>
      <c r="D211" s="2084"/>
      <c r="E211" s="1771"/>
      <c r="F211" s="1769"/>
      <c r="G211" s="1773"/>
      <c r="H211" s="1780"/>
      <c r="I211" s="1780"/>
      <c r="J211" s="1780"/>
      <c r="K211" s="1780"/>
      <c r="L211" s="1780"/>
      <c r="M211" s="1780"/>
      <c r="N211" s="1780"/>
      <c r="O211" s="1780"/>
      <c r="P211" s="1780"/>
      <c r="Q211" s="1780"/>
      <c r="R211" s="1780"/>
      <c r="S211" s="1780"/>
    </row>
    <row r="212" spans="1:19" hidden="1">
      <c r="A212" s="2085"/>
      <c r="B212" s="2018" t="s">
        <v>2991</v>
      </c>
      <c r="C212" s="2019"/>
      <c r="D212" s="2020"/>
      <c r="E212" s="2021"/>
      <c r="F212" s="2019"/>
      <c r="G212" s="2086"/>
      <c r="H212" s="2092"/>
      <c r="I212" s="2092"/>
      <c r="J212" s="2092"/>
      <c r="K212" s="2092"/>
      <c r="L212" s="2092"/>
      <c r="M212" s="2092"/>
      <c r="N212" s="2092"/>
      <c r="O212" s="2092"/>
      <c r="P212" s="2092"/>
      <c r="Q212" s="2092"/>
      <c r="R212" s="2092"/>
      <c r="S212" s="2092"/>
    </row>
    <row r="213" spans="1:19" ht="15.75" hidden="1" thickBot="1">
      <c r="A213" s="2093"/>
      <c r="B213" s="2029" t="s">
        <v>2992</v>
      </c>
      <c r="C213" s="2030"/>
      <c r="D213" s="2094"/>
      <c r="E213" s="2095"/>
      <c r="F213" s="2030"/>
      <c r="G213" s="2096"/>
      <c r="H213" s="2097"/>
      <c r="I213" s="2097"/>
      <c r="J213" s="2097"/>
      <c r="K213" s="2097"/>
      <c r="L213" s="2097"/>
      <c r="M213" s="2097"/>
      <c r="N213" s="2097"/>
      <c r="O213" s="2097"/>
      <c r="P213" s="2097"/>
      <c r="Q213" s="2097"/>
      <c r="R213" s="2097"/>
      <c r="S213" s="2097"/>
    </row>
    <row r="214" spans="1:19" ht="15.75" thickBot="1"/>
    <row r="215" spans="1:19" ht="16.5" thickTop="1" thickBot="1">
      <c r="A215" s="59" t="s">
        <v>2993</v>
      </c>
      <c r="B215" s="61"/>
    </row>
    <row r="216" spans="1:19" ht="15.75" thickTop="1">
      <c r="A216" s="60" t="s">
        <v>2936</v>
      </c>
      <c r="B216" s="2098"/>
      <c r="E216" s="2"/>
    </row>
    <row r="217" spans="1:19">
      <c r="A217" s="2099" t="s">
        <v>2939</v>
      </c>
      <c r="B217" s="2098"/>
    </row>
    <row r="218" spans="1:19">
      <c r="A218" s="2100" t="s">
        <v>2941</v>
      </c>
      <c r="B218" s="2101"/>
    </row>
    <row r="219" spans="1:19">
      <c r="A219" s="2100" t="s">
        <v>2943</v>
      </c>
      <c r="B219" s="2102"/>
    </row>
    <row r="220" spans="1:19" ht="15.75" thickBot="1">
      <c r="A220" s="2103" t="s">
        <v>2994</v>
      </c>
      <c r="B220" s="2104">
        <f>$I$185</f>
        <v>711746</v>
      </c>
    </row>
    <row r="221" spans="1:19" ht="15.75" thickTop="1"/>
    <row r="222" spans="1:19">
      <c r="A222" s="62"/>
      <c r="B222" s="1" t="s">
        <v>2995</v>
      </c>
    </row>
    <row r="223" spans="1:19">
      <c r="A223" s="63"/>
      <c r="B223" s="1" t="s">
        <v>2996</v>
      </c>
    </row>
  </sheetData>
  <mergeCells count="35">
    <mergeCell ref="L7:M7"/>
    <mergeCell ref="L8:M8"/>
    <mergeCell ref="L5:M5"/>
    <mergeCell ref="L6:M6"/>
    <mergeCell ref="N5:O5"/>
    <mergeCell ref="N6:O6"/>
    <mergeCell ref="N7:O7"/>
    <mergeCell ref="N8:O8"/>
    <mergeCell ref="R5:S5"/>
    <mergeCell ref="R6:S6"/>
    <mergeCell ref="R7:S7"/>
    <mergeCell ref="R8:S8"/>
    <mergeCell ref="P5:Q5"/>
    <mergeCell ref="P6:Q6"/>
    <mergeCell ref="P7:Q7"/>
    <mergeCell ref="P8:Q8"/>
    <mergeCell ref="H5:I5"/>
    <mergeCell ref="H6:I6"/>
    <mergeCell ref="H7:I7"/>
    <mergeCell ref="H8:I8"/>
    <mergeCell ref="J5:K5"/>
    <mergeCell ref="J6:K6"/>
    <mergeCell ref="J7:K7"/>
    <mergeCell ref="J8:K8"/>
    <mergeCell ref="A204:B204"/>
    <mergeCell ref="R9:S9"/>
    <mergeCell ref="A188:B188"/>
    <mergeCell ref="A192:B192"/>
    <mergeCell ref="A196:B196"/>
    <mergeCell ref="A200:B200"/>
    <mergeCell ref="H9:I9"/>
    <mergeCell ref="J9:K9"/>
    <mergeCell ref="L9:M9"/>
    <mergeCell ref="N9:O9"/>
    <mergeCell ref="P9:Q9"/>
  </mergeCells>
  <phoneticPr fontId="27" type="noConversion"/>
  <conditionalFormatting sqref="H11:H18 J11:J18 L11:L18 N11:N18 P11:P18 R11:R18">
    <cfRule type="cellIs" dxfId="257" priority="15" operator="equal">
      <formula>"X"</formula>
    </cfRule>
    <cfRule type="cellIs" dxfId="256" priority="16" operator="equal">
      <formula>"I"</formula>
    </cfRule>
  </conditionalFormatting>
  <conditionalFormatting sqref="H20:H180 J20:J180 L20:L180 N20:N180 P20:P180 R20:R180">
    <cfRule type="cellIs" dxfId="255" priority="1" operator="equal">
      <formula>"X"</formula>
    </cfRule>
    <cfRule type="cellIs" dxfId="254" priority="2" operator="equal">
      <formula>"I"</formula>
    </cfRule>
  </conditionalFormatting>
  <hyperlinks>
    <hyperlink ref="B4" location="'Cost Summary'!A1" display="BACK TO SUMMARY SHEET" xr:uid="{11E13A9E-CF4F-44D0-931D-AEB90716F794}"/>
  </hyperlinks>
  <pageMargins left="0.2" right="0.2" top="0.5" bottom="0.75" header="0.3" footer="0.3"/>
  <pageSetup fitToHeight="0" orientation="portrait" horizontalDpi="300"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bottomRight" activeCell="I46" sqref="I46:I47"/>
      <selection pane="bottomLeft" activeCell="A11" sqref="A11"/>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841"/>
      <c r="K4" s="842"/>
      <c r="L4" s="841"/>
      <c r="M4" s="842"/>
      <c r="N4" s="841"/>
      <c r="O4" s="842"/>
      <c r="P4" s="841"/>
      <c r="Q4" s="842"/>
      <c r="R4" s="841"/>
      <c r="S4" s="842"/>
    </row>
    <row r="5" spans="1:19">
      <c r="A5" s="2105" t="s">
        <v>4871</v>
      </c>
      <c r="B5" s="2106" t="s">
        <v>4872</v>
      </c>
      <c r="C5" s="2049"/>
      <c r="D5" s="2049"/>
      <c r="E5" s="2049"/>
      <c r="F5" s="2049"/>
      <c r="G5" s="657" t="s">
        <v>2939</v>
      </c>
      <c r="H5" s="2107"/>
      <c r="I5" s="843"/>
      <c r="J5" s="2107"/>
      <c r="K5" s="843"/>
      <c r="L5" s="2107"/>
      <c r="M5" s="843"/>
      <c r="N5" s="2107"/>
      <c r="O5" s="843"/>
      <c r="P5" s="2107"/>
      <c r="Q5" s="843"/>
      <c r="R5" s="2107"/>
      <c r="S5" s="843"/>
    </row>
    <row r="6" spans="1:19">
      <c r="A6" s="2105" t="s">
        <v>4873</v>
      </c>
      <c r="B6" s="2108" t="s">
        <v>4874</v>
      </c>
      <c r="C6" s="2049"/>
      <c r="D6" s="2049"/>
      <c r="E6" s="2049"/>
      <c r="F6" s="2049"/>
      <c r="G6" s="2109" t="s">
        <v>2941</v>
      </c>
      <c r="H6" s="954"/>
      <c r="I6" s="844"/>
      <c r="J6" s="2110"/>
      <c r="K6" s="844"/>
      <c r="L6" s="2110"/>
      <c r="M6" s="844"/>
      <c r="N6" s="2110"/>
      <c r="O6" s="844"/>
      <c r="P6" s="954"/>
      <c r="Q6" s="844"/>
      <c r="R6" s="954"/>
      <c r="S6" s="844"/>
    </row>
    <row r="7" spans="1:19">
      <c r="A7" s="2105" t="s">
        <v>4875</v>
      </c>
      <c r="B7" s="2111"/>
      <c r="C7" s="2049"/>
      <c r="D7" s="2049"/>
      <c r="E7" s="2049"/>
      <c r="F7" s="2049"/>
      <c r="G7" s="2109" t="s">
        <v>2943</v>
      </c>
      <c r="H7" s="955"/>
      <c r="I7" s="956"/>
      <c r="J7" s="2112"/>
      <c r="K7" s="845"/>
      <c r="L7" s="2112"/>
      <c r="M7" s="845"/>
      <c r="N7" s="2112"/>
      <c r="O7" s="845"/>
      <c r="P7" s="955"/>
      <c r="Q7" s="956"/>
      <c r="R7" s="955"/>
      <c r="S7" s="956"/>
    </row>
    <row r="8" spans="1:19" ht="15.75" thickBot="1">
      <c r="A8" s="685" t="s">
        <v>2944</v>
      </c>
      <c r="B8" s="619"/>
      <c r="C8" s="616"/>
      <c r="D8" s="616"/>
      <c r="E8" s="616"/>
      <c r="F8" s="616"/>
      <c r="G8" s="685" t="s">
        <v>2944</v>
      </c>
      <c r="H8" s="2113"/>
      <c r="I8" s="2114"/>
      <c r="J8" s="2113"/>
      <c r="K8" s="2114"/>
      <c r="L8" s="2113"/>
      <c r="M8" s="2114"/>
      <c r="N8" s="2113"/>
      <c r="O8" s="2114"/>
      <c r="P8" s="2113"/>
      <c r="Q8" s="2114"/>
      <c r="R8" s="2113"/>
      <c r="S8" s="2114"/>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085"/>
      <c r="B10" s="2115" t="s">
        <v>4876</v>
      </c>
      <c r="C10" s="2049"/>
      <c r="D10" s="2049"/>
      <c r="E10" s="2049"/>
      <c r="F10" s="2049"/>
      <c r="G10" s="660"/>
      <c r="H10" s="2116"/>
      <c r="I10" s="2116"/>
      <c r="J10" s="2116"/>
      <c r="K10" s="2116"/>
      <c r="L10" s="2116"/>
      <c r="M10" s="2116"/>
      <c r="N10" s="2116"/>
      <c r="O10" s="2116"/>
      <c r="P10" s="2116"/>
      <c r="Q10" s="2116"/>
      <c r="R10" s="2116"/>
      <c r="S10" s="2116"/>
    </row>
    <row r="11" spans="1:19" ht="15.75" hidden="1" thickTop="1">
      <c r="A11" s="2085"/>
      <c r="B11" s="2106" t="e">
        <f>'Area Calculations'!#REF!</f>
        <v>#REF!</v>
      </c>
      <c r="C11" s="2117" t="s">
        <v>4877</v>
      </c>
      <c r="D11" s="2049"/>
      <c r="E11" s="2049"/>
      <c r="F11" s="2049"/>
      <c r="G11" s="660"/>
      <c r="H11" s="2116"/>
      <c r="I11" s="2116"/>
      <c r="J11" s="2116"/>
      <c r="K11" s="2116"/>
      <c r="L11" s="2116"/>
      <c r="M11" s="2116"/>
      <c r="N11" s="2116"/>
      <c r="O11" s="2116"/>
      <c r="P11" s="2116"/>
      <c r="Q11" s="2116"/>
      <c r="R11" s="2116"/>
      <c r="S11" s="2116"/>
    </row>
    <row r="12" spans="1:19" ht="15.75" hidden="1" thickTop="1">
      <c r="A12" s="2085"/>
      <c r="B12" s="2106" t="e">
        <f>'Area Calculations'!#REF!</f>
        <v>#REF!</v>
      </c>
      <c r="C12" s="2117" t="s">
        <v>4877</v>
      </c>
      <c r="D12" s="2049"/>
      <c r="E12" s="2049"/>
      <c r="F12" s="2049"/>
      <c r="G12" s="660"/>
      <c r="H12" s="2116"/>
      <c r="I12" s="2116"/>
      <c r="J12" s="2116"/>
      <c r="K12" s="2116"/>
      <c r="L12" s="2116"/>
      <c r="M12" s="2116"/>
      <c r="N12" s="2116"/>
      <c r="O12" s="2116"/>
      <c r="P12" s="2116"/>
      <c r="Q12" s="2116"/>
      <c r="R12" s="2116"/>
      <c r="S12" s="2116"/>
    </row>
    <row r="13" spans="1:19" ht="15.75" hidden="1" thickTop="1">
      <c r="A13" s="2085"/>
      <c r="B13" s="2106" t="e">
        <f>'Area Calculations'!#REF!</f>
        <v>#REF!</v>
      </c>
      <c r="C13" s="2117" t="s">
        <v>4877</v>
      </c>
      <c r="D13" s="2049"/>
      <c r="E13" s="2049"/>
      <c r="F13" s="2049"/>
      <c r="G13" s="660"/>
      <c r="H13" s="2116"/>
      <c r="I13" s="2116"/>
      <c r="J13" s="2116"/>
      <c r="K13" s="2116"/>
      <c r="L13" s="2116"/>
      <c r="M13" s="2116"/>
      <c r="N13" s="2116"/>
      <c r="O13" s="2116"/>
      <c r="P13" s="2116"/>
      <c r="Q13" s="2116"/>
      <c r="R13" s="2116"/>
      <c r="S13" s="2116"/>
    </row>
    <row r="14" spans="1:19" ht="15.75" hidden="1" thickTop="1">
      <c r="A14" s="2085"/>
      <c r="B14" s="2106" t="e">
        <f>'Area Calculations'!#REF!</f>
        <v>#REF!</v>
      </c>
      <c r="C14" s="2117" t="s">
        <v>4877</v>
      </c>
      <c r="D14" s="2049"/>
      <c r="E14" s="2049"/>
      <c r="F14" s="2049"/>
      <c r="G14" s="660"/>
      <c r="H14" s="2116"/>
      <c r="I14" s="2116"/>
      <c r="J14" s="2116"/>
      <c r="K14" s="2116"/>
      <c r="L14" s="2116"/>
      <c r="M14" s="2116"/>
      <c r="N14" s="2116"/>
      <c r="O14" s="2116"/>
      <c r="P14" s="2116"/>
      <c r="Q14" s="2116"/>
      <c r="R14" s="2116"/>
      <c r="S14" s="2116"/>
    </row>
    <row r="15" spans="1:19" ht="15.75" hidden="1" thickTop="1">
      <c r="A15" s="2085"/>
      <c r="B15" s="2106" t="e">
        <f>'Area Calculations'!#REF!</f>
        <v>#REF!</v>
      </c>
      <c r="C15" s="2117" t="s">
        <v>4877</v>
      </c>
      <c r="D15" s="2049"/>
      <c r="E15" s="2049"/>
      <c r="F15" s="2049"/>
      <c r="G15" s="660"/>
      <c r="H15" s="2116"/>
      <c r="I15" s="2116"/>
      <c r="J15" s="2116"/>
      <c r="K15" s="2116"/>
      <c r="L15" s="2116"/>
      <c r="M15" s="2116"/>
      <c r="N15" s="2116"/>
      <c r="O15" s="2116"/>
      <c r="P15" s="2116"/>
      <c r="Q15" s="2116"/>
      <c r="R15" s="2116"/>
      <c r="S15" s="2116"/>
    </row>
    <row r="16" spans="1:19" ht="15.75" hidden="1" thickTop="1">
      <c r="A16" s="2085"/>
      <c r="B16" s="2106" t="e">
        <f>'Area Calculations'!#REF!</f>
        <v>#REF!</v>
      </c>
      <c r="C16" s="2117" t="s">
        <v>4877</v>
      </c>
      <c r="D16" s="2049"/>
      <c r="E16" s="2049"/>
      <c r="F16" s="2049"/>
      <c r="G16" s="660"/>
      <c r="H16" s="2116"/>
      <c r="I16" s="2116"/>
      <c r="J16" s="2116"/>
      <c r="K16" s="2116"/>
      <c r="L16" s="2116"/>
      <c r="M16" s="2116"/>
      <c r="N16" s="2116"/>
      <c r="O16" s="2116"/>
      <c r="P16" s="2116"/>
      <c r="Q16" s="2116"/>
      <c r="R16" s="2116"/>
      <c r="S16" s="2116"/>
    </row>
    <row r="17" spans="1:19" ht="15.75" hidden="1" thickTop="1">
      <c r="A17" s="2085"/>
      <c r="B17" s="2106" t="e">
        <f>'Area Calculations'!#REF!</f>
        <v>#REF!</v>
      </c>
      <c r="C17" s="2117" t="s">
        <v>4877</v>
      </c>
      <c r="D17" s="2049"/>
      <c r="E17" s="2049"/>
      <c r="F17" s="2049"/>
      <c r="G17" s="660"/>
      <c r="H17" s="2116"/>
      <c r="I17" s="2116"/>
      <c r="J17" s="2116"/>
      <c r="K17" s="2116"/>
      <c r="L17" s="2116"/>
      <c r="M17" s="2116"/>
      <c r="N17" s="2116"/>
      <c r="O17" s="2116"/>
      <c r="P17" s="2116"/>
      <c r="Q17" s="2116"/>
      <c r="R17" s="2116"/>
      <c r="S17" s="2116"/>
    </row>
    <row r="18" spans="1:19" ht="15.75" hidden="1" thickTop="1">
      <c r="A18" s="2085"/>
      <c r="B18" s="2106" t="e">
        <f>'Area Calculations'!#REF!</f>
        <v>#REF!</v>
      </c>
      <c r="C18" s="2117" t="s">
        <v>4877</v>
      </c>
      <c r="D18" s="2049"/>
      <c r="E18" s="2049"/>
      <c r="F18" s="2049"/>
      <c r="G18" s="660"/>
      <c r="H18" s="2116"/>
      <c r="I18" s="2116"/>
      <c r="J18" s="2116"/>
      <c r="K18" s="2116"/>
      <c r="L18" s="2116"/>
      <c r="M18" s="2116"/>
      <c r="N18" s="2116"/>
      <c r="O18" s="2116"/>
      <c r="P18" s="2116"/>
      <c r="Q18" s="2116"/>
      <c r="R18" s="2116"/>
      <c r="S18" s="2116"/>
    </row>
    <row r="19" spans="1:19" ht="15.75" hidden="1" thickTop="1">
      <c r="A19" s="2085"/>
      <c r="B19" s="2106" t="e">
        <f>'Area Calculations'!#REF!</f>
        <v>#REF!</v>
      </c>
      <c r="C19" s="2117" t="s">
        <v>4877</v>
      </c>
      <c r="D19" s="2049"/>
      <c r="E19" s="2049"/>
      <c r="F19" s="2049"/>
      <c r="G19" s="660"/>
      <c r="H19" s="2116"/>
      <c r="I19" s="2116"/>
      <c r="J19" s="2116"/>
      <c r="K19" s="2116"/>
      <c r="L19" s="2116"/>
      <c r="M19" s="2116"/>
      <c r="N19" s="2116"/>
      <c r="O19" s="2116"/>
      <c r="P19" s="2116"/>
      <c r="Q19" s="2116"/>
      <c r="R19" s="2116"/>
      <c r="S19" s="2116"/>
    </row>
    <row r="20" spans="1:19" ht="15.75" thickTop="1">
      <c r="A20" s="2085"/>
      <c r="B20" s="2106"/>
      <c r="C20" s="2117"/>
      <c r="D20" s="2049"/>
      <c r="E20" s="2049"/>
      <c r="F20" s="2049"/>
      <c r="G20" s="660"/>
      <c r="H20" s="2116"/>
      <c r="I20" s="2116"/>
      <c r="J20" s="2116"/>
      <c r="K20" s="2116"/>
      <c r="L20" s="2116"/>
      <c r="M20" s="2116"/>
      <c r="N20" s="2116"/>
      <c r="O20" s="2116"/>
      <c r="P20" s="2116"/>
      <c r="Q20" s="2116"/>
      <c r="R20" s="2116"/>
      <c r="S20" s="2116"/>
    </row>
    <row r="21" spans="1:19" ht="15.75" thickBot="1">
      <c r="A21" s="52"/>
      <c r="B21" s="2118" t="s">
        <v>4872</v>
      </c>
      <c r="C21" s="49"/>
      <c r="D21" s="50"/>
      <c r="E21" s="50"/>
      <c r="F21" s="50"/>
      <c r="G21" s="54"/>
      <c r="H21" s="2119"/>
      <c r="I21" s="1619"/>
      <c r="J21" s="2119"/>
      <c r="K21" s="1619"/>
      <c r="L21" s="2119"/>
      <c r="M21" s="1619"/>
      <c r="N21" s="2119"/>
      <c r="O21" s="1619"/>
      <c r="P21" s="2119"/>
      <c r="Q21" s="1619"/>
      <c r="R21" s="2119"/>
      <c r="S21" s="1619"/>
    </row>
    <row r="22" spans="1:19" ht="15.75" thickBot="1">
      <c r="A22" s="1787"/>
      <c r="B22" s="2120" t="s">
        <v>2953</v>
      </c>
      <c r="C22" s="2117"/>
      <c r="D22" s="2049"/>
      <c r="E22" s="2049"/>
      <c r="F22" s="2049"/>
      <c r="G22" s="660"/>
      <c r="H22" s="2119"/>
      <c r="I22" s="1619"/>
      <c r="J22" s="2119"/>
      <c r="K22" s="1619"/>
      <c r="L22" s="2119"/>
      <c r="M22" s="1619"/>
      <c r="N22" s="2119"/>
      <c r="O22" s="1619"/>
      <c r="P22" s="2119"/>
      <c r="Q22" s="1619"/>
      <c r="R22" s="2119"/>
      <c r="S22" s="1619"/>
    </row>
    <row r="23" spans="1:19">
      <c r="A23" s="1787"/>
      <c r="B23" s="2121" t="s">
        <v>2954</v>
      </c>
      <c r="C23" s="660"/>
      <c r="D23" s="2049"/>
      <c r="E23" s="2049"/>
      <c r="F23" s="2049"/>
      <c r="G23" s="660"/>
      <c r="H23" s="2119"/>
      <c r="I23" s="1619"/>
      <c r="J23" s="2119"/>
      <c r="K23" s="1619"/>
      <c r="L23" s="2119"/>
      <c r="M23" s="1619"/>
      <c r="N23" s="2119"/>
      <c r="O23" s="1619"/>
      <c r="P23" s="2119"/>
      <c r="Q23" s="1619"/>
      <c r="R23" s="2119"/>
      <c r="S23" s="1619"/>
    </row>
    <row r="24" spans="1:19">
      <c r="A24" s="1787"/>
      <c r="B24" s="2122" t="s">
        <v>2955</v>
      </c>
      <c r="C24" s="660"/>
      <c r="D24" s="2123"/>
      <c r="E24" s="2049"/>
      <c r="F24" s="2049"/>
      <c r="G24" s="660"/>
      <c r="H24" s="2119"/>
      <c r="I24" s="1619"/>
      <c r="J24" s="2119"/>
      <c r="K24" s="1619"/>
      <c r="L24" s="2119"/>
      <c r="M24" s="1619"/>
      <c r="N24" s="2119"/>
      <c r="O24" s="1619"/>
      <c r="P24" s="2119"/>
      <c r="Q24" s="1620"/>
      <c r="R24" s="2119"/>
      <c r="S24" s="1620"/>
    </row>
    <row r="25" spans="1:19">
      <c r="A25" s="1787"/>
      <c r="B25" s="2124" t="s">
        <v>2956</v>
      </c>
      <c r="C25" s="660"/>
      <c r="D25" s="2123"/>
      <c r="E25" s="2049"/>
      <c r="F25" s="2049"/>
      <c r="G25" s="660"/>
      <c r="H25" s="2119"/>
      <c r="I25" s="1619"/>
      <c r="J25" s="2119"/>
      <c r="K25" s="1619"/>
      <c r="L25" s="2119"/>
      <c r="M25" s="1619"/>
      <c r="N25" s="2119"/>
      <c r="O25" s="1619"/>
      <c r="P25" s="2119"/>
      <c r="Q25" s="1620"/>
      <c r="R25" s="2119"/>
      <c r="S25" s="1620"/>
    </row>
    <row r="26" spans="1:19">
      <c r="A26" s="1787"/>
      <c r="B26" s="2124" t="s">
        <v>2957</v>
      </c>
      <c r="C26" s="660"/>
      <c r="D26" s="2123"/>
      <c r="E26" s="2049"/>
      <c r="F26" s="2049"/>
      <c r="G26" s="660"/>
      <c r="H26" s="2119"/>
      <c r="I26" s="1619"/>
      <c r="J26" s="2119"/>
      <c r="K26" s="1619"/>
      <c r="L26" s="2119"/>
      <c r="M26" s="1619"/>
      <c r="N26" s="2119"/>
      <c r="O26" s="1619"/>
      <c r="P26" s="2119"/>
      <c r="Q26" s="1620"/>
      <c r="R26" s="2119"/>
      <c r="S26" s="1620"/>
    </row>
    <row r="27" spans="1:19">
      <c r="A27" s="1787"/>
      <c r="B27" s="2124" t="s">
        <v>2958</v>
      </c>
      <c r="C27" s="660"/>
      <c r="D27" s="2123"/>
      <c r="E27" s="2049"/>
      <c r="F27" s="2049"/>
      <c r="G27" s="660"/>
      <c r="H27" s="2119"/>
      <c r="I27" s="1619"/>
      <c r="J27" s="2119"/>
      <c r="K27" s="1619"/>
      <c r="L27" s="2119"/>
      <c r="M27" s="1619"/>
      <c r="N27" s="2119"/>
      <c r="O27" s="1619"/>
      <c r="P27" s="2119"/>
      <c r="Q27" s="1620"/>
      <c r="R27" s="2119"/>
      <c r="S27" s="1620"/>
    </row>
    <row r="28" spans="1:19">
      <c r="A28" s="1787"/>
      <c r="B28" s="2124" t="s">
        <v>2959</v>
      </c>
      <c r="C28" s="660"/>
      <c r="D28" s="2049"/>
      <c r="E28" s="2049"/>
      <c r="F28" s="2049"/>
      <c r="G28" s="660"/>
      <c r="H28" s="2119"/>
      <c r="I28" s="1619"/>
      <c r="J28" s="2119"/>
      <c r="K28" s="1619"/>
      <c r="L28" s="2119"/>
      <c r="M28" s="1619"/>
      <c r="N28" s="2119"/>
      <c r="O28" s="1619"/>
      <c r="P28" s="2119"/>
      <c r="Q28" s="1620"/>
      <c r="R28" s="2119"/>
      <c r="S28" s="1620"/>
    </row>
    <row r="29" spans="1:19" ht="17.25" customHeight="1">
      <c r="A29" s="1787"/>
      <c r="B29" s="2125" t="s">
        <v>2960</v>
      </c>
      <c r="C29" s="660"/>
      <c r="D29" s="2049"/>
      <c r="E29" s="2049"/>
      <c r="F29" s="2049"/>
      <c r="G29" s="660"/>
      <c r="H29" s="2119"/>
      <c r="I29" s="1619"/>
      <c r="J29" s="2119"/>
      <c r="K29" s="1619"/>
      <c r="L29" s="2119"/>
      <c r="M29" s="1619"/>
      <c r="N29" s="2119"/>
      <c r="O29" s="1619"/>
      <c r="P29" s="2119"/>
      <c r="Q29" s="1620"/>
      <c r="R29" s="2119"/>
      <c r="S29" s="1620"/>
    </row>
    <row r="30" spans="1:19" ht="17.25" customHeight="1">
      <c r="A30" s="1787"/>
      <c r="B30" s="2126" t="s">
        <v>2961</v>
      </c>
      <c r="C30" s="661"/>
      <c r="D30" s="2127"/>
      <c r="E30" s="2127"/>
      <c r="F30" s="2127"/>
      <c r="G30" s="661"/>
      <c r="H30" s="2128"/>
      <c r="I30" s="2129"/>
      <c r="J30" s="2128"/>
      <c r="K30" s="2129"/>
      <c r="L30" s="2128"/>
      <c r="M30" s="2129"/>
      <c r="N30" s="2128"/>
      <c r="O30" s="2129"/>
      <c r="P30" s="2128"/>
      <c r="Q30" s="2130"/>
      <c r="R30" s="2128"/>
      <c r="S30" s="2130"/>
    </row>
    <row r="31" spans="1:19" ht="17.25" customHeight="1">
      <c r="A31" s="1787"/>
      <c r="B31" s="2131"/>
      <c r="C31" s="660"/>
      <c r="D31" s="2049"/>
      <c r="E31" s="2049"/>
      <c r="F31" s="2049"/>
      <c r="G31" s="660"/>
      <c r="H31" s="2119"/>
      <c r="I31" s="1619"/>
      <c r="J31" s="2119"/>
      <c r="K31" s="1619"/>
      <c r="L31" s="2119"/>
      <c r="M31" s="1619"/>
      <c r="N31" s="2119"/>
      <c r="O31" s="1619"/>
      <c r="P31" s="2119"/>
      <c r="Q31" s="1620"/>
      <c r="R31" s="2119"/>
      <c r="S31" s="1620"/>
    </row>
    <row r="32" spans="1:19" ht="17.25" customHeight="1">
      <c r="A32" s="1787"/>
      <c r="B32" s="2132"/>
      <c r="C32" s="660"/>
      <c r="D32" s="2049"/>
      <c r="E32" s="2049"/>
      <c r="F32" s="2049"/>
      <c r="G32" s="660"/>
      <c r="H32" s="2119"/>
      <c r="I32" s="1619"/>
      <c r="J32" s="2119"/>
      <c r="K32" s="1619"/>
      <c r="L32" s="2119"/>
      <c r="M32" s="1619"/>
      <c r="N32" s="2119"/>
      <c r="O32" s="1619"/>
      <c r="P32" s="2119"/>
      <c r="Q32" s="1620"/>
      <c r="R32" s="2119"/>
      <c r="S32" s="1620"/>
    </row>
    <row r="33" spans="1:19" ht="17.25" customHeight="1">
      <c r="A33" s="1787"/>
      <c r="B33" s="2108"/>
      <c r="C33" s="660"/>
      <c r="D33" s="2049"/>
      <c r="E33" s="2049"/>
      <c r="F33" s="2049"/>
      <c r="G33" s="660"/>
      <c r="H33" s="2119"/>
      <c r="I33" s="1619"/>
      <c r="J33" s="2119"/>
      <c r="K33" s="1619"/>
      <c r="L33" s="2119"/>
      <c r="M33" s="1619"/>
      <c r="N33" s="2119"/>
      <c r="O33" s="1619"/>
      <c r="P33" s="2119"/>
      <c r="Q33" s="1620"/>
      <c r="R33" s="2119"/>
      <c r="S33" s="1620"/>
    </row>
    <row r="34" spans="1:19" ht="17.25" customHeight="1">
      <c r="A34" s="1787"/>
      <c r="B34" s="2108"/>
      <c r="C34" s="660"/>
      <c r="D34" s="2049"/>
      <c r="E34" s="2049"/>
      <c r="F34" s="2049"/>
      <c r="G34" s="660"/>
      <c r="H34" s="2119"/>
      <c r="I34" s="1619"/>
      <c r="J34" s="2119"/>
      <c r="K34" s="1619"/>
      <c r="L34" s="2119"/>
      <c r="M34" s="1619"/>
      <c r="N34" s="2119"/>
      <c r="O34" s="1619"/>
      <c r="P34" s="2119"/>
      <c r="Q34" s="1620"/>
      <c r="R34" s="2119"/>
      <c r="S34" s="1620"/>
    </row>
    <row r="35" spans="1:19">
      <c r="A35" s="1787"/>
      <c r="B35" s="2131"/>
      <c r="C35" s="660"/>
      <c r="D35" s="2049"/>
      <c r="E35" s="2049"/>
      <c r="F35" s="2049"/>
      <c r="G35" s="660"/>
      <c r="H35" s="2119"/>
      <c r="I35" s="1619"/>
      <c r="J35" s="2119"/>
      <c r="K35" s="1619"/>
      <c r="L35" s="2119"/>
      <c r="M35" s="1619"/>
      <c r="N35" s="2119"/>
      <c r="O35" s="1619"/>
      <c r="P35" s="2119"/>
      <c r="Q35" s="1620"/>
      <c r="R35" s="2119"/>
      <c r="S35" s="1620"/>
    </row>
    <row r="36" spans="1:19">
      <c r="A36" s="1787"/>
      <c r="B36" s="2132"/>
      <c r="C36" s="660"/>
      <c r="D36" s="2049"/>
      <c r="E36" s="2049"/>
      <c r="F36" s="2049"/>
      <c r="G36" s="660"/>
      <c r="H36" s="2119"/>
      <c r="I36" s="1619"/>
      <c r="J36" s="2119"/>
      <c r="K36" s="1619"/>
      <c r="L36" s="2119"/>
      <c r="M36" s="1619"/>
      <c r="N36" s="2119"/>
      <c r="O36" s="1619"/>
      <c r="P36" s="2119"/>
      <c r="Q36" s="1620"/>
      <c r="R36" s="2119"/>
      <c r="S36" s="1620"/>
    </row>
    <row r="37" spans="1:19">
      <c r="A37" s="1787"/>
      <c r="B37" s="2132"/>
      <c r="C37" s="660"/>
      <c r="D37" s="2049"/>
      <c r="E37" s="2049"/>
      <c r="F37" s="2049"/>
      <c r="G37" s="660"/>
      <c r="H37" s="2119"/>
      <c r="I37" s="1619"/>
      <c r="J37" s="2119"/>
      <c r="K37" s="1619"/>
      <c r="L37" s="2119"/>
      <c r="M37" s="1619"/>
      <c r="N37" s="2119"/>
      <c r="O37" s="1619"/>
      <c r="P37" s="2119"/>
      <c r="Q37" s="1620"/>
      <c r="R37" s="2119"/>
      <c r="S37" s="1620"/>
    </row>
    <row r="38" spans="1:19">
      <c r="A38" s="1787"/>
      <c r="B38" s="2131"/>
      <c r="C38" s="2117"/>
      <c r="D38" s="2049"/>
      <c r="E38" s="2049"/>
      <c r="F38" s="2049"/>
      <c r="G38" s="660"/>
      <c r="H38" s="2119"/>
      <c r="I38" s="2133"/>
      <c r="J38" s="2119"/>
      <c r="K38" s="787"/>
      <c r="L38" s="2119"/>
      <c r="M38" s="787"/>
      <c r="N38" s="2119"/>
      <c r="O38" s="957"/>
      <c r="P38" s="2119"/>
      <c r="Q38" s="1619"/>
      <c r="R38" s="2119"/>
      <c r="S38" s="1619"/>
    </row>
    <row r="39" spans="1:19">
      <c r="A39" s="1787"/>
      <c r="B39" s="2132"/>
      <c r="C39" s="2117"/>
      <c r="D39" s="2049"/>
      <c r="E39" s="2049"/>
      <c r="F39" s="2049"/>
      <c r="G39" s="660"/>
      <c r="H39" s="2119"/>
      <c r="I39" s="2133"/>
      <c r="J39" s="2119"/>
      <c r="K39" s="2134"/>
      <c r="L39" s="2119"/>
      <c r="M39" s="2134"/>
      <c r="N39" s="2119"/>
      <c r="O39" s="2135"/>
      <c r="P39" s="2119"/>
      <c r="Q39" s="1620"/>
      <c r="R39" s="2119"/>
      <c r="S39" s="1619"/>
    </row>
    <row r="40" spans="1:19" ht="15.75" thickBot="1">
      <c r="A40" s="1787"/>
      <c r="B40" s="2136"/>
      <c r="C40" s="2117"/>
      <c r="D40" s="2049"/>
      <c r="E40" s="2049"/>
      <c r="F40" s="2049"/>
      <c r="G40" s="660"/>
      <c r="H40" s="2119"/>
      <c r="I40" s="1619"/>
      <c r="J40" s="1620"/>
      <c r="K40" s="1619"/>
      <c r="L40" s="1620"/>
      <c r="M40" s="1619"/>
      <c r="N40" s="1620"/>
      <c r="O40" s="1619"/>
      <c r="P40" s="1620"/>
      <c r="Q40" s="1620"/>
      <c r="R40" s="2119"/>
      <c r="S40" s="1619"/>
    </row>
    <row r="41" spans="1:19" ht="15.75" thickTop="1">
      <c r="A41" s="13"/>
      <c r="B41" s="14"/>
      <c r="C41" s="15"/>
      <c r="D41" s="15"/>
      <c r="E41" s="16"/>
      <c r="F41" s="17" t="s">
        <v>2975</v>
      </c>
      <c r="G41" s="18"/>
      <c r="H41" s="19"/>
      <c r="I41" s="55">
        <f>SUM(I23:I40)</f>
        <v>0</v>
      </c>
      <c r="J41" s="19"/>
      <c r="K41" s="55">
        <f>SUM(K23:K40)</f>
        <v>0</v>
      </c>
      <c r="L41" s="19"/>
      <c r="M41" s="55">
        <f>SUM(M23:M40)</f>
        <v>0</v>
      </c>
      <c r="N41" s="19"/>
      <c r="O41" s="55">
        <f>SUM(O23:O40)</f>
        <v>0</v>
      </c>
      <c r="P41" s="19"/>
      <c r="Q41" s="55">
        <f>SUM(Q23:Q40)</f>
        <v>0</v>
      </c>
      <c r="R41" s="19"/>
      <c r="S41" s="55">
        <f>SUM(S23:S40)</f>
        <v>0</v>
      </c>
    </row>
    <row r="42" spans="1:19">
      <c r="A42" s="2137"/>
      <c r="B42" s="2081"/>
      <c r="C42" s="2138"/>
      <c r="D42" s="2138"/>
      <c r="E42" s="2139"/>
      <c r="F42" s="2140" t="s">
        <v>2976</v>
      </c>
      <c r="G42" s="656"/>
      <c r="H42" s="2141">
        <v>0</v>
      </c>
      <c r="I42" s="2142"/>
      <c r="J42" s="2141"/>
      <c r="K42" s="2142"/>
      <c r="L42" s="2141"/>
      <c r="M42" s="2142"/>
      <c r="N42" s="2141"/>
      <c r="O42" s="2142"/>
      <c r="P42" s="2141">
        <v>0</v>
      </c>
      <c r="Q42" s="2142"/>
      <c r="R42" s="2141">
        <v>0</v>
      </c>
      <c r="S42" s="2142"/>
    </row>
    <row r="43" spans="1:19">
      <c r="A43" s="2137"/>
      <c r="B43" s="2081"/>
      <c r="C43" s="2138"/>
      <c r="D43" s="2138"/>
      <c r="E43" s="2139"/>
      <c r="F43" s="2140" t="s">
        <v>2977</v>
      </c>
      <c r="G43" s="656"/>
      <c r="H43" s="2143"/>
      <c r="I43" s="2144">
        <f>I41*H42</f>
        <v>0</v>
      </c>
      <c r="J43" s="2143"/>
      <c r="K43" s="2144">
        <f>K41*J42</f>
        <v>0</v>
      </c>
      <c r="L43" s="2143"/>
      <c r="M43" s="2144">
        <f>M41*L42</f>
        <v>0</v>
      </c>
      <c r="N43" s="2143"/>
      <c r="O43" s="2144">
        <f>O41*N42</f>
        <v>0</v>
      </c>
      <c r="P43" s="2143"/>
      <c r="Q43" s="2144">
        <f>Q41*P42</f>
        <v>0</v>
      </c>
      <c r="R43" s="2143"/>
      <c r="S43" s="2144">
        <f>S41*R42</f>
        <v>0</v>
      </c>
    </row>
    <row r="44" spans="1:19">
      <c r="A44" s="2137"/>
      <c r="B44" s="2081"/>
      <c r="C44" s="2138"/>
      <c r="D44" s="2138"/>
      <c r="E44" s="2139"/>
      <c r="F44" s="2140"/>
      <c r="G44" s="656"/>
      <c r="H44" s="2143"/>
      <c r="I44" s="2143"/>
      <c r="J44" s="2143"/>
      <c r="K44" s="2143"/>
      <c r="L44" s="2143"/>
      <c r="M44" s="2143"/>
      <c r="N44" s="2143"/>
      <c r="O44" s="2143"/>
      <c r="P44" s="2143"/>
      <c r="Q44" s="2143"/>
      <c r="R44" s="2143"/>
      <c r="S44" s="2143"/>
    </row>
    <row r="45" spans="1:19">
      <c r="A45" s="2137"/>
      <c r="B45" s="2081"/>
      <c r="C45" s="2138"/>
      <c r="D45" s="2138"/>
      <c r="E45" s="2139"/>
      <c r="F45" s="2140" t="s">
        <v>2978</v>
      </c>
      <c r="G45" s="656"/>
      <c r="H45" s="2145"/>
      <c r="I45" s="2146">
        <f>SUM(I41:I43)</f>
        <v>0</v>
      </c>
      <c r="J45" s="2145"/>
      <c r="K45" s="2146">
        <f>SUM(K41:K43)</f>
        <v>0</v>
      </c>
      <c r="L45" s="2145"/>
      <c r="M45" s="2146">
        <f>SUM(M41:M43)</f>
        <v>0</v>
      </c>
      <c r="N45" s="2145"/>
      <c r="O45" s="2146">
        <f>SUM(O41:O43)</f>
        <v>0</v>
      </c>
      <c r="P45" s="2145"/>
      <c r="Q45" s="2146">
        <f>SUM(Q41:Q43)</f>
        <v>0</v>
      </c>
      <c r="R45" s="2145"/>
      <c r="S45" s="2146">
        <f>SUM(S41:S43)</f>
        <v>0</v>
      </c>
    </row>
    <row r="46" spans="1:19">
      <c r="A46" s="2137"/>
      <c r="B46" s="2081"/>
      <c r="C46" s="2138"/>
      <c r="D46" s="2138"/>
      <c r="E46" s="2139"/>
      <c r="F46" s="2077" t="s">
        <v>2979</v>
      </c>
      <c r="G46" s="655"/>
      <c r="H46" s="2147"/>
      <c r="I46" s="2148">
        <f>I45/'Area Calculations'!$F$5</f>
        <v>0</v>
      </c>
      <c r="J46" s="2147"/>
      <c r="K46" s="2148">
        <f>K45/'Area Calculations'!$F$5</f>
        <v>0</v>
      </c>
      <c r="L46" s="2147"/>
      <c r="M46" s="2148">
        <f>M45/'Area Calculations'!$F$5</f>
        <v>0</v>
      </c>
      <c r="N46" s="2147"/>
      <c r="O46" s="2148">
        <f>O45/'Area Calculations'!$F$5</f>
        <v>0</v>
      </c>
      <c r="P46" s="2147"/>
      <c r="Q46" s="2148">
        <f>Q45/'Area Calculations'!$F$5</f>
        <v>0</v>
      </c>
      <c r="R46" s="2147"/>
      <c r="S46" s="2148">
        <f>S45/'Area Calculations'!$F$5</f>
        <v>0</v>
      </c>
    </row>
    <row r="47" spans="1:19">
      <c r="A47" s="2137"/>
      <c r="B47" s="2081"/>
      <c r="C47" s="2138"/>
      <c r="D47" s="2138"/>
      <c r="E47" s="2139"/>
      <c r="F47" s="2077" t="s">
        <v>4878</v>
      </c>
      <c r="G47" s="686"/>
      <c r="H47" s="2147"/>
      <c r="I47" s="2148" t="e">
        <f>I45/'Area Calculations'!$F$10</f>
        <v>#DIV/0!</v>
      </c>
      <c r="J47" s="2147"/>
      <c r="K47" s="2148" t="e">
        <f>K45/'Area Calculations'!$F$10</f>
        <v>#DIV/0!</v>
      </c>
      <c r="L47" s="2147"/>
      <c r="M47" s="2148" t="e">
        <f>M45/'Area Calculations'!$F$10</f>
        <v>#DIV/0!</v>
      </c>
      <c r="N47" s="2147"/>
      <c r="O47" s="2148" t="e">
        <f>O45/'Area Calculations'!$F$10</f>
        <v>#DIV/0!</v>
      </c>
      <c r="P47" s="2147"/>
      <c r="Q47" s="2148" t="e">
        <f>Q45/'Area Calculations'!$F$10</f>
        <v>#DIV/0!</v>
      </c>
      <c r="R47" s="2147"/>
      <c r="S47" s="2148" t="e">
        <f>S45/'Area Calculations'!$F$10</f>
        <v>#DIV/0!</v>
      </c>
    </row>
    <row r="48" spans="1:19" ht="15.75" thickBot="1">
      <c r="A48" s="2137"/>
      <c r="B48" s="2081"/>
      <c r="C48" s="2138"/>
      <c r="D48" s="2138"/>
      <c r="E48" s="2139"/>
      <c r="F48" s="2140"/>
      <c r="G48" s="687"/>
      <c r="H48" s="2149"/>
      <c r="I48" s="2150"/>
      <c r="J48" s="2151"/>
      <c r="K48" s="2151"/>
      <c r="L48" s="2151"/>
      <c r="M48" s="2151"/>
      <c r="N48" s="2151"/>
      <c r="O48" s="2151"/>
      <c r="P48" s="2151"/>
      <c r="Q48" s="2151"/>
      <c r="R48" s="2151"/>
      <c r="S48" s="2151"/>
    </row>
    <row r="49" spans="1:19" ht="16.5" thickTop="1" thickBot="1">
      <c r="A49" s="830" t="s">
        <v>2980</v>
      </c>
      <c r="B49" s="831"/>
      <c r="C49" s="12"/>
      <c r="D49" s="12"/>
      <c r="E49" s="12"/>
      <c r="F49" s="12"/>
      <c r="G49" s="48"/>
      <c r="H49" s="47"/>
      <c r="I49" s="20"/>
      <c r="J49" s="20"/>
      <c r="K49" s="20"/>
      <c r="L49" s="20"/>
      <c r="M49" s="20"/>
      <c r="N49" s="20"/>
      <c r="O49" s="20"/>
      <c r="P49" s="20"/>
      <c r="Q49" s="20"/>
      <c r="R49" s="20"/>
      <c r="S49" s="20"/>
    </row>
    <row r="50" spans="1:19" ht="15.75" thickTop="1">
      <c r="A50" s="2152"/>
      <c r="B50" s="2106"/>
      <c r="C50" s="2153"/>
      <c r="D50" s="2153"/>
      <c r="E50" s="2153"/>
      <c r="F50" s="2153"/>
      <c r="G50" s="2154"/>
      <c r="H50" s="2155"/>
      <c r="I50" s="2156"/>
      <c r="J50" s="2156"/>
      <c r="K50" s="2156"/>
      <c r="L50" s="2156"/>
      <c r="M50" s="2156"/>
      <c r="N50" s="2156"/>
      <c r="O50" s="2156"/>
      <c r="P50" s="2156"/>
      <c r="Q50" s="2156"/>
      <c r="R50" s="2156"/>
      <c r="S50" s="2156"/>
    </row>
    <row r="51" spans="1:19">
      <c r="A51" s="2152"/>
      <c r="B51" s="2106"/>
      <c r="C51" s="2153"/>
      <c r="D51" s="2153"/>
      <c r="E51" s="2153"/>
      <c r="F51" s="2153"/>
      <c r="G51" s="2154"/>
      <c r="H51" s="2155"/>
      <c r="I51" s="2156"/>
      <c r="J51" s="2156"/>
      <c r="K51" s="2156"/>
      <c r="L51" s="2156"/>
      <c r="M51" s="2156"/>
      <c r="N51" s="2156"/>
      <c r="O51" s="2156"/>
      <c r="P51" s="2156"/>
      <c r="Q51" s="2156"/>
      <c r="R51" s="2156"/>
      <c r="S51" s="2156"/>
    </row>
    <row r="52" spans="1:19" ht="15.75" thickBot="1">
      <c r="A52" s="2152"/>
      <c r="B52" s="2106"/>
      <c r="C52" s="2153"/>
      <c r="D52" s="2153"/>
      <c r="E52" s="2153"/>
      <c r="F52" s="2153"/>
      <c r="G52" s="2154"/>
      <c r="H52" s="2155"/>
      <c r="I52" s="2156"/>
      <c r="J52" s="2156"/>
      <c r="K52" s="2156"/>
      <c r="L52" s="2156"/>
      <c r="M52" s="2156"/>
      <c r="N52" s="2156"/>
      <c r="O52" s="2156"/>
      <c r="P52" s="2156"/>
      <c r="Q52" s="2156"/>
      <c r="R52" s="2156"/>
      <c r="S52" s="2156"/>
    </row>
    <row r="53" spans="1:19" s="2" customFormat="1" ht="16.5" thickTop="1" thickBot="1">
      <c r="A53" s="830" t="s">
        <v>2981</v>
      </c>
      <c r="B53" s="831"/>
      <c r="C53" s="12"/>
      <c r="D53" s="12"/>
      <c r="E53" s="12"/>
      <c r="F53" s="12"/>
      <c r="G53" s="48"/>
      <c r="H53" s="47"/>
      <c r="I53" s="20"/>
      <c r="J53" s="20"/>
      <c r="K53" s="20"/>
      <c r="L53" s="20"/>
      <c r="M53" s="20"/>
      <c r="N53" s="20"/>
      <c r="O53" s="20"/>
      <c r="P53" s="20"/>
      <c r="Q53" s="20"/>
      <c r="R53" s="20"/>
      <c r="S53" s="20"/>
    </row>
    <row r="54" spans="1:19" s="2" customFormat="1" ht="15.75" thickTop="1">
      <c r="A54" s="2152"/>
      <c r="B54" s="2106"/>
      <c r="C54" s="2153"/>
      <c r="D54" s="2153"/>
      <c r="E54" s="2153"/>
      <c r="F54" s="2153"/>
      <c r="G54" s="2154"/>
      <c r="H54" s="2155"/>
      <c r="I54" s="2156"/>
      <c r="J54" s="2156"/>
      <c r="K54" s="2156"/>
      <c r="L54" s="2156"/>
      <c r="M54" s="2156"/>
      <c r="N54" s="2156"/>
      <c r="O54" s="2156"/>
      <c r="P54" s="2156"/>
      <c r="Q54" s="2156"/>
      <c r="R54" s="2156"/>
      <c r="S54" s="2156"/>
    </row>
    <row r="55" spans="1:19" s="2" customFormat="1">
      <c r="A55" s="2152"/>
      <c r="B55" s="2106"/>
      <c r="C55" s="2153"/>
      <c r="D55" s="2153"/>
      <c r="E55" s="2153"/>
      <c r="F55" s="2153"/>
      <c r="G55" s="2154"/>
      <c r="H55" s="2155"/>
      <c r="I55" s="2156"/>
      <c r="J55" s="2156"/>
      <c r="K55" s="2156"/>
      <c r="L55" s="2156"/>
      <c r="M55" s="2156"/>
      <c r="N55" s="2156"/>
      <c r="O55" s="2156"/>
      <c r="P55" s="2156"/>
      <c r="Q55" s="2156"/>
      <c r="R55" s="2156"/>
      <c r="S55" s="2156"/>
    </row>
    <row r="56" spans="1:19" ht="15.75" thickBot="1">
      <c r="A56" s="2152"/>
      <c r="B56" s="2106"/>
      <c r="C56" s="2153"/>
      <c r="D56" s="2153"/>
      <c r="E56" s="2153"/>
      <c r="F56" s="2153"/>
      <c r="G56" s="2154"/>
      <c r="H56" s="2155"/>
      <c r="I56" s="2156"/>
      <c r="J56" s="2156"/>
      <c r="K56" s="2156"/>
      <c r="L56" s="2156"/>
      <c r="M56" s="2156"/>
      <c r="N56" s="2156"/>
      <c r="O56" s="2156"/>
      <c r="P56" s="2156"/>
      <c r="Q56" s="2156"/>
      <c r="R56" s="2156"/>
      <c r="S56" s="2156"/>
    </row>
    <row r="57" spans="1:19" s="2" customFormat="1" ht="16.5" thickTop="1" thickBot="1">
      <c r="A57" s="830" t="s">
        <v>2982</v>
      </c>
      <c r="B57" s="831"/>
      <c r="C57" s="12"/>
      <c r="D57" s="12"/>
      <c r="E57" s="12"/>
      <c r="F57" s="12"/>
      <c r="G57" s="48"/>
      <c r="H57" s="47"/>
      <c r="I57" s="20"/>
      <c r="J57" s="20"/>
      <c r="K57" s="20"/>
      <c r="L57" s="20"/>
      <c r="M57" s="20"/>
      <c r="N57" s="20"/>
      <c r="O57" s="20"/>
      <c r="P57" s="20"/>
      <c r="Q57" s="20"/>
      <c r="R57" s="20"/>
      <c r="S57" s="20"/>
    </row>
    <row r="58" spans="1:19" s="2" customFormat="1" ht="15.75" thickTop="1">
      <c r="A58" s="2152"/>
      <c r="B58" s="2106"/>
      <c r="C58" s="2153"/>
      <c r="D58" s="2153"/>
      <c r="E58" s="2153"/>
      <c r="F58" s="2153"/>
      <c r="G58" s="2154"/>
      <c r="H58" s="2155"/>
      <c r="I58" s="2156"/>
      <c r="J58" s="2156"/>
      <c r="K58" s="2156"/>
      <c r="L58" s="2156"/>
      <c r="M58" s="2156"/>
      <c r="N58" s="2156"/>
      <c r="O58" s="2156"/>
      <c r="P58" s="2156"/>
      <c r="Q58" s="2156"/>
      <c r="R58" s="2156"/>
      <c r="S58" s="2156"/>
    </row>
    <row r="59" spans="1:19" s="2" customFormat="1">
      <c r="A59" s="2085"/>
      <c r="B59" s="2106"/>
      <c r="C59" s="2049"/>
      <c r="D59" s="2049"/>
      <c r="E59" s="2049"/>
      <c r="F59" s="2049"/>
      <c r="G59" s="2157"/>
      <c r="H59" s="688"/>
      <c r="I59" s="2158"/>
      <c r="J59" s="2158"/>
      <c r="K59" s="2158"/>
      <c r="L59" s="2158"/>
      <c r="M59" s="2158"/>
      <c r="N59" s="2158"/>
      <c r="O59" s="2158"/>
      <c r="P59" s="2158"/>
      <c r="Q59" s="2158"/>
      <c r="R59" s="2158"/>
      <c r="S59" s="2158"/>
    </row>
    <row r="60" spans="1:19" s="2" customFormat="1" ht="15.75" thickBot="1">
      <c r="A60" s="2088"/>
      <c r="B60" s="2089"/>
      <c r="C60" s="2049"/>
      <c r="D60" s="2049"/>
      <c r="E60" s="2049"/>
      <c r="F60" s="2049"/>
      <c r="G60" s="2157"/>
      <c r="H60" s="689"/>
      <c r="I60" s="2159"/>
      <c r="J60" s="2159"/>
      <c r="K60" s="2159"/>
      <c r="L60" s="2159"/>
      <c r="M60" s="2159"/>
      <c r="N60" s="2159"/>
      <c r="O60" s="2159"/>
      <c r="P60" s="2159"/>
      <c r="Q60" s="2159"/>
      <c r="R60" s="2159"/>
      <c r="S60" s="2159"/>
    </row>
    <row r="61" spans="1:19" s="2" customFormat="1" ht="16.5" thickTop="1" thickBot="1">
      <c r="A61" s="830" t="s">
        <v>2983</v>
      </c>
      <c r="B61" s="831"/>
      <c r="C61" s="12"/>
      <c r="D61" s="12"/>
      <c r="E61" s="12"/>
      <c r="F61" s="12"/>
      <c r="G61" s="48"/>
      <c r="H61" s="47"/>
      <c r="I61" s="20"/>
      <c r="J61" s="20"/>
      <c r="K61" s="20"/>
      <c r="L61" s="20"/>
      <c r="M61" s="20"/>
      <c r="N61" s="20"/>
      <c r="O61" s="20"/>
      <c r="P61" s="20"/>
      <c r="Q61" s="20"/>
      <c r="R61" s="20"/>
      <c r="S61" s="20"/>
    </row>
    <row r="62" spans="1:19" ht="15.75" thickTop="1">
      <c r="A62" s="2160"/>
      <c r="B62" s="2161"/>
      <c r="C62" s="2153"/>
      <c r="D62" s="2153"/>
      <c r="E62" s="2153"/>
      <c r="F62" s="2153"/>
      <c r="G62" s="2154"/>
      <c r="H62" s="2155"/>
      <c r="I62" s="2156"/>
      <c r="J62" s="2156"/>
      <c r="K62" s="2156"/>
      <c r="L62" s="2156"/>
      <c r="M62" s="2156"/>
      <c r="N62" s="2156"/>
      <c r="O62" s="2156"/>
      <c r="P62" s="2156"/>
      <c r="Q62" s="2156"/>
      <c r="R62" s="2156"/>
      <c r="S62" s="2156"/>
    </row>
    <row r="63" spans="1:19">
      <c r="A63" s="2088"/>
      <c r="B63" s="2089"/>
      <c r="C63" s="2049"/>
      <c r="D63" s="2049"/>
      <c r="E63" s="2049"/>
      <c r="F63" s="2049"/>
      <c r="G63" s="2157"/>
      <c r="H63" s="690"/>
      <c r="I63" s="2162"/>
      <c r="J63" s="2162"/>
      <c r="K63" s="2162"/>
      <c r="L63" s="2162"/>
      <c r="M63" s="2162"/>
      <c r="N63" s="2162"/>
      <c r="O63" s="2162"/>
      <c r="P63" s="2162"/>
      <c r="Q63" s="2162"/>
      <c r="R63" s="2162"/>
      <c r="S63" s="2162"/>
    </row>
    <row r="64" spans="1:19" ht="15.75" thickBot="1">
      <c r="A64" s="2088"/>
      <c r="B64" s="2089"/>
      <c r="C64" s="2049"/>
      <c r="D64" s="2049"/>
      <c r="E64" s="2049"/>
      <c r="F64" s="2049"/>
      <c r="G64" s="2157"/>
      <c r="H64" s="690"/>
      <c r="I64" s="2162"/>
      <c r="J64" s="2162"/>
      <c r="K64" s="2162"/>
      <c r="L64" s="2162"/>
      <c r="M64" s="2162"/>
      <c r="N64" s="2162"/>
      <c r="O64" s="2162"/>
      <c r="P64" s="2162"/>
      <c r="Q64" s="2162"/>
      <c r="R64" s="2162"/>
      <c r="S64" s="2162"/>
    </row>
    <row r="65" spans="1:19" ht="16.5" thickTop="1" thickBot="1">
      <c r="A65" s="830" t="s">
        <v>2984</v>
      </c>
      <c r="B65" s="831"/>
      <c r="C65" s="12"/>
      <c r="D65" s="12"/>
      <c r="E65" s="12"/>
      <c r="F65" s="12"/>
      <c r="G65" s="48"/>
      <c r="H65" s="47"/>
      <c r="I65" s="20"/>
      <c r="J65" s="20"/>
      <c r="K65" s="20"/>
      <c r="L65" s="20"/>
      <c r="M65" s="20"/>
      <c r="N65" s="20"/>
      <c r="O65" s="20"/>
      <c r="P65" s="20"/>
      <c r="Q65" s="20"/>
      <c r="R65" s="20"/>
      <c r="S65" s="20"/>
    </row>
    <row r="66" spans="1:19" ht="15.75" thickTop="1">
      <c r="A66" s="2085"/>
      <c r="B66" s="2106" t="s">
        <v>2985</v>
      </c>
      <c r="C66" s="2049"/>
      <c r="D66" s="2049"/>
      <c r="E66" s="2049"/>
      <c r="F66" s="2049"/>
      <c r="G66" s="2157"/>
      <c r="H66" s="690"/>
      <c r="I66" s="2162"/>
      <c r="J66" s="2162"/>
      <c r="K66" s="2162"/>
      <c r="L66" s="2162"/>
      <c r="M66" s="2162"/>
      <c r="N66" s="2162"/>
      <c r="O66" s="2162"/>
      <c r="P66" s="2162"/>
      <c r="Q66" s="2162"/>
      <c r="R66" s="2162"/>
      <c r="S66" s="2162"/>
    </row>
    <row r="67" spans="1:19">
      <c r="A67" s="2085"/>
      <c r="B67" s="2106" t="s">
        <v>2986</v>
      </c>
      <c r="C67" s="2049"/>
      <c r="D67" s="2049"/>
      <c r="E67" s="2049"/>
      <c r="F67" s="2049"/>
      <c r="G67" s="2157"/>
      <c r="H67" s="690"/>
      <c r="I67" s="2162"/>
      <c r="J67" s="2162"/>
      <c r="K67" s="2162"/>
      <c r="L67" s="2162"/>
      <c r="M67" s="2162"/>
      <c r="N67" s="2162"/>
      <c r="O67" s="2162"/>
      <c r="P67" s="2162"/>
      <c r="Q67" s="2162"/>
      <c r="R67" s="2162"/>
      <c r="S67" s="2162"/>
    </row>
    <row r="68" spans="1:19">
      <c r="A68" s="2085"/>
      <c r="B68" s="2106" t="s">
        <v>2987</v>
      </c>
      <c r="C68" s="2049"/>
      <c r="D68" s="2049"/>
      <c r="E68" s="2049"/>
      <c r="F68" s="2049"/>
      <c r="G68" s="2157"/>
      <c r="H68" s="690"/>
      <c r="I68" s="2162"/>
      <c r="J68" s="2162"/>
      <c r="K68" s="2162"/>
      <c r="L68" s="2162"/>
      <c r="M68" s="2162"/>
      <c r="N68" s="2162"/>
      <c r="O68" s="2162"/>
      <c r="P68" s="2162"/>
      <c r="Q68" s="2162"/>
      <c r="R68" s="2162"/>
      <c r="S68" s="2162"/>
    </row>
    <row r="69" spans="1:19">
      <c r="A69" s="2085"/>
      <c r="B69" s="2106" t="s">
        <v>2988</v>
      </c>
      <c r="C69" s="2049"/>
      <c r="D69" s="2049"/>
      <c r="E69" s="2049"/>
      <c r="F69" s="2049"/>
      <c r="G69" s="2157"/>
      <c r="H69" s="690"/>
      <c r="I69" s="2162"/>
      <c r="J69" s="2162"/>
      <c r="K69" s="2162"/>
      <c r="L69" s="2162"/>
      <c r="M69" s="2162"/>
      <c r="N69" s="2162"/>
      <c r="O69" s="2162"/>
      <c r="P69" s="2162"/>
      <c r="Q69" s="2162"/>
      <c r="R69" s="2162"/>
      <c r="S69" s="2162"/>
    </row>
    <row r="70" spans="1:19" ht="15.75" thickBot="1">
      <c r="A70" s="646"/>
      <c r="B70" s="619"/>
      <c r="C70" s="616"/>
      <c r="D70" s="616"/>
      <c r="E70" s="616"/>
      <c r="F70" s="616"/>
      <c r="G70" s="629"/>
      <c r="H70" s="630"/>
      <c r="I70" s="647"/>
      <c r="J70" s="647"/>
      <c r="K70" s="647"/>
      <c r="L70" s="647"/>
      <c r="M70" s="647"/>
      <c r="N70" s="647"/>
      <c r="O70" s="647"/>
      <c r="P70" s="647"/>
      <c r="Q70" s="647"/>
      <c r="R70" s="647"/>
      <c r="S70" s="647"/>
    </row>
    <row r="71" spans="1:19" ht="16.5" thickTop="1" thickBot="1">
      <c r="A71" s="7" t="s">
        <v>2989</v>
      </c>
      <c r="B71" s="8"/>
      <c r="C71" s="12"/>
      <c r="D71" s="12"/>
      <c r="E71" s="12"/>
      <c r="F71" s="12"/>
      <c r="G71" s="48"/>
      <c r="H71" s="47"/>
      <c r="I71" s="20"/>
      <c r="J71" s="20"/>
      <c r="K71" s="20"/>
      <c r="L71" s="20"/>
      <c r="M71" s="20"/>
      <c r="N71" s="20"/>
      <c r="O71" s="20"/>
      <c r="P71" s="20"/>
      <c r="Q71" s="20"/>
      <c r="R71" s="20"/>
      <c r="S71" s="20"/>
    </row>
    <row r="72" spans="1:19" ht="15.75" thickTop="1">
      <c r="A72" s="2152"/>
      <c r="B72" s="2163" t="s">
        <v>2990</v>
      </c>
      <c r="C72" s="2153"/>
      <c r="D72" s="2153"/>
      <c r="E72" s="2153"/>
      <c r="F72" s="2153"/>
      <c r="G72" s="2154"/>
      <c r="H72" s="1620"/>
      <c r="I72" s="2164"/>
      <c r="J72" s="2164"/>
      <c r="K72" s="2164"/>
      <c r="L72" s="2164"/>
      <c r="M72" s="2164"/>
      <c r="N72" s="2164"/>
      <c r="O72" s="2164"/>
      <c r="P72" s="2164"/>
      <c r="Q72" s="2164"/>
      <c r="R72" s="2164"/>
      <c r="S72" s="2164"/>
    </row>
    <row r="73" spans="1:19">
      <c r="A73" s="2085"/>
      <c r="B73" s="2106" t="s">
        <v>2991</v>
      </c>
      <c r="C73" s="2049"/>
      <c r="D73" s="2049"/>
      <c r="E73" s="2049"/>
      <c r="F73" s="2049"/>
      <c r="G73" s="2157"/>
      <c r="H73" s="691"/>
      <c r="I73" s="2165"/>
      <c r="J73" s="2165"/>
      <c r="K73" s="2165"/>
      <c r="L73" s="2165"/>
      <c r="M73" s="2165"/>
      <c r="N73" s="2165"/>
      <c r="O73" s="2165"/>
      <c r="P73" s="2165"/>
      <c r="Q73" s="2165"/>
      <c r="R73" s="2165"/>
      <c r="S73" s="2165"/>
    </row>
    <row r="74" spans="1:19" ht="15.75" thickBot="1">
      <c r="A74" s="2093"/>
      <c r="B74" s="2166" t="s">
        <v>2992</v>
      </c>
      <c r="C74" s="2167"/>
      <c r="D74" s="2167"/>
      <c r="E74" s="2167"/>
      <c r="F74" s="2167"/>
      <c r="G74" s="2168"/>
      <c r="H74" s="2169"/>
      <c r="I74" s="2097"/>
      <c r="J74" s="2097"/>
      <c r="K74" s="2097"/>
      <c r="L74" s="2097"/>
      <c r="M74" s="2097"/>
      <c r="N74" s="2097"/>
      <c r="O74" s="2097"/>
      <c r="P74" s="2097"/>
      <c r="Q74" s="2097"/>
      <c r="R74" s="2097"/>
      <c r="S74" s="2097"/>
    </row>
    <row r="75" spans="1:19" ht="16.5" thickTop="1" thickBot="1"/>
    <row r="76" spans="1:19" ht="16.5" thickTop="1" thickBot="1">
      <c r="A76" s="59" t="s">
        <v>2993</v>
      </c>
      <c r="B76" s="61"/>
    </row>
    <row r="77" spans="1:19" ht="15.75" thickTop="1">
      <c r="A77" s="60" t="s">
        <v>2936</v>
      </c>
      <c r="B77" s="2098"/>
    </row>
    <row r="78" spans="1:19">
      <c r="A78" s="2099" t="s">
        <v>2939</v>
      </c>
      <c r="B78" s="2098"/>
    </row>
    <row r="79" spans="1:19">
      <c r="A79" s="2100" t="s">
        <v>2941</v>
      </c>
      <c r="B79" s="2101"/>
    </row>
    <row r="80" spans="1:19">
      <c r="A80" s="2100" t="s">
        <v>2943</v>
      </c>
      <c r="B80" s="2102"/>
    </row>
    <row r="81" spans="1:2" ht="15.75" thickBot="1">
      <c r="A81" s="2103" t="s">
        <v>2994</v>
      </c>
      <c r="B81" s="2170"/>
    </row>
    <row r="82" spans="1:2" ht="15.75" thickTop="1"/>
    <row r="83" spans="1:2">
      <c r="A83" s="62"/>
      <c r="B83" s="1" t="s">
        <v>2995</v>
      </c>
    </row>
    <row r="84" spans="1:2">
      <c r="A84" s="63"/>
      <c r="B84" s="1" t="s">
        <v>2996</v>
      </c>
    </row>
  </sheetData>
  <mergeCells count="48">
    <mergeCell ref="O38:O39"/>
    <mergeCell ref="H8:I8"/>
    <mergeCell ref="J8:K8"/>
    <mergeCell ref="L8:M8"/>
    <mergeCell ref="N8:O8"/>
    <mergeCell ref="P8:Q8"/>
    <mergeCell ref="R8:S8"/>
    <mergeCell ref="H7:I7"/>
    <mergeCell ref="J7:K7"/>
    <mergeCell ref="L7:M7"/>
    <mergeCell ref="N7:O7"/>
    <mergeCell ref="P7:Q7"/>
    <mergeCell ref="R7:S7"/>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49:B49"/>
    <mergeCell ref="A53:B53"/>
    <mergeCell ref="A57:B57"/>
    <mergeCell ref="A61:B61"/>
    <mergeCell ref="A65:B65"/>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1705-B7FC-4354-8790-E339C6C85C69}">
  <sheetPr>
    <tabColor rgb="FF00B050"/>
    <pageSetUpPr fitToPage="1"/>
  </sheetPr>
  <dimension ref="A1:AH113"/>
  <sheetViews>
    <sheetView zoomScale="90" zoomScaleNormal="90" zoomScaleSheetLayoutView="100" workbookViewId="0">
      <pane ySplit="10" topLeftCell="A21" activePane="bottomLeft" state="frozen"/>
      <selection pane="bottomLeft" activeCell="I21" sqref="I21"/>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1" width="11.7109375" bestFit="1"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4879</v>
      </c>
      <c r="I5" s="838"/>
      <c r="J5" s="837" t="s">
        <v>4880</v>
      </c>
      <c r="K5" s="838"/>
      <c r="L5" s="841"/>
      <c r="M5" s="842"/>
      <c r="N5" s="841"/>
      <c r="O5" s="842"/>
      <c r="P5" s="841"/>
      <c r="Q5" s="842"/>
      <c r="R5" s="841"/>
      <c r="S5" s="842"/>
    </row>
    <row r="6" spans="1:19">
      <c r="A6" s="2105" t="s">
        <v>2938</v>
      </c>
      <c r="B6" s="2106" t="s">
        <v>2567</v>
      </c>
      <c r="C6" s="2049"/>
      <c r="D6" s="2171"/>
      <c r="E6" s="2051"/>
      <c r="F6" s="2049"/>
      <c r="G6" s="657" t="s">
        <v>2939</v>
      </c>
      <c r="H6" s="2172" t="s">
        <v>4881</v>
      </c>
      <c r="I6" s="839"/>
      <c r="J6" s="2172" t="s">
        <v>4882</v>
      </c>
      <c r="K6" s="839"/>
      <c r="L6" s="2107"/>
      <c r="M6" s="843"/>
      <c r="N6" s="2107"/>
      <c r="O6" s="843"/>
      <c r="P6" s="2107"/>
      <c r="Q6" s="843"/>
      <c r="R6" s="2107"/>
      <c r="S6" s="843"/>
    </row>
    <row r="7" spans="1:19">
      <c r="A7" s="2105" t="s">
        <v>2940</v>
      </c>
      <c r="B7" s="2108" t="s">
        <v>2711</v>
      </c>
      <c r="C7" s="2049"/>
      <c r="D7" s="2171"/>
      <c r="E7" s="2051"/>
      <c r="F7" s="2049"/>
      <c r="G7" s="2109" t="s">
        <v>2941</v>
      </c>
      <c r="H7" s="2173" t="s">
        <v>4883</v>
      </c>
      <c r="I7" s="840"/>
      <c r="J7" s="2173" t="s">
        <v>4884</v>
      </c>
      <c r="K7" s="840"/>
      <c r="L7" s="2110"/>
      <c r="M7" s="844"/>
      <c r="N7" s="2110"/>
      <c r="O7" s="844"/>
      <c r="P7" s="2110"/>
      <c r="Q7" s="844"/>
      <c r="R7" s="2110"/>
      <c r="S7" s="844"/>
    </row>
    <row r="8" spans="1:19">
      <c r="A8" s="2105" t="s">
        <v>2942</v>
      </c>
      <c r="B8" s="2111"/>
      <c r="C8" s="2049"/>
      <c r="D8" s="2171"/>
      <c r="E8" s="2051"/>
      <c r="F8" s="2049"/>
      <c r="G8" s="2109" t="s">
        <v>2943</v>
      </c>
      <c r="H8" s="2174" t="s">
        <v>4885</v>
      </c>
      <c r="I8" s="836"/>
      <c r="J8" s="2174" t="s">
        <v>4886</v>
      </c>
      <c r="K8" s="836"/>
      <c r="L8" s="2112"/>
      <c r="M8" s="845"/>
      <c r="N8" s="2112"/>
      <c r="O8" s="845"/>
      <c r="P8" s="2112"/>
      <c r="Q8" s="845"/>
      <c r="R8" s="2112"/>
      <c r="S8" s="845"/>
    </row>
    <row r="9" spans="1:19" ht="15.75" thickBot="1">
      <c r="A9" s="2175"/>
      <c r="B9" s="2166"/>
      <c r="C9" s="616"/>
      <c r="D9" s="621"/>
      <c r="E9" s="622"/>
      <c r="F9" s="2167"/>
      <c r="G9" s="2176" t="s">
        <v>2944</v>
      </c>
      <c r="H9" s="2177">
        <f>I$75</f>
        <v>362004.1335310826</v>
      </c>
      <c r="I9" s="2178"/>
      <c r="J9" s="2179">
        <f t="shared" ref="J9" si="0">K$75</f>
        <v>315738</v>
      </c>
      <c r="K9" s="2180"/>
      <c r="L9" s="2179">
        <f t="shared" ref="L9" si="1">M$75</f>
        <v>0</v>
      </c>
      <c r="M9" s="2180"/>
      <c r="N9" s="2179">
        <f t="shared" ref="N9" si="2">O$75</f>
        <v>0</v>
      </c>
      <c r="O9" s="2180"/>
      <c r="P9" s="2179">
        <f t="shared" ref="P9" si="3">Q$75</f>
        <v>0</v>
      </c>
      <c r="Q9" s="2180"/>
      <c r="R9" s="2179">
        <f t="shared" ref="R9" si="4">S$75</f>
        <v>0</v>
      </c>
      <c r="S9" s="218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181"/>
      <c r="B11" s="2182" t="s">
        <v>2953</v>
      </c>
      <c r="C11" s="659"/>
      <c r="D11" s="2171"/>
      <c r="E11" s="2051"/>
      <c r="F11" s="2049"/>
      <c r="G11" s="660"/>
      <c r="H11" s="2183"/>
      <c r="I11" s="1619"/>
      <c r="J11" s="2183"/>
      <c r="K11" s="182"/>
      <c r="L11" s="2183"/>
      <c r="M11" s="1620"/>
      <c r="N11" s="2183"/>
      <c r="O11" s="1620"/>
      <c r="P11" s="2183"/>
      <c r="Q11" s="1620"/>
      <c r="R11" s="2183"/>
      <c r="S11" s="1620"/>
    </row>
    <row r="12" spans="1:19">
      <c r="A12" s="2184"/>
      <c r="B12" s="1622" t="s">
        <v>2954</v>
      </c>
      <c r="C12" s="2049"/>
      <c r="D12" s="2171"/>
      <c r="E12" s="2051"/>
      <c r="F12" s="2049"/>
      <c r="G12" s="660"/>
      <c r="H12" s="2183"/>
      <c r="I12" s="1619"/>
      <c r="J12" s="2183"/>
      <c r="K12" s="1620"/>
      <c r="L12" s="2183"/>
      <c r="M12" s="1620"/>
      <c r="N12" s="2183"/>
      <c r="O12" s="1620"/>
      <c r="P12" s="2183"/>
      <c r="Q12" s="1620"/>
      <c r="R12" s="2183"/>
      <c r="S12" s="1620"/>
    </row>
    <row r="13" spans="1:19">
      <c r="A13" s="2185"/>
      <c r="B13" s="2186" t="s">
        <v>2955</v>
      </c>
      <c r="C13" s="2049"/>
      <c r="D13" s="2171"/>
      <c r="E13" s="2051"/>
      <c r="F13" s="2049"/>
      <c r="G13" s="660"/>
      <c r="H13" s="2183"/>
      <c r="I13" s="1619"/>
      <c r="J13" s="2183"/>
      <c r="K13" s="1620"/>
      <c r="L13" s="2183"/>
      <c r="M13" s="1620"/>
      <c r="N13" s="2183"/>
      <c r="O13" s="1620"/>
      <c r="P13" s="2183"/>
      <c r="Q13" s="1620"/>
      <c r="R13" s="2183"/>
      <c r="S13" s="1620"/>
    </row>
    <row r="14" spans="1:19">
      <c r="A14" s="2185"/>
      <c r="B14" s="2187" t="s">
        <v>2956</v>
      </c>
      <c r="C14" s="2049"/>
      <c r="D14" s="2171"/>
      <c r="E14" s="2051"/>
      <c r="F14" s="2049"/>
      <c r="G14" s="660"/>
      <c r="H14" s="2183"/>
      <c r="I14" s="1619"/>
      <c r="J14" s="2183"/>
      <c r="K14" s="1620"/>
      <c r="L14" s="2183"/>
      <c r="M14" s="1620"/>
      <c r="N14" s="2183"/>
      <c r="O14" s="1620"/>
      <c r="P14" s="2183"/>
      <c r="Q14" s="1620"/>
      <c r="R14" s="2183"/>
      <c r="S14" s="1620"/>
    </row>
    <row r="15" spans="1:19">
      <c r="A15" s="2185"/>
      <c r="B15" s="2187" t="s">
        <v>2957</v>
      </c>
      <c r="C15" s="2049"/>
      <c r="D15" s="2171"/>
      <c r="E15" s="2051"/>
      <c r="F15" s="2049"/>
      <c r="G15" s="660"/>
      <c r="H15" s="2183"/>
      <c r="I15" s="1619"/>
      <c r="J15" s="2183"/>
      <c r="K15" s="1619"/>
      <c r="L15" s="2183"/>
      <c r="M15" s="1619"/>
      <c r="N15" s="2183"/>
      <c r="O15" s="1619"/>
      <c r="P15" s="2183"/>
      <c r="Q15" s="1619"/>
      <c r="R15" s="2183"/>
      <c r="S15" s="1619"/>
    </row>
    <row r="16" spans="1:19">
      <c r="A16" s="2185"/>
      <c r="B16" s="2187" t="s">
        <v>2958</v>
      </c>
      <c r="C16" s="2049"/>
      <c r="D16" s="2171"/>
      <c r="E16" s="2051"/>
      <c r="F16" s="2049"/>
      <c r="G16" s="660"/>
      <c r="H16" s="2183"/>
      <c r="I16" s="1619"/>
      <c r="J16" s="2183"/>
      <c r="K16" s="1620"/>
      <c r="L16" s="2183"/>
      <c r="M16" s="1620"/>
      <c r="N16" s="2183"/>
      <c r="O16" s="1620"/>
      <c r="P16" s="2183"/>
      <c r="Q16" s="1620"/>
      <c r="R16" s="2183"/>
      <c r="S16" s="1620"/>
    </row>
    <row r="17" spans="1:19">
      <c r="A17" s="2185"/>
      <c r="B17" s="2187" t="s">
        <v>2959</v>
      </c>
      <c r="C17" s="2049"/>
      <c r="D17" s="2171"/>
      <c r="E17" s="2051"/>
      <c r="F17" s="2049"/>
      <c r="G17" s="660"/>
      <c r="H17" s="2183"/>
      <c r="I17" s="1619"/>
      <c r="J17" s="2183"/>
      <c r="K17" s="1620"/>
      <c r="L17" s="2183"/>
      <c r="M17" s="1620"/>
      <c r="N17" s="2183"/>
      <c r="O17" s="1620"/>
      <c r="P17" s="2183"/>
      <c r="Q17" s="1620"/>
      <c r="R17" s="2183"/>
      <c r="S17" s="1620"/>
    </row>
    <row r="18" spans="1:19">
      <c r="A18" s="2185"/>
      <c r="B18" s="2188" t="s">
        <v>2960</v>
      </c>
      <c r="C18" s="2049"/>
      <c r="D18" s="2171"/>
      <c r="E18" s="2051"/>
      <c r="F18" s="2049"/>
      <c r="G18" s="660"/>
      <c r="H18" s="2183"/>
      <c r="I18" s="1619"/>
      <c r="J18" s="2183"/>
      <c r="K18" s="1620"/>
      <c r="L18" s="2183"/>
      <c r="M18" s="1620"/>
      <c r="N18" s="2183"/>
      <c r="O18" s="1620"/>
      <c r="P18" s="2183"/>
      <c r="Q18" s="1620"/>
      <c r="R18" s="2183"/>
      <c r="S18" s="1620"/>
    </row>
    <row r="19" spans="1:19">
      <c r="A19" s="2185"/>
      <c r="B19" s="2189" t="s">
        <v>2961</v>
      </c>
      <c r="C19" s="2127"/>
      <c r="D19" s="2190"/>
      <c r="E19" s="2191"/>
      <c r="F19" s="2192"/>
      <c r="G19" s="661"/>
      <c r="H19" s="2193"/>
      <c r="I19" s="1629"/>
      <c r="J19" s="2193"/>
      <c r="K19" s="1630"/>
      <c r="L19" s="2193"/>
      <c r="M19" s="1630"/>
      <c r="N19" s="2193"/>
      <c r="O19" s="1630"/>
      <c r="P19" s="2193"/>
      <c r="Q19" s="1630"/>
      <c r="R19" s="2193"/>
      <c r="S19" s="1630"/>
    </row>
    <row r="20" spans="1:19">
      <c r="A20" s="2185"/>
      <c r="B20" s="2194"/>
      <c r="C20" s="2049"/>
      <c r="D20" s="2171"/>
      <c r="E20" s="2051"/>
      <c r="F20" s="2052"/>
      <c r="G20" s="660"/>
      <c r="H20" s="2183"/>
      <c r="I20" s="1633"/>
      <c r="J20" s="2183"/>
      <c r="K20" s="1634"/>
      <c r="L20" s="2183"/>
      <c r="M20" s="1633"/>
      <c r="N20" s="2183"/>
      <c r="O20" s="1633"/>
      <c r="P20" s="2183"/>
      <c r="Q20" s="1633"/>
      <c r="R20" s="2183"/>
      <c r="S20" s="1633"/>
    </row>
    <row r="21" spans="1:19" ht="30">
      <c r="A21" s="2185"/>
      <c r="B21" s="2195" t="s">
        <v>4887</v>
      </c>
      <c r="C21" s="2049"/>
      <c r="D21" s="2171"/>
      <c r="E21" s="2051"/>
      <c r="F21" s="2052"/>
      <c r="G21" s="660"/>
      <c r="H21" s="2183"/>
      <c r="I21" s="1633" t="s">
        <v>4888</v>
      </c>
      <c r="J21" s="2183"/>
      <c r="K21" s="1634" t="s">
        <v>4889</v>
      </c>
      <c r="L21" s="2183"/>
      <c r="M21" s="1633"/>
      <c r="N21" s="2183"/>
      <c r="O21" s="1633"/>
      <c r="P21" s="2183"/>
      <c r="Q21" s="1633"/>
      <c r="R21" s="2183"/>
      <c r="S21" s="1633"/>
    </row>
    <row r="22" spans="1:19">
      <c r="A22" s="2185"/>
      <c r="B22" s="2194"/>
      <c r="C22" s="2049"/>
      <c r="D22" s="2171"/>
      <c r="E22" s="2051"/>
      <c r="F22" s="2052"/>
      <c r="G22" s="660"/>
      <c r="H22" s="2183"/>
      <c r="I22" s="1633"/>
      <c r="J22" s="2183"/>
      <c r="K22" s="1634"/>
      <c r="L22" s="2183"/>
      <c r="M22" s="1633"/>
      <c r="N22" s="2183"/>
      <c r="O22" s="1633"/>
      <c r="P22" s="2183"/>
      <c r="Q22" s="1633"/>
      <c r="R22" s="2183"/>
      <c r="S22" s="1633"/>
    </row>
    <row r="23" spans="1:19">
      <c r="A23" s="2185"/>
      <c r="B23" s="2196" t="s">
        <v>2695</v>
      </c>
      <c r="C23" s="2049"/>
      <c r="D23" s="2171"/>
      <c r="E23" s="2051"/>
      <c r="F23" s="2052"/>
      <c r="G23" s="662">
        <f>ROUND(D23*F23,0)</f>
        <v>0</v>
      </c>
      <c r="H23" s="2183"/>
      <c r="I23" s="1729">
        <f>SUBTOTAL(9,I24:I49)</f>
        <v>260965.48101572369</v>
      </c>
      <c r="J23" s="2183"/>
      <c r="K23" s="1729">
        <f>SUBTOTAL(9,K24:K49)</f>
        <v>237857</v>
      </c>
      <c r="L23" s="2183"/>
      <c r="M23" s="1729">
        <f>SUBTOTAL(9,M24:M49)</f>
        <v>0</v>
      </c>
      <c r="N23" s="2183"/>
      <c r="O23" s="1729">
        <f>SUBTOTAL(9,O24:O49)</f>
        <v>0</v>
      </c>
      <c r="P23" s="2183"/>
      <c r="Q23" s="1729">
        <f>SUBTOTAL(9,Q24:Q49)</f>
        <v>0</v>
      </c>
      <c r="R23" s="2183"/>
      <c r="S23" s="1729">
        <f>SUBTOTAL(9,S24:S49)</f>
        <v>0</v>
      </c>
    </row>
    <row r="24" spans="1:19">
      <c r="A24" s="2185"/>
      <c r="B24" s="2194" t="s">
        <v>4890</v>
      </c>
      <c r="C24" s="2049"/>
      <c r="D24" s="2171"/>
      <c r="E24" s="2051"/>
      <c r="F24" s="2052"/>
      <c r="G24" s="662">
        <f t="shared" ref="G24" si="5">ROUND(D24*F24,0)</f>
        <v>0</v>
      </c>
      <c r="H24" s="2183"/>
      <c r="I24" s="1634"/>
      <c r="J24" s="2183"/>
      <c r="K24" s="1634"/>
      <c r="L24" s="2183"/>
      <c r="M24" s="1634"/>
      <c r="N24" s="2183"/>
      <c r="O24" s="1634"/>
      <c r="P24" s="2183"/>
      <c r="Q24" s="1634"/>
      <c r="R24" s="2183"/>
      <c r="S24" s="1634"/>
    </row>
    <row r="25" spans="1:19">
      <c r="A25" s="2185"/>
      <c r="B25" s="2194" t="s">
        <v>3029</v>
      </c>
      <c r="C25" s="2049"/>
      <c r="D25" s="2171"/>
      <c r="E25" s="2051"/>
      <c r="F25" s="2052"/>
      <c r="G25" s="662">
        <f t="shared" ref="G25:G67" si="6">ROUND(D25*F25,0)</f>
        <v>0</v>
      </c>
      <c r="H25" s="2183"/>
      <c r="I25" s="1634"/>
      <c r="J25" s="2183"/>
      <c r="K25" s="1634"/>
      <c r="L25" s="2183"/>
      <c r="M25" s="1634"/>
      <c r="N25" s="2183"/>
      <c r="O25" s="1634"/>
      <c r="P25" s="2183"/>
      <c r="Q25" s="1634"/>
      <c r="R25" s="2183"/>
      <c r="S25" s="1634"/>
    </row>
    <row r="26" spans="1:19">
      <c r="A26" s="2185"/>
      <c r="B26" s="2197" t="s">
        <v>4891</v>
      </c>
      <c r="C26" s="2049"/>
      <c r="D26" s="2171"/>
      <c r="E26" s="2051"/>
      <c r="F26" s="2052"/>
      <c r="G26" s="662">
        <f t="shared" ref="G26:G30" si="7">ROUND(D26*F26,0)</f>
        <v>0</v>
      </c>
      <c r="H26" s="2183"/>
      <c r="I26" s="1638">
        <v>65018</v>
      </c>
      <c r="J26" s="2183"/>
      <c r="K26" s="1638">
        <v>81192</v>
      </c>
      <c r="L26" s="2183"/>
      <c r="M26" s="1638"/>
      <c r="N26" s="2183"/>
      <c r="O26" s="1638"/>
      <c r="P26" s="2183"/>
      <c r="Q26" s="1638"/>
      <c r="R26" s="2183"/>
      <c r="S26" s="1638"/>
    </row>
    <row r="27" spans="1:19">
      <c r="A27" s="2185"/>
      <c r="B27" s="2198" t="s">
        <v>4892</v>
      </c>
      <c r="C27" s="2049"/>
      <c r="D27" s="2171">
        <f>4473-D30</f>
        <v>3563.42</v>
      </c>
      <c r="E27" s="2051" t="s">
        <v>2845</v>
      </c>
      <c r="F27" s="2052"/>
      <c r="G27" s="662">
        <f t="shared" si="7"/>
        <v>0</v>
      </c>
      <c r="H27" s="2183"/>
      <c r="I27" s="1638"/>
      <c r="J27" s="2183"/>
      <c r="K27" s="1638"/>
      <c r="L27" s="2183"/>
      <c r="M27" s="1638"/>
      <c r="N27" s="2183"/>
      <c r="O27" s="1638"/>
      <c r="P27" s="2183"/>
      <c r="Q27" s="1638"/>
      <c r="R27" s="2183"/>
      <c r="S27" s="1638"/>
    </row>
    <row r="28" spans="1:19">
      <c r="A28" s="2185"/>
      <c r="B28" s="2198" t="s">
        <v>4893</v>
      </c>
      <c r="C28" s="2049"/>
      <c r="D28" s="2171">
        <f>14-D31</f>
        <v>11</v>
      </c>
      <c r="E28" s="2051" t="s">
        <v>2803</v>
      </c>
      <c r="F28" s="2052"/>
      <c r="G28" s="662">
        <f t="shared" si="7"/>
        <v>0</v>
      </c>
      <c r="H28" s="2183"/>
      <c r="I28" s="1638"/>
      <c r="J28" s="2183"/>
      <c r="K28" s="1638"/>
      <c r="L28" s="2183"/>
      <c r="M28" s="1638"/>
      <c r="N28" s="2183"/>
      <c r="O28" s="1638"/>
      <c r="P28" s="2183"/>
      <c r="Q28" s="1638"/>
      <c r="R28" s="2183"/>
      <c r="S28" s="1638"/>
    </row>
    <row r="29" spans="1:19">
      <c r="A29" s="2185"/>
      <c r="B29" s="2197" t="s">
        <v>4894</v>
      </c>
      <c r="C29" s="2049"/>
      <c r="D29" s="2171"/>
      <c r="E29" s="2051"/>
      <c r="F29" s="2052"/>
      <c r="G29" s="662">
        <f t="shared" si="7"/>
        <v>0</v>
      </c>
      <c r="H29" s="2183"/>
      <c r="I29" s="1638"/>
      <c r="J29" s="2183"/>
      <c r="K29" s="1638"/>
      <c r="L29" s="2183"/>
      <c r="M29" s="1638"/>
      <c r="N29" s="2183"/>
      <c r="O29" s="1638"/>
      <c r="P29" s="2183"/>
      <c r="Q29" s="1638"/>
      <c r="R29" s="2183"/>
      <c r="S29" s="1638"/>
    </row>
    <row r="30" spans="1:19">
      <c r="A30" s="2185"/>
      <c r="B30" s="2198" t="s">
        <v>4892</v>
      </c>
      <c r="C30" s="2049"/>
      <c r="D30" s="2171">
        <f>218.92+215.83+474.83</f>
        <v>909.57999999999993</v>
      </c>
      <c r="E30" s="2051" t="s">
        <v>2845</v>
      </c>
      <c r="F30" s="2052">
        <v>20</v>
      </c>
      <c r="G30" s="662">
        <f t="shared" si="7"/>
        <v>18192</v>
      </c>
      <c r="H30" s="2183"/>
      <c r="I30" s="1643">
        <f>$G30</f>
        <v>18192</v>
      </c>
      <c r="J30" s="2183" t="s">
        <v>2931</v>
      </c>
      <c r="K30" s="1638"/>
      <c r="L30" s="2183"/>
      <c r="M30" s="1638"/>
      <c r="N30" s="2183"/>
      <c r="O30" s="1638"/>
      <c r="P30" s="2183"/>
      <c r="Q30" s="1638"/>
      <c r="R30" s="2183"/>
      <c r="S30" s="1638"/>
    </row>
    <row r="31" spans="1:19">
      <c r="A31" s="2185"/>
      <c r="B31" s="2198" t="s">
        <v>4893</v>
      </c>
      <c r="C31" s="2049"/>
      <c r="D31" s="2171">
        <v>3</v>
      </c>
      <c r="E31" s="2051" t="s">
        <v>2803</v>
      </c>
      <c r="F31" s="2052"/>
      <c r="G31" s="662">
        <f t="shared" si="6"/>
        <v>0</v>
      </c>
      <c r="H31" s="2183"/>
      <c r="I31" s="1638"/>
      <c r="J31" s="2183"/>
      <c r="K31" s="1638"/>
      <c r="L31" s="2183"/>
      <c r="M31" s="1638"/>
      <c r="N31" s="2183"/>
      <c r="O31" s="1638"/>
      <c r="P31" s="2183"/>
      <c r="Q31" s="1638"/>
      <c r="R31" s="2183"/>
      <c r="S31" s="1638"/>
    </row>
    <row r="32" spans="1:19">
      <c r="A32" s="2185"/>
      <c r="B32" s="2197" t="s">
        <v>4895</v>
      </c>
      <c r="C32" s="2049"/>
      <c r="D32" s="2171"/>
      <c r="E32" s="2051"/>
      <c r="F32" s="2052"/>
      <c r="G32" s="662">
        <f t="shared" si="6"/>
        <v>0</v>
      </c>
      <c r="H32" s="2183"/>
      <c r="I32" s="1638">
        <v>39841.199999999997</v>
      </c>
      <c r="J32" s="2183"/>
      <c r="K32" s="1638">
        <v>37091</v>
      </c>
      <c r="L32" s="2183"/>
      <c r="M32" s="1638"/>
      <c r="N32" s="2183"/>
      <c r="O32" s="1638"/>
      <c r="P32" s="2183"/>
      <c r="Q32" s="1638"/>
      <c r="R32" s="2183"/>
      <c r="S32" s="1638"/>
    </row>
    <row r="33" spans="1:19">
      <c r="A33" s="2185"/>
      <c r="B33" s="2198" t="s">
        <v>4896</v>
      </c>
      <c r="C33" s="2049"/>
      <c r="D33" s="2171">
        <v>531</v>
      </c>
      <c r="E33" s="2051" t="s">
        <v>2845</v>
      </c>
      <c r="F33" s="2052"/>
      <c r="G33" s="662">
        <f t="shared" si="6"/>
        <v>0</v>
      </c>
      <c r="H33" s="2183"/>
      <c r="I33" s="1638"/>
      <c r="J33" s="2183"/>
      <c r="K33" s="1638"/>
      <c r="L33" s="2183"/>
      <c r="M33" s="1638"/>
      <c r="N33" s="2183"/>
      <c r="O33" s="1638"/>
      <c r="P33" s="2183"/>
      <c r="Q33" s="1638"/>
      <c r="R33" s="2183"/>
      <c r="S33" s="1638"/>
    </row>
    <row r="34" spans="1:19">
      <c r="A34" s="2185"/>
      <c r="B34" s="2198" t="s">
        <v>4893</v>
      </c>
      <c r="C34" s="2049"/>
      <c r="D34" s="2171">
        <v>3</v>
      </c>
      <c r="E34" s="2051" t="s">
        <v>2803</v>
      </c>
      <c r="F34" s="2052"/>
      <c r="G34" s="662">
        <f t="shared" si="6"/>
        <v>0</v>
      </c>
      <c r="H34" s="2183"/>
      <c r="I34" s="1638"/>
      <c r="J34" s="2183"/>
      <c r="K34" s="1638"/>
      <c r="L34" s="2183"/>
      <c r="M34" s="1638"/>
      <c r="N34" s="2183"/>
      <c r="O34" s="1638"/>
      <c r="P34" s="2183"/>
      <c r="Q34" s="1638"/>
      <c r="R34" s="2183"/>
      <c r="S34" s="1638"/>
    </row>
    <row r="35" spans="1:19">
      <c r="A35" s="2185"/>
      <c r="B35" s="2198" t="s">
        <v>4897</v>
      </c>
      <c r="C35" s="2049"/>
      <c r="D35" s="2171">
        <v>732</v>
      </c>
      <c r="E35" s="2051" t="s">
        <v>2845</v>
      </c>
      <c r="F35" s="2052"/>
      <c r="G35" s="662">
        <f t="shared" si="6"/>
        <v>0</v>
      </c>
      <c r="H35" s="2183"/>
      <c r="I35" s="1638"/>
      <c r="J35" s="2183"/>
      <c r="K35" s="1638"/>
      <c r="L35" s="2183"/>
      <c r="M35" s="1638"/>
      <c r="N35" s="2183"/>
      <c r="O35" s="1638"/>
      <c r="P35" s="2183"/>
      <c r="Q35" s="1638"/>
      <c r="R35" s="2183"/>
      <c r="S35" s="1638"/>
    </row>
    <row r="36" spans="1:19">
      <c r="A36" s="2185"/>
      <c r="B36" s="2198" t="s">
        <v>4893</v>
      </c>
      <c r="C36" s="2049"/>
      <c r="D36" s="2171">
        <v>3</v>
      </c>
      <c r="E36" s="2051" t="s">
        <v>2803</v>
      </c>
      <c r="F36" s="2052"/>
      <c r="G36" s="662">
        <f t="shared" si="6"/>
        <v>0</v>
      </c>
      <c r="H36" s="2183"/>
      <c r="I36" s="1638"/>
      <c r="J36" s="2183"/>
      <c r="K36" s="1638"/>
      <c r="L36" s="2183"/>
      <c r="M36" s="1638"/>
      <c r="N36" s="2183"/>
      <c r="O36" s="1638"/>
      <c r="P36" s="2183"/>
      <c r="Q36" s="1638"/>
      <c r="R36" s="2183"/>
      <c r="S36" s="1638"/>
    </row>
    <row r="37" spans="1:19">
      <c r="A37" s="2185"/>
      <c r="B37" s="2194" t="s">
        <v>3080</v>
      </c>
      <c r="C37" s="2049"/>
      <c r="D37" s="2171"/>
      <c r="E37" s="2051"/>
      <c r="F37" s="2052"/>
      <c r="G37" s="662">
        <f t="shared" si="6"/>
        <v>0</v>
      </c>
      <c r="H37" s="2183"/>
      <c r="I37" s="1638"/>
      <c r="J37" s="2183"/>
      <c r="K37" s="1638"/>
      <c r="L37" s="2183"/>
      <c r="M37" s="1638"/>
      <c r="N37" s="2183"/>
      <c r="O37" s="1638"/>
      <c r="P37" s="2183"/>
      <c r="Q37" s="1638"/>
      <c r="R37" s="2183"/>
      <c r="S37" s="1638"/>
    </row>
    <row r="38" spans="1:19">
      <c r="A38" s="2185"/>
      <c r="B38" s="2197" t="s">
        <v>4898</v>
      </c>
      <c r="C38" s="2049"/>
      <c r="D38" s="2171"/>
      <c r="E38" s="2051"/>
      <c r="F38" s="2052"/>
      <c r="G38" s="662">
        <f t="shared" ref="G38:G41" si="8">ROUND(D38*F38,0)</f>
        <v>0</v>
      </c>
      <c r="H38" s="2183"/>
      <c r="I38" s="1638">
        <v>62462.8</v>
      </c>
      <c r="J38" s="2183"/>
      <c r="K38" s="1638">
        <v>61079</v>
      </c>
      <c r="L38" s="2183"/>
      <c r="M38" s="1638"/>
      <c r="N38" s="2183"/>
      <c r="O38" s="1638"/>
      <c r="P38" s="2183"/>
      <c r="Q38" s="1638"/>
      <c r="R38" s="2183"/>
      <c r="S38" s="1638"/>
    </row>
    <row r="39" spans="1:19">
      <c r="A39" s="2185"/>
      <c r="B39" s="2198" t="s">
        <v>4899</v>
      </c>
      <c r="C39" s="2049"/>
      <c r="D39" s="2171">
        <v>2868</v>
      </c>
      <c r="E39" s="2051" t="s">
        <v>2845</v>
      </c>
      <c r="F39" s="2052"/>
      <c r="G39" s="662">
        <f t="shared" si="8"/>
        <v>0</v>
      </c>
      <c r="H39" s="2183"/>
      <c r="I39" s="1638"/>
      <c r="J39" s="2183"/>
      <c r="K39" s="1638"/>
      <c r="L39" s="2183"/>
      <c r="M39" s="1638"/>
      <c r="N39" s="2183"/>
      <c r="O39" s="1638"/>
      <c r="P39" s="2183"/>
      <c r="Q39" s="1638"/>
      <c r="R39" s="2183"/>
      <c r="S39" s="1638"/>
    </row>
    <row r="40" spans="1:19">
      <c r="A40" s="2185"/>
      <c r="B40" s="2198" t="s">
        <v>4893</v>
      </c>
      <c r="C40" s="2049"/>
      <c r="D40" s="2171">
        <v>9</v>
      </c>
      <c r="E40" s="2051" t="s">
        <v>2803</v>
      </c>
      <c r="F40" s="2052"/>
      <c r="G40" s="662">
        <f t="shared" si="8"/>
        <v>0</v>
      </c>
      <c r="H40" s="2183"/>
      <c r="I40" s="1638"/>
      <c r="J40" s="2183"/>
      <c r="K40" s="1638"/>
      <c r="L40" s="2183"/>
      <c r="M40" s="1638"/>
      <c r="N40" s="2183"/>
      <c r="O40" s="1638"/>
      <c r="P40" s="2183"/>
      <c r="Q40" s="1638"/>
      <c r="R40" s="2183"/>
      <c r="S40" s="1638"/>
    </row>
    <row r="41" spans="1:19">
      <c r="A41" s="2185"/>
      <c r="B41" s="2194" t="s">
        <v>3113</v>
      </c>
      <c r="C41" s="2049"/>
      <c r="D41" s="2171"/>
      <c r="E41" s="2051"/>
      <c r="F41" s="2052"/>
      <c r="G41" s="662">
        <f t="shared" si="8"/>
        <v>0</v>
      </c>
      <c r="H41" s="2183"/>
      <c r="I41" s="1638"/>
      <c r="J41" s="2183"/>
      <c r="K41" s="1638"/>
      <c r="L41" s="2183"/>
      <c r="M41" s="1638"/>
      <c r="N41" s="2183"/>
      <c r="O41" s="1638"/>
      <c r="P41" s="2183"/>
      <c r="Q41" s="1638"/>
      <c r="R41" s="2183"/>
      <c r="S41" s="1638"/>
    </row>
    <row r="42" spans="1:19">
      <c r="A42" s="2185"/>
      <c r="B42" s="2197" t="s">
        <v>4900</v>
      </c>
      <c r="C42" s="2049"/>
      <c r="D42" s="2171"/>
      <c r="E42" s="2051"/>
      <c r="F42" s="2052"/>
      <c r="G42" s="662">
        <f t="shared" ref="G42:G48" si="9">ROUND(D42*F42,0)</f>
        <v>0</v>
      </c>
      <c r="H42" s="2183"/>
      <c r="I42" s="1638">
        <v>50755.199999999997</v>
      </c>
      <c r="J42" s="2183"/>
      <c r="K42" s="1638">
        <v>48430</v>
      </c>
      <c r="L42" s="2183"/>
      <c r="M42" s="1638"/>
      <c r="N42" s="2183"/>
      <c r="O42" s="1638"/>
      <c r="P42" s="2183"/>
      <c r="Q42" s="1638"/>
      <c r="R42" s="2183"/>
      <c r="S42" s="1638"/>
    </row>
    <row r="43" spans="1:19">
      <c r="A43" s="2185"/>
      <c r="B43" s="2198" t="s">
        <v>4901</v>
      </c>
      <c r="C43" s="2049"/>
      <c r="D43" s="2171">
        <v>1530</v>
      </c>
      <c r="E43" s="2051" t="s">
        <v>2845</v>
      </c>
      <c r="F43" s="2052"/>
      <c r="G43" s="662">
        <f t="shared" si="9"/>
        <v>0</v>
      </c>
      <c r="H43" s="2183"/>
      <c r="I43" s="1638"/>
      <c r="J43" s="2183"/>
      <c r="K43" s="1638"/>
      <c r="L43" s="2183"/>
      <c r="M43" s="1638"/>
      <c r="N43" s="2183"/>
      <c r="O43" s="1638"/>
      <c r="P43" s="2183"/>
      <c r="Q43" s="1638"/>
      <c r="R43" s="2183"/>
      <c r="S43" s="1638"/>
    </row>
    <row r="44" spans="1:19">
      <c r="A44" s="2185"/>
      <c r="B44" s="2198" t="s">
        <v>4893</v>
      </c>
      <c r="C44" s="2049"/>
      <c r="D44" s="2171">
        <v>9</v>
      </c>
      <c r="E44" s="2051" t="s">
        <v>2803</v>
      </c>
      <c r="F44" s="2052"/>
      <c r="G44" s="662">
        <f t="shared" si="9"/>
        <v>0</v>
      </c>
      <c r="H44" s="2183"/>
      <c r="I44" s="1638"/>
      <c r="J44" s="2183"/>
      <c r="K44" s="1638"/>
      <c r="L44" s="2183"/>
      <c r="M44" s="1638"/>
      <c r="N44" s="2183"/>
      <c r="O44" s="1638"/>
      <c r="P44" s="2183"/>
      <c r="Q44" s="1638"/>
      <c r="R44" s="2183"/>
      <c r="S44" s="1638"/>
    </row>
    <row r="45" spans="1:19">
      <c r="A45" s="2185"/>
      <c r="B45" s="2198"/>
      <c r="C45" s="2049"/>
      <c r="D45" s="2171"/>
      <c r="E45" s="2051"/>
      <c r="F45" s="2052"/>
      <c r="G45" s="662">
        <f t="shared" si="9"/>
        <v>0</v>
      </c>
      <c r="H45" s="2183"/>
      <c r="I45" s="1638"/>
      <c r="J45" s="2183"/>
      <c r="K45" s="1638"/>
      <c r="L45" s="2183"/>
      <c r="M45" s="1638"/>
      <c r="N45" s="2183"/>
      <c r="O45" s="1638"/>
      <c r="P45" s="2183"/>
      <c r="Q45" s="1638"/>
      <c r="R45" s="2183"/>
      <c r="S45" s="1638"/>
    </row>
    <row r="46" spans="1:19">
      <c r="A46" s="2185"/>
      <c r="B46" s="2199" t="s">
        <v>4902</v>
      </c>
      <c r="C46" s="2049"/>
      <c r="D46" s="2171"/>
      <c r="E46" s="2051"/>
      <c r="F46" s="2052"/>
      <c r="G46" s="662">
        <f t="shared" si="9"/>
        <v>0</v>
      </c>
      <c r="H46" s="2183"/>
      <c r="I46" s="2200">
        <f>SUM(I24:I45)*U66</f>
        <v>14631.281015723689</v>
      </c>
      <c r="J46" s="2183"/>
      <c r="K46" s="1638"/>
      <c r="L46" s="2183"/>
      <c r="M46" s="1638"/>
      <c r="N46" s="2183"/>
      <c r="O46" s="1638"/>
      <c r="P46" s="2183"/>
      <c r="Q46" s="1638"/>
      <c r="R46" s="2183"/>
      <c r="S46" s="1638"/>
    </row>
    <row r="47" spans="1:19">
      <c r="A47" s="2185"/>
      <c r="B47" s="2199"/>
      <c r="C47" s="2049"/>
      <c r="D47" s="2171"/>
      <c r="E47" s="2051"/>
      <c r="F47" s="2052"/>
      <c r="G47" s="662">
        <f t="shared" si="9"/>
        <v>0</v>
      </c>
      <c r="H47" s="2183"/>
      <c r="I47" s="2200"/>
      <c r="J47" s="2183"/>
      <c r="K47" s="1638"/>
      <c r="L47" s="2183"/>
      <c r="M47" s="1638"/>
      <c r="N47" s="2183"/>
      <c r="O47" s="1638"/>
      <c r="P47" s="2183"/>
      <c r="Q47" s="1638"/>
      <c r="R47" s="2183"/>
      <c r="S47" s="1638"/>
    </row>
    <row r="48" spans="1:19">
      <c r="A48" s="2185"/>
      <c r="B48" s="2199" t="s">
        <v>4903</v>
      </c>
      <c r="C48" s="2049"/>
      <c r="D48" s="2171">
        <f>242+71+43+187+128</f>
        <v>671</v>
      </c>
      <c r="E48" s="2051" t="s">
        <v>2864</v>
      </c>
      <c r="F48" s="2052">
        <v>15</v>
      </c>
      <c r="G48" s="662">
        <f t="shared" si="9"/>
        <v>10065</v>
      </c>
      <c r="H48" s="2183"/>
      <c r="I48" s="2201">
        <f>$G48</f>
        <v>10065</v>
      </c>
      <c r="J48" s="2183"/>
      <c r="K48" s="2201">
        <f>$G48</f>
        <v>10065</v>
      </c>
      <c r="L48" s="2183"/>
      <c r="M48" s="1638"/>
      <c r="N48" s="2183"/>
      <c r="O48" s="1638"/>
      <c r="P48" s="2183"/>
      <c r="Q48" s="1638"/>
      <c r="R48" s="2183"/>
      <c r="S48" s="1638"/>
    </row>
    <row r="49" spans="1:19">
      <c r="A49" s="2185"/>
      <c r="B49" s="2194"/>
      <c r="C49" s="2049"/>
      <c r="D49" s="2171"/>
      <c r="E49" s="2051"/>
      <c r="F49" s="2052"/>
      <c r="G49" s="662">
        <f t="shared" si="6"/>
        <v>0</v>
      </c>
      <c r="H49" s="2183"/>
      <c r="I49" s="1638"/>
      <c r="J49" s="2183"/>
      <c r="K49" s="1638"/>
      <c r="L49" s="2183"/>
      <c r="M49" s="1638"/>
      <c r="N49" s="2183"/>
      <c r="O49" s="1638"/>
      <c r="P49" s="2183"/>
      <c r="Q49" s="1638"/>
      <c r="R49" s="2183"/>
      <c r="S49" s="1638"/>
    </row>
    <row r="50" spans="1:19">
      <c r="A50" s="2185"/>
      <c r="B50" s="2202" t="s">
        <v>3235</v>
      </c>
      <c r="C50" s="2049"/>
      <c r="D50" s="2171"/>
      <c r="E50" s="2051"/>
      <c r="F50" s="2052"/>
      <c r="G50" s="662">
        <f t="shared" si="6"/>
        <v>0</v>
      </c>
      <c r="H50" s="2183"/>
      <c r="I50" s="1729">
        <f>SUBTOTAL(9,I51:I58)</f>
        <v>61218.13794965647</v>
      </c>
      <c r="J50" s="2183"/>
      <c r="K50" s="1729">
        <f>SUBTOTAL(9,K51:K58)</f>
        <v>41309</v>
      </c>
      <c r="L50" s="2183"/>
      <c r="M50" s="1729">
        <f>SUBTOTAL(9,M51:M58)</f>
        <v>0</v>
      </c>
      <c r="N50" s="2183"/>
      <c r="O50" s="1729">
        <f>SUBTOTAL(9,O51:O58)</f>
        <v>0</v>
      </c>
      <c r="P50" s="2183"/>
      <c r="Q50" s="1729">
        <f>SUBTOTAL(9,Q51:Q58)</f>
        <v>0</v>
      </c>
      <c r="R50" s="2183"/>
      <c r="S50" s="1729">
        <f>SUBTOTAL(9,S51:S58)</f>
        <v>0</v>
      </c>
    </row>
    <row r="51" spans="1:19">
      <c r="A51" s="2185"/>
      <c r="B51" s="2194" t="s">
        <v>4890</v>
      </c>
      <c r="C51" s="2049"/>
      <c r="D51" s="2171"/>
      <c r="E51" s="2051"/>
      <c r="F51" s="2052"/>
      <c r="G51" s="662">
        <f t="shared" si="6"/>
        <v>0</v>
      </c>
      <c r="H51" s="2183"/>
      <c r="I51" s="1638">
        <v>52619.6</v>
      </c>
      <c r="J51" s="2183"/>
      <c r="K51" s="1638">
        <v>35969</v>
      </c>
      <c r="L51" s="2183"/>
      <c r="M51" s="1638"/>
      <c r="N51" s="2183"/>
      <c r="O51" s="1638"/>
      <c r="P51" s="2183"/>
      <c r="Q51" s="1638"/>
      <c r="R51" s="2183"/>
      <c r="S51" s="1638"/>
    </row>
    <row r="52" spans="1:19">
      <c r="A52" s="2185"/>
      <c r="B52" s="2197" t="s">
        <v>4904</v>
      </c>
      <c r="C52" s="2049"/>
      <c r="D52" s="2171">
        <v>2420</v>
      </c>
      <c r="E52" s="2051" t="s">
        <v>2845</v>
      </c>
      <c r="F52" s="2052"/>
      <c r="G52" s="662">
        <f t="shared" si="6"/>
        <v>0</v>
      </c>
      <c r="H52" s="2183"/>
      <c r="I52" s="1634"/>
      <c r="J52" s="2183"/>
      <c r="K52" s="1634"/>
      <c r="L52" s="2183"/>
      <c r="M52" s="1634"/>
      <c r="N52" s="2183"/>
      <c r="O52" s="1634"/>
      <c r="P52" s="2183"/>
      <c r="Q52" s="1634"/>
      <c r="R52" s="2183"/>
      <c r="S52" s="1634"/>
    </row>
    <row r="53" spans="1:19">
      <c r="A53" s="2185"/>
      <c r="B53" s="2197" t="s">
        <v>4893</v>
      </c>
      <c r="C53" s="2049"/>
      <c r="D53" s="2171">
        <v>9</v>
      </c>
      <c r="E53" s="2051" t="s">
        <v>2803</v>
      </c>
      <c r="F53" s="2052"/>
      <c r="G53" s="662">
        <f t="shared" si="6"/>
        <v>0</v>
      </c>
      <c r="H53" s="2183"/>
      <c r="I53" s="1634"/>
      <c r="J53" s="2183"/>
      <c r="K53" s="1634"/>
      <c r="L53" s="2183"/>
      <c r="M53" s="1634"/>
      <c r="N53" s="2183"/>
      <c r="O53" s="1634"/>
      <c r="P53" s="2183"/>
      <c r="Q53" s="1634"/>
      <c r="R53" s="2183"/>
      <c r="S53" s="1634"/>
    </row>
    <row r="54" spans="1:19">
      <c r="A54" s="2185"/>
      <c r="B54" s="2197"/>
      <c r="C54" s="2049"/>
      <c r="D54" s="2171">
        <f>D52/11.33</f>
        <v>213.59223300970874</v>
      </c>
      <c r="E54" s="2051" t="s">
        <v>2845</v>
      </c>
      <c r="F54" s="2052"/>
      <c r="G54" s="662"/>
      <c r="H54" s="2183"/>
      <c r="I54" s="1634"/>
      <c r="J54" s="2183"/>
      <c r="K54" s="1634"/>
      <c r="L54" s="2183"/>
      <c r="M54" s="1634"/>
      <c r="N54" s="2183"/>
      <c r="O54" s="1634"/>
      <c r="P54" s="2183"/>
      <c r="Q54" s="1634"/>
      <c r="R54" s="2183"/>
      <c r="S54" s="1634"/>
    </row>
    <row r="55" spans="1:19">
      <c r="A55" s="2185"/>
      <c r="B55" s="2199" t="s">
        <v>4902</v>
      </c>
      <c r="C55" s="2049"/>
      <c r="D55" s="2171"/>
      <c r="E55" s="2051"/>
      <c r="F55" s="2052"/>
      <c r="G55" s="662"/>
      <c r="H55" s="2183"/>
      <c r="I55" s="1634">
        <f>SUM(I51:I54)*U66</f>
        <v>3258.5379496564688</v>
      </c>
      <c r="J55" s="2183"/>
      <c r="K55" s="1634"/>
      <c r="L55" s="2183"/>
      <c r="M55" s="1634"/>
      <c r="N55" s="2183"/>
      <c r="O55" s="1634"/>
      <c r="P55" s="2183"/>
      <c r="Q55" s="1634"/>
      <c r="R55" s="2183"/>
      <c r="S55" s="1634"/>
    </row>
    <row r="56" spans="1:19">
      <c r="A56" s="2185"/>
      <c r="B56" s="2194"/>
      <c r="C56" s="2049"/>
      <c r="D56" s="2171"/>
      <c r="E56" s="2051"/>
      <c r="F56" s="2052"/>
      <c r="G56" s="662">
        <f t="shared" si="6"/>
        <v>0</v>
      </c>
      <c r="H56" s="2183"/>
      <c r="I56" s="1634"/>
      <c r="J56" s="2183"/>
      <c r="K56" s="1634"/>
      <c r="L56" s="2183"/>
      <c r="M56" s="1634"/>
      <c r="N56" s="2183"/>
      <c r="O56" s="1634"/>
      <c r="P56" s="2183"/>
      <c r="Q56" s="1634"/>
      <c r="R56" s="2183"/>
      <c r="S56" s="1634"/>
    </row>
    <row r="57" spans="1:19">
      <c r="A57" s="2185"/>
      <c r="B57" s="2199" t="s">
        <v>4903</v>
      </c>
      <c r="C57" s="2049"/>
      <c r="D57" s="2171">
        <f>D52/11.33</f>
        <v>213.59223300970874</v>
      </c>
      <c r="E57" s="2051" t="s">
        <v>2864</v>
      </c>
      <c r="F57" s="2052">
        <v>25</v>
      </c>
      <c r="G57" s="662">
        <f t="shared" si="6"/>
        <v>5340</v>
      </c>
      <c r="H57" s="2183"/>
      <c r="I57" s="2201">
        <f>$G57</f>
        <v>5340</v>
      </c>
      <c r="J57" s="2183"/>
      <c r="K57" s="2201">
        <f>$G57</f>
        <v>5340</v>
      </c>
      <c r="L57" s="2183"/>
      <c r="M57" s="1638"/>
      <c r="N57" s="2183"/>
      <c r="O57" s="1638"/>
      <c r="P57" s="2183"/>
      <c r="Q57" s="1638"/>
      <c r="R57" s="2183"/>
      <c r="S57" s="1638"/>
    </row>
    <row r="58" spans="1:19">
      <c r="A58" s="2185"/>
      <c r="B58" s="2194"/>
      <c r="C58" s="2049"/>
      <c r="D58" s="2171"/>
      <c r="E58" s="2051"/>
      <c r="F58" s="2052"/>
      <c r="G58" s="662">
        <f t="shared" ref="G58" si="10">ROUND(D58*F58,0)</f>
        <v>0</v>
      </c>
      <c r="H58" s="2183"/>
      <c r="I58" s="1638"/>
      <c r="J58" s="2183"/>
      <c r="K58" s="1638"/>
      <c r="L58" s="2183"/>
      <c r="M58" s="1638"/>
      <c r="N58" s="2183"/>
      <c r="O58" s="1638"/>
      <c r="P58" s="2183"/>
      <c r="Q58" s="1638"/>
      <c r="R58" s="2183"/>
      <c r="S58" s="1638"/>
    </row>
    <row r="59" spans="1:19">
      <c r="A59" s="2185"/>
      <c r="B59" s="2202" t="s">
        <v>2697</v>
      </c>
      <c r="C59" s="2049"/>
      <c r="D59" s="2171"/>
      <c r="E59" s="2051"/>
      <c r="F59" s="2052"/>
      <c r="G59" s="662">
        <f t="shared" si="6"/>
        <v>0</v>
      </c>
      <c r="H59" s="2183"/>
      <c r="I59" s="1729">
        <f>SUBTOTAL(9,I60:I69)</f>
        <v>39820.514565702382</v>
      </c>
      <c r="J59" s="2183"/>
      <c r="K59" s="1729">
        <f>SUBTOTAL(9,K60:K69)</f>
        <v>36572</v>
      </c>
      <c r="L59" s="2183"/>
      <c r="M59" s="1729">
        <f>SUBTOTAL(9,M60:M69)</f>
        <v>0</v>
      </c>
      <c r="N59" s="2183"/>
      <c r="O59" s="1729">
        <f>SUBTOTAL(9,O60:O69)</f>
        <v>0</v>
      </c>
      <c r="P59" s="2183"/>
      <c r="Q59" s="1729">
        <f>SUBTOTAL(9,Q60:Q69)</f>
        <v>0</v>
      </c>
      <c r="R59" s="2183"/>
      <c r="S59" s="1729">
        <f>SUBTOTAL(9,S60:S69)</f>
        <v>0</v>
      </c>
    </row>
    <row r="60" spans="1:19">
      <c r="A60" s="2185"/>
      <c r="B60" s="2194" t="s">
        <v>4905</v>
      </c>
      <c r="C60" s="2049"/>
      <c r="D60" s="2171">
        <f>101.33+100.54</f>
        <v>201.87</v>
      </c>
      <c r="E60" s="2051" t="s">
        <v>2845</v>
      </c>
      <c r="F60" s="2052">
        <v>40</v>
      </c>
      <c r="G60" s="662">
        <f t="shared" ref="G60:G65" si="11">ROUND(D60*F60,0)</f>
        <v>8075</v>
      </c>
      <c r="H60" s="2183"/>
      <c r="I60" s="1638">
        <v>8497.6</v>
      </c>
      <c r="J60" s="2183"/>
      <c r="K60" s="1634">
        <v>7945</v>
      </c>
      <c r="L60" s="2183"/>
      <c r="M60" s="1634"/>
      <c r="N60" s="2183"/>
      <c r="O60" s="1634"/>
      <c r="P60" s="2183"/>
      <c r="Q60" s="1634"/>
      <c r="R60" s="2183"/>
      <c r="S60" s="1634"/>
    </row>
    <row r="61" spans="1:19">
      <c r="A61" s="2185"/>
      <c r="B61" s="2194" t="s">
        <v>4906</v>
      </c>
      <c r="C61" s="2049"/>
      <c r="D61" s="2171">
        <v>163.08000000000001</v>
      </c>
      <c r="E61" s="2051" t="s">
        <v>2845</v>
      </c>
      <c r="F61" s="2052">
        <v>40</v>
      </c>
      <c r="G61" s="662">
        <f t="shared" si="11"/>
        <v>6523</v>
      </c>
      <c r="H61" s="2183"/>
      <c r="I61" s="1638">
        <v>5152.3999999999996</v>
      </c>
      <c r="J61" s="2183"/>
      <c r="K61" s="1643">
        <f>$G61</f>
        <v>6523</v>
      </c>
      <c r="L61" s="2183"/>
      <c r="M61" s="1634"/>
      <c r="N61" s="2183"/>
      <c r="O61" s="1634"/>
      <c r="P61" s="2183"/>
      <c r="Q61" s="1634"/>
      <c r="R61" s="2183"/>
      <c r="S61" s="1634"/>
    </row>
    <row r="62" spans="1:19">
      <c r="A62" s="2185"/>
      <c r="B62" s="2194" t="s">
        <v>4907</v>
      </c>
      <c r="C62" s="2049"/>
      <c r="D62" s="2171">
        <v>166.25</v>
      </c>
      <c r="E62" s="2051" t="s">
        <v>2845</v>
      </c>
      <c r="F62" s="2052">
        <v>40</v>
      </c>
      <c r="G62" s="662">
        <f t="shared" si="11"/>
        <v>6650</v>
      </c>
      <c r="H62" s="2183"/>
      <c r="I62" s="1638">
        <v>5152.3999999999996</v>
      </c>
      <c r="J62" s="2183"/>
      <c r="K62" s="1634">
        <v>4618</v>
      </c>
      <c r="L62" s="2183"/>
      <c r="M62" s="1634"/>
      <c r="N62" s="2183"/>
      <c r="O62" s="1634"/>
      <c r="P62" s="2183"/>
      <c r="Q62" s="1634"/>
      <c r="R62" s="2183"/>
      <c r="S62" s="1634"/>
    </row>
    <row r="63" spans="1:19">
      <c r="A63" s="2185"/>
      <c r="B63" s="2194" t="s">
        <v>4908</v>
      </c>
      <c r="C63" s="2049"/>
      <c r="D63" s="2171">
        <v>101.33</v>
      </c>
      <c r="E63" s="2051" t="s">
        <v>2845</v>
      </c>
      <c r="F63" s="2052">
        <v>40</v>
      </c>
      <c r="G63" s="662">
        <f t="shared" si="11"/>
        <v>4053</v>
      </c>
      <c r="H63" s="2183"/>
      <c r="I63" s="1638">
        <v>4398</v>
      </c>
      <c r="J63" s="2183"/>
      <c r="K63" s="1634">
        <v>3614</v>
      </c>
      <c r="L63" s="2183"/>
      <c r="M63" s="1634"/>
      <c r="N63" s="2183"/>
      <c r="O63" s="1634"/>
      <c r="P63" s="2183"/>
      <c r="Q63" s="1634"/>
      <c r="R63" s="2183"/>
      <c r="S63" s="1634"/>
    </row>
    <row r="64" spans="1:19">
      <c r="A64" s="2185"/>
      <c r="B64" s="2194" t="s">
        <v>4909</v>
      </c>
      <c r="C64" s="2049"/>
      <c r="D64" s="2171">
        <f>84.71+84.71+131.42</f>
        <v>300.83999999999997</v>
      </c>
      <c r="E64" s="2051" t="s">
        <v>2845</v>
      </c>
      <c r="F64" s="2052">
        <v>40</v>
      </c>
      <c r="G64" s="662">
        <f t="shared" si="11"/>
        <v>12034</v>
      </c>
      <c r="H64" s="2183"/>
      <c r="I64" s="1638">
        <v>11985.2</v>
      </c>
      <c r="J64" s="2183"/>
      <c r="K64" s="1634">
        <f>3614+4188+3614</f>
        <v>11416</v>
      </c>
      <c r="L64" s="2183"/>
      <c r="M64" s="1634"/>
      <c r="N64" s="2183"/>
      <c r="O64" s="1634"/>
      <c r="P64" s="2183"/>
      <c r="Q64" s="1634"/>
      <c r="R64" s="2183"/>
      <c r="S64" s="1634"/>
    </row>
    <row r="65" spans="1:21">
      <c r="A65" s="2185"/>
      <c r="B65" s="2194"/>
      <c r="C65" s="2049"/>
      <c r="D65" s="2171">
        <f>SUM(D60:D64)/9.5</f>
        <v>98.249473684210543</v>
      </c>
      <c r="E65" s="2051" t="s">
        <v>2864</v>
      </c>
      <c r="F65" s="2052"/>
      <c r="G65" s="662">
        <f t="shared" si="11"/>
        <v>0</v>
      </c>
      <c r="H65" s="2183"/>
      <c r="I65" s="1634"/>
      <c r="J65" s="2183"/>
      <c r="K65" s="1634"/>
      <c r="L65" s="2183"/>
      <c r="M65" s="1634"/>
      <c r="N65" s="2183"/>
      <c r="O65" s="1634"/>
      <c r="P65" s="2183"/>
      <c r="Q65" s="1634"/>
      <c r="R65" s="2183"/>
      <c r="S65" s="1634"/>
    </row>
    <row r="66" spans="1:21">
      <c r="A66" s="2185"/>
      <c r="B66" s="2194" t="s">
        <v>4902</v>
      </c>
      <c r="C66" s="2049"/>
      <c r="D66" s="2171"/>
      <c r="E66" s="2051"/>
      <c r="F66" s="2052"/>
      <c r="G66" s="662">
        <f t="shared" si="6"/>
        <v>0</v>
      </c>
      <c r="H66" s="2183"/>
      <c r="I66" s="1634">
        <f>SUM(I60:I65)*U66</f>
        <v>2178.9145657023746</v>
      </c>
      <c r="J66" s="2183"/>
      <c r="K66" s="1634"/>
      <c r="L66" s="2183"/>
      <c r="M66" s="1634"/>
      <c r="N66" s="2183"/>
      <c r="O66" s="1634"/>
      <c r="P66" s="2183"/>
      <c r="Q66" s="1634"/>
      <c r="R66" s="2183"/>
      <c r="S66" s="1634"/>
      <c r="U66" s="2203">
        <f>18942.17/305882.4</f>
        <v>6.1926315472874534E-2</v>
      </c>
    </row>
    <row r="67" spans="1:21">
      <c r="A67" s="2185"/>
      <c r="B67" s="2194"/>
      <c r="C67" s="2049"/>
      <c r="D67" s="2171"/>
      <c r="E67" s="2051"/>
      <c r="F67" s="2052"/>
      <c r="G67" s="662">
        <f t="shared" si="6"/>
        <v>0</v>
      </c>
      <c r="H67" s="2183"/>
      <c r="I67" s="1634"/>
      <c r="J67" s="2183"/>
      <c r="K67" s="1634"/>
      <c r="L67" s="2183"/>
      <c r="M67" s="1634"/>
      <c r="N67" s="2183"/>
      <c r="O67" s="1634"/>
      <c r="P67" s="2183"/>
      <c r="Q67" s="1634"/>
      <c r="R67" s="2183"/>
      <c r="S67" s="1634"/>
    </row>
    <row r="68" spans="1:21">
      <c r="A68" s="2185"/>
      <c r="B68" s="2199" t="s">
        <v>4903</v>
      </c>
      <c r="C68" s="2049"/>
      <c r="D68" s="2171">
        <f>SUM(D60:D64)/9.5</f>
        <v>98.249473684210543</v>
      </c>
      <c r="E68" s="2051" t="s">
        <v>2864</v>
      </c>
      <c r="F68" s="2052">
        <v>25</v>
      </c>
      <c r="G68" s="662">
        <f t="shared" ref="G68:G69" si="12">ROUND(D68*F68,0)</f>
        <v>2456</v>
      </c>
      <c r="H68" s="2183"/>
      <c r="I68" s="2201">
        <f>$G68</f>
        <v>2456</v>
      </c>
      <c r="J68" s="2183"/>
      <c r="K68" s="2201">
        <f>$G68</f>
        <v>2456</v>
      </c>
      <c r="L68" s="2183"/>
      <c r="M68" s="1638"/>
      <c r="N68" s="2183"/>
      <c r="O68" s="1638"/>
      <c r="P68" s="2183"/>
      <c r="Q68" s="1638"/>
      <c r="R68" s="2183"/>
      <c r="S68" s="1638"/>
    </row>
    <row r="69" spans="1:21">
      <c r="A69" s="2185"/>
      <c r="B69" s="2194"/>
      <c r="C69" s="2049"/>
      <c r="D69" s="2171"/>
      <c r="E69" s="2051"/>
      <c r="F69" s="2052"/>
      <c r="G69" s="662">
        <f t="shared" si="12"/>
        <v>0</v>
      </c>
      <c r="H69" s="2183"/>
      <c r="I69" s="1638"/>
      <c r="J69" s="2183"/>
      <c r="K69" s="1638"/>
      <c r="L69" s="2183"/>
      <c r="M69" s="1638"/>
      <c r="N69" s="2183"/>
      <c r="O69" s="1638"/>
      <c r="P69" s="2183"/>
      <c r="Q69" s="1638"/>
      <c r="R69" s="2183"/>
      <c r="S69" s="1638"/>
    </row>
    <row r="70" spans="1:21" ht="15.75" thickBot="1">
      <c r="A70" s="2185"/>
      <c r="B70" s="2204"/>
      <c r="C70" s="2205"/>
      <c r="D70" s="2206"/>
      <c r="E70" s="2051"/>
      <c r="F70" s="2207"/>
      <c r="G70" s="662"/>
      <c r="H70" s="2183"/>
      <c r="I70" s="1634"/>
      <c r="J70" s="2183"/>
      <c r="K70" s="1634"/>
      <c r="L70" s="2183"/>
      <c r="M70" s="1634"/>
      <c r="N70" s="2183"/>
      <c r="O70" s="1634"/>
      <c r="P70" s="2183"/>
      <c r="Q70" s="1634"/>
      <c r="R70" s="2183"/>
      <c r="S70" s="1634"/>
    </row>
    <row r="71" spans="1:21" ht="15.75" thickTop="1">
      <c r="A71" s="13"/>
      <c r="B71" s="226" t="s">
        <v>3265</v>
      </c>
      <c r="C71" s="15"/>
      <c r="D71" s="168"/>
      <c r="E71" s="176"/>
      <c r="F71" s="17"/>
      <c r="G71" s="227">
        <f>SUBTOTAL(9,G23:G70)</f>
        <v>73388</v>
      </c>
      <c r="H71" s="19"/>
      <c r="I71" s="225">
        <f>SUBTOTAL(9,I23:I70)</f>
        <v>362004.1335310826</v>
      </c>
      <c r="J71" s="19"/>
      <c r="K71" s="225">
        <f>SUBTOTAL(9,K23:K70)</f>
        <v>315738</v>
      </c>
      <c r="L71" s="19"/>
      <c r="M71" s="225">
        <f>SUBTOTAL(9,M23:M70)</f>
        <v>0</v>
      </c>
      <c r="N71" s="19"/>
      <c r="O71" s="225">
        <f>SUBTOTAL(9,O23:O70)</f>
        <v>0</v>
      </c>
      <c r="P71" s="19"/>
      <c r="Q71" s="225">
        <f>SUBTOTAL(9,Q23:Q70)</f>
        <v>0</v>
      </c>
      <c r="R71" s="19"/>
      <c r="S71" s="225">
        <f>SUBTOTAL(9,S23:S70)</f>
        <v>0</v>
      </c>
    </row>
    <row r="72" spans="1:21">
      <c r="A72" s="2137"/>
      <c r="B72" s="2208" t="s">
        <v>2976</v>
      </c>
      <c r="C72" s="2138"/>
      <c r="D72" s="2209"/>
      <c r="E72" s="2210"/>
      <c r="F72" s="2140"/>
      <c r="G72" s="654"/>
      <c r="H72" s="2141">
        <v>0</v>
      </c>
      <c r="I72" s="645"/>
      <c r="J72" s="2141">
        <v>0</v>
      </c>
      <c r="K72" s="645"/>
      <c r="L72" s="2141">
        <v>0</v>
      </c>
      <c r="M72" s="645"/>
      <c r="N72" s="2141">
        <v>0</v>
      </c>
      <c r="O72" s="645"/>
      <c r="P72" s="2141">
        <v>0</v>
      </c>
      <c r="Q72" s="645"/>
      <c r="R72" s="2141">
        <v>0</v>
      </c>
      <c r="S72" s="645"/>
    </row>
    <row r="73" spans="1:21">
      <c r="A73" s="2137"/>
      <c r="B73" s="2208" t="s">
        <v>2977</v>
      </c>
      <c r="C73" s="2138"/>
      <c r="D73" s="2209"/>
      <c r="E73" s="2210"/>
      <c r="F73" s="2140"/>
      <c r="G73" s="654">
        <f>F72*G71</f>
        <v>0</v>
      </c>
      <c r="H73" s="2143"/>
      <c r="I73" s="2211">
        <f>H72*I71</f>
        <v>0</v>
      </c>
      <c r="J73" s="2143"/>
      <c r="K73" s="2211">
        <f>J72*K71</f>
        <v>0</v>
      </c>
      <c r="L73" s="2143"/>
      <c r="M73" s="2211">
        <f>L72*M71</f>
        <v>0</v>
      </c>
      <c r="N73" s="2143"/>
      <c r="O73" s="2211">
        <f>N72*O71</f>
        <v>0</v>
      </c>
      <c r="P73" s="2143"/>
      <c r="Q73" s="2211">
        <f>P72*Q71</f>
        <v>0</v>
      </c>
      <c r="R73" s="2143"/>
      <c r="S73" s="2211">
        <f>R72*S71</f>
        <v>0</v>
      </c>
    </row>
    <row r="74" spans="1:21">
      <c r="A74" s="2137"/>
      <c r="B74" s="2208"/>
      <c r="C74" s="2138"/>
      <c r="D74" s="2209"/>
      <c r="E74" s="2210"/>
      <c r="F74" s="2140"/>
      <c r="G74" s="654"/>
      <c r="H74" s="2143"/>
      <c r="I74" s="2211"/>
      <c r="J74" s="2143"/>
      <c r="K74" s="2211"/>
      <c r="L74" s="2143"/>
      <c r="M74" s="2211"/>
      <c r="N74" s="2143"/>
      <c r="O74" s="2211"/>
      <c r="P74" s="2143"/>
      <c r="Q74" s="2211"/>
      <c r="R74" s="2143"/>
      <c r="S74" s="2211"/>
    </row>
    <row r="75" spans="1:21">
      <c r="A75" s="2137"/>
      <c r="B75" s="2208" t="s">
        <v>2978</v>
      </c>
      <c r="C75" s="2138"/>
      <c r="D75" s="2209"/>
      <c r="E75" s="2210"/>
      <c r="F75" s="2140"/>
      <c r="G75" s="654">
        <f>SUM(G71:G73)</f>
        <v>73388</v>
      </c>
      <c r="H75" s="2145"/>
      <c r="I75" s="2211">
        <f>SUM(I71:I73)</f>
        <v>362004.1335310826</v>
      </c>
      <c r="J75" s="2145"/>
      <c r="K75" s="2211">
        <f>SUM(K71:K73)</f>
        <v>315738</v>
      </c>
      <c r="L75" s="2145"/>
      <c r="M75" s="2211">
        <f>SUM(M71:M73)</f>
        <v>0</v>
      </c>
      <c r="N75" s="2145"/>
      <c r="O75" s="2211">
        <f>SUM(O71:O73)</f>
        <v>0</v>
      </c>
      <c r="P75" s="2145"/>
      <c r="Q75" s="2211">
        <f>SUM(Q71:Q73)</f>
        <v>0</v>
      </c>
      <c r="R75" s="2145"/>
      <c r="S75" s="2211">
        <f>SUM(S71:S73)</f>
        <v>0</v>
      </c>
    </row>
    <row r="76" spans="1:21">
      <c r="A76" s="2137"/>
      <c r="B76" s="2077" t="s">
        <v>2979</v>
      </c>
      <c r="C76" s="2138"/>
      <c r="D76" s="2209"/>
      <c r="E76" s="2210"/>
      <c r="F76" s="2077"/>
      <c r="G76" s="655">
        <f>G75/'Area Calculations'!$F$5</f>
        <v>0.82763442800433051</v>
      </c>
      <c r="H76" s="2147"/>
      <c r="I76" s="2212">
        <f>I75/'Area Calculations'!$F$5</f>
        <v>4.0825078213086723</v>
      </c>
      <c r="J76" s="2147"/>
      <c r="K76" s="2212">
        <f>K75/'Area Calculations'!$F$5</f>
        <v>3.5607407073258752</v>
      </c>
      <c r="L76" s="2147"/>
      <c r="M76" s="2212">
        <f>M75/'Area Calculations'!$F$5</f>
        <v>0</v>
      </c>
      <c r="N76" s="2147"/>
      <c r="O76" s="2212">
        <f>O75/'Area Calculations'!$F$5</f>
        <v>0</v>
      </c>
      <c r="P76" s="2147"/>
      <c r="Q76" s="2212">
        <f>Q75/'Area Calculations'!$F$5</f>
        <v>0</v>
      </c>
      <c r="R76" s="2148"/>
      <c r="S76" s="2212">
        <f>S75/'Area Calculations'!$F$5</f>
        <v>0</v>
      </c>
    </row>
    <row r="77" spans="1:21">
      <c r="A77" s="2137"/>
      <c r="B77" s="2081"/>
      <c r="C77" s="2138"/>
      <c r="D77" s="2209"/>
      <c r="E77" s="2210"/>
      <c r="F77" s="2140"/>
      <c r="G77" s="656"/>
      <c r="H77" s="2151"/>
      <c r="I77" s="2151"/>
      <c r="J77" s="2151"/>
      <c r="K77" s="2213"/>
      <c r="L77" s="2151"/>
      <c r="M77" s="2151"/>
      <c r="N77" s="2151"/>
      <c r="O77" s="2151"/>
      <c r="P77" s="2151"/>
      <c r="Q77" s="2151"/>
      <c r="R77" s="2151"/>
      <c r="S77" s="2151"/>
    </row>
    <row r="78" spans="1:21" ht="16.5" hidden="1" thickTop="1" thickBot="1">
      <c r="A78" s="830" t="s">
        <v>2980</v>
      </c>
      <c r="B78" s="831"/>
      <c r="C78" s="12"/>
      <c r="D78" s="169"/>
      <c r="E78" s="177"/>
      <c r="F78" s="12"/>
      <c r="G78" s="228"/>
      <c r="H78" s="20"/>
      <c r="I78" s="20"/>
      <c r="J78" s="20"/>
      <c r="K78" s="20"/>
      <c r="L78" s="20"/>
      <c r="M78" s="20"/>
      <c r="N78" s="20"/>
      <c r="O78" s="20"/>
      <c r="P78" s="20"/>
      <c r="Q78" s="20"/>
      <c r="R78" s="20"/>
      <c r="S78" s="20"/>
    </row>
    <row r="79" spans="1:21" ht="15.75" hidden="1" thickTop="1">
      <c r="A79" s="2152"/>
      <c r="B79" s="2106"/>
      <c r="C79" s="2153"/>
      <c r="D79" s="2214"/>
      <c r="E79" s="2215"/>
      <c r="F79" s="2153"/>
      <c r="G79" s="2216"/>
      <c r="H79" s="2156"/>
      <c r="I79" s="2156"/>
      <c r="J79" s="2156"/>
      <c r="K79" s="2156"/>
      <c r="L79" s="2156"/>
      <c r="M79" s="2156"/>
      <c r="N79" s="2156"/>
      <c r="O79" s="2156"/>
      <c r="P79" s="2156"/>
      <c r="Q79" s="2156"/>
      <c r="R79" s="2156"/>
      <c r="S79" s="2156"/>
    </row>
    <row r="80" spans="1:21" hidden="1">
      <c r="A80" s="2152"/>
      <c r="B80" s="2106"/>
      <c r="C80" s="2153"/>
      <c r="D80" s="2214"/>
      <c r="E80" s="2215"/>
      <c r="F80" s="2153"/>
      <c r="G80" s="2216"/>
      <c r="H80" s="2156"/>
      <c r="I80" s="2156"/>
      <c r="J80" s="2156"/>
      <c r="K80" s="2156"/>
      <c r="L80" s="2156"/>
      <c r="M80" s="2156"/>
      <c r="N80" s="2156"/>
      <c r="O80" s="2156"/>
      <c r="P80" s="2156"/>
      <c r="Q80" s="2156"/>
      <c r="R80" s="2156"/>
      <c r="S80" s="2156"/>
    </row>
    <row r="81" spans="1:34" ht="15.75" hidden="1" thickBot="1">
      <c r="A81" s="2152"/>
      <c r="B81" s="2106"/>
      <c r="C81" s="2153"/>
      <c r="D81" s="2214"/>
      <c r="E81" s="2215"/>
      <c r="F81" s="2153"/>
      <c r="G81" s="2216"/>
      <c r="H81" s="2156"/>
      <c r="I81" s="2156"/>
      <c r="J81" s="2156"/>
      <c r="K81" s="2156"/>
      <c r="L81" s="2156"/>
      <c r="M81" s="2156"/>
      <c r="N81" s="2156"/>
      <c r="O81" s="2156"/>
      <c r="P81" s="2156"/>
      <c r="Q81" s="2156"/>
      <c r="R81" s="2156"/>
      <c r="S81" s="2156"/>
    </row>
    <row r="82" spans="1:34" s="2" customFormat="1" ht="16.5" hidden="1" thickTop="1" thickBot="1">
      <c r="A82" s="830" t="s">
        <v>2981</v>
      </c>
      <c r="B82" s="831"/>
      <c r="C82" s="12"/>
      <c r="D82" s="169"/>
      <c r="E82" s="177"/>
      <c r="F82" s="12"/>
      <c r="G82" s="228"/>
      <c r="H82" s="20"/>
      <c r="I82" s="20"/>
      <c r="J82" s="20"/>
      <c r="K82" s="20"/>
      <c r="L82" s="20"/>
      <c r="M82" s="20"/>
      <c r="N82" s="20"/>
      <c r="O82" s="20"/>
      <c r="P82" s="20"/>
      <c r="Q82" s="20"/>
      <c r="R82" s="20"/>
      <c r="S82" s="20"/>
      <c r="T82"/>
      <c r="U82"/>
      <c r="V82"/>
      <c r="W82"/>
      <c r="X82"/>
      <c r="Y82"/>
      <c r="Z82"/>
      <c r="AA82"/>
      <c r="AB82"/>
      <c r="AC82"/>
      <c r="AD82"/>
      <c r="AE82"/>
      <c r="AF82"/>
      <c r="AG82"/>
      <c r="AH82"/>
    </row>
    <row r="83" spans="1:34" s="2" customFormat="1" ht="15.75" hidden="1" thickTop="1">
      <c r="A83" s="2152"/>
      <c r="B83" s="2106"/>
      <c r="C83" s="2153"/>
      <c r="D83" s="2214"/>
      <c r="E83" s="2215"/>
      <c r="F83" s="2153"/>
      <c r="G83" s="2216"/>
      <c r="H83" s="2156"/>
      <c r="I83" s="2156"/>
      <c r="J83" s="2156"/>
      <c r="K83" s="2156"/>
      <c r="L83" s="2156"/>
      <c r="M83" s="2156"/>
      <c r="N83" s="2156"/>
      <c r="O83" s="2156"/>
      <c r="P83" s="2156"/>
      <c r="Q83" s="2156"/>
      <c r="R83" s="2156"/>
      <c r="S83" s="2156"/>
      <c r="T83"/>
      <c r="U83"/>
      <c r="V83"/>
      <c r="W83"/>
      <c r="X83"/>
      <c r="Y83"/>
      <c r="Z83"/>
      <c r="AA83"/>
      <c r="AB83"/>
      <c r="AC83"/>
      <c r="AD83"/>
      <c r="AE83"/>
      <c r="AF83"/>
      <c r="AG83"/>
      <c r="AH83"/>
    </row>
    <row r="84" spans="1:34" s="2" customFormat="1" hidden="1">
      <c r="A84" s="2152"/>
      <c r="B84" s="2106"/>
      <c r="C84" s="2153"/>
      <c r="D84" s="2214"/>
      <c r="E84" s="2215"/>
      <c r="F84" s="2153"/>
      <c r="G84" s="2216"/>
      <c r="H84" s="2156"/>
      <c r="I84" s="2156"/>
      <c r="J84" s="2156"/>
      <c r="K84" s="2156"/>
      <c r="L84" s="2156"/>
      <c r="M84" s="2156"/>
      <c r="N84" s="2156"/>
      <c r="O84" s="2156"/>
      <c r="P84" s="2156"/>
      <c r="Q84" s="2156"/>
      <c r="R84" s="2156"/>
      <c r="S84" s="2156"/>
      <c r="T84"/>
      <c r="U84"/>
      <c r="V84"/>
      <c r="W84"/>
      <c r="X84"/>
      <c r="Y84"/>
      <c r="Z84"/>
      <c r="AA84"/>
      <c r="AB84"/>
      <c r="AC84"/>
      <c r="AD84"/>
      <c r="AE84"/>
      <c r="AF84"/>
      <c r="AG84"/>
      <c r="AH84"/>
    </row>
    <row r="85" spans="1:34" ht="15.75" hidden="1" thickBot="1">
      <c r="A85" s="2152"/>
      <c r="B85" s="2106"/>
      <c r="C85" s="2153"/>
      <c r="D85" s="2214"/>
      <c r="E85" s="2215"/>
      <c r="F85" s="2153"/>
      <c r="G85" s="2216"/>
      <c r="H85" s="2156"/>
      <c r="I85" s="2156"/>
      <c r="J85" s="2156"/>
      <c r="K85" s="2156"/>
      <c r="L85" s="2156"/>
      <c r="M85" s="2156"/>
      <c r="N85" s="2156"/>
      <c r="O85" s="2156"/>
      <c r="P85" s="2156"/>
      <c r="Q85" s="2156"/>
      <c r="R85" s="2156"/>
      <c r="S85" s="2156"/>
    </row>
    <row r="86" spans="1:34" s="2" customFormat="1" ht="16.5" hidden="1" thickTop="1" thickBot="1">
      <c r="A86" s="830" t="s">
        <v>2982</v>
      </c>
      <c r="B86" s="831"/>
      <c r="C86" s="12"/>
      <c r="D86" s="169"/>
      <c r="E86" s="177"/>
      <c r="F86" s="12"/>
      <c r="G86" s="228"/>
      <c r="H86" s="20"/>
      <c r="I86" s="20"/>
      <c r="J86" s="20"/>
      <c r="K86" s="20"/>
      <c r="L86" s="20"/>
      <c r="M86" s="20"/>
      <c r="N86" s="20"/>
      <c r="O86" s="20"/>
      <c r="P86" s="20"/>
      <c r="Q86" s="20"/>
      <c r="R86" s="20"/>
      <c r="S86" s="20"/>
      <c r="T86"/>
      <c r="U86"/>
      <c r="V86"/>
      <c r="W86"/>
      <c r="X86"/>
      <c r="Y86"/>
      <c r="Z86"/>
      <c r="AA86"/>
      <c r="AB86"/>
      <c r="AC86"/>
      <c r="AD86"/>
      <c r="AE86"/>
      <c r="AF86"/>
      <c r="AG86"/>
      <c r="AH86"/>
    </row>
    <row r="87" spans="1:34" s="2" customFormat="1" ht="15.75" hidden="1" thickTop="1">
      <c r="A87" s="2152"/>
      <c r="B87" s="2106"/>
      <c r="C87" s="2153"/>
      <c r="D87" s="2214"/>
      <c r="E87" s="2215"/>
      <c r="F87" s="2153"/>
      <c r="G87" s="2216"/>
      <c r="H87" s="2156"/>
      <c r="I87" s="2156"/>
      <c r="J87" s="2156"/>
      <c r="K87" s="2156"/>
      <c r="L87" s="2156"/>
      <c r="M87" s="2156"/>
      <c r="N87" s="2156"/>
      <c r="O87" s="2156"/>
      <c r="P87" s="2156"/>
      <c r="Q87" s="2156"/>
      <c r="R87" s="2156"/>
      <c r="S87" s="2156"/>
      <c r="T87"/>
      <c r="U87"/>
      <c r="V87"/>
      <c r="W87"/>
      <c r="X87"/>
      <c r="Y87"/>
      <c r="Z87"/>
      <c r="AA87"/>
      <c r="AB87"/>
      <c r="AC87"/>
      <c r="AD87"/>
      <c r="AE87"/>
      <c r="AF87"/>
      <c r="AG87"/>
      <c r="AH87"/>
    </row>
    <row r="88" spans="1:34" s="2" customFormat="1" hidden="1">
      <c r="A88" s="2085"/>
      <c r="B88" s="2106"/>
      <c r="C88" s="2049"/>
      <c r="D88" s="2171"/>
      <c r="E88" s="2051"/>
      <c r="F88" s="2049"/>
      <c r="G88" s="2086"/>
      <c r="H88" s="2158"/>
      <c r="I88" s="2158"/>
      <c r="J88" s="2158"/>
      <c r="K88" s="2158"/>
      <c r="L88" s="2158"/>
      <c r="M88" s="2158"/>
      <c r="N88" s="2158"/>
      <c r="O88" s="2158"/>
      <c r="P88" s="2158"/>
      <c r="Q88" s="2158"/>
      <c r="R88" s="2158"/>
      <c r="S88" s="2158"/>
      <c r="T88"/>
      <c r="U88"/>
      <c r="V88"/>
      <c r="W88"/>
      <c r="X88"/>
      <c r="Y88"/>
      <c r="Z88"/>
      <c r="AA88"/>
      <c r="AB88"/>
      <c r="AC88"/>
      <c r="AD88"/>
      <c r="AE88"/>
      <c r="AF88"/>
      <c r="AG88"/>
      <c r="AH88"/>
    </row>
    <row r="89" spans="1:34" s="2" customFormat="1" ht="15.75" hidden="1" thickBot="1">
      <c r="A89" s="2088"/>
      <c r="B89" s="2089"/>
      <c r="C89" s="2049"/>
      <c r="D89" s="2171"/>
      <c r="E89" s="2051"/>
      <c r="F89" s="2049"/>
      <c r="G89" s="2086"/>
      <c r="H89" s="2159"/>
      <c r="I89" s="2159"/>
      <c r="J89" s="2159"/>
      <c r="K89" s="2159"/>
      <c r="L89" s="2159"/>
      <c r="M89" s="2159"/>
      <c r="N89" s="2159"/>
      <c r="O89" s="2159"/>
      <c r="P89" s="2159"/>
      <c r="Q89" s="2159"/>
      <c r="R89" s="2159"/>
      <c r="S89" s="2159"/>
    </row>
    <row r="90" spans="1:34" s="2" customFormat="1" ht="16.5" hidden="1" thickTop="1" thickBot="1">
      <c r="A90" s="830" t="s">
        <v>2983</v>
      </c>
      <c r="B90" s="831"/>
      <c r="C90" s="12"/>
      <c r="D90" s="169"/>
      <c r="E90" s="177"/>
      <c r="F90" s="12"/>
      <c r="G90" s="228"/>
      <c r="H90" s="20"/>
      <c r="I90" s="20"/>
      <c r="J90" s="20"/>
      <c r="K90" s="20"/>
      <c r="L90" s="20"/>
      <c r="M90" s="20"/>
      <c r="N90" s="20"/>
      <c r="O90" s="20"/>
      <c r="P90" s="20"/>
      <c r="Q90" s="20"/>
      <c r="R90" s="20"/>
      <c r="S90" s="20"/>
      <c r="T90"/>
      <c r="U90"/>
      <c r="V90"/>
      <c r="W90"/>
      <c r="X90"/>
      <c r="Y90"/>
      <c r="Z90"/>
      <c r="AA90"/>
      <c r="AB90"/>
      <c r="AC90"/>
      <c r="AD90"/>
      <c r="AE90"/>
      <c r="AF90"/>
      <c r="AG90"/>
      <c r="AH90"/>
    </row>
    <row r="91" spans="1:34" ht="15.75" hidden="1" thickTop="1">
      <c r="A91" s="2160"/>
      <c r="B91" s="2161"/>
      <c r="C91" s="2153"/>
      <c r="D91" s="2214"/>
      <c r="E91" s="2215"/>
      <c r="F91" s="2153"/>
      <c r="G91" s="2216"/>
      <c r="H91" s="2156"/>
      <c r="I91" s="2156"/>
      <c r="J91" s="2156"/>
      <c r="K91" s="2156"/>
      <c r="L91" s="2156"/>
      <c r="M91" s="2156"/>
      <c r="N91" s="2156"/>
      <c r="O91" s="2156"/>
      <c r="P91" s="2156"/>
      <c r="Q91" s="2156"/>
      <c r="R91" s="2156"/>
      <c r="S91" s="2156"/>
      <c r="T91" s="2"/>
      <c r="U91" s="2"/>
      <c r="V91" s="2"/>
      <c r="W91" s="2"/>
      <c r="X91" s="2"/>
      <c r="Y91" s="2"/>
      <c r="Z91" s="2"/>
      <c r="AA91" s="2"/>
      <c r="AB91" s="2"/>
      <c r="AC91" s="2"/>
      <c r="AD91" s="2"/>
      <c r="AE91" s="2"/>
      <c r="AF91" s="2"/>
      <c r="AG91" s="2"/>
      <c r="AH91" s="2"/>
    </row>
    <row r="92" spans="1:34" hidden="1">
      <c r="A92" s="2088"/>
      <c r="B92" s="2089"/>
      <c r="C92" s="2049"/>
      <c r="D92" s="2171"/>
      <c r="E92" s="2051"/>
      <c r="F92" s="2049"/>
      <c r="G92" s="2086"/>
      <c r="H92" s="2162"/>
      <c r="I92" s="2162"/>
      <c r="J92" s="2162"/>
      <c r="K92" s="2162"/>
      <c r="L92" s="2162"/>
      <c r="M92" s="2162"/>
      <c r="N92" s="2162"/>
      <c r="O92" s="2162"/>
      <c r="P92" s="2162"/>
      <c r="Q92" s="2162"/>
      <c r="R92" s="2162"/>
      <c r="S92" s="2162"/>
      <c r="T92" s="2"/>
      <c r="U92" s="2"/>
      <c r="V92" s="2"/>
      <c r="W92" s="2"/>
      <c r="X92" s="2"/>
      <c r="Y92" s="2"/>
      <c r="Z92" s="2"/>
      <c r="AA92" s="2"/>
      <c r="AB92" s="2"/>
      <c r="AC92" s="2"/>
      <c r="AD92" s="2"/>
      <c r="AE92" s="2"/>
      <c r="AF92" s="2"/>
      <c r="AG92" s="2"/>
      <c r="AH92" s="2"/>
    </row>
    <row r="93" spans="1:34" ht="15.75" hidden="1" thickBot="1">
      <c r="A93" s="2088"/>
      <c r="B93" s="2089"/>
      <c r="C93" s="2049"/>
      <c r="D93" s="2171"/>
      <c r="E93" s="2051"/>
      <c r="F93" s="2049"/>
      <c r="G93" s="2086"/>
      <c r="H93" s="2162"/>
      <c r="I93" s="2162"/>
      <c r="J93" s="2162"/>
      <c r="K93" s="2162"/>
      <c r="L93" s="2162"/>
      <c r="M93" s="2162"/>
      <c r="N93" s="2162"/>
      <c r="O93" s="2162"/>
      <c r="P93" s="2162"/>
      <c r="Q93" s="2162"/>
      <c r="R93" s="2162"/>
      <c r="S93" s="2162"/>
      <c r="T93" s="2"/>
      <c r="U93" s="2"/>
      <c r="V93" s="2"/>
      <c r="W93" s="2"/>
      <c r="X93" s="2"/>
      <c r="Y93" s="2"/>
      <c r="Z93" s="2"/>
      <c r="AA93" s="2"/>
      <c r="AB93" s="2"/>
      <c r="AC93" s="2"/>
      <c r="AD93" s="2"/>
      <c r="AE93" s="2"/>
      <c r="AF93" s="2"/>
      <c r="AG93" s="2"/>
      <c r="AH93" s="2"/>
    </row>
    <row r="94" spans="1:34" ht="16.5" hidden="1" thickTop="1" thickBot="1">
      <c r="A94" s="830" t="s">
        <v>2984</v>
      </c>
      <c r="B94" s="831"/>
      <c r="C94" s="12"/>
      <c r="D94" s="169"/>
      <c r="E94" s="177"/>
      <c r="F94" s="12"/>
      <c r="G94" s="228"/>
      <c r="H94" s="20"/>
      <c r="I94" s="20"/>
      <c r="J94" s="20"/>
      <c r="K94" s="20"/>
      <c r="L94" s="20"/>
      <c r="M94" s="20"/>
      <c r="N94" s="20"/>
      <c r="O94" s="20"/>
      <c r="P94" s="20"/>
      <c r="Q94" s="20"/>
      <c r="R94" s="20"/>
      <c r="S94" s="20"/>
    </row>
    <row r="95" spans="1:34" ht="15.75" hidden="1" thickTop="1">
      <c r="A95" s="2085"/>
      <c r="B95" s="2106" t="s">
        <v>2985</v>
      </c>
      <c r="C95" s="2049"/>
      <c r="D95" s="2171"/>
      <c r="E95" s="2051"/>
      <c r="F95" s="2049"/>
      <c r="G95" s="2086"/>
      <c r="H95" s="2162"/>
      <c r="I95" s="2162"/>
      <c r="J95" s="2162"/>
      <c r="K95" s="2162"/>
      <c r="L95" s="2162"/>
      <c r="M95" s="2162"/>
      <c r="N95" s="2162"/>
      <c r="O95" s="2162"/>
      <c r="P95" s="2162"/>
      <c r="Q95" s="2162"/>
      <c r="R95" s="2162"/>
      <c r="S95" s="2162"/>
    </row>
    <row r="96" spans="1:34" hidden="1">
      <c r="A96" s="2085"/>
      <c r="B96" s="2106" t="s">
        <v>2986</v>
      </c>
      <c r="C96" s="2049"/>
      <c r="D96" s="2171"/>
      <c r="E96" s="2051"/>
      <c r="F96" s="2049"/>
      <c r="G96" s="2086"/>
      <c r="H96" s="2162"/>
      <c r="I96" s="2162"/>
      <c r="J96" s="2162"/>
      <c r="K96" s="2162"/>
      <c r="L96" s="2162"/>
      <c r="M96" s="2162"/>
      <c r="N96" s="2162"/>
      <c r="O96" s="2162"/>
      <c r="P96" s="2162"/>
      <c r="Q96" s="2162"/>
      <c r="R96" s="2162"/>
      <c r="S96" s="2162"/>
    </row>
    <row r="97" spans="1:19" hidden="1">
      <c r="A97" s="2085"/>
      <c r="B97" s="2106" t="s">
        <v>2987</v>
      </c>
      <c r="C97" s="2049"/>
      <c r="D97" s="2171"/>
      <c r="E97" s="2051"/>
      <c r="F97" s="2049"/>
      <c r="G97" s="2086"/>
      <c r="H97" s="2162"/>
      <c r="I97" s="2162"/>
      <c r="J97" s="2162"/>
      <c r="K97" s="2162"/>
      <c r="L97" s="2162"/>
      <c r="M97" s="2162"/>
      <c r="N97" s="2162"/>
      <c r="O97" s="2162"/>
      <c r="P97" s="2162"/>
      <c r="Q97" s="2162"/>
      <c r="R97" s="2162"/>
      <c r="S97" s="2162"/>
    </row>
    <row r="98" spans="1:19" hidden="1">
      <c r="A98" s="2085"/>
      <c r="B98" s="2106" t="s">
        <v>2988</v>
      </c>
      <c r="C98" s="2049"/>
      <c r="D98" s="2171"/>
      <c r="E98" s="2051"/>
      <c r="F98" s="2049"/>
      <c r="G98" s="2086"/>
      <c r="H98" s="2162"/>
      <c r="I98" s="2162"/>
      <c r="J98" s="2162"/>
      <c r="K98" s="2162"/>
      <c r="L98" s="2162"/>
      <c r="M98" s="2162"/>
      <c r="N98" s="2162"/>
      <c r="O98" s="2162"/>
      <c r="P98" s="2162"/>
      <c r="Q98" s="2162"/>
      <c r="R98" s="2162"/>
      <c r="S98" s="2162"/>
    </row>
    <row r="99" spans="1:19" ht="15.75" hidden="1" thickBot="1">
      <c r="A99" s="646"/>
      <c r="B99" s="619"/>
      <c r="C99" s="616"/>
      <c r="D99" s="621"/>
      <c r="E99" s="622"/>
      <c r="F99" s="616"/>
      <c r="G99" s="620"/>
      <c r="H99" s="647"/>
      <c r="I99" s="647"/>
      <c r="J99" s="647"/>
      <c r="K99" s="647"/>
      <c r="L99" s="647"/>
      <c r="M99" s="647"/>
      <c r="N99" s="647"/>
      <c r="O99" s="647"/>
      <c r="P99" s="647"/>
      <c r="Q99" s="647"/>
      <c r="R99" s="647"/>
      <c r="S99" s="647"/>
    </row>
    <row r="100" spans="1:19" ht="16.5" hidden="1" thickTop="1" thickBot="1">
      <c r="A100" s="7" t="s">
        <v>2989</v>
      </c>
      <c r="B100" s="8"/>
      <c r="C100" s="12"/>
      <c r="D100" s="169"/>
      <c r="E100" s="177"/>
      <c r="F100" s="12"/>
      <c r="G100" s="228"/>
      <c r="H100" s="20"/>
      <c r="I100" s="20"/>
      <c r="J100" s="20"/>
      <c r="K100" s="20"/>
      <c r="L100" s="20"/>
      <c r="M100" s="20"/>
      <c r="N100" s="20"/>
      <c r="O100" s="20"/>
      <c r="P100" s="20"/>
      <c r="Q100" s="20"/>
      <c r="R100" s="20"/>
      <c r="S100" s="20"/>
    </row>
    <row r="101" spans="1:19" ht="15.75" hidden="1" thickTop="1">
      <c r="A101" s="2152"/>
      <c r="B101" s="2163" t="s">
        <v>2990</v>
      </c>
      <c r="C101" s="2153"/>
      <c r="D101" s="2214"/>
      <c r="E101" s="2215"/>
      <c r="F101" s="2153"/>
      <c r="G101" s="2216"/>
      <c r="H101" s="2164"/>
      <c r="I101" s="2164"/>
      <c r="J101" s="2164"/>
      <c r="K101" s="2164"/>
      <c r="L101" s="2164"/>
      <c r="M101" s="2164"/>
      <c r="N101" s="2164"/>
      <c r="O101" s="2164"/>
      <c r="P101" s="2164"/>
      <c r="Q101" s="2164"/>
      <c r="R101" s="2164"/>
      <c r="S101" s="2164"/>
    </row>
    <row r="102" spans="1:19" hidden="1">
      <c r="A102" s="2085"/>
      <c r="B102" s="2106" t="s">
        <v>2991</v>
      </c>
      <c r="C102" s="2049"/>
      <c r="D102" s="2171"/>
      <c r="E102" s="2051"/>
      <c r="F102" s="2049"/>
      <c r="G102" s="2086"/>
      <c r="H102" s="2165"/>
      <c r="I102" s="2165"/>
      <c r="J102" s="2165"/>
      <c r="K102" s="2165"/>
      <c r="L102" s="2165"/>
      <c r="M102" s="2165"/>
      <c r="N102" s="2165"/>
      <c r="O102" s="2165"/>
      <c r="P102" s="2165"/>
      <c r="Q102" s="2165"/>
      <c r="R102" s="2165"/>
      <c r="S102" s="2165"/>
    </row>
    <row r="103" spans="1:19" ht="15.75" hidden="1" thickBot="1">
      <c r="A103" s="2093"/>
      <c r="B103" s="2166" t="s">
        <v>2992</v>
      </c>
      <c r="C103" s="2167"/>
      <c r="D103" s="2217"/>
      <c r="E103" s="2095"/>
      <c r="F103" s="2167"/>
      <c r="G103" s="2096"/>
      <c r="H103" s="2097"/>
      <c r="I103" s="2097"/>
      <c r="J103" s="2097"/>
      <c r="K103" s="2097"/>
      <c r="L103" s="2097"/>
      <c r="M103" s="2097"/>
      <c r="N103" s="2097"/>
      <c r="O103" s="2097"/>
      <c r="P103" s="2097"/>
      <c r="Q103" s="2097"/>
      <c r="R103" s="2097"/>
      <c r="S103" s="2097"/>
    </row>
    <row r="104" spans="1:19" ht="15.75" thickBot="1"/>
    <row r="105" spans="1:19" ht="16.5" thickTop="1" thickBot="1">
      <c r="A105" s="59" t="s">
        <v>2993</v>
      </c>
      <c r="B105" s="61" t="str">
        <f>J5</f>
        <v>American Screen Sol</v>
      </c>
    </row>
    <row r="106" spans="1:19" ht="15.75" thickTop="1">
      <c r="A106" s="60" t="s">
        <v>2936</v>
      </c>
      <c r="B106" s="2098"/>
    </row>
    <row r="107" spans="1:19">
      <c r="A107" s="2099" t="s">
        <v>2939</v>
      </c>
      <c r="B107" s="2098"/>
    </row>
    <row r="108" spans="1:19">
      <c r="A108" s="2100" t="s">
        <v>2941</v>
      </c>
      <c r="B108" s="2101"/>
    </row>
    <row r="109" spans="1:19">
      <c r="A109" s="2100" t="s">
        <v>2943</v>
      </c>
      <c r="B109" s="2102"/>
    </row>
    <row r="110" spans="1:19" ht="15.75" thickBot="1">
      <c r="A110" s="2103" t="s">
        <v>2994</v>
      </c>
      <c r="B110" s="2104">
        <f>$I$75</f>
        <v>362004.1335310826</v>
      </c>
    </row>
    <row r="111" spans="1:19" ht="15.75" thickTop="1"/>
    <row r="112" spans="1:19">
      <c r="A112" s="62"/>
      <c r="B112" s="1" t="s">
        <v>2995</v>
      </c>
    </row>
    <row r="113" spans="1:2">
      <c r="A113" s="63"/>
      <c r="B113" s="1" t="s">
        <v>2996</v>
      </c>
    </row>
  </sheetData>
  <mergeCells count="35">
    <mergeCell ref="A78:B78"/>
    <mergeCell ref="A82:B82"/>
    <mergeCell ref="A86:B86"/>
    <mergeCell ref="A90:B90"/>
    <mergeCell ref="A94:B94"/>
    <mergeCell ref="R9:S9"/>
    <mergeCell ref="J8:K8"/>
    <mergeCell ref="H8:I8"/>
    <mergeCell ref="L8:M8"/>
    <mergeCell ref="N8:O8"/>
    <mergeCell ref="P8:Q8"/>
    <mergeCell ref="R8:S8"/>
    <mergeCell ref="J9:K9"/>
    <mergeCell ref="H9:I9"/>
    <mergeCell ref="L9:M9"/>
    <mergeCell ref="N9:O9"/>
    <mergeCell ref="P9:Q9"/>
    <mergeCell ref="R7:S7"/>
    <mergeCell ref="J6:K6"/>
    <mergeCell ref="H6:I6"/>
    <mergeCell ref="L6:M6"/>
    <mergeCell ref="N6:O6"/>
    <mergeCell ref="P6:Q6"/>
    <mergeCell ref="R6:S6"/>
    <mergeCell ref="J7:K7"/>
    <mergeCell ref="H7:I7"/>
    <mergeCell ref="L7:M7"/>
    <mergeCell ref="N7:O7"/>
    <mergeCell ref="P7:Q7"/>
    <mergeCell ref="R5:S5"/>
    <mergeCell ref="J5:K5"/>
    <mergeCell ref="H5:I5"/>
    <mergeCell ref="L5:M5"/>
    <mergeCell ref="N5:O5"/>
    <mergeCell ref="P5:Q5"/>
  </mergeCells>
  <conditionalFormatting sqref="H11:H18 J11:J18 L11:L18 N11:N18 P11:P18 R11:R18 H20:H70 J20:J70 L20:L70 N20:N70 P20:P70 R20:R70">
    <cfRule type="cellIs" dxfId="253" priority="19" operator="equal">
      <formula>"X"</formula>
    </cfRule>
    <cfRule type="cellIs" dxfId="252" priority="20" operator="equal">
      <formula>"I"</formula>
    </cfRule>
  </conditionalFormatting>
  <hyperlinks>
    <hyperlink ref="B4" location="'Cost Summary'!A1" display="BACK TO SUMMARY SHEET" xr:uid="{E934E44F-BBF0-4B49-A554-0FBB75D2C4C2}"/>
    <hyperlink ref="J8" r:id="rId1" xr:uid="{90760CFA-F211-4EE2-9C8F-DDB8F4560523}"/>
    <hyperlink ref="H8" r:id="rId2" xr:uid="{778657CB-3B54-419E-A363-7BEA1948157F}"/>
  </hyperlinks>
  <pageMargins left="0.2" right="0.2" top="0.5" bottom="0.75" header="0.3" footer="0.3"/>
  <pageSetup paperSize="3" scale="78" fitToHeight="0" orientation="landscape" horizontalDpi="300" verticalDpi="300" r:id="rId3"/>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7229-6C3A-4A53-A52A-B4CB9A81C6D9}">
  <sheetPr>
    <tabColor rgb="FF00B050"/>
    <pageSetUpPr fitToPage="1"/>
  </sheetPr>
  <dimension ref="A1:AH93"/>
  <sheetViews>
    <sheetView zoomScale="90" zoomScaleNormal="90" workbookViewId="0">
      <pane ySplit="10" topLeftCell="A11" activePane="bottomLeft" state="frozen"/>
      <selection pane="bottomLeft" activeCell="J8" sqref="J8:K8"/>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4910</v>
      </c>
      <c r="I5" s="838"/>
      <c r="J5" s="837" t="s">
        <v>4911</v>
      </c>
      <c r="K5" s="838"/>
      <c r="L5" s="2218" t="s">
        <v>4912</v>
      </c>
      <c r="M5" s="2219"/>
      <c r="N5" s="837" t="s">
        <v>4913</v>
      </c>
      <c r="O5" s="838"/>
      <c r="P5" s="837" t="s">
        <v>4914</v>
      </c>
      <c r="Q5" s="838"/>
      <c r="R5" s="837" t="s">
        <v>4915</v>
      </c>
      <c r="S5" s="838"/>
    </row>
    <row r="6" spans="1:19">
      <c r="A6" s="2105" t="s">
        <v>2938</v>
      </c>
      <c r="B6" s="2106" t="s">
        <v>2568</v>
      </c>
      <c r="C6" s="2049"/>
      <c r="D6" s="2171"/>
      <c r="E6" s="2051"/>
      <c r="F6" s="2049"/>
      <c r="G6" s="657" t="s">
        <v>2939</v>
      </c>
      <c r="H6" s="2172" t="s">
        <v>4916</v>
      </c>
      <c r="I6" s="839"/>
      <c r="J6" s="2172" t="s">
        <v>4917</v>
      </c>
      <c r="K6" s="839"/>
      <c r="L6" s="2220" t="s">
        <v>4918</v>
      </c>
      <c r="M6" s="2221"/>
      <c r="N6" s="2172" t="s">
        <v>4919</v>
      </c>
      <c r="O6" s="839"/>
      <c r="P6" s="2172" t="s">
        <v>4920</v>
      </c>
      <c r="Q6" s="839"/>
      <c r="R6" s="2172" t="s">
        <v>4921</v>
      </c>
      <c r="S6" s="839"/>
    </row>
    <row r="7" spans="1:19">
      <c r="A7" s="2105" t="s">
        <v>4922</v>
      </c>
      <c r="B7" s="2108" t="s">
        <v>2712</v>
      </c>
      <c r="C7" s="2049"/>
      <c r="D7" s="2171"/>
      <c r="E7" s="2051"/>
      <c r="F7" s="2049"/>
      <c r="G7" s="2109" t="s">
        <v>2941</v>
      </c>
      <c r="H7" s="2173" t="s">
        <v>4923</v>
      </c>
      <c r="I7" s="840"/>
      <c r="J7" s="2173" t="s">
        <v>4924</v>
      </c>
      <c r="K7" s="840"/>
      <c r="L7" s="2222" t="s">
        <v>4925</v>
      </c>
      <c r="M7" s="2223"/>
      <c r="N7" s="2173" t="s">
        <v>4926</v>
      </c>
      <c r="O7" s="840"/>
      <c r="P7" s="2173" t="s">
        <v>4927</v>
      </c>
      <c r="Q7" s="840"/>
      <c r="R7" s="2173" t="s">
        <v>4928</v>
      </c>
      <c r="S7" s="840"/>
    </row>
    <row r="8" spans="1:19">
      <c r="A8" s="2105" t="s">
        <v>2942</v>
      </c>
      <c r="B8" s="2111"/>
      <c r="C8" s="2049"/>
      <c r="D8" s="2171"/>
      <c r="E8" s="2051"/>
      <c r="F8" s="2049"/>
      <c r="G8" s="2109" t="s">
        <v>2943</v>
      </c>
      <c r="H8" s="2174" t="s">
        <v>4929</v>
      </c>
      <c r="I8" s="836"/>
      <c r="J8" s="2174" t="s">
        <v>4930</v>
      </c>
      <c r="K8" s="836"/>
      <c r="L8" s="2224" t="s">
        <v>4931</v>
      </c>
      <c r="M8" s="958"/>
      <c r="N8" s="2174" t="s">
        <v>4932</v>
      </c>
      <c r="O8" s="836"/>
      <c r="P8" s="2174" t="s">
        <v>4933</v>
      </c>
      <c r="Q8" s="836"/>
      <c r="R8" s="2174" t="s">
        <v>4934</v>
      </c>
      <c r="S8" s="836"/>
    </row>
    <row r="9" spans="1:19" ht="15.75" thickBot="1">
      <c r="A9" s="2175"/>
      <c r="B9" s="2166"/>
      <c r="C9" s="616"/>
      <c r="D9" s="621"/>
      <c r="E9" s="622"/>
      <c r="F9" s="2167"/>
      <c r="G9" s="2176" t="s">
        <v>2944</v>
      </c>
      <c r="H9" s="2179">
        <f>I$55</f>
        <v>20237.39</v>
      </c>
      <c r="I9" s="2180"/>
      <c r="J9" s="2179">
        <f t="shared" ref="J9" si="0">K$55</f>
        <v>25009</v>
      </c>
      <c r="K9" s="2180"/>
      <c r="L9" s="2179">
        <f>M$55</f>
        <v>28500</v>
      </c>
      <c r="M9" s="2180"/>
      <c r="N9" s="2179">
        <f t="shared" ref="N9" si="1">O$55</f>
        <v>32940</v>
      </c>
      <c r="O9" s="2180"/>
      <c r="P9" s="2179">
        <f>Q$55</f>
        <v>13534</v>
      </c>
      <c r="Q9" s="2180"/>
      <c r="R9" s="2177">
        <f>S$55</f>
        <v>15500</v>
      </c>
      <c r="S9" s="217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181"/>
      <c r="B11" s="1618" t="s">
        <v>2953</v>
      </c>
      <c r="C11" s="659"/>
      <c r="D11" s="2171"/>
      <c r="E11" s="2051"/>
      <c r="F11" s="2049"/>
      <c r="G11" s="660"/>
      <c r="H11" s="2183"/>
      <c r="I11" s="1620"/>
      <c r="J11" s="2183"/>
      <c r="K11" s="1620"/>
      <c r="L11" s="2183"/>
      <c r="M11" s="1620"/>
      <c r="N11" s="2183"/>
      <c r="O11" s="1620"/>
      <c r="P11" s="2183"/>
      <c r="Q11" s="182"/>
      <c r="R11" s="2183"/>
      <c r="S11" s="1619"/>
    </row>
    <row r="12" spans="1:19">
      <c r="A12" s="2184"/>
      <c r="B12" s="1622" t="s">
        <v>2954</v>
      </c>
      <c r="C12" s="2049"/>
      <c r="D12" s="2171"/>
      <c r="E12" s="2051"/>
      <c r="F12" s="2049"/>
      <c r="G12" s="660"/>
      <c r="H12" s="2183"/>
      <c r="I12" s="1620"/>
      <c r="J12" s="2183"/>
      <c r="K12" s="1620"/>
      <c r="L12" s="2183"/>
      <c r="M12" s="1620"/>
      <c r="N12" s="2183"/>
      <c r="O12" s="1620"/>
      <c r="P12" s="2183"/>
      <c r="Q12" s="1620"/>
      <c r="R12" s="2183"/>
      <c r="S12" s="1619"/>
    </row>
    <row r="13" spans="1:19">
      <c r="A13" s="2185"/>
      <c r="B13" s="2186" t="s">
        <v>2955</v>
      </c>
      <c r="C13" s="2049"/>
      <c r="D13" s="2171"/>
      <c r="E13" s="2051"/>
      <c r="F13" s="2049"/>
      <c r="G13" s="660"/>
      <c r="H13" s="2183"/>
      <c r="I13" s="1620"/>
      <c r="J13" s="2183"/>
      <c r="K13" s="1620"/>
      <c r="L13" s="2183"/>
      <c r="M13" s="1620"/>
      <c r="N13" s="2183"/>
      <c r="O13" s="1620"/>
      <c r="P13" s="2183"/>
      <c r="Q13" s="1620"/>
      <c r="R13" s="2183"/>
      <c r="S13" s="1619"/>
    </row>
    <row r="14" spans="1:19">
      <c r="A14" s="2185"/>
      <c r="B14" s="2187" t="s">
        <v>2956</v>
      </c>
      <c r="C14" s="2049"/>
      <c r="D14" s="2171"/>
      <c r="E14" s="2051"/>
      <c r="F14" s="2049"/>
      <c r="G14" s="660"/>
      <c r="H14" s="2183"/>
      <c r="I14" s="1620"/>
      <c r="J14" s="2183"/>
      <c r="K14" s="1620"/>
      <c r="L14" s="2183"/>
      <c r="M14" s="1620"/>
      <c r="N14" s="2183"/>
      <c r="O14" s="1620"/>
      <c r="P14" s="2183"/>
      <c r="Q14" s="1620"/>
      <c r="R14" s="2183"/>
      <c r="S14" s="1619"/>
    </row>
    <row r="15" spans="1:19">
      <c r="A15" s="2185"/>
      <c r="B15" s="2187" t="s">
        <v>2957</v>
      </c>
      <c r="C15" s="2049"/>
      <c r="D15" s="2171"/>
      <c r="E15" s="2051"/>
      <c r="F15" s="2049"/>
      <c r="G15" s="660"/>
      <c r="H15" s="2183"/>
      <c r="I15" s="1619"/>
      <c r="J15" s="2183"/>
      <c r="K15" s="1619"/>
      <c r="L15" s="2183"/>
      <c r="M15" s="1619"/>
      <c r="N15" s="2183"/>
      <c r="O15" s="1619"/>
      <c r="P15" s="2183"/>
      <c r="Q15" s="1619"/>
      <c r="R15" s="2183"/>
      <c r="S15" s="1619"/>
    </row>
    <row r="16" spans="1:19">
      <c r="A16" s="2185"/>
      <c r="B16" s="2187" t="s">
        <v>2958</v>
      </c>
      <c r="C16" s="2049"/>
      <c r="D16" s="2171"/>
      <c r="E16" s="2051"/>
      <c r="F16" s="2049"/>
      <c r="G16" s="660"/>
      <c r="H16" s="2183"/>
      <c r="I16" s="1620"/>
      <c r="J16" s="2183"/>
      <c r="K16" s="1620"/>
      <c r="L16" s="2183"/>
      <c r="M16" s="1620"/>
      <c r="N16" s="2183"/>
      <c r="O16" s="1620"/>
      <c r="P16" s="2183"/>
      <c r="Q16" s="1620"/>
      <c r="R16" s="2183"/>
      <c r="S16" s="1619"/>
    </row>
    <row r="17" spans="1:19">
      <c r="A17" s="2185"/>
      <c r="B17" s="2187" t="s">
        <v>2959</v>
      </c>
      <c r="C17" s="2049"/>
      <c r="D17" s="2171"/>
      <c r="E17" s="2051"/>
      <c r="F17" s="2049"/>
      <c r="G17" s="660"/>
      <c r="H17" s="2183"/>
      <c r="I17" s="1620"/>
      <c r="J17" s="2183"/>
      <c r="K17" s="1620"/>
      <c r="L17" s="2183"/>
      <c r="M17" s="1620"/>
      <c r="N17" s="2183"/>
      <c r="O17" s="1620"/>
      <c r="P17" s="2183"/>
      <c r="Q17" s="1620"/>
      <c r="R17" s="2183"/>
      <c r="S17" s="1619"/>
    </row>
    <row r="18" spans="1:19">
      <c r="A18" s="2185"/>
      <c r="B18" s="2188" t="s">
        <v>2960</v>
      </c>
      <c r="C18" s="2049"/>
      <c r="D18" s="2171"/>
      <c r="E18" s="2051"/>
      <c r="F18" s="2049"/>
      <c r="G18" s="660"/>
      <c r="H18" s="2183"/>
      <c r="I18" s="1620"/>
      <c r="J18" s="2183"/>
      <c r="K18" s="1620"/>
      <c r="L18" s="2183"/>
      <c r="M18" s="1620"/>
      <c r="N18" s="2183"/>
      <c r="O18" s="1620"/>
      <c r="P18" s="2183"/>
      <c r="Q18" s="1620"/>
      <c r="R18" s="2183"/>
      <c r="S18" s="1619"/>
    </row>
    <row r="19" spans="1:19">
      <c r="A19" s="2185"/>
      <c r="B19" s="2189" t="s">
        <v>2961</v>
      </c>
      <c r="C19" s="2127"/>
      <c r="D19" s="2190"/>
      <c r="E19" s="2191"/>
      <c r="F19" s="2192"/>
      <c r="G19" s="661"/>
      <c r="H19" s="2193"/>
      <c r="I19" s="1630"/>
      <c r="J19" s="2193"/>
      <c r="K19" s="1630"/>
      <c r="L19" s="2193"/>
      <c r="M19" s="1630"/>
      <c r="N19" s="2193"/>
      <c r="O19" s="1630"/>
      <c r="P19" s="2193"/>
      <c r="Q19" s="1630"/>
      <c r="R19" s="2193"/>
      <c r="S19" s="1629"/>
    </row>
    <row r="20" spans="1:19">
      <c r="A20" s="2185"/>
      <c r="B20" s="2194"/>
      <c r="C20" s="2049"/>
      <c r="D20" s="2171"/>
      <c r="E20" s="2051"/>
      <c r="F20" s="2052"/>
      <c r="G20" s="660"/>
      <c r="H20" s="2183"/>
      <c r="I20" s="1633"/>
      <c r="J20" s="2183"/>
      <c r="K20" s="1633"/>
      <c r="L20" s="2183"/>
      <c r="M20" s="1633"/>
      <c r="N20" s="2183"/>
      <c r="O20" s="1633"/>
      <c r="P20" s="2183"/>
      <c r="Q20" s="1633" t="s">
        <v>4935</v>
      </c>
      <c r="R20" s="2183"/>
      <c r="S20" s="1633" t="s">
        <v>4935</v>
      </c>
    </row>
    <row r="21" spans="1:19">
      <c r="A21" s="2225"/>
      <c r="B21" s="2196" t="s">
        <v>2695</v>
      </c>
      <c r="C21" s="2049"/>
      <c r="D21" s="2171"/>
      <c r="E21" s="2051"/>
      <c r="F21" s="2052"/>
      <c r="G21" s="662"/>
      <c r="H21" s="2183"/>
      <c r="I21" s="1729">
        <f>SUBTOTAL(9,I22:I31)</f>
        <v>20237.39</v>
      </c>
      <c r="J21" s="2183"/>
      <c r="K21" s="1729">
        <f>SUBTOTAL(9,K22:K31)</f>
        <v>25009</v>
      </c>
      <c r="L21" s="2183"/>
      <c r="M21" s="1729">
        <f>SUBTOTAL(9,M22:M31)</f>
        <v>28500</v>
      </c>
      <c r="N21" s="2183"/>
      <c r="O21" s="1729">
        <f>SUBTOTAL(9,O22:O31)</f>
        <v>32940</v>
      </c>
      <c r="P21" s="2183"/>
      <c r="Q21" s="1729">
        <f>SUBTOTAL(9,Q22:Q31)</f>
        <v>13534</v>
      </c>
      <c r="R21" s="2183"/>
      <c r="S21" s="1729">
        <f>SUBTOTAL(9,S22:S31)</f>
        <v>15500</v>
      </c>
    </row>
    <row r="22" spans="1:19">
      <c r="A22" s="2185"/>
      <c r="B22" s="2194" t="s">
        <v>4936</v>
      </c>
      <c r="C22" s="2049"/>
      <c r="D22" s="2171">
        <v>1</v>
      </c>
      <c r="E22" s="2051" t="s">
        <v>2803</v>
      </c>
      <c r="F22" s="2052"/>
      <c r="G22" s="662">
        <f t="shared" ref="G22:G49" si="2">ROUND(D22*F22,0)</f>
        <v>0</v>
      </c>
      <c r="H22" s="2183"/>
      <c r="I22" s="1633">
        <v>20237.39</v>
      </c>
      <c r="J22" s="2183"/>
      <c r="K22" s="1633">
        <v>22309</v>
      </c>
      <c r="L22" s="2183"/>
      <c r="M22" s="1633">
        <v>28500</v>
      </c>
      <c r="N22" s="2183"/>
      <c r="O22" s="1633">
        <v>20323</v>
      </c>
      <c r="P22" s="2183"/>
      <c r="Q22" s="1634">
        <v>10915</v>
      </c>
      <c r="R22" s="2183"/>
      <c r="S22" s="1634">
        <v>15500</v>
      </c>
    </row>
    <row r="23" spans="1:19">
      <c r="A23" s="2185"/>
      <c r="B23" s="2197" t="s">
        <v>4937</v>
      </c>
      <c r="C23" s="2049"/>
      <c r="D23" s="2171"/>
      <c r="E23" s="2051"/>
      <c r="F23" s="2052"/>
      <c r="G23" s="662">
        <f t="shared" si="2"/>
        <v>0</v>
      </c>
      <c r="H23" s="2183" t="s">
        <v>2931</v>
      </c>
      <c r="I23" s="1633"/>
      <c r="J23" s="2183" t="s">
        <v>2931</v>
      </c>
      <c r="K23" s="1633"/>
      <c r="L23" s="2183" t="s">
        <v>2931</v>
      </c>
      <c r="M23" s="1633"/>
      <c r="N23" s="2183" t="s">
        <v>2931</v>
      </c>
      <c r="O23" s="1633"/>
      <c r="P23" s="2183" t="s">
        <v>2931</v>
      </c>
      <c r="Q23" s="1634"/>
      <c r="R23" s="2183" t="s">
        <v>2929</v>
      </c>
      <c r="S23" s="1643"/>
    </row>
    <row r="24" spans="1:19">
      <c r="A24" s="2185"/>
      <c r="B24" s="2197" t="s">
        <v>4938</v>
      </c>
      <c r="C24" s="2049"/>
      <c r="D24" s="2171"/>
      <c r="E24" s="2051"/>
      <c r="F24" s="2052"/>
      <c r="G24" s="662">
        <f t="shared" si="2"/>
        <v>0</v>
      </c>
      <c r="H24" s="2183" t="s">
        <v>2931</v>
      </c>
      <c r="I24" s="1633"/>
      <c r="J24" s="2183" t="s">
        <v>2929</v>
      </c>
      <c r="K24" s="1642"/>
      <c r="L24" s="2183"/>
      <c r="M24" s="1633"/>
      <c r="N24" s="2183" t="s">
        <v>2931</v>
      </c>
      <c r="O24" s="1633"/>
      <c r="P24" s="2183" t="s">
        <v>2931</v>
      </c>
      <c r="Q24" s="1634"/>
      <c r="R24" s="2183" t="s">
        <v>2931</v>
      </c>
      <c r="S24" s="1634"/>
    </row>
    <row r="25" spans="1:19">
      <c r="A25" s="2185"/>
      <c r="B25" s="2194" t="s">
        <v>4939</v>
      </c>
      <c r="C25" s="2049"/>
      <c r="D25" s="2171">
        <v>1</v>
      </c>
      <c r="E25" s="2051" t="s">
        <v>2803</v>
      </c>
      <c r="F25" s="2052">
        <v>2700</v>
      </c>
      <c r="G25" s="662">
        <f t="shared" si="2"/>
        <v>2700</v>
      </c>
      <c r="H25" s="2183" t="s">
        <v>2931</v>
      </c>
      <c r="I25" s="1633"/>
      <c r="J25" s="2183"/>
      <c r="K25" s="1643">
        <f>$G25</f>
        <v>2700</v>
      </c>
      <c r="L25" s="2183" t="s">
        <v>2931</v>
      </c>
      <c r="M25" s="1633"/>
      <c r="N25" s="2183"/>
      <c r="O25" s="1633">
        <v>12617</v>
      </c>
      <c r="P25" s="2183"/>
      <c r="Q25" s="1634">
        <f>13534-Q22</f>
        <v>2619</v>
      </c>
      <c r="R25" s="2183" t="s">
        <v>2931</v>
      </c>
      <c r="S25" s="1634"/>
    </row>
    <row r="26" spans="1:19">
      <c r="A26" s="2185"/>
      <c r="B26" s="2197" t="s">
        <v>4940</v>
      </c>
      <c r="C26" s="2049"/>
      <c r="D26" s="2171"/>
      <c r="E26" s="2051"/>
      <c r="F26" s="2052"/>
      <c r="G26" s="662">
        <f t="shared" si="2"/>
        <v>0</v>
      </c>
      <c r="H26" s="2183" t="s">
        <v>2931</v>
      </c>
      <c r="I26" s="1633"/>
      <c r="J26" s="2183" t="s">
        <v>2931</v>
      </c>
      <c r="K26" s="1633"/>
      <c r="L26" s="2183" t="s">
        <v>2931</v>
      </c>
      <c r="M26" s="1633"/>
      <c r="N26" s="2183" t="s">
        <v>2931</v>
      </c>
      <c r="O26" s="1633"/>
      <c r="P26" s="2183" t="s">
        <v>2931</v>
      </c>
      <c r="Q26" s="1634"/>
      <c r="R26" s="2183" t="s">
        <v>2931</v>
      </c>
      <c r="S26" s="1634"/>
    </row>
    <row r="27" spans="1:19">
      <c r="A27" s="2185"/>
      <c r="B27" s="2194"/>
      <c r="C27" s="2049"/>
      <c r="D27" s="2171"/>
      <c r="E27" s="2051"/>
      <c r="F27" s="2052"/>
      <c r="G27" s="662">
        <f t="shared" si="2"/>
        <v>0</v>
      </c>
      <c r="H27" s="2183"/>
      <c r="I27" s="1633"/>
      <c r="J27" s="2183"/>
      <c r="K27" s="1633"/>
      <c r="L27" s="2183"/>
      <c r="M27" s="1633"/>
      <c r="N27" s="2183"/>
      <c r="O27" s="1633"/>
      <c r="P27" s="2183"/>
      <c r="Q27" s="1634"/>
      <c r="R27" s="2183"/>
      <c r="S27" s="1634"/>
    </row>
    <row r="28" spans="1:19">
      <c r="A28" s="2185"/>
      <c r="B28" s="2194"/>
      <c r="C28" s="2049"/>
      <c r="D28" s="2171"/>
      <c r="E28" s="2051"/>
      <c r="F28" s="2052"/>
      <c r="G28" s="662">
        <f t="shared" si="2"/>
        <v>0</v>
      </c>
      <c r="H28" s="2183"/>
      <c r="I28" s="1633"/>
      <c r="J28" s="2183"/>
      <c r="K28" s="1633"/>
      <c r="L28" s="2183"/>
      <c r="M28" s="1633"/>
      <c r="N28" s="2183"/>
      <c r="O28" s="1633"/>
      <c r="P28" s="2183"/>
      <c r="Q28" s="1634"/>
      <c r="R28" s="2183"/>
      <c r="S28" s="1634"/>
    </row>
    <row r="29" spans="1:19">
      <c r="A29" s="2185"/>
      <c r="B29" s="2194"/>
      <c r="C29" s="2049"/>
      <c r="D29" s="2171"/>
      <c r="E29" s="2051"/>
      <c r="F29" s="2052"/>
      <c r="G29" s="662">
        <f t="shared" si="2"/>
        <v>0</v>
      </c>
      <c r="H29" s="2183"/>
      <c r="I29" s="1633"/>
      <c r="J29" s="2183"/>
      <c r="K29" s="1633"/>
      <c r="L29" s="2183"/>
      <c r="M29" s="1633"/>
      <c r="N29" s="2183"/>
      <c r="O29" s="1633"/>
      <c r="P29" s="2183"/>
      <c r="Q29" s="1634"/>
      <c r="R29" s="2183"/>
      <c r="S29" s="1634"/>
    </row>
    <row r="30" spans="1:19">
      <c r="A30" s="2185"/>
      <c r="B30" s="2194"/>
      <c r="C30" s="2049"/>
      <c r="D30" s="2171"/>
      <c r="E30" s="2051"/>
      <c r="F30" s="2052"/>
      <c r="G30" s="662">
        <f t="shared" si="2"/>
        <v>0</v>
      </c>
      <c r="H30" s="2183"/>
      <c r="I30" s="1633"/>
      <c r="J30" s="2183"/>
      <c r="K30" s="1633"/>
      <c r="L30" s="2183"/>
      <c r="M30" s="1633"/>
      <c r="N30" s="2183"/>
      <c r="O30" s="1633"/>
      <c r="P30" s="2183"/>
      <c r="Q30" s="1634"/>
      <c r="R30" s="2183"/>
      <c r="S30" s="1634"/>
    </row>
    <row r="31" spans="1:19">
      <c r="A31" s="2185"/>
      <c r="B31" s="2194"/>
      <c r="C31" s="2049"/>
      <c r="D31" s="2171"/>
      <c r="E31" s="2051"/>
      <c r="F31" s="2052"/>
      <c r="G31" s="662">
        <f t="shared" si="2"/>
        <v>0</v>
      </c>
      <c r="H31" s="2183"/>
      <c r="I31" s="1633"/>
      <c r="J31" s="2183"/>
      <c r="K31" s="1633"/>
      <c r="L31" s="2183"/>
      <c r="M31" s="1633"/>
      <c r="N31" s="2183"/>
      <c r="O31" s="1633"/>
      <c r="P31" s="2183"/>
      <c r="Q31" s="1634"/>
      <c r="R31" s="2183"/>
      <c r="S31" s="1634"/>
    </row>
    <row r="32" spans="1:19">
      <c r="A32" s="2185"/>
      <c r="B32" s="2226" t="s">
        <v>2969</v>
      </c>
      <c r="C32" s="2049"/>
      <c r="D32" s="2171"/>
      <c r="E32" s="2051"/>
      <c r="F32" s="2052"/>
      <c r="G32" s="662">
        <f t="shared" si="2"/>
        <v>0</v>
      </c>
      <c r="H32" s="2183"/>
      <c r="I32" s="1633"/>
      <c r="J32" s="2183"/>
      <c r="K32" s="1633"/>
      <c r="L32" s="2183"/>
      <c r="M32" s="1633"/>
      <c r="N32" s="2183"/>
      <c r="O32" s="1633"/>
      <c r="P32" s="2183"/>
      <c r="Q32" s="1634"/>
      <c r="R32" s="2183"/>
      <c r="S32" s="1634"/>
    </row>
    <row r="33" spans="1:19">
      <c r="A33" s="2185"/>
      <c r="B33" s="2194"/>
      <c r="C33" s="2049"/>
      <c r="D33" s="2171"/>
      <c r="E33" s="2051"/>
      <c r="F33" s="2052"/>
      <c r="G33" s="662">
        <f t="shared" si="2"/>
        <v>0</v>
      </c>
      <c r="H33" s="2183"/>
      <c r="I33" s="1633"/>
      <c r="J33" s="2183"/>
      <c r="K33" s="1633"/>
      <c r="L33" s="2183"/>
      <c r="M33" s="1633"/>
      <c r="N33" s="2183"/>
      <c r="O33" s="1633"/>
      <c r="P33" s="2183"/>
      <c r="Q33" s="1634"/>
      <c r="R33" s="2183"/>
      <c r="S33" s="1634"/>
    </row>
    <row r="34" spans="1:19">
      <c r="A34" s="2185"/>
      <c r="B34" s="2194"/>
      <c r="C34" s="2049"/>
      <c r="D34" s="2171"/>
      <c r="E34" s="2051"/>
      <c r="F34" s="2052"/>
      <c r="G34" s="662">
        <f t="shared" si="2"/>
        <v>0</v>
      </c>
      <c r="H34" s="2183"/>
      <c r="I34" s="1633"/>
      <c r="J34" s="2183"/>
      <c r="K34" s="1633"/>
      <c r="L34" s="2183"/>
      <c r="M34" s="1633"/>
      <c r="N34" s="2183"/>
      <c r="O34" s="1633"/>
      <c r="P34" s="2183"/>
      <c r="Q34" s="1634"/>
      <c r="R34" s="2183"/>
      <c r="S34" s="1634"/>
    </row>
    <row r="35" spans="1:19">
      <c r="A35" s="2185"/>
      <c r="B35" s="2194"/>
      <c r="C35" s="2049"/>
      <c r="D35" s="2171"/>
      <c r="E35" s="2051"/>
      <c r="F35" s="2052"/>
      <c r="G35" s="662">
        <f t="shared" si="2"/>
        <v>0</v>
      </c>
      <c r="H35" s="2183"/>
      <c r="I35" s="1633"/>
      <c r="J35" s="2183"/>
      <c r="K35" s="1633"/>
      <c r="L35" s="2183"/>
      <c r="M35" s="1633"/>
      <c r="N35" s="2183"/>
      <c r="O35" s="1633"/>
      <c r="P35" s="2183"/>
      <c r="Q35" s="1634"/>
      <c r="R35" s="2183"/>
      <c r="S35" s="1634"/>
    </row>
    <row r="36" spans="1:19">
      <c r="A36" s="2185"/>
      <c r="B36" s="2194"/>
      <c r="C36" s="2049"/>
      <c r="D36" s="2171"/>
      <c r="E36" s="2051"/>
      <c r="F36" s="2052"/>
      <c r="G36" s="662">
        <f t="shared" si="2"/>
        <v>0</v>
      </c>
      <c r="H36" s="2183"/>
      <c r="I36" s="1633"/>
      <c r="J36" s="2183"/>
      <c r="K36" s="1633"/>
      <c r="L36" s="2183"/>
      <c r="M36" s="1633"/>
      <c r="N36" s="2183"/>
      <c r="O36" s="1633"/>
      <c r="P36" s="2183"/>
      <c r="Q36" s="1634"/>
      <c r="R36" s="2183"/>
      <c r="S36" s="1634"/>
    </row>
    <row r="37" spans="1:19">
      <c r="A37" s="2185"/>
      <c r="B37" s="2226" t="s">
        <v>3331</v>
      </c>
      <c r="C37" s="2049"/>
      <c r="D37" s="2171"/>
      <c r="E37" s="2051"/>
      <c r="F37" s="2052"/>
      <c r="G37" s="662">
        <f t="shared" si="2"/>
        <v>0</v>
      </c>
      <c r="H37" s="2183"/>
      <c r="I37" s="1633"/>
      <c r="J37" s="2183"/>
      <c r="K37" s="1633"/>
      <c r="L37" s="2183"/>
      <c r="M37" s="1633"/>
      <c r="N37" s="2183"/>
      <c r="O37" s="1633"/>
      <c r="P37" s="2183"/>
      <c r="Q37" s="1634"/>
      <c r="R37" s="2183"/>
      <c r="S37" s="1634"/>
    </row>
    <row r="38" spans="1:19">
      <c r="A38" s="2185"/>
      <c r="B38" s="2194"/>
      <c r="C38" s="2049"/>
      <c r="D38" s="2171"/>
      <c r="E38" s="2051"/>
      <c r="F38" s="2052"/>
      <c r="G38" s="662">
        <f t="shared" si="2"/>
        <v>0</v>
      </c>
      <c r="H38" s="2183"/>
      <c r="I38" s="1633"/>
      <c r="J38" s="2183"/>
      <c r="K38" s="1633"/>
      <c r="L38" s="2183"/>
      <c r="M38" s="1633"/>
      <c r="N38" s="2183"/>
      <c r="O38" s="1633"/>
      <c r="P38" s="2183"/>
      <c r="Q38" s="1634"/>
      <c r="R38" s="2183"/>
      <c r="S38" s="1634"/>
    </row>
    <row r="39" spans="1:19">
      <c r="A39" s="2185"/>
      <c r="B39" s="2194"/>
      <c r="C39" s="2049"/>
      <c r="D39" s="2171"/>
      <c r="E39" s="2051"/>
      <c r="F39" s="2052"/>
      <c r="G39" s="662">
        <f t="shared" si="2"/>
        <v>0</v>
      </c>
      <c r="H39" s="2183"/>
      <c r="I39" s="1633"/>
      <c r="J39" s="2183"/>
      <c r="K39" s="1633"/>
      <c r="L39" s="2183"/>
      <c r="M39" s="1633"/>
      <c r="N39" s="2183"/>
      <c r="O39" s="1633"/>
      <c r="P39" s="2183"/>
      <c r="Q39" s="1634"/>
      <c r="R39" s="2183"/>
      <c r="S39" s="1634"/>
    </row>
    <row r="40" spans="1:19">
      <c r="A40" s="2185"/>
      <c r="B40" s="2194"/>
      <c r="C40" s="2049"/>
      <c r="D40" s="2171"/>
      <c r="E40" s="2051"/>
      <c r="F40" s="2052"/>
      <c r="G40" s="662">
        <f t="shared" si="2"/>
        <v>0</v>
      </c>
      <c r="H40" s="2183"/>
      <c r="I40" s="1633"/>
      <c r="J40" s="2183"/>
      <c r="K40" s="1633"/>
      <c r="L40" s="2183"/>
      <c r="M40" s="1633"/>
      <c r="N40" s="2183"/>
      <c r="O40" s="1633"/>
      <c r="P40" s="2183"/>
      <c r="Q40" s="1634"/>
      <c r="R40" s="2183"/>
      <c r="S40" s="1634"/>
    </row>
    <row r="41" spans="1:19">
      <c r="A41" s="2185"/>
      <c r="B41" s="2194"/>
      <c r="C41" s="2049"/>
      <c r="D41" s="2171"/>
      <c r="E41" s="2051"/>
      <c r="F41" s="2052"/>
      <c r="G41" s="662">
        <f t="shared" si="2"/>
        <v>0</v>
      </c>
      <c r="H41" s="2183"/>
      <c r="I41" s="1633"/>
      <c r="J41" s="2183"/>
      <c r="K41" s="1633"/>
      <c r="L41" s="2183"/>
      <c r="M41" s="1633"/>
      <c r="N41" s="2183"/>
      <c r="O41" s="1633"/>
      <c r="P41" s="2183"/>
      <c r="Q41" s="1634"/>
      <c r="R41" s="2183"/>
      <c r="S41" s="1634"/>
    </row>
    <row r="42" spans="1:19">
      <c r="A42" s="2185"/>
      <c r="B42" s="2194"/>
      <c r="C42" s="2049"/>
      <c r="D42" s="2171"/>
      <c r="E42" s="2051"/>
      <c r="F42" s="2052"/>
      <c r="G42" s="662">
        <f t="shared" si="2"/>
        <v>0</v>
      </c>
      <c r="H42" s="2183"/>
      <c r="I42" s="1633"/>
      <c r="J42" s="2183"/>
      <c r="K42" s="1633"/>
      <c r="L42" s="2183"/>
      <c r="M42" s="1633"/>
      <c r="N42" s="2183"/>
      <c r="O42" s="1633"/>
      <c r="P42" s="2183"/>
      <c r="Q42" s="1634"/>
      <c r="R42" s="2183"/>
      <c r="S42" s="1634"/>
    </row>
    <row r="43" spans="1:19">
      <c r="A43" s="2185"/>
      <c r="B43" s="2194"/>
      <c r="C43" s="2049"/>
      <c r="D43" s="2171"/>
      <c r="E43" s="2051"/>
      <c r="F43" s="2052"/>
      <c r="G43" s="662">
        <f t="shared" si="2"/>
        <v>0</v>
      </c>
      <c r="H43" s="2183"/>
      <c r="I43" s="1633"/>
      <c r="J43" s="2183"/>
      <c r="K43" s="1633"/>
      <c r="L43" s="2183"/>
      <c r="M43" s="1633"/>
      <c r="N43" s="2183"/>
      <c r="O43" s="1633"/>
      <c r="P43" s="2183"/>
      <c r="Q43" s="1634"/>
      <c r="R43" s="2183"/>
      <c r="S43" s="1634"/>
    </row>
    <row r="44" spans="1:19">
      <c r="A44" s="2185"/>
      <c r="B44" s="2194"/>
      <c r="C44" s="2049"/>
      <c r="D44" s="2171"/>
      <c r="E44" s="2051"/>
      <c r="F44" s="2052"/>
      <c r="G44" s="662">
        <f t="shared" si="2"/>
        <v>0</v>
      </c>
      <c r="H44" s="2183"/>
      <c r="I44" s="1633"/>
      <c r="J44" s="2183"/>
      <c r="K44" s="1633"/>
      <c r="L44" s="2183"/>
      <c r="M44" s="1633"/>
      <c r="N44" s="2183"/>
      <c r="O44" s="1633"/>
      <c r="P44" s="2183"/>
      <c r="Q44" s="1634"/>
      <c r="R44" s="2183"/>
      <c r="S44" s="1634"/>
    </row>
    <row r="45" spans="1:19">
      <c r="A45" s="2185"/>
      <c r="B45" s="2194"/>
      <c r="C45" s="2049"/>
      <c r="D45" s="2171"/>
      <c r="E45" s="2051"/>
      <c r="F45" s="2052"/>
      <c r="G45" s="662">
        <f t="shared" si="2"/>
        <v>0</v>
      </c>
      <c r="H45" s="2183"/>
      <c r="I45" s="1633"/>
      <c r="J45" s="2183"/>
      <c r="K45" s="1633"/>
      <c r="L45" s="2183"/>
      <c r="M45" s="1633"/>
      <c r="N45" s="2183"/>
      <c r="O45" s="1633"/>
      <c r="P45" s="2183"/>
      <c r="Q45" s="1634"/>
      <c r="R45" s="2183"/>
      <c r="S45" s="1634"/>
    </row>
    <row r="46" spans="1:19">
      <c r="A46" s="2185"/>
      <c r="B46" s="2194"/>
      <c r="C46" s="2049"/>
      <c r="D46" s="2171"/>
      <c r="E46" s="2051"/>
      <c r="F46" s="2052"/>
      <c r="G46" s="662">
        <f t="shared" si="2"/>
        <v>0</v>
      </c>
      <c r="H46" s="2183"/>
      <c r="I46" s="1633"/>
      <c r="J46" s="2183"/>
      <c r="K46" s="1633"/>
      <c r="L46" s="2183"/>
      <c r="M46" s="1633"/>
      <c r="N46" s="2183"/>
      <c r="O46" s="1633"/>
      <c r="P46" s="2183"/>
      <c r="Q46" s="1634"/>
      <c r="R46" s="2183"/>
      <c r="S46" s="1634"/>
    </row>
    <row r="47" spans="1:19">
      <c r="A47" s="2185"/>
      <c r="B47" s="2194"/>
      <c r="C47" s="2049"/>
      <c r="D47" s="2171"/>
      <c r="E47" s="2051"/>
      <c r="F47" s="2052"/>
      <c r="G47" s="662">
        <f t="shared" si="2"/>
        <v>0</v>
      </c>
      <c r="H47" s="2183"/>
      <c r="I47" s="1633"/>
      <c r="J47" s="2183"/>
      <c r="K47" s="1633"/>
      <c r="L47" s="2183"/>
      <c r="M47" s="1633"/>
      <c r="N47" s="2183"/>
      <c r="O47" s="1633"/>
      <c r="P47" s="2183"/>
      <c r="Q47" s="1634"/>
      <c r="R47" s="2183"/>
      <c r="S47" s="1634"/>
    </row>
    <row r="48" spans="1:19">
      <c r="A48" s="2185"/>
      <c r="B48" s="2194"/>
      <c r="C48" s="2049"/>
      <c r="D48" s="2171"/>
      <c r="E48" s="2051"/>
      <c r="F48" s="2052"/>
      <c r="G48" s="662">
        <f t="shared" si="2"/>
        <v>0</v>
      </c>
      <c r="H48" s="2183"/>
      <c r="I48" s="1633"/>
      <c r="J48" s="2183"/>
      <c r="K48" s="1633"/>
      <c r="L48" s="2183"/>
      <c r="M48" s="1633"/>
      <c r="N48" s="2183"/>
      <c r="O48" s="1633"/>
      <c r="P48" s="2183"/>
      <c r="Q48" s="1634"/>
      <c r="R48" s="2183"/>
      <c r="S48" s="1634"/>
    </row>
    <row r="49" spans="1:34">
      <c r="A49" s="2185"/>
      <c r="B49" s="2194"/>
      <c r="C49" s="2049"/>
      <c r="D49" s="2171"/>
      <c r="E49" s="2051"/>
      <c r="F49" s="2052"/>
      <c r="G49" s="662">
        <f t="shared" si="2"/>
        <v>0</v>
      </c>
      <c r="H49" s="2183"/>
      <c r="I49" s="1633"/>
      <c r="J49" s="2183"/>
      <c r="K49" s="1633"/>
      <c r="L49" s="2183"/>
      <c r="M49" s="1633"/>
      <c r="N49" s="2183"/>
      <c r="O49" s="1633"/>
      <c r="P49" s="2183"/>
      <c r="Q49" s="1634"/>
      <c r="R49" s="2183"/>
      <c r="S49" s="1634"/>
    </row>
    <row r="50" spans="1:34" ht="15.75" thickBot="1">
      <c r="A50" s="2185"/>
      <c r="B50" s="2227"/>
      <c r="C50" s="2228"/>
      <c r="D50" s="2229"/>
      <c r="E50" s="2051"/>
      <c r="F50" s="2230"/>
      <c r="G50" s="662"/>
      <c r="H50" s="2183"/>
      <c r="I50" s="1634"/>
      <c r="J50" s="2183"/>
      <c r="K50" s="1634"/>
      <c r="L50" s="2183"/>
      <c r="M50" s="1634"/>
      <c r="N50" s="2183"/>
      <c r="O50" s="1634"/>
      <c r="P50" s="2183"/>
      <c r="Q50" s="1634"/>
      <c r="R50" s="2183"/>
      <c r="S50" s="1634"/>
    </row>
    <row r="51" spans="1:34" ht="15.75" thickTop="1">
      <c r="A51" s="13"/>
      <c r="B51" s="226" t="s">
        <v>3265</v>
      </c>
      <c r="C51" s="15"/>
      <c r="D51" s="168"/>
      <c r="E51" s="176"/>
      <c r="F51" s="17"/>
      <c r="G51" s="227">
        <f>SUBTOTAL(9,G22:G50)</f>
        <v>2700</v>
      </c>
      <c r="H51" s="19"/>
      <c r="I51" s="225">
        <f>SUBTOTAL(9,I20:I50)</f>
        <v>20237.39</v>
      </c>
      <c r="J51" s="19"/>
      <c r="K51" s="225">
        <f>SUBTOTAL(9,K20:K50)</f>
        <v>25009</v>
      </c>
      <c r="L51" s="19"/>
      <c r="M51" s="225">
        <f>SUBTOTAL(9,M20:M50)</f>
        <v>28500</v>
      </c>
      <c r="N51" s="19"/>
      <c r="O51" s="225">
        <f>SUBTOTAL(9,O20:O50)</f>
        <v>32940</v>
      </c>
      <c r="P51" s="19"/>
      <c r="Q51" s="225">
        <f>SUBTOTAL(9,Q20:Q50)</f>
        <v>13534</v>
      </c>
      <c r="R51" s="19"/>
      <c r="S51" s="225">
        <f>SUBTOTAL(9,S20:S50)</f>
        <v>15500</v>
      </c>
    </row>
    <row r="52" spans="1:34">
      <c r="A52" s="2231"/>
      <c r="B52" s="2232" t="s">
        <v>2976</v>
      </c>
      <c r="C52" s="2233"/>
      <c r="D52" s="2234"/>
      <c r="E52" s="2235"/>
      <c r="F52" s="2236"/>
      <c r="G52" s="654"/>
      <c r="H52" s="2237">
        <v>0</v>
      </c>
      <c r="I52" s="645"/>
      <c r="J52" s="2237">
        <v>0</v>
      </c>
      <c r="K52" s="645"/>
      <c r="L52" s="2237">
        <v>0</v>
      </c>
      <c r="M52" s="645"/>
      <c r="N52" s="2237">
        <v>0</v>
      </c>
      <c r="O52" s="645"/>
      <c r="P52" s="2237">
        <v>0</v>
      </c>
      <c r="Q52" s="645"/>
      <c r="R52" s="2237">
        <v>0</v>
      </c>
      <c r="S52" s="645"/>
    </row>
    <row r="53" spans="1:34">
      <c r="A53" s="2231"/>
      <c r="B53" s="2232" t="s">
        <v>2977</v>
      </c>
      <c r="C53" s="2233"/>
      <c r="D53" s="2234"/>
      <c r="E53" s="2235"/>
      <c r="F53" s="2236"/>
      <c r="G53" s="654">
        <f>F52*G51</f>
        <v>0</v>
      </c>
      <c r="H53" s="2238"/>
      <c r="I53" s="2239">
        <f>H52*I51</f>
        <v>0</v>
      </c>
      <c r="J53" s="2238"/>
      <c r="K53" s="2239">
        <f>J52*K51</f>
        <v>0</v>
      </c>
      <c r="L53" s="2238"/>
      <c r="M53" s="2239">
        <f>L52*M51</f>
        <v>0</v>
      </c>
      <c r="N53" s="2238"/>
      <c r="O53" s="2239">
        <f>N52*O51</f>
        <v>0</v>
      </c>
      <c r="P53" s="2238"/>
      <c r="Q53" s="2239">
        <f>P52*Q51</f>
        <v>0</v>
      </c>
      <c r="R53" s="2238"/>
      <c r="S53" s="2239">
        <f>R52*S51</f>
        <v>0</v>
      </c>
    </row>
    <row r="54" spans="1:34">
      <c r="A54" s="2231"/>
      <c r="B54" s="2232"/>
      <c r="C54" s="2233"/>
      <c r="D54" s="2234"/>
      <c r="E54" s="2235"/>
      <c r="F54" s="2236"/>
      <c r="G54" s="654"/>
      <c r="H54" s="2238"/>
      <c r="I54" s="2239"/>
      <c r="J54" s="2238"/>
      <c r="K54" s="2239"/>
      <c r="L54" s="2238"/>
      <c r="M54" s="2239"/>
      <c r="N54" s="2238"/>
      <c r="O54" s="2239"/>
      <c r="P54" s="2238"/>
      <c r="Q54" s="2239"/>
      <c r="R54" s="2238"/>
      <c r="S54" s="2239"/>
    </row>
    <row r="55" spans="1:34">
      <c r="A55" s="2231"/>
      <c r="B55" s="2232" t="s">
        <v>2978</v>
      </c>
      <c r="C55" s="2233"/>
      <c r="D55" s="2234"/>
      <c r="E55" s="2235"/>
      <c r="F55" s="2236"/>
      <c r="G55" s="654">
        <f>SUM(G51:G53)</f>
        <v>2700</v>
      </c>
      <c r="H55" s="2240"/>
      <c r="I55" s="2239">
        <f>SUM(I51:I53)</f>
        <v>20237.39</v>
      </c>
      <c r="J55" s="2240"/>
      <c r="K55" s="2239">
        <f>SUM(K51:K53)</f>
        <v>25009</v>
      </c>
      <c r="L55" s="2240"/>
      <c r="M55" s="2239">
        <f>SUM(M51:M53)</f>
        <v>28500</v>
      </c>
      <c r="N55" s="2240"/>
      <c r="O55" s="2239">
        <f>SUM(O51:O53)</f>
        <v>32940</v>
      </c>
      <c r="P55" s="2240"/>
      <c r="Q55" s="2239">
        <f>SUM(Q51:Q53)</f>
        <v>13534</v>
      </c>
      <c r="R55" s="2240"/>
      <c r="S55" s="2239">
        <f>SUM(S51:S53)</f>
        <v>15500</v>
      </c>
    </row>
    <row r="56" spans="1:34">
      <c r="A56" s="2231"/>
      <c r="B56" s="2241" t="s">
        <v>2979</v>
      </c>
      <c r="C56" s="2233"/>
      <c r="D56" s="2234"/>
      <c r="E56" s="2235"/>
      <c r="F56" s="2241"/>
      <c r="G56" s="655">
        <f>G55/'Area Calculations'!$F$5</f>
        <v>3.044929628293035E-2</v>
      </c>
      <c r="H56" s="2242"/>
      <c r="I56" s="2243">
        <f>I55/'Area Calculations'!$F$5</f>
        <v>0.2282275126308192</v>
      </c>
      <c r="J56" s="2242"/>
      <c r="K56" s="2243">
        <f>K55/'Area Calculations'!$F$5</f>
        <v>0.28203942619992783</v>
      </c>
      <c r="L56" s="2244"/>
      <c r="M56" s="2243">
        <f>M55/'Area Calculations'!$F$5</f>
        <v>0.32140923854204256</v>
      </c>
      <c r="N56" s="2242"/>
      <c r="O56" s="2243">
        <f>O55/'Area Calculations'!$F$5</f>
        <v>0.37148141465175027</v>
      </c>
      <c r="P56" s="2242"/>
      <c r="Q56" s="2243">
        <f>Q55/'Area Calculations'!$F$5</f>
        <v>0.15262991699747383</v>
      </c>
      <c r="R56" s="2242"/>
      <c r="S56" s="2243">
        <f>S55/'Area Calculations'!$F$5</f>
        <v>0.17480151569830385</v>
      </c>
    </row>
    <row r="57" spans="1:34">
      <c r="A57" s="2231"/>
      <c r="B57" s="2245"/>
      <c r="C57" s="2233"/>
      <c r="D57" s="2234"/>
      <c r="E57" s="2235"/>
      <c r="F57" s="2236"/>
      <c r="G57" s="656"/>
      <c r="H57" s="2246"/>
      <c r="I57" s="2246"/>
      <c r="J57" s="2246"/>
      <c r="K57" s="2246"/>
      <c r="L57" s="2246"/>
      <c r="M57" s="2246"/>
      <c r="N57" s="2246"/>
      <c r="O57" s="2246"/>
      <c r="P57" s="2246"/>
      <c r="Q57" s="2246"/>
      <c r="R57" s="2246"/>
      <c r="S57" s="2247"/>
    </row>
    <row r="58" spans="1:34" ht="16.5" hidden="1" thickTop="1" thickBot="1">
      <c r="A58" s="830" t="s">
        <v>2980</v>
      </c>
      <c r="B58" s="831"/>
      <c r="C58" s="12"/>
      <c r="D58" s="169"/>
      <c r="E58" s="177"/>
      <c r="F58" s="12"/>
      <c r="G58" s="228"/>
      <c r="H58" s="20"/>
      <c r="I58" s="20"/>
      <c r="J58" s="20"/>
      <c r="K58" s="20"/>
      <c r="L58" s="20"/>
      <c r="M58" s="20"/>
      <c r="N58" s="20"/>
      <c r="O58" s="20"/>
      <c r="P58" s="20"/>
      <c r="Q58" s="20"/>
      <c r="R58" s="47"/>
      <c r="S58" s="20"/>
    </row>
    <row r="59" spans="1:34" ht="15.75" hidden="1" thickTop="1">
      <c r="A59" s="2152"/>
      <c r="B59" s="2106"/>
      <c r="C59" s="2153"/>
      <c r="D59" s="2214"/>
      <c r="E59" s="2215"/>
      <c r="F59" s="2153"/>
      <c r="G59" s="2216"/>
      <c r="H59" s="2156"/>
      <c r="I59" s="2156"/>
      <c r="J59" s="2156"/>
      <c r="K59" s="2156"/>
      <c r="L59" s="2156"/>
      <c r="M59" s="2156"/>
      <c r="N59" s="2156"/>
      <c r="O59" s="2156"/>
      <c r="P59" s="2156"/>
      <c r="Q59" s="2156"/>
      <c r="R59" s="2155"/>
      <c r="S59" s="2156"/>
    </row>
    <row r="60" spans="1:34" hidden="1">
      <c r="A60" s="2152"/>
      <c r="B60" s="2106"/>
      <c r="C60" s="2153"/>
      <c r="D60" s="2214"/>
      <c r="E60" s="2215"/>
      <c r="F60" s="2153"/>
      <c r="G60" s="2216"/>
      <c r="H60" s="2156"/>
      <c r="I60" s="2156"/>
      <c r="J60" s="2156"/>
      <c r="K60" s="2156"/>
      <c r="L60" s="2156"/>
      <c r="M60" s="2156"/>
      <c r="N60" s="2156"/>
      <c r="O60" s="2156"/>
      <c r="P60" s="2156"/>
      <c r="Q60" s="2156"/>
      <c r="R60" s="2155"/>
      <c r="S60" s="2156"/>
    </row>
    <row r="61" spans="1:34" ht="15.75" hidden="1" thickBot="1">
      <c r="A61" s="2152"/>
      <c r="B61" s="2106"/>
      <c r="C61" s="2153"/>
      <c r="D61" s="2214"/>
      <c r="E61" s="2215"/>
      <c r="F61" s="2153"/>
      <c r="G61" s="2216"/>
      <c r="H61" s="2156"/>
      <c r="I61" s="2156"/>
      <c r="J61" s="2156"/>
      <c r="K61" s="2156"/>
      <c r="L61" s="2156"/>
      <c r="M61" s="2156"/>
      <c r="N61" s="2156"/>
      <c r="O61" s="2156"/>
      <c r="P61" s="2156"/>
      <c r="Q61" s="2156"/>
      <c r="R61" s="2155"/>
      <c r="S61" s="2156"/>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47"/>
      <c r="S62" s="20"/>
      <c r="T62"/>
      <c r="U62"/>
      <c r="V62"/>
      <c r="W62"/>
      <c r="X62"/>
      <c r="Y62"/>
      <c r="Z62"/>
      <c r="AA62"/>
      <c r="AB62"/>
      <c r="AC62"/>
      <c r="AD62"/>
      <c r="AE62"/>
      <c r="AF62"/>
      <c r="AG62"/>
      <c r="AH62"/>
    </row>
    <row r="63" spans="1:34" s="2" customFormat="1" ht="15.75" hidden="1" thickTop="1">
      <c r="A63" s="2152"/>
      <c r="B63" s="2106"/>
      <c r="C63" s="2153"/>
      <c r="D63" s="2214"/>
      <c r="E63" s="2215"/>
      <c r="F63" s="2153"/>
      <c r="G63" s="2216"/>
      <c r="H63" s="2156"/>
      <c r="I63" s="2156"/>
      <c r="J63" s="2156"/>
      <c r="K63" s="2156"/>
      <c r="L63" s="2156"/>
      <c r="M63" s="2156"/>
      <c r="N63" s="2156"/>
      <c r="O63" s="2156"/>
      <c r="P63" s="2156"/>
      <c r="Q63" s="2156"/>
      <c r="R63" s="2155"/>
      <c r="S63" s="2156"/>
      <c r="T63"/>
      <c r="U63"/>
      <c r="V63"/>
      <c r="W63"/>
      <c r="X63"/>
      <c r="Y63"/>
      <c r="Z63"/>
      <c r="AA63"/>
      <c r="AB63"/>
      <c r="AC63"/>
      <c r="AD63"/>
      <c r="AE63"/>
      <c r="AF63"/>
      <c r="AG63"/>
      <c r="AH63"/>
    </row>
    <row r="64" spans="1:34" s="2" customFormat="1" hidden="1">
      <c r="A64" s="2152"/>
      <c r="B64" s="2106"/>
      <c r="C64" s="2153"/>
      <c r="D64" s="2214"/>
      <c r="E64" s="2215"/>
      <c r="F64" s="2153"/>
      <c r="G64" s="2216"/>
      <c r="H64" s="2156"/>
      <c r="I64" s="2156"/>
      <c r="J64" s="2156"/>
      <c r="K64" s="2156"/>
      <c r="L64" s="2156"/>
      <c r="M64" s="2156"/>
      <c r="N64" s="2156"/>
      <c r="O64" s="2156"/>
      <c r="P64" s="2156"/>
      <c r="Q64" s="2156"/>
      <c r="R64" s="2155"/>
      <c r="S64" s="2156"/>
      <c r="T64"/>
      <c r="U64"/>
      <c r="V64"/>
      <c r="W64"/>
      <c r="X64"/>
      <c r="Y64"/>
      <c r="Z64"/>
      <c r="AA64"/>
      <c r="AB64"/>
      <c r="AC64"/>
      <c r="AD64"/>
      <c r="AE64"/>
      <c r="AF64"/>
      <c r="AG64"/>
      <c r="AH64"/>
    </row>
    <row r="65" spans="1:34" ht="15.75" hidden="1" thickBot="1">
      <c r="A65" s="2152"/>
      <c r="B65" s="2106"/>
      <c r="C65" s="2153"/>
      <c r="D65" s="2214"/>
      <c r="E65" s="2215"/>
      <c r="F65" s="2153"/>
      <c r="G65" s="2216"/>
      <c r="H65" s="2156"/>
      <c r="I65" s="2156"/>
      <c r="J65" s="2156"/>
      <c r="K65" s="2156"/>
      <c r="L65" s="2156"/>
      <c r="M65" s="2156"/>
      <c r="N65" s="2156"/>
      <c r="O65" s="2156"/>
      <c r="P65" s="2156"/>
      <c r="Q65" s="2156"/>
      <c r="R65" s="2155"/>
      <c r="S65" s="2156"/>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47"/>
      <c r="S66" s="20"/>
      <c r="T66"/>
      <c r="U66"/>
      <c r="V66"/>
      <c r="W66"/>
      <c r="X66"/>
      <c r="Y66"/>
      <c r="Z66"/>
      <c r="AA66"/>
      <c r="AB66"/>
      <c r="AC66"/>
      <c r="AD66"/>
      <c r="AE66"/>
      <c r="AF66"/>
      <c r="AG66"/>
      <c r="AH66"/>
    </row>
    <row r="67" spans="1:34" s="2" customFormat="1" ht="15.75" hidden="1" thickTop="1">
      <c r="A67" s="2152"/>
      <c r="B67" s="2106"/>
      <c r="C67" s="2153"/>
      <c r="D67" s="2214"/>
      <c r="E67" s="2215"/>
      <c r="F67" s="2153"/>
      <c r="G67" s="2216"/>
      <c r="H67" s="2156"/>
      <c r="I67" s="2156"/>
      <c r="J67" s="2156"/>
      <c r="K67" s="2156"/>
      <c r="L67" s="2156"/>
      <c r="M67" s="2156"/>
      <c r="N67" s="2156"/>
      <c r="O67" s="2156"/>
      <c r="P67" s="2156"/>
      <c r="Q67" s="2156"/>
      <c r="R67" s="2155"/>
      <c r="S67" s="2156"/>
      <c r="T67"/>
      <c r="U67"/>
      <c r="V67"/>
      <c r="W67"/>
      <c r="X67"/>
      <c r="Y67"/>
      <c r="Z67"/>
      <c r="AA67"/>
      <c r="AB67"/>
      <c r="AC67"/>
      <c r="AD67"/>
      <c r="AE67"/>
      <c r="AF67"/>
      <c r="AG67"/>
      <c r="AH67"/>
    </row>
    <row r="68" spans="1:34" s="2" customFormat="1" hidden="1">
      <c r="A68" s="2248"/>
      <c r="B68" s="2106"/>
      <c r="C68" s="2049"/>
      <c r="D68" s="2171"/>
      <c r="E68" s="2051"/>
      <c r="F68" s="2049"/>
      <c r="G68" s="2249"/>
      <c r="H68" s="2250"/>
      <c r="I68" s="2250"/>
      <c r="J68" s="2250"/>
      <c r="K68" s="2250"/>
      <c r="L68" s="2250"/>
      <c r="M68" s="2250"/>
      <c r="N68" s="2250"/>
      <c r="O68" s="2250"/>
      <c r="P68" s="2250"/>
      <c r="Q68" s="2250"/>
      <c r="R68" s="688"/>
      <c r="S68" s="2250"/>
      <c r="T68"/>
      <c r="U68"/>
      <c r="V68"/>
      <c r="W68"/>
      <c r="X68"/>
      <c r="Y68"/>
      <c r="Z68"/>
      <c r="AA68"/>
      <c r="AB68"/>
      <c r="AC68"/>
      <c r="AD68"/>
      <c r="AE68"/>
      <c r="AF68"/>
      <c r="AG68"/>
      <c r="AH68"/>
    </row>
    <row r="69" spans="1:34" s="2" customFormat="1" ht="15.75" hidden="1" thickBot="1">
      <c r="A69" s="2251"/>
      <c r="B69" s="2252"/>
      <c r="C69" s="2049"/>
      <c r="D69" s="2171"/>
      <c r="E69" s="2051"/>
      <c r="F69" s="2049"/>
      <c r="G69" s="2249"/>
      <c r="H69" s="2253"/>
      <c r="I69" s="2253"/>
      <c r="J69" s="2253"/>
      <c r="K69" s="2253"/>
      <c r="L69" s="2253"/>
      <c r="M69" s="2253"/>
      <c r="N69" s="2253"/>
      <c r="O69" s="2253"/>
      <c r="P69" s="2253"/>
      <c r="Q69" s="2253"/>
      <c r="R69" s="689"/>
      <c r="S69" s="2253"/>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47"/>
      <c r="S70" s="20"/>
      <c r="T70"/>
      <c r="U70"/>
      <c r="V70"/>
      <c r="W70"/>
      <c r="X70"/>
      <c r="Y70"/>
      <c r="Z70"/>
      <c r="AA70"/>
      <c r="AB70"/>
      <c r="AC70"/>
      <c r="AD70"/>
      <c r="AE70"/>
      <c r="AF70"/>
      <c r="AG70"/>
      <c r="AH70"/>
    </row>
    <row r="71" spans="1:34" ht="15.75" hidden="1" thickTop="1">
      <c r="A71" s="2160"/>
      <c r="B71" s="2161"/>
      <c r="C71" s="2153"/>
      <c r="D71" s="2214"/>
      <c r="E71" s="2215"/>
      <c r="F71" s="2153"/>
      <c r="G71" s="2216"/>
      <c r="H71" s="2156"/>
      <c r="I71" s="2156"/>
      <c r="J71" s="2156"/>
      <c r="K71" s="2156"/>
      <c r="L71" s="2156"/>
      <c r="M71" s="2156"/>
      <c r="N71" s="2156"/>
      <c r="O71" s="2156"/>
      <c r="P71" s="2156"/>
      <c r="Q71" s="2156"/>
      <c r="R71" s="2155"/>
      <c r="S71" s="2156"/>
      <c r="T71" s="2"/>
      <c r="U71" s="2"/>
      <c r="V71" s="2"/>
      <c r="W71" s="2"/>
      <c r="X71" s="2"/>
      <c r="Y71" s="2"/>
      <c r="Z71" s="2"/>
      <c r="AA71" s="2"/>
      <c r="AB71" s="2"/>
      <c r="AC71" s="2"/>
      <c r="AD71" s="2"/>
      <c r="AE71" s="2"/>
      <c r="AF71" s="2"/>
      <c r="AG71" s="2"/>
      <c r="AH71" s="2"/>
    </row>
    <row r="72" spans="1:34" hidden="1">
      <c r="A72" s="2251"/>
      <c r="B72" s="2252"/>
      <c r="C72" s="2049"/>
      <c r="D72" s="2171"/>
      <c r="E72" s="2051"/>
      <c r="F72" s="2049"/>
      <c r="G72" s="2249"/>
      <c r="H72" s="2254"/>
      <c r="I72" s="2254"/>
      <c r="J72" s="2254"/>
      <c r="K72" s="2254"/>
      <c r="L72" s="2254"/>
      <c r="M72" s="2254"/>
      <c r="N72" s="2254"/>
      <c r="O72" s="2254"/>
      <c r="P72" s="2254"/>
      <c r="Q72" s="2254"/>
      <c r="R72" s="690"/>
      <c r="S72" s="2254"/>
      <c r="T72" s="2"/>
      <c r="U72" s="2"/>
      <c r="V72" s="2"/>
      <c r="W72" s="2"/>
      <c r="X72" s="2"/>
      <c r="Y72" s="2"/>
      <c r="Z72" s="2"/>
      <c r="AA72" s="2"/>
      <c r="AB72" s="2"/>
      <c r="AC72" s="2"/>
      <c r="AD72" s="2"/>
      <c r="AE72" s="2"/>
      <c r="AF72" s="2"/>
      <c r="AG72" s="2"/>
      <c r="AH72" s="2"/>
    </row>
    <row r="73" spans="1:34" ht="15.75" hidden="1" thickBot="1">
      <c r="A73" s="2251"/>
      <c r="B73" s="2252"/>
      <c r="C73" s="2049"/>
      <c r="D73" s="2171"/>
      <c r="E73" s="2051"/>
      <c r="F73" s="2049"/>
      <c r="G73" s="2249"/>
      <c r="H73" s="2254"/>
      <c r="I73" s="2254"/>
      <c r="J73" s="2254"/>
      <c r="K73" s="2254"/>
      <c r="L73" s="2254"/>
      <c r="M73" s="2254"/>
      <c r="N73" s="2254"/>
      <c r="O73" s="2254"/>
      <c r="P73" s="2254"/>
      <c r="Q73" s="2254"/>
      <c r="R73" s="690"/>
      <c r="S73" s="2254"/>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47"/>
      <c r="S74" s="20"/>
    </row>
    <row r="75" spans="1:34" ht="15.75" hidden="1" thickTop="1">
      <c r="A75" s="2248"/>
      <c r="B75" s="2106" t="s">
        <v>2985</v>
      </c>
      <c r="C75" s="2049"/>
      <c r="D75" s="2171"/>
      <c r="E75" s="2051"/>
      <c r="F75" s="2049"/>
      <c r="G75" s="2249"/>
      <c r="H75" s="2254"/>
      <c r="I75" s="2254"/>
      <c r="J75" s="2254"/>
      <c r="K75" s="2254"/>
      <c r="L75" s="2254"/>
      <c r="M75" s="2254"/>
      <c r="N75" s="2254"/>
      <c r="O75" s="2254"/>
      <c r="P75" s="2254"/>
      <c r="Q75" s="2254"/>
      <c r="R75" s="690"/>
      <c r="S75" s="2254"/>
    </row>
    <row r="76" spans="1:34" hidden="1">
      <c r="A76" s="2248"/>
      <c r="B76" s="2106" t="s">
        <v>2986</v>
      </c>
      <c r="C76" s="2049"/>
      <c r="D76" s="2171"/>
      <c r="E76" s="2051"/>
      <c r="F76" s="2049"/>
      <c r="G76" s="2249"/>
      <c r="H76" s="2254"/>
      <c r="I76" s="2254"/>
      <c r="J76" s="2254"/>
      <c r="K76" s="2254"/>
      <c r="L76" s="2254"/>
      <c r="M76" s="2254"/>
      <c r="N76" s="2254"/>
      <c r="O76" s="2254"/>
      <c r="P76" s="2254"/>
      <c r="Q76" s="2254"/>
      <c r="R76" s="690"/>
      <c r="S76" s="2254"/>
    </row>
    <row r="77" spans="1:34" hidden="1">
      <c r="A77" s="2248"/>
      <c r="B77" s="2106" t="s">
        <v>2987</v>
      </c>
      <c r="C77" s="2049"/>
      <c r="D77" s="2171"/>
      <c r="E77" s="2051"/>
      <c r="F77" s="2049"/>
      <c r="G77" s="2249"/>
      <c r="H77" s="2254"/>
      <c r="I77" s="2254"/>
      <c r="J77" s="2254"/>
      <c r="K77" s="2254"/>
      <c r="L77" s="2254"/>
      <c r="M77" s="2254"/>
      <c r="N77" s="2254"/>
      <c r="O77" s="2254"/>
      <c r="P77" s="2254"/>
      <c r="Q77" s="2254"/>
      <c r="R77" s="690"/>
      <c r="S77" s="2254"/>
    </row>
    <row r="78" spans="1:34" hidden="1">
      <c r="A78" s="2248"/>
      <c r="B78" s="2106" t="s">
        <v>2988</v>
      </c>
      <c r="C78" s="2049"/>
      <c r="D78" s="2171"/>
      <c r="E78" s="2051"/>
      <c r="F78" s="2049"/>
      <c r="G78" s="2249"/>
      <c r="H78" s="2254"/>
      <c r="I78" s="2254"/>
      <c r="J78" s="2254"/>
      <c r="K78" s="2254"/>
      <c r="L78" s="2254"/>
      <c r="M78" s="2254"/>
      <c r="N78" s="2254"/>
      <c r="O78" s="2254"/>
      <c r="P78" s="2254"/>
      <c r="Q78" s="2254"/>
      <c r="R78" s="690"/>
      <c r="S78" s="2254"/>
    </row>
    <row r="79" spans="1:34" ht="15.75" hidden="1" thickBot="1">
      <c r="A79" s="646"/>
      <c r="B79" s="619"/>
      <c r="C79" s="616"/>
      <c r="D79" s="621"/>
      <c r="E79" s="622"/>
      <c r="F79" s="616"/>
      <c r="G79" s="620"/>
      <c r="H79" s="647"/>
      <c r="I79" s="647"/>
      <c r="J79" s="647"/>
      <c r="K79" s="647"/>
      <c r="L79" s="647"/>
      <c r="M79" s="647"/>
      <c r="N79" s="647"/>
      <c r="O79" s="647"/>
      <c r="P79" s="647"/>
      <c r="Q79" s="647"/>
      <c r="R79" s="630"/>
      <c r="S79" s="647"/>
    </row>
    <row r="80" spans="1:34" ht="16.5" hidden="1" thickTop="1" thickBot="1">
      <c r="A80" s="7" t="s">
        <v>2989</v>
      </c>
      <c r="B80" s="8"/>
      <c r="C80" s="12"/>
      <c r="D80" s="169"/>
      <c r="E80" s="177"/>
      <c r="F80" s="12"/>
      <c r="G80" s="228"/>
      <c r="H80" s="20"/>
      <c r="I80" s="20"/>
      <c r="J80" s="20"/>
      <c r="K80" s="20"/>
      <c r="L80" s="20"/>
      <c r="M80" s="20"/>
      <c r="N80" s="20"/>
      <c r="O80" s="20"/>
      <c r="P80" s="20"/>
      <c r="Q80" s="20"/>
      <c r="R80" s="47"/>
      <c r="S80" s="20"/>
    </row>
    <row r="81" spans="1:19" ht="15.75" hidden="1" thickTop="1">
      <c r="A81" s="2152"/>
      <c r="B81" s="2163" t="s">
        <v>2990</v>
      </c>
      <c r="C81" s="2153"/>
      <c r="D81" s="2214"/>
      <c r="E81" s="2215"/>
      <c r="F81" s="2153"/>
      <c r="G81" s="2216"/>
      <c r="H81" s="2164"/>
      <c r="I81" s="2164"/>
      <c r="J81" s="2164"/>
      <c r="K81" s="2164"/>
      <c r="L81" s="2164"/>
      <c r="M81" s="2164"/>
      <c r="N81" s="2164"/>
      <c r="O81" s="2164"/>
      <c r="P81" s="2164"/>
      <c r="Q81" s="2164"/>
      <c r="R81" s="1620"/>
      <c r="S81" s="2164"/>
    </row>
    <row r="82" spans="1:19" hidden="1">
      <c r="A82" s="2248"/>
      <c r="B82" s="2106" t="s">
        <v>2991</v>
      </c>
      <c r="C82" s="2049"/>
      <c r="D82" s="2171"/>
      <c r="E82" s="2051"/>
      <c r="F82" s="2049"/>
      <c r="G82" s="2249"/>
      <c r="H82" s="2255"/>
      <c r="I82" s="2255"/>
      <c r="J82" s="2255"/>
      <c r="K82" s="2255"/>
      <c r="L82" s="2255"/>
      <c r="M82" s="2255"/>
      <c r="N82" s="2255"/>
      <c r="O82" s="2255"/>
      <c r="P82" s="2255"/>
      <c r="Q82" s="2255"/>
      <c r="R82" s="691"/>
      <c r="S82" s="2255"/>
    </row>
    <row r="83" spans="1:19" ht="15.75" hidden="1" thickBot="1">
      <c r="A83" s="2256"/>
      <c r="B83" s="2166" t="s">
        <v>2992</v>
      </c>
      <c r="C83" s="2167"/>
      <c r="D83" s="2257"/>
      <c r="E83" s="2258"/>
      <c r="F83" s="2167"/>
      <c r="G83" s="2259"/>
      <c r="H83" s="2260"/>
      <c r="I83" s="2260"/>
      <c r="J83" s="2260"/>
      <c r="K83" s="2260"/>
      <c r="L83" s="2260"/>
      <c r="M83" s="2260"/>
      <c r="N83" s="2260"/>
      <c r="O83" s="2260"/>
      <c r="P83" s="2260"/>
      <c r="Q83" s="2260"/>
      <c r="R83" s="2261"/>
      <c r="S83" s="2260"/>
    </row>
    <row r="84" spans="1:19" ht="15.75" thickBot="1"/>
    <row r="85" spans="1:19" ht="16.5" thickTop="1" thickBot="1">
      <c r="A85" s="59" t="s">
        <v>2993</v>
      </c>
      <c r="B85" s="61"/>
    </row>
    <row r="86" spans="1:19" ht="15.75" thickTop="1">
      <c r="A86" s="60" t="s">
        <v>2936</v>
      </c>
      <c r="B86" s="2262"/>
    </row>
    <row r="87" spans="1:19">
      <c r="A87" s="2263" t="s">
        <v>2939</v>
      </c>
      <c r="B87" s="2262"/>
    </row>
    <row r="88" spans="1:19">
      <c r="A88" s="2264" t="s">
        <v>2941</v>
      </c>
      <c r="B88" s="2265"/>
    </row>
    <row r="89" spans="1:19">
      <c r="A89" s="2264" t="s">
        <v>2943</v>
      </c>
      <c r="B89" s="2266"/>
    </row>
    <row r="90" spans="1:19" ht="15.75" thickBot="1">
      <c r="A90" s="2267" t="s">
        <v>2994</v>
      </c>
      <c r="B90" s="2268">
        <f>I55</f>
        <v>20237.39</v>
      </c>
    </row>
    <row r="91" spans="1:19" ht="15.75" thickTop="1"/>
    <row r="92" spans="1:19">
      <c r="A92" s="62"/>
      <c r="B92" s="1" t="s">
        <v>2995</v>
      </c>
    </row>
    <row r="93" spans="1:19">
      <c r="A93" s="63"/>
      <c r="B93" s="1" t="s">
        <v>2996</v>
      </c>
    </row>
  </sheetData>
  <mergeCells count="35">
    <mergeCell ref="A74:B74"/>
    <mergeCell ref="H7:I7"/>
    <mergeCell ref="A58:B58"/>
    <mergeCell ref="A62:B62"/>
    <mergeCell ref="A66:B66"/>
    <mergeCell ref="A70:B70"/>
    <mergeCell ref="H8:I8"/>
    <mergeCell ref="H9:I9"/>
    <mergeCell ref="L8:M8"/>
    <mergeCell ref="P9:Q9"/>
    <mergeCell ref="R9:S9"/>
    <mergeCell ref="J9:K9"/>
    <mergeCell ref="N9:O9"/>
    <mergeCell ref="L9:M9"/>
    <mergeCell ref="P8:Q8"/>
    <mergeCell ref="R8:S8"/>
    <mergeCell ref="J8:K8"/>
    <mergeCell ref="N8:O8"/>
    <mergeCell ref="H6:I6"/>
    <mergeCell ref="L6:M6"/>
    <mergeCell ref="J5:K5"/>
    <mergeCell ref="N5:O5"/>
    <mergeCell ref="H5:I5"/>
    <mergeCell ref="L5:M5"/>
    <mergeCell ref="L7:M7"/>
    <mergeCell ref="P7:Q7"/>
    <mergeCell ref="R5:S5"/>
    <mergeCell ref="R6:S6"/>
    <mergeCell ref="J6:K6"/>
    <mergeCell ref="N6:O6"/>
    <mergeCell ref="P6:Q6"/>
    <mergeCell ref="P5:Q5"/>
    <mergeCell ref="R7:S7"/>
    <mergeCell ref="J7:K7"/>
    <mergeCell ref="N7:O7"/>
  </mergeCells>
  <conditionalFormatting sqref="H11:H18 J11:J18 L11:L18 N11:N18 P11:P18 R11:R18 H20:H50 J20:J50 L20:L50 N20:N50 P20:P50 R20:R50">
    <cfRule type="cellIs" dxfId="251" priority="7" operator="equal">
      <formula>"X"</formula>
    </cfRule>
    <cfRule type="cellIs" dxfId="250" priority="8" operator="equal">
      <formula>"I"</formula>
    </cfRule>
  </conditionalFormatting>
  <hyperlinks>
    <hyperlink ref="B4" location="'Cost Summary'!A1" display="BACK TO SUMMARY SHEET" xr:uid="{4AE1583F-7D65-4288-8D22-89D6B3389F81}"/>
    <hyperlink ref="P8" r:id="rId1" xr:uid="{5D4B4A63-0F3F-4B9A-A274-1D3FE0526A9C}"/>
    <hyperlink ref="R8" r:id="rId2" xr:uid="{D4F6E955-C6B7-415D-9C0F-B4012836E472}"/>
    <hyperlink ref="J8" r:id="rId3" xr:uid="{59C2EB54-5A46-499A-9123-8974A5DA392D}"/>
    <hyperlink ref="N8" r:id="rId4" xr:uid="{6CA92A5E-637E-4B7A-8768-D5CAF37E41CF}"/>
    <hyperlink ref="H8" r:id="rId5" xr:uid="{6217D433-46C3-43A8-BBA2-7DFFD39B3483}"/>
    <hyperlink ref="L8" r:id="rId6" xr:uid="{1F0416BE-63B1-48E3-BEB2-F2077A577B9F}"/>
  </hyperlinks>
  <pageMargins left="0.2" right="0.2" top="0.5" bottom="0.75" header="0.3" footer="0.3"/>
  <pageSetup paperSize="3" scale="79" fitToHeight="0" orientation="landscape" horizontalDpi="1200" verticalDpi="1200"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00B050"/>
    <pageSetUpPr fitToPage="1"/>
  </sheetPr>
  <dimension ref="A1:AG277"/>
  <sheetViews>
    <sheetView zoomScale="90" zoomScaleNormal="90" workbookViewId="0">
      <pane xSplit="6" ySplit="10" topLeftCell="G16" activePane="bottomRight" state="frozen"/>
      <selection pane="bottomRight" activeCell="B64" sqref="B64"/>
      <selection pane="bottomLeft" activeCell="A11" sqref="A11"/>
      <selection pane="topRight" activeCell="G1" sqref="G1"/>
    </sheetView>
  </sheetViews>
  <sheetFormatPr defaultColWidth="8.85546875" defaultRowHeight="15" outlineLevelRow="1"/>
  <cols>
    <col min="1" max="1" width="10.7109375" style="300" customWidth="1"/>
    <col min="2" max="2" width="70.7109375" style="1" customWidth="1"/>
    <col min="3" max="3" width="15.71093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3" width="9.140625" style="402"/>
    <col min="24" max="28" width="10.7109375" customWidth="1"/>
    <col min="30" max="30" width="22.42578125" bestFit="1" customWidth="1"/>
  </cols>
  <sheetData>
    <row r="1" spans="1:28">
      <c r="F1" s="178"/>
      <c r="G1" s="56" t="s">
        <v>2928</v>
      </c>
    </row>
    <row r="2" spans="1:28">
      <c r="F2" s="179" t="s">
        <v>2929</v>
      </c>
      <c r="G2" s="56" t="s">
        <v>2930</v>
      </c>
    </row>
    <row r="3" spans="1:28">
      <c r="F3" s="180" t="s">
        <v>2931</v>
      </c>
      <c r="G3" s="56" t="s">
        <v>2932</v>
      </c>
    </row>
    <row r="4" spans="1:28" ht="15.75" thickBot="1">
      <c r="B4" s="181" t="s">
        <v>2933</v>
      </c>
      <c r="F4" s="170"/>
      <c r="G4" s="2" t="s">
        <v>2934</v>
      </c>
      <c r="N4" s="599" t="s">
        <v>4941</v>
      </c>
      <c r="R4" s="599" t="s">
        <v>4942</v>
      </c>
    </row>
    <row r="5" spans="1:28" ht="15.75" thickTop="1">
      <c r="A5" s="399" t="s">
        <v>2935</v>
      </c>
      <c r="B5" s="4" t="str">
        <f>'Area Calculations'!B4</f>
        <v>Atlantic Fields Club Core / Dock Bar / Spa Pods / Water Features</v>
      </c>
      <c r="C5" s="5"/>
      <c r="D5" s="166"/>
      <c r="E5" s="171"/>
      <c r="F5" s="5"/>
      <c r="G5" s="6" t="s">
        <v>2936</v>
      </c>
      <c r="H5" s="837" t="s">
        <v>4943</v>
      </c>
      <c r="I5" s="838"/>
      <c r="J5" s="837" t="s">
        <v>4944</v>
      </c>
      <c r="K5" s="838"/>
      <c r="L5" s="837" t="s">
        <v>4945</v>
      </c>
      <c r="M5" s="838"/>
      <c r="N5" s="837" t="s">
        <v>4946</v>
      </c>
      <c r="O5" s="838"/>
      <c r="P5" s="841"/>
      <c r="Q5" s="842"/>
      <c r="R5" s="837" t="s">
        <v>4947</v>
      </c>
      <c r="S5" s="838"/>
    </row>
    <row r="6" spans="1:28">
      <c r="A6" s="2269" t="s">
        <v>2938</v>
      </c>
      <c r="B6" s="2270" t="s">
        <v>2569</v>
      </c>
      <c r="C6" s="2271"/>
      <c r="D6" s="2272"/>
      <c r="E6" s="2273"/>
      <c r="F6" s="2271"/>
      <c r="G6" s="657" t="s">
        <v>2939</v>
      </c>
      <c r="H6" s="2274" t="s">
        <v>4948</v>
      </c>
      <c r="I6" s="839"/>
      <c r="J6" s="2274" t="s">
        <v>4949</v>
      </c>
      <c r="K6" s="839"/>
      <c r="L6" s="2274" t="s">
        <v>4950</v>
      </c>
      <c r="M6" s="839"/>
      <c r="N6" s="2274" t="s">
        <v>4951</v>
      </c>
      <c r="O6" s="839"/>
      <c r="P6" s="2275"/>
      <c r="Q6" s="843"/>
      <c r="R6" s="2274" t="s">
        <v>4952</v>
      </c>
      <c r="S6" s="839"/>
    </row>
    <row r="7" spans="1:28">
      <c r="A7" s="2269" t="s">
        <v>2940</v>
      </c>
      <c r="B7" s="2276" t="s">
        <v>2651</v>
      </c>
      <c r="C7" s="2271"/>
      <c r="D7" s="2272"/>
      <c r="E7" s="2273"/>
      <c r="F7" s="2271"/>
      <c r="G7" s="2277" t="s">
        <v>2941</v>
      </c>
      <c r="H7" s="2278" t="s">
        <v>4953</v>
      </c>
      <c r="I7" s="840"/>
      <c r="J7" s="2278" t="s">
        <v>4954</v>
      </c>
      <c r="K7" s="840"/>
      <c r="L7" s="2278" t="s">
        <v>4955</v>
      </c>
      <c r="M7" s="840"/>
      <c r="N7" s="2278" t="s">
        <v>4956</v>
      </c>
      <c r="O7" s="840"/>
      <c r="P7" s="2279"/>
      <c r="Q7" s="844"/>
      <c r="R7" s="2278" t="s">
        <v>4957</v>
      </c>
      <c r="S7" s="840"/>
    </row>
    <row r="8" spans="1:28">
      <c r="A8" s="2269" t="s">
        <v>2942</v>
      </c>
      <c r="B8" s="2280"/>
      <c r="C8" s="2271"/>
      <c r="D8" s="2272"/>
      <c r="E8" s="2273"/>
      <c r="F8" s="2271"/>
      <c r="G8" s="2277" t="s">
        <v>2943</v>
      </c>
      <c r="H8" s="2281" t="s">
        <v>4958</v>
      </c>
      <c r="I8" s="836"/>
      <c r="J8" s="2281" t="s">
        <v>4959</v>
      </c>
      <c r="K8" s="836"/>
      <c r="L8" s="2282" t="s">
        <v>4960</v>
      </c>
      <c r="M8" s="845"/>
      <c r="N8" s="2281" t="s">
        <v>4961</v>
      </c>
      <c r="O8" s="836"/>
      <c r="P8" s="2282"/>
      <c r="Q8" s="845"/>
      <c r="R8" s="2281" t="s">
        <v>4962</v>
      </c>
      <c r="S8" s="836"/>
    </row>
    <row r="9" spans="1:28" ht="15.75" thickBot="1">
      <c r="A9" s="2283"/>
      <c r="B9" s="2284"/>
      <c r="C9" s="616"/>
      <c r="D9" s="621"/>
      <c r="E9" s="622"/>
      <c r="F9" s="2285"/>
      <c r="G9" s="2286" t="s">
        <v>2944</v>
      </c>
      <c r="H9" s="2287">
        <f>I$239</f>
        <v>2575167.04</v>
      </c>
      <c r="I9" s="2288"/>
      <c r="J9" s="2287">
        <f>K$239</f>
        <v>2667891</v>
      </c>
      <c r="K9" s="2288"/>
      <c r="L9" s="2287">
        <f>M$239</f>
        <v>2666346</v>
      </c>
      <c r="M9" s="2288"/>
      <c r="N9" s="2287">
        <f>O$239</f>
        <v>2527284.15</v>
      </c>
      <c r="O9" s="2288"/>
      <c r="P9" s="2287">
        <f>Q$239</f>
        <v>0</v>
      </c>
      <c r="Q9" s="2288"/>
      <c r="R9" s="2289">
        <f>S$239</f>
        <v>2176886</v>
      </c>
      <c r="S9" s="2290"/>
    </row>
    <row r="10" spans="1:28" s="175" customFormat="1" ht="31.5" thickTop="1" thickBot="1">
      <c r="A10" s="394"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U10" s="544" t="s">
        <v>4963</v>
      </c>
      <c r="V10" s="545" t="s">
        <v>4964</v>
      </c>
      <c r="W10" s="545" t="s">
        <v>4965</v>
      </c>
      <c r="X10" s="545" t="s">
        <v>3112</v>
      </c>
      <c r="Y10" s="545" t="s">
        <v>4966</v>
      </c>
      <c r="Z10" s="545" t="s">
        <v>4967</v>
      </c>
      <c r="AA10" s="546" t="s">
        <v>4968</v>
      </c>
      <c r="AB10" s="547" t="s">
        <v>4969</v>
      </c>
    </row>
    <row r="11" spans="1:28" ht="16.5" thickTop="1" thickBot="1">
      <c r="A11" s="2291"/>
      <c r="B11" s="1618" t="s">
        <v>2953</v>
      </c>
      <c r="C11" s="659"/>
      <c r="D11" s="2272"/>
      <c r="E11" s="2273"/>
      <c r="F11" s="2271"/>
      <c r="G11" s="660"/>
      <c r="H11" s="2292"/>
      <c r="I11" s="182"/>
      <c r="J11" s="2292"/>
      <c r="K11" s="1620"/>
      <c r="L11" s="2292"/>
      <c r="M11" s="1620"/>
      <c r="N11" s="2292"/>
      <c r="O11" s="1620"/>
      <c r="P11" s="2292"/>
      <c r="Q11" s="1620"/>
      <c r="R11" s="2292"/>
      <c r="S11" s="1619"/>
    </row>
    <row r="12" spans="1:28">
      <c r="A12" s="2293"/>
      <c r="B12" s="1622" t="s">
        <v>2954</v>
      </c>
      <c r="C12" s="2271"/>
      <c r="D12" s="2272"/>
      <c r="E12" s="2273"/>
      <c r="F12" s="2271"/>
      <c r="G12" s="660"/>
      <c r="H12" s="2292"/>
      <c r="I12" s="1620"/>
      <c r="J12" s="2292"/>
      <c r="K12" s="1620"/>
      <c r="L12" s="2292"/>
      <c r="M12" s="1620"/>
      <c r="N12" s="2292"/>
      <c r="O12" s="1620"/>
      <c r="P12" s="2292"/>
      <c r="Q12" s="1620"/>
      <c r="R12" s="2292"/>
      <c r="S12" s="1619"/>
    </row>
    <row r="13" spans="1:28">
      <c r="A13" s="2294"/>
      <c r="B13" s="2186" t="s">
        <v>2955</v>
      </c>
      <c r="C13" s="2271"/>
      <c r="D13" s="2272"/>
      <c r="E13" s="2273"/>
      <c r="F13" s="2271"/>
      <c r="G13" s="660"/>
      <c r="H13" s="2292"/>
      <c r="I13" s="1620"/>
      <c r="J13" s="2292"/>
      <c r="K13" s="1620"/>
      <c r="L13" s="2292"/>
      <c r="M13" s="1620"/>
      <c r="N13" s="2292"/>
      <c r="O13" s="1620"/>
      <c r="P13" s="2292"/>
      <c r="Q13" s="1620"/>
      <c r="R13" s="2292"/>
      <c r="S13" s="1619"/>
    </row>
    <row r="14" spans="1:28">
      <c r="A14" s="2294"/>
      <c r="B14" s="2187" t="s">
        <v>2956</v>
      </c>
      <c r="C14" s="2271"/>
      <c r="D14" s="2272"/>
      <c r="E14" s="2273"/>
      <c r="F14" s="2271"/>
      <c r="G14" s="660"/>
      <c r="H14" s="2292"/>
      <c r="I14" s="1620"/>
      <c r="J14" s="2292"/>
      <c r="K14" s="1620"/>
      <c r="L14" s="2292"/>
      <c r="M14" s="1620"/>
      <c r="N14" s="2292"/>
      <c r="O14" s="1620"/>
      <c r="P14" s="2292"/>
      <c r="Q14" s="1620"/>
      <c r="R14" s="2292"/>
      <c r="S14" s="1619"/>
    </row>
    <row r="15" spans="1:28">
      <c r="A15" s="2294"/>
      <c r="B15" s="2187" t="s">
        <v>2957</v>
      </c>
      <c r="C15" s="2271"/>
      <c r="D15" s="2272"/>
      <c r="E15" s="2273"/>
      <c r="F15" s="2271"/>
      <c r="G15" s="660"/>
      <c r="H15" s="2292"/>
      <c r="I15" s="1619"/>
      <c r="J15" s="2292"/>
      <c r="K15" s="1619"/>
      <c r="L15" s="2292"/>
      <c r="M15" s="1619"/>
      <c r="N15" s="2292"/>
      <c r="O15" s="1619"/>
      <c r="P15" s="2292"/>
      <c r="Q15" s="1619"/>
      <c r="R15" s="2292"/>
      <c r="S15" s="1619"/>
    </row>
    <row r="16" spans="1:28">
      <c r="A16" s="2294"/>
      <c r="B16" s="2187" t="s">
        <v>2958</v>
      </c>
      <c r="C16" s="2271"/>
      <c r="D16" s="2272"/>
      <c r="E16" s="2273"/>
      <c r="F16" s="2271"/>
      <c r="G16" s="660"/>
      <c r="H16" s="2292"/>
      <c r="I16" s="1620"/>
      <c r="J16" s="2292"/>
      <c r="K16" s="1620"/>
      <c r="L16" s="2292"/>
      <c r="M16" s="1620"/>
      <c r="N16" s="2292"/>
      <c r="O16" s="1620"/>
      <c r="P16" s="2292"/>
      <c r="Q16" s="1620"/>
      <c r="R16" s="2292"/>
      <c r="S16" s="1619"/>
    </row>
    <row r="17" spans="1:28">
      <c r="A17" s="2294"/>
      <c r="B17" s="2187" t="s">
        <v>2959</v>
      </c>
      <c r="C17" s="2271"/>
      <c r="D17" s="2272"/>
      <c r="E17" s="2273"/>
      <c r="F17" s="2271"/>
      <c r="G17" s="660"/>
      <c r="H17" s="2292"/>
      <c r="I17" s="1620"/>
      <c r="J17" s="2292"/>
      <c r="K17" s="1620"/>
      <c r="L17" s="2292"/>
      <c r="M17" s="1620"/>
      <c r="N17" s="2292"/>
      <c r="O17" s="1620"/>
      <c r="P17" s="2292"/>
      <c r="Q17" s="1620"/>
      <c r="R17" s="2292"/>
      <c r="S17" s="1619"/>
    </row>
    <row r="18" spans="1:28" ht="15.75" thickBot="1">
      <c r="A18" s="2294"/>
      <c r="B18" s="2188" t="s">
        <v>2960</v>
      </c>
      <c r="C18" s="2271"/>
      <c r="D18" s="2272"/>
      <c r="E18" s="2273"/>
      <c r="F18" s="2271"/>
      <c r="G18" s="660"/>
      <c r="H18" s="2292"/>
      <c r="I18" s="1620"/>
      <c r="J18" s="2292"/>
      <c r="K18" s="1620"/>
      <c r="L18" s="2292"/>
      <c r="M18" s="1620"/>
      <c r="N18" s="2292"/>
      <c r="O18" s="1620"/>
      <c r="P18" s="2292"/>
      <c r="Q18" s="1620"/>
      <c r="R18" s="2292"/>
      <c r="S18" s="1619"/>
    </row>
    <row r="19" spans="1:28" ht="15.75" thickBot="1">
      <c r="A19" s="2294"/>
      <c r="B19" s="2189" t="s">
        <v>2961</v>
      </c>
      <c r="C19" s="2295"/>
      <c r="D19" s="2296"/>
      <c r="E19" s="2297"/>
      <c r="F19" s="2298"/>
      <c r="G19" s="661"/>
      <c r="H19" s="2299"/>
      <c r="I19" s="1630"/>
      <c r="J19" s="2299"/>
      <c r="K19" s="1630"/>
      <c r="L19" s="2299"/>
      <c r="M19" s="1630"/>
      <c r="N19" s="2299"/>
      <c r="O19" s="1630"/>
      <c r="P19" s="2299"/>
      <c r="Q19" s="1630"/>
      <c r="R19" s="2299"/>
      <c r="S19" s="1629"/>
      <c r="U19" s="404" t="s">
        <v>4963</v>
      </c>
      <c r="V19" s="405" t="s">
        <v>4964</v>
      </c>
      <c r="W19" s="405" t="s">
        <v>4965</v>
      </c>
      <c r="X19" s="405" t="s">
        <v>3112</v>
      </c>
      <c r="Y19" s="405" t="s">
        <v>4966</v>
      </c>
      <c r="Z19" s="405" t="s">
        <v>4967</v>
      </c>
      <c r="AA19" s="410" t="s">
        <v>4968</v>
      </c>
      <c r="AB19" s="411" t="s">
        <v>4969</v>
      </c>
    </row>
    <row r="20" spans="1:28">
      <c r="A20" s="2294"/>
      <c r="B20" s="2194" t="s">
        <v>4970</v>
      </c>
      <c r="C20" s="2271"/>
      <c r="D20" s="2272"/>
      <c r="E20" s="2273"/>
      <c r="F20" s="2300"/>
      <c r="G20" s="660"/>
      <c r="H20" s="2292"/>
      <c r="I20" s="1633"/>
      <c r="J20" s="2292"/>
      <c r="K20" s="1633"/>
      <c r="L20" s="2292"/>
      <c r="M20" s="1633"/>
      <c r="N20" s="2292"/>
      <c r="O20" s="1633"/>
      <c r="P20" s="2292"/>
      <c r="Q20" s="1633"/>
      <c r="R20" s="2292"/>
      <c r="S20" s="1634"/>
      <c r="U20" s="406"/>
      <c r="V20" s="407"/>
      <c r="W20" s="407"/>
      <c r="X20" s="407"/>
      <c r="Y20" s="407"/>
      <c r="Z20" s="407"/>
      <c r="AA20" s="412"/>
      <c r="AB20" s="413"/>
    </row>
    <row r="21" spans="1:28" hidden="1" outlineLevel="1">
      <c r="A21" s="2294"/>
      <c r="B21" s="2301" t="s">
        <v>4971</v>
      </c>
      <c r="C21" s="2271"/>
      <c r="D21" s="2272"/>
      <c r="E21" s="2273" t="s">
        <v>2845</v>
      </c>
      <c r="F21" s="2300">
        <v>150</v>
      </c>
      <c r="G21" s="660"/>
      <c r="H21" s="2292"/>
      <c r="I21" s="1633"/>
      <c r="J21" s="2292"/>
      <c r="K21" s="1633"/>
      <c r="L21" s="2292"/>
      <c r="M21" s="1633"/>
      <c r="N21" s="2292"/>
      <c r="O21" s="1633"/>
      <c r="P21" s="2292"/>
      <c r="Q21" s="1633"/>
      <c r="R21" s="2292"/>
      <c r="S21" s="1634"/>
      <c r="U21" s="416"/>
      <c r="V21" s="417"/>
      <c r="W21" s="417"/>
      <c r="X21" s="417"/>
      <c r="Y21" s="417"/>
      <c r="Z21" s="417"/>
      <c r="AA21" s="418"/>
      <c r="AB21" s="419"/>
    </row>
    <row r="22" spans="1:28" hidden="1" outlineLevel="1">
      <c r="A22" s="2294"/>
      <c r="B22" s="2301" t="s">
        <v>4972</v>
      </c>
      <c r="C22" s="2271"/>
      <c r="D22" s="2272"/>
      <c r="E22" s="2273" t="s">
        <v>2845</v>
      </c>
      <c r="F22" s="2300">
        <v>300</v>
      </c>
      <c r="G22" s="660"/>
      <c r="H22" s="2292"/>
      <c r="I22" s="1633"/>
      <c r="J22" s="2292"/>
      <c r="K22" s="1633"/>
      <c r="L22" s="2292"/>
      <c r="M22" s="1633"/>
      <c r="N22" s="2292"/>
      <c r="O22" s="1633"/>
      <c r="P22" s="2292"/>
      <c r="Q22" s="1633"/>
      <c r="R22" s="2292"/>
      <c r="S22" s="1634"/>
      <c r="U22" s="416"/>
      <c r="V22" s="417"/>
      <c r="W22" s="417"/>
      <c r="X22" s="417"/>
      <c r="Y22" s="417"/>
      <c r="Z22" s="417"/>
      <c r="AA22" s="418"/>
      <c r="AB22" s="419"/>
    </row>
    <row r="23" spans="1:28" hidden="1" outlineLevel="1">
      <c r="A23" s="2294"/>
      <c r="B23" s="2301" t="s">
        <v>4973</v>
      </c>
      <c r="C23" s="2271"/>
      <c r="D23" s="2272"/>
      <c r="E23" s="2273" t="s">
        <v>2845</v>
      </c>
      <c r="F23" s="2300">
        <v>125</v>
      </c>
      <c r="G23" s="660"/>
      <c r="H23" s="2292"/>
      <c r="I23" s="1633"/>
      <c r="J23" s="2292"/>
      <c r="K23" s="1633"/>
      <c r="L23" s="2292"/>
      <c r="M23" s="1633"/>
      <c r="N23" s="2292"/>
      <c r="O23" s="1633"/>
      <c r="P23" s="2292"/>
      <c r="Q23" s="1633"/>
      <c r="R23" s="2292"/>
      <c r="S23" s="1634"/>
      <c r="U23" s="416"/>
      <c r="V23" s="417"/>
      <c r="W23" s="417"/>
      <c r="X23" s="417"/>
      <c r="Y23" s="417"/>
      <c r="Z23" s="417"/>
      <c r="AA23" s="418"/>
      <c r="AB23" s="419"/>
    </row>
    <row r="24" spans="1:28" collapsed="1">
      <c r="A24" s="2294"/>
      <c r="B24" s="2194"/>
      <c r="C24" s="2271"/>
      <c r="D24" s="2272"/>
      <c r="E24" s="2273"/>
      <c r="F24" s="2300"/>
      <c r="G24" s="660"/>
      <c r="H24" s="2292"/>
      <c r="I24" s="1633"/>
      <c r="J24" s="2292"/>
      <c r="K24" s="1633"/>
      <c r="L24" s="2292"/>
      <c r="M24" s="1633"/>
      <c r="N24" s="2292"/>
      <c r="O24" s="1633"/>
      <c r="P24" s="2292"/>
      <c r="Q24" s="1633"/>
      <c r="R24" s="2292"/>
      <c r="S24" s="1634"/>
      <c r="U24" s="416"/>
      <c r="V24" s="417"/>
      <c r="W24" s="417"/>
      <c r="X24" s="417"/>
      <c r="Y24" s="417"/>
      <c r="Z24" s="417"/>
      <c r="AA24" s="418"/>
      <c r="AB24" s="419"/>
    </row>
    <row r="25" spans="1:28">
      <c r="A25" s="2294"/>
      <c r="B25" s="2196" t="s">
        <v>2695</v>
      </c>
      <c r="C25" s="2271"/>
      <c r="D25" s="2272"/>
      <c r="E25" s="2273"/>
      <c r="F25" s="2300"/>
      <c r="G25" s="662"/>
      <c r="H25" s="2292"/>
      <c r="I25" s="1729">
        <f>SUBTOTAL(9,I26:I189)</f>
        <v>2327406.34</v>
      </c>
      <c r="J25" s="2292"/>
      <c r="K25" s="1729">
        <f>SUBTOTAL(9,K26:K189)</f>
        <v>2398578</v>
      </c>
      <c r="L25" s="2292"/>
      <c r="M25" s="1729">
        <f>SUBTOTAL(9,M26:M189)</f>
        <v>2397557</v>
      </c>
      <c r="N25" s="2292"/>
      <c r="O25" s="1729">
        <f>SUBTOTAL(9,O26:O189)</f>
        <v>2239938.15</v>
      </c>
      <c r="P25" s="2292"/>
      <c r="Q25" s="1729">
        <f>SUBTOTAL(9,Q26:Q189)</f>
        <v>0</v>
      </c>
      <c r="R25" s="2292"/>
      <c r="S25" s="1729">
        <f>SUBTOTAL(9,S26:S189)</f>
        <v>1924376</v>
      </c>
      <c r="U25" s="408"/>
      <c r="V25" s="409"/>
      <c r="W25" s="409"/>
      <c r="X25" s="409"/>
      <c r="Y25" s="409"/>
      <c r="Z25" s="409"/>
      <c r="AA25" s="414"/>
      <c r="AB25" s="415"/>
    </row>
    <row r="26" spans="1:28">
      <c r="A26" s="2302"/>
      <c r="B26" s="2303" t="s">
        <v>2994</v>
      </c>
      <c r="C26" s="659"/>
      <c r="D26" s="2272"/>
      <c r="E26" s="2273"/>
      <c r="F26" s="2300"/>
      <c r="G26" s="662"/>
      <c r="H26" s="2292"/>
      <c r="I26" s="1634">
        <f>1927700.34-I166</f>
        <v>1879357.3</v>
      </c>
      <c r="J26" s="2292"/>
      <c r="K26" s="1633">
        <f>2392795-K194</f>
        <v>2152295</v>
      </c>
      <c r="L26" s="2292"/>
      <c r="M26" s="1633">
        <f>2318900-M194</f>
        <v>2081100</v>
      </c>
      <c r="N26" s="2292"/>
      <c r="O26" s="1633">
        <v>1910035.15</v>
      </c>
      <c r="P26" s="2292"/>
      <c r="Q26" s="1633"/>
      <c r="R26" s="2292"/>
      <c r="S26" s="1634">
        <v>1684670</v>
      </c>
      <c r="U26" s="408"/>
      <c r="V26" s="409"/>
      <c r="W26" s="409"/>
      <c r="X26" s="409"/>
      <c r="Y26" s="409"/>
      <c r="Z26" s="409"/>
      <c r="AA26" s="414"/>
      <c r="AB26" s="415"/>
    </row>
    <row r="27" spans="1:28">
      <c r="A27" s="2302"/>
      <c r="B27" s="2197" t="s">
        <v>4974</v>
      </c>
      <c r="C27" s="659"/>
      <c r="D27" s="2272"/>
      <c r="E27" s="2273"/>
      <c r="F27" s="2300"/>
      <c r="G27" s="662"/>
      <c r="H27" s="2292" t="s">
        <v>2931</v>
      </c>
      <c r="I27" s="1634"/>
      <c r="J27" s="2292" t="s">
        <v>2931</v>
      </c>
      <c r="K27" s="1633"/>
      <c r="L27" s="2292"/>
      <c r="M27" s="1633"/>
      <c r="N27" s="2292" t="s">
        <v>2931</v>
      </c>
      <c r="O27" s="2304"/>
      <c r="P27" s="2292"/>
      <c r="Q27" s="1633"/>
      <c r="R27" s="2292"/>
      <c r="S27" s="2305" t="s">
        <v>4975</v>
      </c>
      <c r="U27" s="408"/>
      <c r="V27" s="409"/>
      <c r="W27" s="409"/>
      <c r="X27" s="409"/>
      <c r="Y27" s="409"/>
      <c r="Z27" s="409"/>
      <c r="AA27" s="414"/>
      <c r="AB27" s="415"/>
    </row>
    <row r="28" spans="1:28">
      <c r="A28" s="2302"/>
      <c r="B28" s="2197" t="s">
        <v>4976</v>
      </c>
      <c r="C28" s="659"/>
      <c r="D28" s="2272"/>
      <c r="E28" s="2273"/>
      <c r="F28" s="2300"/>
      <c r="G28" s="662"/>
      <c r="H28" s="2292"/>
      <c r="I28" s="1643">
        <v>60000</v>
      </c>
      <c r="J28" s="2292" t="s">
        <v>2931</v>
      </c>
      <c r="K28" s="1633"/>
      <c r="L28" s="2292"/>
      <c r="M28" s="1633"/>
      <c r="N28" s="2292"/>
      <c r="O28" s="1642">
        <v>60000</v>
      </c>
      <c r="P28" s="2292"/>
      <c r="Q28" s="1633"/>
      <c r="R28" s="2292" t="s">
        <v>2931</v>
      </c>
      <c r="S28" s="1634"/>
      <c r="U28" s="408"/>
      <c r="V28" s="409"/>
      <c r="W28" s="409"/>
      <c r="X28" s="409"/>
      <c r="Y28" s="409"/>
      <c r="Z28" s="409"/>
      <c r="AA28" s="414"/>
      <c r="AB28" s="415"/>
    </row>
    <row r="29" spans="1:28">
      <c r="A29" s="2302"/>
      <c r="B29" s="2194"/>
      <c r="C29" s="659"/>
      <c r="D29" s="2272"/>
      <c r="E29" s="2273"/>
      <c r="F29" s="2300"/>
      <c r="G29" s="662"/>
      <c r="H29" s="2292"/>
      <c r="I29" s="1634"/>
      <c r="J29" s="2292"/>
      <c r="K29" s="1633"/>
      <c r="L29" s="2292"/>
      <c r="M29" s="1633"/>
      <c r="N29" s="2292"/>
      <c r="O29" s="1633"/>
      <c r="P29" s="2292"/>
      <c r="Q29" s="1633"/>
      <c r="R29" s="2292"/>
      <c r="S29" s="1634"/>
      <c r="U29" s="408"/>
      <c r="V29" s="409"/>
      <c r="W29" s="409"/>
      <c r="X29" s="409"/>
      <c r="Y29" s="409"/>
      <c r="Z29" s="409"/>
      <c r="AA29" s="414"/>
      <c r="AB29" s="415"/>
    </row>
    <row r="30" spans="1:28">
      <c r="A30" s="2294"/>
      <c r="B30" s="2194" t="s">
        <v>4977</v>
      </c>
      <c r="C30" s="2271"/>
      <c r="D30" s="2272"/>
      <c r="E30" s="2273"/>
      <c r="F30" s="2300"/>
      <c r="G30" s="662"/>
      <c r="H30" s="2292"/>
      <c r="I30" s="1634"/>
      <c r="J30" s="2292"/>
      <c r="K30" s="1633"/>
      <c r="L30" s="2292"/>
      <c r="M30" s="1633"/>
      <c r="N30" s="2292"/>
      <c r="O30" s="1633"/>
      <c r="P30" s="2292"/>
      <c r="Q30" s="1633"/>
      <c r="R30" s="2292"/>
      <c r="S30" s="1634"/>
      <c r="U30" s="408"/>
      <c r="V30" s="409"/>
      <c r="W30" s="409"/>
      <c r="X30" s="409"/>
      <c r="Y30" s="409"/>
      <c r="Z30" s="409"/>
      <c r="AA30" s="414"/>
      <c r="AB30" s="415"/>
    </row>
    <row r="31" spans="1:28">
      <c r="A31" s="2294"/>
      <c r="B31" s="2197" t="s">
        <v>4978</v>
      </c>
      <c r="C31" s="2271"/>
      <c r="D31" s="2272">
        <f>SUM(D32:D51)</f>
        <v>4539.0247999999992</v>
      </c>
      <c r="E31" s="2273" t="s">
        <v>2845</v>
      </c>
      <c r="F31" s="2300">
        <f>$F$21</f>
        <v>150</v>
      </c>
      <c r="G31" s="662">
        <f t="shared" ref="G31:G233" si="0">ROUND(D31*F31,0)</f>
        <v>680854</v>
      </c>
      <c r="H31" s="2292" t="s">
        <v>2931</v>
      </c>
      <c r="I31" s="1634"/>
      <c r="J31" s="2292" t="s">
        <v>2931</v>
      </c>
      <c r="K31" s="1633"/>
      <c r="L31" s="2292"/>
      <c r="M31" s="1633"/>
      <c r="N31" s="2292" t="s">
        <v>2931</v>
      </c>
      <c r="O31" s="1633"/>
      <c r="P31" s="2292"/>
      <c r="Q31" s="1633"/>
      <c r="R31" s="2292"/>
      <c r="S31" s="2305" t="s">
        <v>4979</v>
      </c>
      <c r="U31" s="408"/>
      <c r="V31" s="409"/>
      <c r="W31" s="409"/>
      <c r="X31" s="409"/>
      <c r="Y31" s="409"/>
      <c r="Z31" s="409"/>
      <c r="AA31" s="414"/>
      <c r="AB31" s="415"/>
    </row>
    <row r="32" spans="1:28" hidden="1" outlineLevel="1">
      <c r="A32" s="2294"/>
      <c r="B32" s="2198" t="s">
        <v>4980</v>
      </c>
      <c r="C32" s="2271"/>
      <c r="D32" s="2272">
        <f>AB32</f>
        <v>105.36</v>
      </c>
      <c r="E32" s="2273" t="s">
        <v>2845</v>
      </c>
      <c r="F32" s="2300"/>
      <c r="G32" s="662">
        <f t="shared" si="0"/>
        <v>0</v>
      </c>
      <c r="H32" s="2292"/>
      <c r="I32" s="1634"/>
      <c r="J32" s="2292"/>
      <c r="K32" s="1633"/>
      <c r="L32" s="2292"/>
      <c r="M32" s="1633"/>
      <c r="N32" s="2292"/>
      <c r="O32" s="1633"/>
      <c r="P32" s="2292"/>
      <c r="Q32" s="1633"/>
      <c r="R32" s="2292"/>
      <c r="S32" s="1634"/>
      <c r="U32" s="408">
        <v>1</v>
      </c>
      <c r="V32" s="409">
        <v>8</v>
      </c>
      <c r="W32" s="409">
        <v>13.17</v>
      </c>
      <c r="X32" s="409">
        <f t="shared" ref="X32:X36" si="1">V32*W32</f>
        <v>105.36</v>
      </c>
      <c r="Y32" s="409">
        <f t="shared" ref="Y32" si="2">V32*U32</f>
        <v>8</v>
      </c>
      <c r="Z32" s="409">
        <f>U32*(W32*2)</f>
        <v>26.34</v>
      </c>
      <c r="AA32" s="414">
        <f>U32*(V32+V32+W32+W32)</f>
        <v>42.34</v>
      </c>
      <c r="AB32" s="415">
        <f t="shared" ref="AB32:AB36" si="3">U32*X32</f>
        <v>105.36</v>
      </c>
    </row>
    <row r="33" spans="1:28" hidden="1" outlineLevel="1">
      <c r="A33" s="2294"/>
      <c r="B33" s="2198" t="s">
        <v>4981</v>
      </c>
      <c r="C33" s="2271"/>
      <c r="D33" s="2272">
        <f t="shared" ref="D33:D133" si="4">AB33</f>
        <v>327.0111</v>
      </c>
      <c r="E33" s="2273" t="s">
        <v>2845</v>
      </c>
      <c r="F33" s="2300"/>
      <c r="G33" s="662">
        <f t="shared" si="0"/>
        <v>0</v>
      </c>
      <c r="H33" s="2292"/>
      <c r="I33" s="1634"/>
      <c r="J33" s="2292"/>
      <c r="K33" s="1633"/>
      <c r="L33" s="2292"/>
      <c r="M33" s="1633"/>
      <c r="N33" s="2292"/>
      <c r="O33" s="1633"/>
      <c r="P33" s="2292"/>
      <c r="Q33" s="1633"/>
      <c r="R33" s="2292"/>
      <c r="S33" s="1634"/>
      <c r="U33" s="408">
        <v>1</v>
      </c>
      <c r="V33" s="409">
        <v>24.83</v>
      </c>
      <c r="W33" s="409">
        <v>13.17</v>
      </c>
      <c r="X33" s="409">
        <f t="shared" si="1"/>
        <v>327.0111</v>
      </c>
      <c r="Y33" s="409">
        <f t="shared" ref="Y33:Y63" si="5">V33*U33</f>
        <v>24.83</v>
      </c>
      <c r="Z33" s="409">
        <f t="shared" ref="Z33:Z63" si="6">U33*(W33*2)</f>
        <v>26.34</v>
      </c>
      <c r="AA33" s="414">
        <f t="shared" ref="AA33:AA63" si="7">U33*(V33+V33+W33+W33)</f>
        <v>76</v>
      </c>
      <c r="AB33" s="415">
        <f t="shared" si="3"/>
        <v>327.0111</v>
      </c>
    </row>
    <row r="34" spans="1:28" hidden="1" outlineLevel="1">
      <c r="A34" s="2294"/>
      <c r="B34" s="2198" t="s">
        <v>4982</v>
      </c>
      <c r="C34" s="2271"/>
      <c r="D34" s="2272">
        <f t="shared" si="4"/>
        <v>804.02850000000001</v>
      </c>
      <c r="E34" s="2273" t="s">
        <v>2845</v>
      </c>
      <c r="F34" s="2300"/>
      <c r="G34" s="662">
        <f t="shared" si="0"/>
        <v>0</v>
      </c>
      <c r="H34" s="2292"/>
      <c r="I34" s="1634"/>
      <c r="J34" s="2292"/>
      <c r="K34" s="1633"/>
      <c r="L34" s="2292"/>
      <c r="M34" s="1633"/>
      <c r="N34" s="2292"/>
      <c r="O34" s="1633"/>
      <c r="P34" s="2292"/>
      <c r="Q34" s="1633"/>
      <c r="R34" s="2292"/>
      <c r="S34" s="1634"/>
      <c r="U34" s="408">
        <v>1</v>
      </c>
      <c r="V34" s="409">
        <v>61.05</v>
      </c>
      <c r="W34" s="409">
        <v>13.17</v>
      </c>
      <c r="X34" s="409">
        <f t="shared" si="1"/>
        <v>804.02850000000001</v>
      </c>
      <c r="Y34" s="409">
        <f t="shared" si="5"/>
        <v>61.05</v>
      </c>
      <c r="Z34" s="409">
        <f t="shared" si="6"/>
        <v>26.34</v>
      </c>
      <c r="AA34" s="414">
        <f t="shared" si="7"/>
        <v>148.43999999999997</v>
      </c>
      <c r="AB34" s="415">
        <f t="shared" si="3"/>
        <v>804.02850000000001</v>
      </c>
    </row>
    <row r="35" spans="1:28" hidden="1" outlineLevel="1">
      <c r="A35" s="2294"/>
      <c r="B35" s="2198" t="s">
        <v>4983</v>
      </c>
      <c r="C35" s="2271"/>
      <c r="D35" s="2272">
        <f t="shared" si="4"/>
        <v>813.24749999999995</v>
      </c>
      <c r="E35" s="2273" t="s">
        <v>2845</v>
      </c>
      <c r="F35" s="2300"/>
      <c r="G35" s="662">
        <f t="shared" si="0"/>
        <v>0</v>
      </c>
      <c r="H35" s="2292"/>
      <c r="I35" s="1634"/>
      <c r="J35" s="2292"/>
      <c r="K35" s="1633"/>
      <c r="L35" s="2292"/>
      <c r="M35" s="1633"/>
      <c r="N35" s="2292"/>
      <c r="O35" s="1633"/>
      <c r="P35" s="2292"/>
      <c r="Q35" s="1633"/>
      <c r="R35" s="2292"/>
      <c r="S35" s="1634"/>
      <c r="U35" s="408">
        <v>1</v>
      </c>
      <c r="V35" s="409">
        <v>61.75</v>
      </c>
      <c r="W35" s="409">
        <v>13.17</v>
      </c>
      <c r="X35" s="409">
        <f t="shared" si="1"/>
        <v>813.24749999999995</v>
      </c>
      <c r="Y35" s="409">
        <f t="shared" si="5"/>
        <v>61.75</v>
      </c>
      <c r="Z35" s="409">
        <f t="shared" si="6"/>
        <v>26.34</v>
      </c>
      <c r="AA35" s="414">
        <f t="shared" si="7"/>
        <v>149.83999999999997</v>
      </c>
      <c r="AB35" s="415">
        <f t="shared" si="3"/>
        <v>813.24749999999995</v>
      </c>
    </row>
    <row r="36" spans="1:28" hidden="1" outlineLevel="1">
      <c r="A36" s="2294"/>
      <c r="B36" s="2198" t="s">
        <v>4984</v>
      </c>
      <c r="C36" s="2271"/>
      <c r="D36" s="2272">
        <f t="shared" si="4"/>
        <v>56.68</v>
      </c>
      <c r="E36" s="2273" t="s">
        <v>2845</v>
      </c>
      <c r="F36" s="2300"/>
      <c r="G36" s="662">
        <f t="shared" si="0"/>
        <v>0</v>
      </c>
      <c r="H36" s="2292"/>
      <c r="I36" s="1634"/>
      <c r="J36" s="2292"/>
      <c r="K36" s="1633"/>
      <c r="L36" s="2292"/>
      <c r="M36" s="1633"/>
      <c r="N36" s="2292"/>
      <c r="O36" s="1633"/>
      <c r="P36" s="2292"/>
      <c r="Q36" s="1633"/>
      <c r="R36" s="2292"/>
      <c r="S36" s="1634"/>
      <c r="U36" s="408">
        <v>1</v>
      </c>
      <c r="V36" s="409">
        <v>4</v>
      </c>
      <c r="W36" s="409">
        <v>14.17</v>
      </c>
      <c r="X36" s="409">
        <f t="shared" si="1"/>
        <v>56.68</v>
      </c>
      <c r="Y36" s="409">
        <f t="shared" si="5"/>
        <v>4</v>
      </c>
      <c r="Z36" s="409">
        <f t="shared" si="6"/>
        <v>28.34</v>
      </c>
      <c r="AA36" s="414">
        <f t="shared" si="7"/>
        <v>36.340000000000003</v>
      </c>
      <c r="AB36" s="415">
        <f t="shared" si="3"/>
        <v>56.68</v>
      </c>
    </row>
    <row r="37" spans="1:28" hidden="1" outlineLevel="1">
      <c r="A37" s="2294"/>
      <c r="B37" s="2198" t="s">
        <v>4985</v>
      </c>
      <c r="C37" s="2271"/>
      <c r="D37" s="2272">
        <f t="shared" si="4"/>
        <v>73.02</v>
      </c>
      <c r="E37" s="2273" t="s">
        <v>2845</v>
      </c>
      <c r="F37" s="2300"/>
      <c r="G37" s="662">
        <f t="shared" si="0"/>
        <v>0</v>
      </c>
      <c r="H37" s="2292"/>
      <c r="I37" s="1634"/>
      <c r="J37" s="2292"/>
      <c r="K37" s="1633"/>
      <c r="L37" s="2292"/>
      <c r="M37" s="1633"/>
      <c r="N37" s="2292"/>
      <c r="O37" s="1633"/>
      <c r="P37" s="2292"/>
      <c r="Q37" s="1633"/>
      <c r="R37" s="2292"/>
      <c r="S37" s="1634"/>
      <c r="U37" s="408">
        <v>1</v>
      </c>
      <c r="V37" s="409">
        <v>6</v>
      </c>
      <c r="W37" s="409">
        <v>12.17</v>
      </c>
      <c r="X37" s="409">
        <f t="shared" ref="X37:X137" si="8">V37*W37</f>
        <v>73.02</v>
      </c>
      <c r="Y37" s="409">
        <f t="shared" si="5"/>
        <v>6</v>
      </c>
      <c r="Z37" s="409">
        <f t="shared" si="6"/>
        <v>24.34</v>
      </c>
      <c r="AA37" s="414">
        <f t="shared" si="7"/>
        <v>36.340000000000003</v>
      </c>
      <c r="AB37" s="415">
        <f t="shared" ref="AB37:AB137" si="9">U37*X37</f>
        <v>73.02</v>
      </c>
    </row>
    <row r="38" spans="1:28" hidden="1" outlineLevel="1">
      <c r="A38" s="2294"/>
      <c r="B38" s="2198" t="s">
        <v>4986</v>
      </c>
      <c r="C38" s="2271"/>
      <c r="D38" s="2272">
        <f t="shared" si="4"/>
        <v>256.17849999999999</v>
      </c>
      <c r="E38" s="2273" t="s">
        <v>2845</v>
      </c>
      <c r="F38" s="2300"/>
      <c r="G38" s="662">
        <f t="shared" si="0"/>
        <v>0</v>
      </c>
      <c r="H38" s="2292"/>
      <c r="I38" s="1634"/>
      <c r="J38" s="2292"/>
      <c r="K38" s="1633"/>
      <c r="L38" s="2292"/>
      <c r="M38" s="1633"/>
      <c r="N38" s="2292"/>
      <c r="O38" s="1633"/>
      <c r="P38" s="2292"/>
      <c r="Q38" s="1633"/>
      <c r="R38" s="2292"/>
      <c r="S38" s="1634"/>
      <c r="U38" s="408">
        <v>1</v>
      </c>
      <c r="V38" s="409">
        <v>21.05</v>
      </c>
      <c r="W38" s="409">
        <v>12.17</v>
      </c>
      <c r="X38" s="409">
        <f t="shared" si="8"/>
        <v>256.17849999999999</v>
      </c>
      <c r="Y38" s="409">
        <f t="shared" si="5"/>
        <v>21.05</v>
      </c>
      <c r="Z38" s="409">
        <f t="shared" si="6"/>
        <v>24.34</v>
      </c>
      <c r="AA38" s="414">
        <f t="shared" si="7"/>
        <v>66.44</v>
      </c>
      <c r="AB38" s="415">
        <f t="shared" si="9"/>
        <v>256.17849999999999</v>
      </c>
    </row>
    <row r="39" spans="1:28" hidden="1" outlineLevel="1">
      <c r="A39" s="2294"/>
      <c r="B39" s="2198" t="s">
        <v>4987</v>
      </c>
      <c r="C39" s="2271"/>
      <c r="D39" s="2272">
        <f t="shared" si="4"/>
        <v>133.87</v>
      </c>
      <c r="E39" s="2273" t="s">
        <v>2845</v>
      </c>
      <c r="F39" s="2300"/>
      <c r="G39" s="662">
        <f t="shared" si="0"/>
        <v>0</v>
      </c>
      <c r="H39" s="2292"/>
      <c r="I39" s="1634"/>
      <c r="J39" s="2292"/>
      <c r="K39" s="1633"/>
      <c r="L39" s="2292"/>
      <c r="M39" s="1633"/>
      <c r="N39" s="2292"/>
      <c r="O39" s="1633"/>
      <c r="P39" s="2292"/>
      <c r="Q39" s="1633"/>
      <c r="R39" s="2292"/>
      <c r="S39" s="1634"/>
      <c r="U39" s="408">
        <v>1</v>
      </c>
      <c r="V39" s="409">
        <v>11</v>
      </c>
      <c r="W39" s="409">
        <v>12.17</v>
      </c>
      <c r="X39" s="409">
        <f t="shared" si="8"/>
        <v>133.87</v>
      </c>
      <c r="Y39" s="409">
        <f t="shared" si="5"/>
        <v>11</v>
      </c>
      <c r="Z39" s="409">
        <f t="shared" si="6"/>
        <v>24.34</v>
      </c>
      <c r="AA39" s="414">
        <f t="shared" si="7"/>
        <v>46.34</v>
      </c>
      <c r="AB39" s="415">
        <f t="shared" si="9"/>
        <v>133.87</v>
      </c>
    </row>
    <row r="40" spans="1:28" hidden="1" outlineLevel="1">
      <c r="A40" s="2294"/>
      <c r="B40" s="2198" t="s">
        <v>4988</v>
      </c>
      <c r="C40" s="2271"/>
      <c r="D40" s="2272">
        <f t="shared" si="4"/>
        <v>131.80109999999999</v>
      </c>
      <c r="E40" s="2273" t="s">
        <v>2845</v>
      </c>
      <c r="F40" s="2300"/>
      <c r="G40" s="662">
        <f t="shared" si="0"/>
        <v>0</v>
      </c>
      <c r="H40" s="2292"/>
      <c r="I40" s="1634"/>
      <c r="J40" s="2292"/>
      <c r="K40" s="1633"/>
      <c r="L40" s="2292"/>
      <c r="M40" s="1633"/>
      <c r="N40" s="2292"/>
      <c r="O40" s="1633"/>
      <c r="P40" s="2292"/>
      <c r="Q40" s="1633"/>
      <c r="R40" s="2292"/>
      <c r="S40" s="1634"/>
      <c r="U40" s="408">
        <v>1</v>
      </c>
      <c r="V40" s="409">
        <v>10.83</v>
      </c>
      <c r="W40" s="409">
        <v>12.17</v>
      </c>
      <c r="X40" s="409">
        <f t="shared" si="8"/>
        <v>131.80109999999999</v>
      </c>
      <c r="Y40" s="409">
        <f t="shared" si="5"/>
        <v>10.83</v>
      </c>
      <c r="Z40" s="409">
        <f t="shared" si="6"/>
        <v>24.34</v>
      </c>
      <c r="AA40" s="414">
        <f t="shared" si="7"/>
        <v>46</v>
      </c>
      <c r="AB40" s="415">
        <f t="shared" si="9"/>
        <v>131.80109999999999</v>
      </c>
    </row>
    <row r="41" spans="1:28" hidden="1" outlineLevel="1">
      <c r="A41" s="2294">
        <f>50.46-7</f>
        <v>43.46</v>
      </c>
      <c r="B41" s="2198" t="s">
        <v>4989</v>
      </c>
      <c r="C41" s="2271"/>
      <c r="D41" s="2272">
        <f t="shared" si="4"/>
        <v>531.89499999999998</v>
      </c>
      <c r="E41" s="2273" t="s">
        <v>2845</v>
      </c>
      <c r="F41" s="2300"/>
      <c r="G41" s="662">
        <f t="shared" si="0"/>
        <v>0</v>
      </c>
      <c r="H41" s="2292"/>
      <c r="I41" s="1634"/>
      <c r="J41" s="2292"/>
      <c r="K41" s="1633"/>
      <c r="L41" s="2292"/>
      <c r="M41" s="1633"/>
      <c r="N41" s="2292"/>
      <c r="O41" s="1633"/>
      <c r="P41" s="2292"/>
      <c r="Q41" s="1633"/>
      <c r="R41" s="2292"/>
      <c r="S41" s="1634"/>
      <c r="U41" s="408">
        <v>1</v>
      </c>
      <c r="V41" s="409">
        <v>43.42</v>
      </c>
      <c r="W41" s="409">
        <v>12.25</v>
      </c>
      <c r="X41" s="409">
        <f t="shared" si="8"/>
        <v>531.89499999999998</v>
      </c>
      <c r="Y41" s="409">
        <f t="shared" si="5"/>
        <v>43.42</v>
      </c>
      <c r="Z41" s="409">
        <f t="shared" si="6"/>
        <v>24.5</v>
      </c>
      <c r="AA41" s="414">
        <f t="shared" si="7"/>
        <v>111.34</v>
      </c>
      <c r="AB41" s="415">
        <f t="shared" si="9"/>
        <v>531.89499999999998</v>
      </c>
    </row>
    <row r="42" spans="1:28" hidden="1" outlineLevel="1">
      <c r="A42" s="2294"/>
      <c r="B42" s="2198" t="s">
        <v>4990</v>
      </c>
      <c r="C42" s="2197" t="s">
        <v>4991</v>
      </c>
      <c r="D42" s="2272">
        <f t="shared" si="4"/>
        <v>48.68</v>
      </c>
      <c r="E42" s="2273" t="s">
        <v>2845</v>
      </c>
      <c r="F42" s="2300"/>
      <c r="G42" s="662">
        <f t="shared" si="0"/>
        <v>0</v>
      </c>
      <c r="H42" s="2292"/>
      <c r="I42" s="1634"/>
      <c r="J42" s="2292"/>
      <c r="K42" s="1633"/>
      <c r="L42" s="2292"/>
      <c r="M42" s="1633"/>
      <c r="N42" s="2292"/>
      <c r="O42" s="1633"/>
      <c r="P42" s="2292"/>
      <c r="Q42" s="1633"/>
      <c r="R42" s="2292"/>
      <c r="S42" s="1634"/>
      <c r="U42" s="408">
        <v>1</v>
      </c>
      <c r="V42" s="409">
        <v>4</v>
      </c>
      <c r="W42" s="409">
        <v>12.17</v>
      </c>
      <c r="X42" s="409">
        <f t="shared" si="8"/>
        <v>48.68</v>
      </c>
      <c r="Y42" s="409">
        <f t="shared" si="5"/>
        <v>4</v>
      </c>
      <c r="Z42" s="409">
        <f t="shared" si="6"/>
        <v>24.34</v>
      </c>
      <c r="AA42" s="414">
        <f t="shared" si="7"/>
        <v>32.340000000000003</v>
      </c>
      <c r="AB42" s="415">
        <f t="shared" si="9"/>
        <v>48.68</v>
      </c>
    </row>
    <row r="43" spans="1:28" hidden="1" outlineLevel="1">
      <c r="A43" s="2294"/>
      <c r="B43" s="2198" t="s">
        <v>4992</v>
      </c>
      <c r="C43" s="2271"/>
      <c r="D43" s="2272">
        <f t="shared" si="4"/>
        <v>33.1614</v>
      </c>
      <c r="E43" s="2273" t="s">
        <v>2845</v>
      </c>
      <c r="F43" s="2300"/>
      <c r="G43" s="662">
        <f t="shared" si="0"/>
        <v>0</v>
      </c>
      <c r="H43" s="2292"/>
      <c r="I43" s="1634"/>
      <c r="J43" s="2292"/>
      <c r="K43" s="1633"/>
      <c r="L43" s="2292"/>
      <c r="M43" s="1633"/>
      <c r="N43" s="2292"/>
      <c r="O43" s="1633"/>
      <c r="P43" s="2292"/>
      <c r="Q43" s="1633"/>
      <c r="R43" s="2292"/>
      <c r="S43" s="1634"/>
      <c r="U43" s="408">
        <v>1</v>
      </c>
      <c r="V43" s="409">
        <v>2.67</v>
      </c>
      <c r="W43" s="409">
        <v>12.42</v>
      </c>
      <c r="X43" s="409">
        <f t="shared" si="8"/>
        <v>33.1614</v>
      </c>
      <c r="Y43" s="409">
        <f t="shared" si="5"/>
        <v>2.67</v>
      </c>
      <c r="Z43" s="409">
        <f t="shared" si="6"/>
        <v>24.84</v>
      </c>
      <c r="AA43" s="414">
        <f t="shared" si="7"/>
        <v>30.18</v>
      </c>
      <c r="AB43" s="415">
        <f t="shared" si="9"/>
        <v>33.1614</v>
      </c>
    </row>
    <row r="44" spans="1:28" hidden="1" outlineLevel="1">
      <c r="A44" s="2294"/>
      <c r="B44" s="2198" t="s">
        <v>4993</v>
      </c>
      <c r="C44" s="2271"/>
      <c r="D44" s="2272">
        <f t="shared" si="4"/>
        <v>33.1614</v>
      </c>
      <c r="E44" s="2273" t="s">
        <v>2845</v>
      </c>
      <c r="F44" s="2300"/>
      <c r="G44" s="662">
        <f t="shared" si="0"/>
        <v>0</v>
      </c>
      <c r="H44" s="2292"/>
      <c r="I44" s="1634"/>
      <c r="J44" s="2292"/>
      <c r="K44" s="1633"/>
      <c r="L44" s="2292"/>
      <c r="M44" s="1633"/>
      <c r="N44" s="2292"/>
      <c r="O44" s="1633"/>
      <c r="P44" s="2292"/>
      <c r="Q44" s="1633"/>
      <c r="R44" s="2292"/>
      <c r="S44" s="1634"/>
      <c r="U44" s="408">
        <v>1</v>
      </c>
      <c r="V44" s="409">
        <v>2.67</v>
      </c>
      <c r="W44" s="409">
        <v>12.42</v>
      </c>
      <c r="X44" s="409">
        <f t="shared" si="8"/>
        <v>33.1614</v>
      </c>
      <c r="Y44" s="409">
        <f t="shared" si="5"/>
        <v>2.67</v>
      </c>
      <c r="Z44" s="409">
        <f t="shared" si="6"/>
        <v>24.84</v>
      </c>
      <c r="AA44" s="414">
        <f t="shared" si="7"/>
        <v>30.18</v>
      </c>
      <c r="AB44" s="415">
        <f t="shared" si="9"/>
        <v>33.1614</v>
      </c>
    </row>
    <row r="45" spans="1:28" hidden="1" outlineLevel="1">
      <c r="A45" s="2294"/>
      <c r="B45" s="2198" t="s">
        <v>4994</v>
      </c>
      <c r="C45" s="2271"/>
      <c r="D45" s="2272">
        <f t="shared" si="4"/>
        <v>33.1614</v>
      </c>
      <c r="E45" s="2273" t="s">
        <v>2845</v>
      </c>
      <c r="F45" s="2300"/>
      <c r="G45" s="662">
        <f t="shared" si="0"/>
        <v>0</v>
      </c>
      <c r="H45" s="2292"/>
      <c r="I45" s="1634"/>
      <c r="J45" s="2292"/>
      <c r="K45" s="1633"/>
      <c r="L45" s="2292"/>
      <c r="M45" s="1633"/>
      <c r="N45" s="2292"/>
      <c r="O45" s="1633"/>
      <c r="P45" s="2292"/>
      <c r="Q45" s="1633"/>
      <c r="R45" s="2292"/>
      <c r="S45" s="1634"/>
      <c r="U45" s="408">
        <v>1</v>
      </c>
      <c r="V45" s="409">
        <v>2.67</v>
      </c>
      <c r="W45" s="409">
        <v>12.42</v>
      </c>
      <c r="X45" s="409">
        <f t="shared" si="8"/>
        <v>33.1614</v>
      </c>
      <c r="Y45" s="409">
        <f t="shared" si="5"/>
        <v>2.67</v>
      </c>
      <c r="Z45" s="409">
        <f t="shared" si="6"/>
        <v>24.84</v>
      </c>
      <c r="AA45" s="414">
        <f t="shared" si="7"/>
        <v>30.18</v>
      </c>
      <c r="AB45" s="415">
        <f t="shared" si="9"/>
        <v>33.1614</v>
      </c>
    </row>
    <row r="46" spans="1:28" hidden="1" outlineLevel="1">
      <c r="A46" s="2294"/>
      <c r="B46" s="2198" t="s">
        <v>4995</v>
      </c>
      <c r="C46" s="2271"/>
      <c r="D46" s="2272">
        <f t="shared" si="4"/>
        <v>33.1614</v>
      </c>
      <c r="E46" s="2273" t="s">
        <v>2845</v>
      </c>
      <c r="F46" s="2300"/>
      <c r="G46" s="662">
        <f t="shared" si="0"/>
        <v>0</v>
      </c>
      <c r="H46" s="2292"/>
      <c r="I46" s="1634"/>
      <c r="J46" s="2292"/>
      <c r="K46" s="1633"/>
      <c r="L46" s="2292"/>
      <c r="M46" s="1633"/>
      <c r="N46" s="2292"/>
      <c r="O46" s="1633"/>
      <c r="P46" s="2292"/>
      <c r="Q46" s="1633"/>
      <c r="R46" s="2292"/>
      <c r="S46" s="1634"/>
      <c r="U46" s="408">
        <v>1</v>
      </c>
      <c r="V46" s="409">
        <v>2.67</v>
      </c>
      <c r="W46" s="409">
        <v>12.42</v>
      </c>
      <c r="X46" s="409">
        <f t="shared" si="8"/>
        <v>33.1614</v>
      </c>
      <c r="Y46" s="409">
        <f t="shared" si="5"/>
        <v>2.67</v>
      </c>
      <c r="Z46" s="409">
        <f t="shared" si="6"/>
        <v>24.84</v>
      </c>
      <c r="AA46" s="414">
        <f t="shared" si="7"/>
        <v>30.18</v>
      </c>
      <c r="AB46" s="415">
        <f t="shared" si="9"/>
        <v>33.1614</v>
      </c>
    </row>
    <row r="47" spans="1:28" hidden="1" outlineLevel="1">
      <c r="A47" s="2294"/>
      <c r="B47" s="2198" t="s">
        <v>4996</v>
      </c>
      <c r="C47" s="2271"/>
      <c r="D47" s="2272">
        <f t="shared" si="4"/>
        <v>33.1614</v>
      </c>
      <c r="E47" s="2273" t="s">
        <v>2845</v>
      </c>
      <c r="F47" s="2300"/>
      <c r="G47" s="662">
        <f t="shared" si="0"/>
        <v>0</v>
      </c>
      <c r="H47" s="2292"/>
      <c r="I47" s="1634"/>
      <c r="J47" s="2292"/>
      <c r="K47" s="1633"/>
      <c r="L47" s="2292"/>
      <c r="M47" s="1633"/>
      <c r="N47" s="2292"/>
      <c r="O47" s="1633"/>
      <c r="P47" s="2292"/>
      <c r="Q47" s="1633"/>
      <c r="R47" s="2292"/>
      <c r="S47" s="1634"/>
      <c r="U47" s="408">
        <v>1</v>
      </c>
      <c r="V47" s="409">
        <v>2.67</v>
      </c>
      <c r="W47" s="409">
        <v>12.42</v>
      </c>
      <c r="X47" s="409">
        <f t="shared" si="8"/>
        <v>33.1614</v>
      </c>
      <c r="Y47" s="409">
        <f t="shared" si="5"/>
        <v>2.67</v>
      </c>
      <c r="Z47" s="409">
        <f t="shared" si="6"/>
        <v>24.84</v>
      </c>
      <c r="AA47" s="414">
        <f t="shared" si="7"/>
        <v>30.18</v>
      </c>
      <c r="AB47" s="415">
        <f t="shared" si="9"/>
        <v>33.1614</v>
      </c>
    </row>
    <row r="48" spans="1:28" hidden="1" outlineLevel="1">
      <c r="A48" s="2294">
        <f>35.92-6.67</f>
        <v>29.25</v>
      </c>
      <c r="B48" s="2198" t="s">
        <v>4997</v>
      </c>
      <c r="C48" s="2271"/>
      <c r="D48" s="2272">
        <f t="shared" si="4"/>
        <v>343.6875</v>
      </c>
      <c r="E48" s="2273" t="s">
        <v>2845</v>
      </c>
      <c r="F48" s="2300"/>
      <c r="G48" s="662">
        <f t="shared" si="0"/>
        <v>0</v>
      </c>
      <c r="H48" s="2292"/>
      <c r="I48" s="1634"/>
      <c r="J48" s="2292"/>
      <c r="K48" s="1633"/>
      <c r="L48" s="2292"/>
      <c r="M48" s="1633"/>
      <c r="N48" s="2292"/>
      <c r="O48" s="1633"/>
      <c r="P48" s="2292"/>
      <c r="Q48" s="1633"/>
      <c r="R48" s="2292"/>
      <c r="S48" s="1634"/>
      <c r="U48" s="408">
        <v>1</v>
      </c>
      <c r="V48" s="409">
        <v>29.25</v>
      </c>
      <c r="W48" s="409">
        <v>11.75</v>
      </c>
      <c r="X48" s="409">
        <f t="shared" si="8"/>
        <v>343.6875</v>
      </c>
      <c r="Y48" s="409">
        <f t="shared" si="5"/>
        <v>29.25</v>
      </c>
      <c r="Z48" s="409">
        <f t="shared" si="6"/>
        <v>23.5</v>
      </c>
      <c r="AA48" s="414">
        <f t="shared" si="7"/>
        <v>82</v>
      </c>
      <c r="AB48" s="415">
        <f t="shared" si="9"/>
        <v>343.6875</v>
      </c>
    </row>
    <row r="49" spans="1:33" hidden="1" outlineLevel="1">
      <c r="A49" s="2294"/>
      <c r="B49" s="2198" t="s">
        <v>4998</v>
      </c>
      <c r="C49" s="2271"/>
      <c r="D49" s="2272">
        <f t="shared" si="4"/>
        <v>42.168599999999998</v>
      </c>
      <c r="E49" s="2273" t="s">
        <v>2845</v>
      </c>
      <c r="F49" s="2300"/>
      <c r="G49" s="662">
        <f t="shared" si="0"/>
        <v>0</v>
      </c>
      <c r="H49" s="2292"/>
      <c r="I49" s="1634"/>
      <c r="J49" s="2292"/>
      <c r="K49" s="1633"/>
      <c r="L49" s="2292"/>
      <c r="M49" s="1633"/>
      <c r="N49" s="2292"/>
      <c r="O49" s="1633"/>
      <c r="P49" s="2292"/>
      <c r="Q49" s="1633"/>
      <c r="R49" s="2292"/>
      <c r="S49" s="1634"/>
      <c r="U49" s="408">
        <v>1</v>
      </c>
      <c r="V49" s="409">
        <v>3.42</v>
      </c>
      <c r="W49" s="409">
        <v>12.33</v>
      </c>
      <c r="X49" s="409">
        <f t="shared" si="8"/>
        <v>42.168599999999998</v>
      </c>
      <c r="Y49" s="409">
        <f t="shared" si="5"/>
        <v>3.42</v>
      </c>
      <c r="Z49" s="409">
        <f t="shared" si="6"/>
        <v>24.66</v>
      </c>
      <c r="AA49" s="414">
        <f t="shared" si="7"/>
        <v>31.5</v>
      </c>
      <c r="AB49" s="415">
        <f t="shared" si="9"/>
        <v>42.168599999999998</v>
      </c>
    </row>
    <row r="50" spans="1:33" hidden="1" outlineLevel="1">
      <c r="A50" s="2294"/>
      <c r="B50" s="2198" t="s">
        <v>4999</v>
      </c>
      <c r="C50" s="2271"/>
      <c r="D50" s="2272">
        <f t="shared" si="4"/>
        <v>22.49</v>
      </c>
      <c r="E50" s="2273" t="s">
        <v>2845</v>
      </c>
      <c r="F50" s="2300"/>
      <c r="G50" s="662">
        <f t="shared" si="0"/>
        <v>0</v>
      </c>
      <c r="H50" s="2292"/>
      <c r="I50" s="1634"/>
      <c r="J50" s="2292"/>
      <c r="K50" s="1633"/>
      <c r="L50" s="2292"/>
      <c r="M50" s="1633"/>
      <c r="N50" s="2292"/>
      <c r="O50" s="1633"/>
      <c r="P50" s="2292"/>
      <c r="Q50" s="1633"/>
      <c r="R50" s="2292"/>
      <c r="S50" s="1634"/>
      <c r="U50" s="408">
        <v>1</v>
      </c>
      <c r="V50" s="409">
        <v>6.92</v>
      </c>
      <c r="W50" s="409">
        <v>3.25</v>
      </c>
      <c r="X50" s="409">
        <f t="shared" si="8"/>
        <v>22.49</v>
      </c>
      <c r="Y50" s="409">
        <f t="shared" si="5"/>
        <v>6.92</v>
      </c>
      <c r="Z50" s="409">
        <f t="shared" si="6"/>
        <v>6.5</v>
      </c>
      <c r="AA50" s="414">
        <f t="shared" si="7"/>
        <v>20.34</v>
      </c>
      <c r="AB50" s="415">
        <f t="shared" si="9"/>
        <v>22.49</v>
      </c>
    </row>
    <row r="51" spans="1:33" hidden="1" outlineLevel="1">
      <c r="A51" s="2294"/>
      <c r="B51" s="2198" t="s">
        <v>5000</v>
      </c>
      <c r="C51" s="2271"/>
      <c r="D51" s="2272">
        <f t="shared" si="4"/>
        <v>683.1</v>
      </c>
      <c r="E51" s="2273" t="s">
        <v>2845</v>
      </c>
      <c r="F51" s="2300"/>
      <c r="G51" s="662">
        <f t="shared" si="0"/>
        <v>0</v>
      </c>
      <c r="H51" s="2292"/>
      <c r="I51" s="1634"/>
      <c r="J51" s="2292"/>
      <c r="K51" s="1633"/>
      <c r="L51" s="2292"/>
      <c r="M51" s="1633"/>
      <c r="N51" s="2292"/>
      <c r="O51" s="1633"/>
      <c r="P51" s="2292"/>
      <c r="Q51" s="1633"/>
      <c r="R51" s="2292"/>
      <c r="S51" s="1634"/>
      <c r="U51" s="408">
        <v>1</v>
      </c>
      <c r="V51" s="409">
        <v>55</v>
      </c>
      <c r="W51" s="409">
        <v>12.42</v>
      </c>
      <c r="X51" s="409">
        <f t="shared" si="8"/>
        <v>683.1</v>
      </c>
      <c r="Y51" s="409">
        <f t="shared" si="5"/>
        <v>55</v>
      </c>
      <c r="Z51" s="409">
        <f t="shared" si="6"/>
        <v>24.84</v>
      </c>
      <c r="AA51" s="414">
        <f t="shared" si="7"/>
        <v>134.84</v>
      </c>
      <c r="AB51" s="415">
        <f t="shared" si="9"/>
        <v>683.1</v>
      </c>
    </row>
    <row r="52" spans="1:33" collapsed="1">
      <c r="A52" s="2294"/>
      <c r="B52" s="2197" t="s">
        <v>5001</v>
      </c>
      <c r="C52" s="2271"/>
      <c r="D52" s="2272">
        <f>SUM(D53:D55)</f>
        <v>616.20000000000005</v>
      </c>
      <c r="E52" s="2273" t="s">
        <v>2845</v>
      </c>
      <c r="F52" s="2300">
        <f>$F$22</f>
        <v>300</v>
      </c>
      <c r="G52" s="662">
        <f t="shared" si="0"/>
        <v>184860</v>
      </c>
      <c r="H52" s="2292" t="s">
        <v>2931</v>
      </c>
      <c r="I52" s="1634"/>
      <c r="J52" s="2292" t="s">
        <v>2931</v>
      </c>
      <c r="K52" s="1633"/>
      <c r="L52" s="2292"/>
      <c r="M52" s="1633"/>
      <c r="N52" s="2292" t="s">
        <v>2931</v>
      </c>
      <c r="O52" s="1633"/>
      <c r="P52" s="2292"/>
      <c r="Q52" s="1633"/>
      <c r="R52" s="2292"/>
      <c r="S52" s="1634"/>
      <c r="U52" s="408"/>
      <c r="V52" s="409"/>
      <c r="W52" s="409"/>
      <c r="X52" s="409">
        <f t="shared" ref="X52:X56" si="10">V52*W52</f>
        <v>0</v>
      </c>
      <c r="Y52" s="409">
        <f t="shared" si="5"/>
        <v>0</v>
      </c>
      <c r="Z52" s="409">
        <f t="shared" si="6"/>
        <v>0</v>
      </c>
      <c r="AA52" s="414">
        <f t="shared" si="7"/>
        <v>0</v>
      </c>
      <c r="AB52" s="415">
        <f t="shared" ref="AB52:AB56" si="11">U52*X52</f>
        <v>0</v>
      </c>
      <c r="AG52" t="s">
        <v>2795</v>
      </c>
    </row>
    <row r="53" spans="1:33" hidden="1" outlineLevel="1">
      <c r="A53" s="2294"/>
      <c r="B53" s="2198" t="s">
        <v>5002</v>
      </c>
      <c r="C53" s="2271"/>
      <c r="D53" s="2272">
        <f>AB53</f>
        <v>384</v>
      </c>
      <c r="E53" s="2273" t="s">
        <v>2845</v>
      </c>
      <c r="F53" s="2300"/>
      <c r="G53" s="662">
        <f t="shared" si="0"/>
        <v>0</v>
      </c>
      <c r="H53" s="2292"/>
      <c r="I53" s="1634"/>
      <c r="J53" s="2292"/>
      <c r="K53" s="1633"/>
      <c r="L53" s="2292"/>
      <c r="M53" s="1633"/>
      <c r="N53" s="2292"/>
      <c r="O53" s="1633"/>
      <c r="P53" s="2292"/>
      <c r="Q53" s="1633"/>
      <c r="R53" s="2292"/>
      <c r="S53" s="1634"/>
      <c r="U53" s="408">
        <v>1</v>
      </c>
      <c r="V53" s="409">
        <v>32</v>
      </c>
      <c r="W53" s="409">
        <v>12</v>
      </c>
      <c r="X53" s="409">
        <f t="shared" si="10"/>
        <v>384</v>
      </c>
      <c r="Y53" s="409">
        <f t="shared" si="5"/>
        <v>32</v>
      </c>
      <c r="Z53" s="409">
        <f t="shared" si="6"/>
        <v>24</v>
      </c>
      <c r="AA53" s="414">
        <f t="shared" si="7"/>
        <v>88</v>
      </c>
      <c r="AB53" s="415">
        <f t="shared" si="11"/>
        <v>384</v>
      </c>
      <c r="AD53" t="s">
        <v>5003</v>
      </c>
      <c r="AE53">
        <v>1</v>
      </c>
      <c r="AF53" t="s">
        <v>3041</v>
      </c>
      <c r="AG53" t="s">
        <v>2795</v>
      </c>
    </row>
    <row r="54" spans="1:33" hidden="1" outlineLevel="1">
      <c r="A54" s="2294"/>
      <c r="B54" s="2198" t="s">
        <v>5004</v>
      </c>
      <c r="C54" s="2271"/>
      <c r="D54" s="2272">
        <f t="shared" ref="D54:D63" si="12">AB54</f>
        <v>136.19999999999999</v>
      </c>
      <c r="E54" s="2273" t="s">
        <v>2845</v>
      </c>
      <c r="F54" s="2300"/>
      <c r="G54" s="662">
        <f t="shared" si="0"/>
        <v>0</v>
      </c>
      <c r="H54" s="2292"/>
      <c r="I54" s="1634"/>
      <c r="J54" s="2292"/>
      <c r="K54" s="1633"/>
      <c r="L54" s="2292"/>
      <c r="M54" s="1633"/>
      <c r="N54" s="2292"/>
      <c r="O54" s="1633"/>
      <c r="P54" s="2292"/>
      <c r="Q54" s="1633"/>
      <c r="R54" s="2292"/>
      <c r="S54" s="1634"/>
      <c r="U54" s="408">
        <v>1</v>
      </c>
      <c r="V54" s="409">
        <v>15</v>
      </c>
      <c r="W54" s="409">
        <v>9.08</v>
      </c>
      <c r="X54" s="409">
        <f t="shared" si="10"/>
        <v>136.19999999999999</v>
      </c>
      <c r="Y54" s="409">
        <f t="shared" si="5"/>
        <v>15</v>
      </c>
      <c r="Z54" s="409">
        <f t="shared" si="6"/>
        <v>18.16</v>
      </c>
      <c r="AA54" s="414">
        <f t="shared" si="7"/>
        <v>48.16</v>
      </c>
      <c r="AB54" s="415">
        <f t="shared" si="11"/>
        <v>136.19999999999999</v>
      </c>
      <c r="AD54" t="s">
        <v>5005</v>
      </c>
      <c r="AE54">
        <v>1</v>
      </c>
      <c r="AF54" t="s">
        <v>3041</v>
      </c>
      <c r="AG54" t="s">
        <v>2795</v>
      </c>
    </row>
    <row r="55" spans="1:33" hidden="1" outlineLevel="1">
      <c r="A55" s="2294"/>
      <c r="B55" s="2198" t="s">
        <v>5006</v>
      </c>
      <c r="C55" s="2271"/>
      <c r="D55" s="2272">
        <f t="shared" si="12"/>
        <v>96</v>
      </c>
      <c r="E55" s="2273" t="s">
        <v>2845</v>
      </c>
      <c r="F55" s="2300"/>
      <c r="G55" s="662">
        <f t="shared" si="0"/>
        <v>0</v>
      </c>
      <c r="H55" s="2292"/>
      <c r="I55" s="1634"/>
      <c r="J55" s="2292"/>
      <c r="K55" s="1633"/>
      <c r="L55" s="2292"/>
      <c r="M55" s="1633"/>
      <c r="N55" s="2292"/>
      <c r="O55" s="1633"/>
      <c r="P55" s="2292"/>
      <c r="Q55" s="1633"/>
      <c r="R55" s="2292"/>
      <c r="S55" s="1634"/>
      <c r="U55" s="408">
        <v>1</v>
      </c>
      <c r="V55" s="409">
        <v>12</v>
      </c>
      <c r="W55" s="409">
        <v>8</v>
      </c>
      <c r="X55" s="409">
        <f t="shared" si="10"/>
        <v>96</v>
      </c>
      <c r="Y55" s="409">
        <f t="shared" si="5"/>
        <v>12</v>
      </c>
      <c r="Z55" s="409">
        <f t="shared" si="6"/>
        <v>16</v>
      </c>
      <c r="AA55" s="414">
        <f t="shared" si="7"/>
        <v>40</v>
      </c>
      <c r="AB55" s="415">
        <f t="shared" si="11"/>
        <v>96</v>
      </c>
      <c r="AD55" t="s">
        <v>5007</v>
      </c>
      <c r="AE55">
        <v>1</v>
      </c>
      <c r="AF55" t="s">
        <v>3041</v>
      </c>
      <c r="AG55" t="s">
        <v>2795</v>
      </c>
    </row>
    <row r="56" spans="1:33" ht="15.75" collapsed="1" thickBot="1">
      <c r="A56" s="2294"/>
      <c r="B56" s="2197" t="s">
        <v>4660</v>
      </c>
      <c r="C56" s="2271"/>
      <c r="D56" s="2272">
        <f>SUM(D57:D63)</f>
        <v>353.98360000000002</v>
      </c>
      <c r="E56" s="2273" t="s">
        <v>2845</v>
      </c>
      <c r="F56" s="2300">
        <f>$F$23</f>
        <v>125</v>
      </c>
      <c r="G56" s="662">
        <f t="shared" si="0"/>
        <v>44248</v>
      </c>
      <c r="H56" s="2292" t="s">
        <v>2931</v>
      </c>
      <c r="I56" s="1634"/>
      <c r="J56" s="2292" t="s">
        <v>2931</v>
      </c>
      <c r="K56" s="1633"/>
      <c r="L56" s="2292"/>
      <c r="M56" s="1633"/>
      <c r="N56" s="2292" t="s">
        <v>2931</v>
      </c>
      <c r="O56" s="1633"/>
      <c r="P56" s="2292"/>
      <c r="Q56" s="1633"/>
      <c r="R56" s="2292"/>
      <c r="S56" s="1634"/>
      <c r="U56" s="408"/>
      <c r="V56" s="409"/>
      <c r="W56" s="409"/>
      <c r="X56" s="409">
        <f t="shared" si="10"/>
        <v>0</v>
      </c>
      <c r="Y56" s="409">
        <f t="shared" si="5"/>
        <v>0</v>
      </c>
      <c r="Z56" s="409">
        <f t="shared" si="6"/>
        <v>0</v>
      </c>
      <c r="AA56" s="414">
        <f t="shared" si="7"/>
        <v>0</v>
      </c>
      <c r="AB56" s="415">
        <f t="shared" si="11"/>
        <v>0</v>
      </c>
      <c r="AG56" t="s">
        <v>2795</v>
      </c>
    </row>
    <row r="57" spans="1:33" ht="15.75" hidden="1" outlineLevel="1" thickBot="1">
      <c r="A57" s="2294"/>
      <c r="B57" s="2198" t="s">
        <v>5008</v>
      </c>
      <c r="C57" s="2271"/>
      <c r="D57" s="2272">
        <f t="shared" si="12"/>
        <v>26.25</v>
      </c>
      <c r="E57" s="2273" t="s">
        <v>2845</v>
      </c>
      <c r="F57" s="2300"/>
      <c r="G57" s="662">
        <f t="shared" si="0"/>
        <v>0</v>
      </c>
      <c r="H57" s="2292"/>
      <c r="I57" s="1634"/>
      <c r="J57" s="2292"/>
      <c r="K57" s="1633"/>
      <c r="L57" s="2292"/>
      <c r="M57" s="1633"/>
      <c r="N57" s="2292"/>
      <c r="O57" s="1633"/>
      <c r="P57" s="2292"/>
      <c r="Q57" s="1633"/>
      <c r="R57" s="2292"/>
      <c r="S57" s="1634"/>
      <c r="U57" s="408">
        <v>1</v>
      </c>
      <c r="V57" s="409">
        <v>3</v>
      </c>
      <c r="W57" s="409">
        <v>8.75</v>
      </c>
      <c r="X57" s="409">
        <f t="shared" ref="X57" si="13">V57*W57</f>
        <v>26.25</v>
      </c>
      <c r="Y57" s="409">
        <f t="shared" si="5"/>
        <v>3</v>
      </c>
      <c r="Z57" s="409">
        <f t="shared" si="6"/>
        <v>17.5</v>
      </c>
      <c r="AA57" s="414">
        <f t="shared" si="7"/>
        <v>23.5</v>
      </c>
      <c r="AB57" s="415">
        <f t="shared" ref="AB57" si="14">U57*X57</f>
        <v>26.25</v>
      </c>
      <c r="AD57" t="s">
        <v>5009</v>
      </c>
      <c r="AE57">
        <v>1</v>
      </c>
      <c r="AF57" t="s">
        <v>3041</v>
      </c>
      <c r="AG57" t="s">
        <v>2795</v>
      </c>
    </row>
    <row r="58" spans="1:33" ht="15.75" hidden="1" outlineLevel="1" thickBot="1">
      <c r="A58" s="2294"/>
      <c r="B58" s="2198" t="s">
        <v>5010</v>
      </c>
      <c r="C58" s="2271"/>
      <c r="D58" s="2272">
        <f t="shared" si="12"/>
        <v>26.25</v>
      </c>
      <c r="E58" s="2273" t="s">
        <v>2845</v>
      </c>
      <c r="F58" s="2300"/>
      <c r="G58" s="662">
        <f t="shared" si="0"/>
        <v>0</v>
      </c>
      <c r="H58" s="2292"/>
      <c r="I58" s="1634"/>
      <c r="J58" s="2292"/>
      <c r="K58" s="1633"/>
      <c r="L58" s="2292"/>
      <c r="M58" s="1633"/>
      <c r="N58" s="2292"/>
      <c r="O58" s="1633"/>
      <c r="P58" s="2292"/>
      <c r="Q58" s="1633"/>
      <c r="R58" s="2292"/>
      <c r="S58" s="1634"/>
      <c r="U58" s="408">
        <v>1</v>
      </c>
      <c r="V58" s="409">
        <v>3</v>
      </c>
      <c r="W58" s="409">
        <v>8.75</v>
      </c>
      <c r="X58" s="409">
        <f t="shared" ref="X58:X63" si="15">V58*W58</f>
        <v>26.25</v>
      </c>
      <c r="Y58" s="409">
        <f t="shared" si="5"/>
        <v>3</v>
      </c>
      <c r="Z58" s="409">
        <f t="shared" si="6"/>
        <v>17.5</v>
      </c>
      <c r="AA58" s="414">
        <f t="shared" si="7"/>
        <v>23.5</v>
      </c>
      <c r="AB58" s="415">
        <f t="shared" ref="AB58:AB63" si="16">U58*X58</f>
        <v>26.25</v>
      </c>
      <c r="AD58" t="s">
        <v>5011</v>
      </c>
      <c r="AE58">
        <v>1</v>
      </c>
      <c r="AF58" t="s">
        <v>3041</v>
      </c>
      <c r="AG58" t="s">
        <v>2795</v>
      </c>
    </row>
    <row r="59" spans="1:33" ht="15.75" hidden="1" outlineLevel="1" thickBot="1">
      <c r="A59" s="2294"/>
      <c r="B59" s="2198" t="s">
        <v>5012</v>
      </c>
      <c r="C59" s="2271"/>
      <c r="D59" s="2272">
        <f t="shared" si="12"/>
        <v>28.53</v>
      </c>
      <c r="E59" s="2273" t="s">
        <v>2845</v>
      </c>
      <c r="F59" s="2300"/>
      <c r="G59" s="662">
        <f t="shared" si="0"/>
        <v>0</v>
      </c>
      <c r="H59" s="2292"/>
      <c r="I59" s="1634"/>
      <c r="J59" s="2292"/>
      <c r="K59" s="1633"/>
      <c r="L59" s="2292"/>
      <c r="M59" s="1633"/>
      <c r="N59" s="2292"/>
      <c r="O59" s="1633"/>
      <c r="P59" s="2292"/>
      <c r="Q59" s="1633"/>
      <c r="R59" s="2292"/>
      <c r="S59" s="1634"/>
      <c r="U59" s="408">
        <v>1</v>
      </c>
      <c r="V59" s="409">
        <v>3.17</v>
      </c>
      <c r="W59" s="409">
        <v>9</v>
      </c>
      <c r="X59" s="409">
        <f t="shared" si="15"/>
        <v>28.53</v>
      </c>
      <c r="Y59" s="409">
        <f t="shared" si="5"/>
        <v>3.17</v>
      </c>
      <c r="Z59" s="409">
        <f t="shared" si="6"/>
        <v>18</v>
      </c>
      <c r="AA59" s="414">
        <f t="shared" si="7"/>
        <v>24.34</v>
      </c>
      <c r="AB59" s="415">
        <f t="shared" si="16"/>
        <v>28.53</v>
      </c>
      <c r="AD59" t="s">
        <v>5013</v>
      </c>
      <c r="AE59">
        <v>1</v>
      </c>
      <c r="AF59" t="s">
        <v>3041</v>
      </c>
    </row>
    <row r="60" spans="1:33" ht="15.75" hidden="1" outlineLevel="1" thickBot="1">
      <c r="A60" s="2294"/>
      <c r="B60" s="2198" t="s">
        <v>5014</v>
      </c>
      <c r="C60" s="2271"/>
      <c r="D60" s="2272">
        <f t="shared" si="12"/>
        <v>29.703600000000002</v>
      </c>
      <c r="E60" s="2273" t="s">
        <v>2845</v>
      </c>
      <c r="F60" s="2300"/>
      <c r="G60" s="662">
        <f t="shared" si="0"/>
        <v>0</v>
      </c>
      <c r="H60" s="2292"/>
      <c r="I60" s="1634"/>
      <c r="J60" s="2292"/>
      <c r="K60" s="1633"/>
      <c r="L60" s="2292"/>
      <c r="M60" s="1633"/>
      <c r="N60" s="2292"/>
      <c r="O60" s="1633"/>
      <c r="P60" s="2292"/>
      <c r="Q60" s="1633"/>
      <c r="R60" s="2292"/>
      <c r="S60" s="1634"/>
      <c r="U60" s="408">
        <v>1</v>
      </c>
      <c r="V60" s="409">
        <v>3.33</v>
      </c>
      <c r="W60" s="409">
        <v>8.92</v>
      </c>
      <c r="X60" s="409">
        <f t="shared" si="15"/>
        <v>29.703600000000002</v>
      </c>
      <c r="Y60" s="409">
        <f t="shared" si="5"/>
        <v>3.33</v>
      </c>
      <c r="Z60" s="409">
        <f t="shared" si="6"/>
        <v>17.84</v>
      </c>
      <c r="AA60" s="414">
        <f t="shared" si="7"/>
        <v>24.5</v>
      </c>
      <c r="AB60" s="415">
        <f t="shared" si="16"/>
        <v>29.703600000000002</v>
      </c>
      <c r="AD60" t="s">
        <v>5015</v>
      </c>
      <c r="AE60">
        <v>1</v>
      </c>
      <c r="AF60" t="s">
        <v>3041</v>
      </c>
      <c r="AG60" t="s">
        <v>2795</v>
      </c>
    </row>
    <row r="61" spans="1:33" ht="15.75" hidden="1" outlineLevel="1" thickBot="1">
      <c r="A61" s="2294"/>
      <c r="B61" s="2198" t="s">
        <v>5016</v>
      </c>
      <c r="C61" s="2271"/>
      <c r="D61" s="2272">
        <f t="shared" si="12"/>
        <v>160</v>
      </c>
      <c r="E61" s="2273" t="s">
        <v>2845</v>
      </c>
      <c r="F61" s="2300"/>
      <c r="G61" s="662">
        <f t="shared" si="0"/>
        <v>0</v>
      </c>
      <c r="H61" s="2292"/>
      <c r="I61" s="1634"/>
      <c r="J61" s="2292"/>
      <c r="K61" s="1633"/>
      <c r="L61" s="2292"/>
      <c r="M61" s="1633"/>
      <c r="N61" s="2292"/>
      <c r="O61" s="1633"/>
      <c r="P61" s="2292"/>
      <c r="Q61" s="1633"/>
      <c r="R61" s="2292"/>
      <c r="S61" s="1634"/>
      <c r="U61" s="408">
        <v>5</v>
      </c>
      <c r="V61" s="409">
        <v>4</v>
      </c>
      <c r="W61" s="409">
        <v>8</v>
      </c>
      <c r="X61" s="409">
        <f t="shared" si="15"/>
        <v>32</v>
      </c>
      <c r="Y61" s="409">
        <f t="shared" si="5"/>
        <v>20</v>
      </c>
      <c r="Z61" s="409">
        <f t="shared" si="6"/>
        <v>80</v>
      </c>
      <c r="AA61" s="414">
        <f t="shared" si="7"/>
        <v>120</v>
      </c>
      <c r="AB61" s="415">
        <f t="shared" si="16"/>
        <v>160</v>
      </c>
      <c r="AD61" t="s">
        <v>5017</v>
      </c>
      <c r="AE61">
        <v>5</v>
      </c>
      <c r="AF61" t="s">
        <v>3041</v>
      </c>
    </row>
    <row r="62" spans="1:33" ht="15.75" hidden="1" outlineLevel="1" thickBot="1">
      <c r="A62" s="2294"/>
      <c r="B62" s="2198" t="s">
        <v>5018</v>
      </c>
      <c r="C62" s="2271"/>
      <c r="D62" s="2272">
        <f t="shared" si="12"/>
        <v>29.25</v>
      </c>
      <c r="E62" s="2273" t="s">
        <v>2845</v>
      </c>
      <c r="F62" s="2300"/>
      <c r="G62" s="662">
        <f t="shared" si="0"/>
        <v>0</v>
      </c>
      <c r="H62" s="2292"/>
      <c r="I62" s="1634"/>
      <c r="J62" s="2292"/>
      <c r="K62" s="1633"/>
      <c r="L62" s="2292"/>
      <c r="M62" s="1633"/>
      <c r="N62" s="2292"/>
      <c r="O62" s="1633"/>
      <c r="P62" s="2292"/>
      <c r="Q62" s="1633"/>
      <c r="R62" s="2292"/>
      <c r="S62" s="1634"/>
      <c r="U62" s="408">
        <v>1</v>
      </c>
      <c r="V62" s="409">
        <v>3.25</v>
      </c>
      <c r="W62" s="409">
        <v>9</v>
      </c>
      <c r="X62" s="409">
        <f t="shared" si="15"/>
        <v>29.25</v>
      </c>
      <c r="Y62" s="409">
        <f t="shared" si="5"/>
        <v>3.25</v>
      </c>
      <c r="Z62" s="409">
        <f t="shared" si="6"/>
        <v>18</v>
      </c>
      <c r="AA62" s="414">
        <f t="shared" si="7"/>
        <v>24.5</v>
      </c>
      <c r="AB62" s="415">
        <f t="shared" si="16"/>
        <v>29.25</v>
      </c>
      <c r="AD62" t="s">
        <v>5019</v>
      </c>
      <c r="AE62">
        <v>1</v>
      </c>
      <c r="AF62" t="s">
        <v>3041</v>
      </c>
      <c r="AG62" t="s">
        <v>2795</v>
      </c>
    </row>
    <row r="63" spans="1:33" ht="15.75" hidden="1" outlineLevel="1" thickBot="1">
      <c r="A63" s="2294"/>
      <c r="B63" s="2198" t="s">
        <v>5020</v>
      </c>
      <c r="C63" s="2271"/>
      <c r="D63" s="2272">
        <f t="shared" si="12"/>
        <v>54</v>
      </c>
      <c r="E63" s="2273" t="s">
        <v>2845</v>
      </c>
      <c r="F63" s="2300"/>
      <c r="G63" s="662">
        <f t="shared" si="0"/>
        <v>0</v>
      </c>
      <c r="H63" s="2292"/>
      <c r="I63" s="1634"/>
      <c r="J63" s="2292"/>
      <c r="K63" s="1633"/>
      <c r="L63" s="2292"/>
      <c r="M63" s="1633"/>
      <c r="N63" s="2292"/>
      <c r="O63" s="1633"/>
      <c r="P63" s="2292"/>
      <c r="Q63" s="1633"/>
      <c r="R63" s="2292"/>
      <c r="S63" s="1634"/>
      <c r="U63" s="420">
        <v>1</v>
      </c>
      <c r="V63" s="421">
        <v>6</v>
      </c>
      <c r="W63" s="421">
        <v>9</v>
      </c>
      <c r="X63" s="421">
        <f t="shared" si="15"/>
        <v>54</v>
      </c>
      <c r="Y63" s="409">
        <f t="shared" si="5"/>
        <v>6</v>
      </c>
      <c r="Z63" s="409">
        <f t="shared" si="6"/>
        <v>18</v>
      </c>
      <c r="AA63" s="414">
        <f t="shared" si="7"/>
        <v>30</v>
      </c>
      <c r="AB63" s="422">
        <f t="shared" si="16"/>
        <v>54</v>
      </c>
      <c r="AD63" t="s">
        <v>5021</v>
      </c>
      <c r="AE63">
        <v>1</v>
      </c>
      <c r="AF63" t="s">
        <v>3041</v>
      </c>
      <c r="AG63" t="s">
        <v>2795</v>
      </c>
    </row>
    <row r="64" spans="1:33" ht="15.75" collapsed="1" thickBot="1">
      <c r="A64" s="2294"/>
      <c r="B64" s="2197" t="s">
        <v>5022</v>
      </c>
      <c r="C64" s="2271"/>
      <c r="D64" s="2272">
        <f>Z64</f>
        <v>728.59999999999991</v>
      </c>
      <c r="E64" s="2273" t="s">
        <v>2864</v>
      </c>
      <c r="F64" s="2300">
        <v>8</v>
      </c>
      <c r="G64" s="662">
        <f t="shared" ref="G64:G72" si="17">ROUND(D64*F64,0)</f>
        <v>5829</v>
      </c>
      <c r="H64" s="2292"/>
      <c r="I64" s="1643">
        <f>$G64</f>
        <v>5829</v>
      </c>
      <c r="J64" s="2292"/>
      <c r="K64" s="1897">
        <v>8720</v>
      </c>
      <c r="L64" s="2292"/>
      <c r="M64" s="1643">
        <f>$G64</f>
        <v>5829</v>
      </c>
      <c r="N64" s="2292" t="s">
        <v>2931</v>
      </c>
      <c r="O64" s="1633"/>
      <c r="P64" s="2292"/>
      <c r="Q64" s="1633"/>
      <c r="R64" s="2292"/>
      <c r="S64" s="1643">
        <f>$G64</f>
        <v>5829</v>
      </c>
      <c r="U64" s="423"/>
      <c r="V64" s="424"/>
      <c r="W64" s="424"/>
      <c r="X64" s="424"/>
      <c r="Y64" s="424">
        <f>SUM(Y32:Y63)</f>
        <v>464.62000000000012</v>
      </c>
      <c r="Z64" s="424">
        <f>SUM(Z32:Z63)</f>
        <v>728.59999999999991</v>
      </c>
      <c r="AA64" s="425">
        <f>SUM(AA32:AA63)</f>
        <v>1657.8399999999997</v>
      </c>
      <c r="AB64" s="426">
        <f>SUM(AB32:AB63)</f>
        <v>5509.2083999999986</v>
      </c>
    </row>
    <row r="65" spans="1:33">
      <c r="A65" s="2294"/>
      <c r="B65" s="2197" t="s">
        <v>5023</v>
      </c>
      <c r="C65" s="2271"/>
      <c r="D65" s="2272">
        <f>AB64</f>
        <v>5509.2083999999986</v>
      </c>
      <c r="E65" s="2273" t="s">
        <v>2845</v>
      </c>
      <c r="F65" s="2300">
        <v>2</v>
      </c>
      <c r="G65" s="662">
        <f t="shared" si="17"/>
        <v>11018</v>
      </c>
      <c r="H65" s="2292" t="s">
        <v>2931</v>
      </c>
      <c r="I65" s="1634"/>
      <c r="J65" s="2292" t="s">
        <v>2931</v>
      </c>
      <c r="K65" s="1633"/>
      <c r="L65" s="2292"/>
      <c r="M65" s="1643">
        <f>$G65</f>
        <v>11018</v>
      </c>
      <c r="N65" s="2292" t="s">
        <v>2931</v>
      </c>
      <c r="O65" s="1633"/>
      <c r="P65" s="2292"/>
      <c r="Q65" s="1633"/>
      <c r="R65" s="2292"/>
      <c r="S65" s="1634"/>
      <c r="U65" s="427"/>
      <c r="V65" s="428"/>
      <c r="W65" s="428"/>
      <c r="X65" s="428"/>
      <c r="Y65" s="428"/>
      <c r="Z65" s="428"/>
      <c r="AA65" s="429"/>
      <c r="AB65" s="430"/>
    </row>
    <row r="66" spans="1:33">
      <c r="A66" s="2294"/>
      <c r="B66" s="2197" t="s">
        <v>5024</v>
      </c>
      <c r="C66" s="2271"/>
      <c r="D66" s="2272"/>
      <c r="E66" s="2273"/>
      <c r="F66" s="2300"/>
      <c r="G66" s="662"/>
      <c r="H66" s="2292" t="s">
        <v>2931</v>
      </c>
      <c r="I66" s="1634"/>
      <c r="J66" s="2292" t="s">
        <v>2931</v>
      </c>
      <c r="K66" s="1633"/>
      <c r="L66" s="2292"/>
      <c r="M66" s="1633"/>
      <c r="N66" s="2292" t="s">
        <v>2931</v>
      </c>
      <c r="O66" s="1633"/>
      <c r="P66" s="2292"/>
      <c r="Q66" s="1633"/>
      <c r="R66" s="2292"/>
      <c r="S66" s="1634"/>
      <c r="U66" s="427"/>
      <c r="V66" s="428"/>
      <c r="W66" s="428"/>
      <c r="X66" s="428"/>
      <c r="Y66" s="428"/>
      <c r="Z66" s="428"/>
      <c r="AA66" s="429"/>
      <c r="AB66" s="430"/>
    </row>
    <row r="67" spans="1:33">
      <c r="A67" s="2294"/>
      <c r="B67" s="2197"/>
      <c r="C67" s="2271"/>
      <c r="D67" s="2272"/>
      <c r="E67" s="2273"/>
      <c r="F67" s="2300"/>
      <c r="G67" s="662"/>
      <c r="H67" s="2292"/>
      <c r="I67" s="1634"/>
      <c r="J67" s="2292"/>
      <c r="K67" s="1633"/>
      <c r="L67" s="2292"/>
      <c r="M67" s="1633"/>
      <c r="N67" s="2292"/>
      <c r="O67" s="1633"/>
      <c r="P67" s="2292"/>
      <c r="Q67" s="1633"/>
      <c r="R67" s="2292"/>
      <c r="S67" s="1634"/>
      <c r="U67" s="427"/>
      <c r="V67" s="428"/>
      <c r="W67" s="428"/>
      <c r="X67" s="428"/>
      <c r="Y67" s="428"/>
      <c r="Z67" s="428"/>
      <c r="AA67" s="429"/>
      <c r="AB67" s="430"/>
    </row>
    <row r="68" spans="1:33">
      <c r="A68" s="2294"/>
      <c r="B68" s="2197" t="s">
        <v>5025</v>
      </c>
      <c r="C68" s="2271"/>
      <c r="D68" s="2272"/>
      <c r="E68" s="2273"/>
      <c r="F68" s="2300"/>
      <c r="G68" s="662">
        <f>ROUND(D68*F68,0)</f>
        <v>0</v>
      </c>
      <c r="H68" s="2292"/>
      <c r="I68" s="1634"/>
      <c r="J68" s="2292"/>
      <c r="K68" s="1633"/>
      <c r="L68" s="2292"/>
      <c r="M68" s="1633"/>
      <c r="N68" s="2292"/>
      <c r="O68" s="1633"/>
      <c r="P68" s="2292"/>
      <c r="Q68" s="1633"/>
      <c r="R68" s="2292"/>
      <c r="S68" s="1634"/>
      <c r="U68" s="408"/>
      <c r="V68" s="409"/>
      <c r="W68" s="409"/>
      <c r="X68" s="409"/>
      <c r="Y68" s="409"/>
      <c r="Z68" s="409"/>
      <c r="AA68" s="414"/>
      <c r="AB68" s="415"/>
    </row>
    <row r="69" spans="1:33">
      <c r="A69" s="2294"/>
      <c r="B69" s="2306" t="s">
        <v>5026</v>
      </c>
      <c r="C69" s="2271"/>
      <c r="D69" s="2307">
        <f>2*6*3</f>
        <v>36</v>
      </c>
      <c r="E69" s="2273" t="s">
        <v>2845</v>
      </c>
      <c r="F69" s="2300">
        <v>75</v>
      </c>
      <c r="G69" s="669">
        <f>ROUND(D69*F69,0)</f>
        <v>2700</v>
      </c>
      <c r="H69" s="2292"/>
      <c r="I69" s="1643">
        <f>$G69</f>
        <v>2700</v>
      </c>
      <c r="J69" s="2292"/>
      <c r="K69" s="1643">
        <f>$G69</f>
        <v>2700</v>
      </c>
      <c r="L69" s="2292"/>
      <c r="M69" s="1643">
        <f>$G69</f>
        <v>2700</v>
      </c>
      <c r="N69" s="2292"/>
      <c r="O69" s="1643">
        <f>$G69</f>
        <v>2700</v>
      </c>
      <c r="P69" s="2292"/>
      <c r="Q69" s="1643"/>
      <c r="R69" s="2292"/>
      <c r="S69" s="1643">
        <f>$G69</f>
        <v>2700</v>
      </c>
      <c r="U69" s="408"/>
      <c r="V69" s="409"/>
      <c r="W69" s="409"/>
      <c r="X69" s="409"/>
      <c r="Y69" s="409"/>
      <c r="Z69" s="409"/>
      <c r="AA69" s="414"/>
      <c r="AB69" s="415"/>
    </row>
    <row r="70" spans="1:33">
      <c r="A70" s="2294"/>
      <c r="B70" s="2197"/>
      <c r="C70" s="2271"/>
      <c r="D70" s="2272"/>
      <c r="E70" s="2273"/>
      <c r="F70" s="2300"/>
      <c r="G70" s="662"/>
      <c r="H70" s="2292"/>
      <c r="I70" s="1634"/>
      <c r="J70" s="2292"/>
      <c r="K70" s="1633"/>
      <c r="L70" s="2292"/>
      <c r="M70" s="1633"/>
      <c r="N70" s="2292"/>
      <c r="O70" s="1633"/>
      <c r="P70" s="2292"/>
      <c r="Q70" s="1633"/>
      <c r="R70" s="2292"/>
      <c r="S70" s="1634"/>
      <c r="U70" s="427"/>
      <c r="V70" s="428"/>
      <c r="W70" s="428"/>
      <c r="X70" s="428"/>
      <c r="Y70" s="428"/>
      <c r="Z70" s="428"/>
      <c r="AA70" s="429"/>
      <c r="AB70" s="430"/>
    </row>
    <row r="71" spans="1:33">
      <c r="A71" s="2294"/>
      <c r="B71" s="2197" t="s">
        <v>5027</v>
      </c>
      <c r="C71" s="2271"/>
      <c r="D71" s="2272">
        <f>7*2.75</f>
        <v>19.25</v>
      </c>
      <c r="E71" s="2273" t="s">
        <v>2845</v>
      </c>
      <c r="F71" s="2300">
        <v>75</v>
      </c>
      <c r="G71" s="662">
        <f t="shared" si="17"/>
        <v>1444</v>
      </c>
      <c r="H71" s="2292"/>
      <c r="I71" s="1643">
        <f>$G71</f>
        <v>1444</v>
      </c>
      <c r="J71" s="2292"/>
      <c r="K71" s="1643">
        <f>$G71</f>
        <v>1444</v>
      </c>
      <c r="L71" s="2292"/>
      <c r="M71" s="1643">
        <f>$G71</f>
        <v>1444</v>
      </c>
      <c r="N71" s="2292"/>
      <c r="O71" s="1643">
        <f>$G71</f>
        <v>1444</v>
      </c>
      <c r="P71" s="2292"/>
      <c r="Q71" s="1643"/>
      <c r="R71" s="2292"/>
      <c r="S71" s="1643">
        <f>$G71</f>
        <v>1444</v>
      </c>
      <c r="U71" s="427"/>
      <c r="V71" s="428"/>
      <c r="W71" s="428"/>
      <c r="X71" s="428"/>
      <c r="Y71" s="428"/>
      <c r="Z71" s="428"/>
      <c r="AA71" s="429"/>
      <c r="AB71" s="430"/>
    </row>
    <row r="72" spans="1:33">
      <c r="A72" s="2294"/>
      <c r="B72" s="2197"/>
      <c r="C72" s="2271"/>
      <c r="D72" s="2272"/>
      <c r="E72" s="2273"/>
      <c r="F72" s="2300"/>
      <c r="G72" s="662">
        <f t="shared" si="17"/>
        <v>0</v>
      </c>
      <c r="H72" s="2292"/>
      <c r="I72" s="1634"/>
      <c r="J72" s="2292"/>
      <c r="K72" s="1633"/>
      <c r="L72" s="2292"/>
      <c r="M72" s="1633"/>
      <c r="N72" s="2292"/>
      <c r="O72" s="1633"/>
      <c r="P72" s="2292"/>
      <c r="Q72" s="1633"/>
      <c r="R72" s="2292"/>
      <c r="S72" s="1634"/>
      <c r="U72" s="408"/>
      <c r="V72" s="409"/>
      <c r="W72" s="409"/>
      <c r="X72" s="409"/>
      <c r="Y72" s="409"/>
      <c r="Z72" s="409"/>
      <c r="AA72" s="414"/>
      <c r="AB72" s="415"/>
    </row>
    <row r="73" spans="1:33">
      <c r="A73" s="2294"/>
      <c r="B73" s="2194" t="s">
        <v>3080</v>
      </c>
      <c r="C73" s="2271"/>
      <c r="D73" s="2272"/>
      <c r="E73" s="2273"/>
      <c r="F73" s="2300"/>
      <c r="G73" s="662">
        <f t="shared" si="0"/>
        <v>0</v>
      </c>
      <c r="H73" s="2292"/>
      <c r="I73" s="1634"/>
      <c r="J73" s="2292"/>
      <c r="K73" s="1633"/>
      <c r="L73" s="2292"/>
      <c r="M73" s="1633"/>
      <c r="N73" s="2292"/>
      <c r="O73" s="1633"/>
      <c r="P73" s="2292"/>
      <c r="Q73" s="1633"/>
      <c r="R73" s="2292"/>
      <c r="S73" s="1634"/>
      <c r="U73" s="408"/>
      <c r="V73" s="409"/>
      <c r="W73" s="409"/>
      <c r="X73" s="409"/>
      <c r="Y73" s="409"/>
      <c r="Z73" s="409"/>
      <c r="AA73" s="414"/>
      <c r="AB73" s="415"/>
      <c r="AG73" t="s">
        <v>2795</v>
      </c>
    </row>
    <row r="74" spans="1:33">
      <c r="A74" s="2294"/>
      <c r="B74" s="2197" t="s">
        <v>4971</v>
      </c>
      <c r="C74" s="2271"/>
      <c r="D74" s="2272">
        <f>SUM(D75:D79)</f>
        <v>677.49890000000005</v>
      </c>
      <c r="E74" s="2273" t="s">
        <v>2845</v>
      </c>
      <c r="F74" s="2300">
        <f t="shared" ref="F74" si="18">$F$21</f>
        <v>150</v>
      </c>
      <c r="G74" s="662">
        <f t="shared" si="0"/>
        <v>101625</v>
      </c>
      <c r="H74" s="2292" t="s">
        <v>2931</v>
      </c>
      <c r="I74" s="1634"/>
      <c r="J74" s="2292" t="s">
        <v>2931</v>
      </c>
      <c r="K74" s="1633"/>
      <c r="L74" s="2292"/>
      <c r="M74" s="1633"/>
      <c r="N74" s="2292" t="s">
        <v>2931</v>
      </c>
      <c r="O74" s="1633"/>
      <c r="P74" s="2292"/>
      <c r="Q74" s="1633"/>
      <c r="R74" s="2292"/>
      <c r="S74" s="2305" t="s">
        <v>4979</v>
      </c>
      <c r="U74" s="408"/>
      <c r="V74" s="409"/>
      <c r="W74" s="409"/>
      <c r="X74" s="409"/>
      <c r="Y74" s="409"/>
      <c r="Z74" s="409"/>
      <c r="AA74" s="414"/>
      <c r="AB74" s="415"/>
      <c r="AG74" t="s">
        <v>2795</v>
      </c>
    </row>
    <row r="75" spans="1:33" hidden="1" outlineLevel="1">
      <c r="A75" s="2294"/>
      <c r="B75" s="2198" t="s">
        <v>5028</v>
      </c>
      <c r="C75" s="2271"/>
      <c r="D75" s="2272">
        <f t="shared" si="4"/>
        <v>57</v>
      </c>
      <c r="E75" s="2273" t="s">
        <v>2845</v>
      </c>
      <c r="F75" s="2300"/>
      <c r="G75" s="662">
        <f t="shared" si="0"/>
        <v>0</v>
      </c>
      <c r="H75" s="2292"/>
      <c r="I75" s="1634"/>
      <c r="J75" s="2292"/>
      <c r="K75" s="1633"/>
      <c r="L75" s="2292"/>
      <c r="M75" s="1633"/>
      <c r="N75" s="2292"/>
      <c r="O75" s="1633"/>
      <c r="P75" s="2292"/>
      <c r="Q75" s="1633"/>
      <c r="R75" s="2292"/>
      <c r="S75" s="1634"/>
      <c r="U75" s="408">
        <v>1</v>
      </c>
      <c r="V75" s="409">
        <v>4</v>
      </c>
      <c r="W75" s="409">
        <v>14.25</v>
      </c>
      <c r="X75" s="409">
        <f t="shared" ref="X75:X79" si="19">V75*W75</f>
        <v>57</v>
      </c>
      <c r="Y75" s="409">
        <f t="shared" ref="Y75" si="20">V75*U75</f>
        <v>4</v>
      </c>
      <c r="Z75" s="409">
        <f t="shared" ref="Z75" si="21">U75*(W75*2)</f>
        <v>28.5</v>
      </c>
      <c r="AA75" s="414">
        <f t="shared" ref="AA75" si="22">U75*(V75+V75+W75+W75)</f>
        <v>36.5</v>
      </c>
      <c r="AB75" s="415">
        <f t="shared" ref="AB75:AB79" si="23">U75*X75</f>
        <v>57</v>
      </c>
      <c r="AG75" t="s">
        <v>2795</v>
      </c>
    </row>
    <row r="76" spans="1:33" hidden="1" outlineLevel="1">
      <c r="A76" s="2294"/>
      <c r="B76" s="2198" t="s">
        <v>5029</v>
      </c>
      <c r="C76" s="2271"/>
      <c r="D76" s="2272">
        <f t="shared" si="4"/>
        <v>121.38</v>
      </c>
      <c r="E76" s="2273" t="s">
        <v>2845</v>
      </c>
      <c r="F76" s="2300"/>
      <c r="G76" s="662">
        <f t="shared" si="0"/>
        <v>0</v>
      </c>
      <c r="H76" s="2292"/>
      <c r="I76" s="1634"/>
      <c r="J76" s="2292"/>
      <c r="K76" s="1633"/>
      <c r="L76" s="2292"/>
      <c r="M76" s="1633"/>
      <c r="N76" s="2292"/>
      <c r="O76" s="1633"/>
      <c r="P76" s="2292"/>
      <c r="Q76" s="1633"/>
      <c r="R76" s="2292"/>
      <c r="S76" s="1634"/>
      <c r="U76" s="408">
        <v>1</v>
      </c>
      <c r="V76" s="409">
        <v>8.67</v>
      </c>
      <c r="W76" s="409">
        <v>14</v>
      </c>
      <c r="X76" s="409">
        <f t="shared" si="19"/>
        <v>121.38</v>
      </c>
      <c r="Y76" s="409">
        <f t="shared" ref="Y76:Y86" si="24">V76*U76</f>
        <v>8.67</v>
      </c>
      <c r="Z76" s="409">
        <f t="shared" ref="Z76:Z86" si="25">U76*(W76*2)</f>
        <v>28</v>
      </c>
      <c r="AA76" s="414">
        <f t="shared" ref="AA76:AA86" si="26">U76*(V76+V76+W76+W76)</f>
        <v>45.34</v>
      </c>
      <c r="AB76" s="415">
        <f t="shared" si="23"/>
        <v>121.38</v>
      </c>
      <c r="AG76" t="s">
        <v>2795</v>
      </c>
    </row>
    <row r="77" spans="1:33" hidden="1" outlineLevel="1">
      <c r="A77" s="2294"/>
      <c r="B77" s="2198" t="s">
        <v>5030</v>
      </c>
      <c r="C77" s="2271"/>
      <c r="D77" s="2272">
        <f t="shared" si="4"/>
        <v>35.625</v>
      </c>
      <c r="E77" s="2273" t="s">
        <v>2845</v>
      </c>
      <c r="F77" s="2300"/>
      <c r="G77" s="662">
        <f t="shared" si="0"/>
        <v>0</v>
      </c>
      <c r="H77" s="2292"/>
      <c r="I77" s="1634"/>
      <c r="J77" s="2292"/>
      <c r="K77" s="1633"/>
      <c r="L77" s="2292"/>
      <c r="M77" s="1633"/>
      <c r="N77" s="2292"/>
      <c r="O77" s="1633"/>
      <c r="P77" s="2292"/>
      <c r="Q77" s="1633"/>
      <c r="R77" s="2292"/>
      <c r="S77" s="1634"/>
      <c r="U77" s="408">
        <v>1</v>
      </c>
      <c r="V77" s="409">
        <v>2.5</v>
      </c>
      <c r="W77" s="409">
        <v>14.25</v>
      </c>
      <c r="X77" s="409">
        <f t="shared" si="19"/>
        <v>35.625</v>
      </c>
      <c r="Y77" s="409">
        <f t="shared" si="24"/>
        <v>2.5</v>
      </c>
      <c r="Z77" s="409">
        <f t="shared" si="25"/>
        <v>28.5</v>
      </c>
      <c r="AA77" s="414">
        <f t="shared" si="26"/>
        <v>33.5</v>
      </c>
      <c r="AB77" s="415">
        <f t="shared" si="23"/>
        <v>35.625</v>
      </c>
      <c r="AG77" t="s">
        <v>2795</v>
      </c>
    </row>
    <row r="78" spans="1:33" hidden="1" outlineLevel="1">
      <c r="A78" s="2294"/>
      <c r="B78" s="2198" t="s">
        <v>5031</v>
      </c>
      <c r="C78" s="2271"/>
      <c r="D78" s="2272">
        <f t="shared" si="4"/>
        <v>363.7439</v>
      </c>
      <c r="E78" s="2273" t="s">
        <v>2845</v>
      </c>
      <c r="F78" s="2300"/>
      <c r="G78" s="662">
        <f t="shared" si="0"/>
        <v>0</v>
      </c>
      <c r="H78" s="2292"/>
      <c r="I78" s="1634"/>
      <c r="J78" s="2292"/>
      <c r="K78" s="1633"/>
      <c r="L78" s="2292"/>
      <c r="M78" s="1633"/>
      <c r="N78" s="2292"/>
      <c r="O78" s="1633"/>
      <c r="P78" s="2292"/>
      <c r="Q78" s="1633"/>
      <c r="R78" s="2292"/>
      <c r="S78" s="1634"/>
      <c r="U78" s="408">
        <v>1</v>
      </c>
      <c r="V78" s="409">
        <v>25.67</v>
      </c>
      <c r="W78" s="409">
        <v>14.17</v>
      </c>
      <c r="X78" s="409">
        <f t="shared" si="19"/>
        <v>363.7439</v>
      </c>
      <c r="Y78" s="409">
        <f t="shared" si="24"/>
        <v>25.67</v>
      </c>
      <c r="Z78" s="409">
        <f t="shared" si="25"/>
        <v>28.34</v>
      </c>
      <c r="AA78" s="414">
        <f t="shared" si="26"/>
        <v>79.680000000000007</v>
      </c>
      <c r="AB78" s="415">
        <f t="shared" si="23"/>
        <v>363.7439</v>
      </c>
      <c r="AG78" t="s">
        <v>2795</v>
      </c>
    </row>
    <row r="79" spans="1:33" hidden="1" outlineLevel="1">
      <c r="A79" s="2294"/>
      <c r="B79" s="2198" t="s">
        <v>5032</v>
      </c>
      <c r="C79" s="2271"/>
      <c r="D79" s="2272">
        <f t="shared" si="4"/>
        <v>99.75</v>
      </c>
      <c r="E79" s="2273" t="s">
        <v>2845</v>
      </c>
      <c r="F79" s="2300"/>
      <c r="G79" s="662">
        <f t="shared" si="0"/>
        <v>0</v>
      </c>
      <c r="H79" s="2292"/>
      <c r="I79" s="1634"/>
      <c r="J79" s="2292"/>
      <c r="K79" s="1633"/>
      <c r="L79" s="2292"/>
      <c r="M79" s="1633"/>
      <c r="N79" s="2292"/>
      <c r="O79" s="1633"/>
      <c r="P79" s="2292"/>
      <c r="Q79" s="1633"/>
      <c r="R79" s="2292"/>
      <c r="S79" s="1634"/>
      <c r="U79" s="408">
        <v>1</v>
      </c>
      <c r="V79" s="409">
        <v>7</v>
      </c>
      <c r="W79" s="409">
        <v>14.25</v>
      </c>
      <c r="X79" s="409">
        <f t="shared" si="19"/>
        <v>99.75</v>
      </c>
      <c r="Y79" s="409">
        <f t="shared" si="24"/>
        <v>7</v>
      </c>
      <c r="Z79" s="409">
        <f t="shared" si="25"/>
        <v>28.5</v>
      </c>
      <c r="AA79" s="414">
        <f t="shared" si="26"/>
        <v>42.5</v>
      </c>
      <c r="AB79" s="415">
        <f t="shared" si="23"/>
        <v>99.75</v>
      </c>
      <c r="AG79" t="s">
        <v>2795</v>
      </c>
    </row>
    <row r="80" spans="1:33" collapsed="1">
      <c r="A80" s="2294"/>
      <c r="B80" s="2197" t="s">
        <v>5001</v>
      </c>
      <c r="C80" s="2271"/>
      <c r="D80" s="2272">
        <f>SUM(D81:D82)</f>
        <v>1179.04</v>
      </c>
      <c r="E80" s="2273" t="s">
        <v>2845</v>
      </c>
      <c r="F80" s="2300">
        <f>$F$22</f>
        <v>300</v>
      </c>
      <c r="G80" s="662">
        <f t="shared" si="0"/>
        <v>353712</v>
      </c>
      <c r="H80" s="2292" t="s">
        <v>2931</v>
      </c>
      <c r="I80" s="1634"/>
      <c r="J80" s="2292" t="s">
        <v>2931</v>
      </c>
      <c r="K80" s="1633"/>
      <c r="L80" s="2292"/>
      <c r="M80" s="1633"/>
      <c r="N80" s="2292" t="s">
        <v>2931</v>
      </c>
      <c r="O80" s="1633"/>
      <c r="P80" s="2292"/>
      <c r="Q80" s="1633"/>
      <c r="R80" s="2292"/>
      <c r="S80" s="1634"/>
      <c r="U80" s="408"/>
      <c r="V80" s="409"/>
      <c r="W80" s="409"/>
      <c r="X80" s="409">
        <f t="shared" ref="X80:X84" si="27">V80*W80</f>
        <v>0</v>
      </c>
      <c r="Y80" s="409">
        <f t="shared" si="24"/>
        <v>0</v>
      </c>
      <c r="Z80" s="409">
        <f t="shared" si="25"/>
        <v>0</v>
      </c>
      <c r="AA80" s="414">
        <f t="shared" si="26"/>
        <v>0</v>
      </c>
      <c r="AB80" s="415">
        <f t="shared" ref="AB80:AB84" si="28">U80*X80</f>
        <v>0</v>
      </c>
      <c r="AG80" t="s">
        <v>2795</v>
      </c>
    </row>
    <row r="81" spans="1:33" hidden="1" outlineLevel="1">
      <c r="A81" s="2294"/>
      <c r="B81" s="2198" t="s">
        <v>5033</v>
      </c>
      <c r="C81" s="2271"/>
      <c r="D81" s="2272">
        <f t="shared" ref="D81:D82" si="29">AB81</f>
        <v>644</v>
      </c>
      <c r="E81" s="2273" t="s">
        <v>2845</v>
      </c>
      <c r="F81" s="2300"/>
      <c r="G81" s="662">
        <f t="shared" si="0"/>
        <v>0</v>
      </c>
      <c r="H81" s="2292"/>
      <c r="I81" s="1634"/>
      <c r="J81" s="2292"/>
      <c r="K81" s="1633"/>
      <c r="L81" s="2292"/>
      <c r="M81" s="1633"/>
      <c r="N81" s="2292"/>
      <c r="O81" s="1633"/>
      <c r="P81" s="2292"/>
      <c r="Q81" s="1633"/>
      <c r="R81" s="2292"/>
      <c r="S81" s="1634"/>
      <c r="U81" s="408">
        <v>2</v>
      </c>
      <c r="V81" s="409">
        <v>23</v>
      </c>
      <c r="W81" s="409">
        <v>14</v>
      </c>
      <c r="X81" s="409">
        <f t="shared" si="27"/>
        <v>322</v>
      </c>
      <c r="Y81" s="409">
        <f t="shared" si="24"/>
        <v>46</v>
      </c>
      <c r="Z81" s="409">
        <f t="shared" si="25"/>
        <v>56</v>
      </c>
      <c r="AA81" s="414">
        <f t="shared" si="26"/>
        <v>148</v>
      </c>
      <c r="AB81" s="415">
        <f t="shared" si="28"/>
        <v>644</v>
      </c>
      <c r="AD81" t="s">
        <v>5034</v>
      </c>
      <c r="AE81">
        <v>2</v>
      </c>
      <c r="AF81" t="s">
        <v>3041</v>
      </c>
      <c r="AG81" t="s">
        <v>2795</v>
      </c>
    </row>
    <row r="82" spans="1:33" hidden="1" outlineLevel="1">
      <c r="A82" s="2294"/>
      <c r="B82" s="2198" t="s">
        <v>5035</v>
      </c>
      <c r="C82" s="2271"/>
      <c r="D82" s="2272">
        <f t="shared" si="29"/>
        <v>535.04</v>
      </c>
      <c r="E82" s="2273" t="s">
        <v>2845</v>
      </c>
      <c r="F82" s="2300"/>
      <c r="G82" s="662">
        <f t="shared" si="0"/>
        <v>0</v>
      </c>
      <c r="H82" s="2292"/>
      <c r="I82" s="1634"/>
      <c r="J82" s="2292"/>
      <c r="K82" s="1633"/>
      <c r="L82" s="2292"/>
      <c r="M82" s="1633"/>
      <c r="N82" s="2292"/>
      <c r="O82" s="1633"/>
      <c r="P82" s="2292"/>
      <c r="Q82" s="1633"/>
      <c r="R82" s="2292"/>
      <c r="S82" s="1634"/>
      <c r="U82" s="408">
        <v>2</v>
      </c>
      <c r="V82" s="409">
        <v>19</v>
      </c>
      <c r="W82" s="409">
        <v>14.08</v>
      </c>
      <c r="X82" s="409">
        <f t="shared" si="27"/>
        <v>267.52</v>
      </c>
      <c r="Y82" s="409">
        <f t="shared" si="24"/>
        <v>38</v>
      </c>
      <c r="Z82" s="409">
        <f t="shared" si="25"/>
        <v>56.32</v>
      </c>
      <c r="AA82" s="414">
        <f t="shared" si="26"/>
        <v>132.32</v>
      </c>
      <c r="AB82" s="415">
        <f t="shared" si="28"/>
        <v>535.04</v>
      </c>
      <c r="AD82" t="s">
        <v>5036</v>
      </c>
      <c r="AE82">
        <v>2</v>
      </c>
      <c r="AF82" t="s">
        <v>3041</v>
      </c>
      <c r="AG82" t="s">
        <v>2795</v>
      </c>
    </row>
    <row r="83" spans="1:33" ht="15.75" collapsed="1" thickBot="1">
      <c r="A83" s="2294"/>
      <c r="B83" s="2197" t="s">
        <v>4660</v>
      </c>
      <c r="C83" s="2271"/>
      <c r="D83" s="2272">
        <f>SUM(D84:D86)</f>
        <v>126.64999999999999</v>
      </c>
      <c r="E83" s="2273" t="s">
        <v>2845</v>
      </c>
      <c r="F83" s="2300">
        <f t="shared" ref="F83" si="30">$F$23</f>
        <v>125</v>
      </c>
      <c r="G83" s="662">
        <f t="shared" si="0"/>
        <v>15831</v>
      </c>
      <c r="H83" s="2292" t="s">
        <v>2931</v>
      </c>
      <c r="I83" s="1634"/>
      <c r="J83" s="2292" t="s">
        <v>2931</v>
      </c>
      <c r="K83" s="1633"/>
      <c r="L83" s="2292"/>
      <c r="M83" s="1633"/>
      <c r="N83" s="2292" t="s">
        <v>2931</v>
      </c>
      <c r="O83" s="1633"/>
      <c r="P83" s="2292"/>
      <c r="Q83" s="1633"/>
      <c r="R83" s="2292"/>
      <c r="S83" s="1634"/>
      <c r="U83" s="408"/>
      <c r="V83" s="409"/>
      <c r="W83" s="409"/>
      <c r="X83" s="409">
        <f t="shared" si="27"/>
        <v>0</v>
      </c>
      <c r="Y83" s="409">
        <f t="shared" si="24"/>
        <v>0</v>
      </c>
      <c r="Z83" s="409">
        <f t="shared" si="25"/>
        <v>0</v>
      </c>
      <c r="AA83" s="414">
        <f t="shared" si="26"/>
        <v>0</v>
      </c>
      <c r="AB83" s="415">
        <f t="shared" si="28"/>
        <v>0</v>
      </c>
    </row>
    <row r="84" spans="1:33" ht="15.75" hidden="1" outlineLevel="1" thickBot="1">
      <c r="A84" s="2294"/>
      <c r="B84" s="2198" t="s">
        <v>5037</v>
      </c>
      <c r="C84" s="2271"/>
      <c r="D84" s="2272">
        <f t="shared" ref="D84:D86" si="31">AB84</f>
        <v>26.009999999999998</v>
      </c>
      <c r="E84" s="2273" t="s">
        <v>2845</v>
      </c>
      <c r="F84" s="2300"/>
      <c r="G84" s="662">
        <f t="shared" si="0"/>
        <v>0</v>
      </c>
      <c r="H84" s="2292"/>
      <c r="I84" s="1634"/>
      <c r="J84" s="2292"/>
      <c r="K84" s="1633"/>
      <c r="L84" s="2292"/>
      <c r="M84" s="1633"/>
      <c r="N84" s="2292"/>
      <c r="O84" s="1633"/>
      <c r="P84" s="2292"/>
      <c r="Q84" s="1633"/>
      <c r="R84" s="2292"/>
      <c r="S84" s="1634"/>
      <c r="U84" s="408">
        <v>1</v>
      </c>
      <c r="V84" s="409">
        <v>3</v>
      </c>
      <c r="W84" s="409">
        <v>8.67</v>
      </c>
      <c r="X84" s="409">
        <f t="shared" si="27"/>
        <v>26.009999999999998</v>
      </c>
      <c r="Y84" s="409">
        <f t="shared" si="24"/>
        <v>3</v>
      </c>
      <c r="Z84" s="409">
        <f t="shared" si="25"/>
        <v>17.34</v>
      </c>
      <c r="AA84" s="414">
        <f t="shared" si="26"/>
        <v>23.34</v>
      </c>
      <c r="AB84" s="415">
        <f t="shared" si="28"/>
        <v>26.009999999999998</v>
      </c>
      <c r="AD84" t="s">
        <v>5038</v>
      </c>
      <c r="AE84">
        <v>1</v>
      </c>
      <c r="AF84" t="s">
        <v>3041</v>
      </c>
    </row>
    <row r="85" spans="1:33" ht="15.75" hidden="1" outlineLevel="1" thickBot="1">
      <c r="A85" s="2294"/>
      <c r="B85" s="2198" t="s">
        <v>5039</v>
      </c>
      <c r="C85" s="2271"/>
      <c r="D85" s="2272">
        <f t="shared" si="31"/>
        <v>54</v>
      </c>
      <c r="E85" s="2273" t="s">
        <v>2845</v>
      </c>
      <c r="F85" s="2300"/>
      <c r="G85" s="662">
        <f t="shared" si="0"/>
        <v>0</v>
      </c>
      <c r="H85" s="2292"/>
      <c r="I85" s="1634"/>
      <c r="J85" s="2292"/>
      <c r="K85" s="1633"/>
      <c r="L85" s="2292"/>
      <c r="M85" s="1633"/>
      <c r="N85" s="2292"/>
      <c r="O85" s="1633"/>
      <c r="P85" s="2292"/>
      <c r="Q85" s="1633"/>
      <c r="R85" s="2292"/>
      <c r="S85" s="1634"/>
      <c r="U85" s="408">
        <v>2</v>
      </c>
      <c r="V85" s="409">
        <v>3</v>
      </c>
      <c r="W85" s="409">
        <v>9</v>
      </c>
      <c r="X85" s="409">
        <f t="shared" ref="X85:X86" si="32">V85*W85</f>
        <v>27</v>
      </c>
      <c r="Y85" s="409">
        <f t="shared" si="24"/>
        <v>6</v>
      </c>
      <c r="Z85" s="409">
        <f t="shared" si="25"/>
        <v>36</v>
      </c>
      <c r="AA85" s="414">
        <f t="shared" si="26"/>
        <v>48</v>
      </c>
      <c r="AB85" s="415">
        <f t="shared" ref="AB85:AB86" si="33">U85*X85</f>
        <v>54</v>
      </c>
      <c r="AD85" t="s">
        <v>5040</v>
      </c>
      <c r="AE85">
        <v>2</v>
      </c>
      <c r="AF85" t="s">
        <v>3041</v>
      </c>
    </row>
    <row r="86" spans="1:33" ht="15.75" hidden="1" outlineLevel="1" thickBot="1">
      <c r="A86" s="2294"/>
      <c r="B86" s="2198" t="s">
        <v>5041</v>
      </c>
      <c r="C86" s="2271"/>
      <c r="D86" s="2272">
        <f t="shared" si="31"/>
        <v>46.64</v>
      </c>
      <c r="E86" s="2273" t="s">
        <v>2845</v>
      </c>
      <c r="F86" s="2300"/>
      <c r="G86" s="662">
        <f t="shared" si="0"/>
        <v>0</v>
      </c>
      <c r="H86" s="2292"/>
      <c r="I86" s="1634"/>
      <c r="J86" s="2292"/>
      <c r="K86" s="1633"/>
      <c r="L86" s="2292"/>
      <c r="M86" s="1633"/>
      <c r="N86" s="2292"/>
      <c r="O86" s="1633"/>
      <c r="P86" s="2292"/>
      <c r="Q86" s="1633"/>
      <c r="R86" s="2292"/>
      <c r="S86" s="1634"/>
      <c r="U86" s="408">
        <v>1</v>
      </c>
      <c r="V86" s="409">
        <v>5.83</v>
      </c>
      <c r="W86" s="409">
        <v>8</v>
      </c>
      <c r="X86" s="409">
        <f t="shared" si="32"/>
        <v>46.64</v>
      </c>
      <c r="Y86" s="409">
        <f t="shared" si="24"/>
        <v>5.83</v>
      </c>
      <c r="Z86" s="409">
        <f t="shared" si="25"/>
        <v>16</v>
      </c>
      <c r="AA86" s="414">
        <f t="shared" si="26"/>
        <v>27.66</v>
      </c>
      <c r="AB86" s="415">
        <f t="shared" si="33"/>
        <v>46.64</v>
      </c>
      <c r="AD86" t="s">
        <v>5042</v>
      </c>
      <c r="AE86">
        <v>1</v>
      </c>
      <c r="AF86" t="s">
        <v>3041</v>
      </c>
    </row>
    <row r="87" spans="1:33" ht="15.75" collapsed="1" thickBot="1">
      <c r="A87" s="2294"/>
      <c r="B87" s="2197" t="s">
        <v>5022</v>
      </c>
      <c r="C87" s="2271"/>
      <c r="D87" s="2272">
        <f>Z87</f>
        <v>323.5</v>
      </c>
      <c r="E87" s="2273" t="s">
        <v>2864</v>
      </c>
      <c r="F87" s="2300">
        <v>8</v>
      </c>
      <c r="G87" s="662">
        <f t="shared" ref="G87:G88" si="34">ROUND(D87*F87,0)</f>
        <v>2588</v>
      </c>
      <c r="H87" s="2292"/>
      <c r="I87" s="1643">
        <f>$G87</f>
        <v>2588</v>
      </c>
      <c r="J87" s="2292"/>
      <c r="K87" s="1633">
        <v>4100</v>
      </c>
      <c r="L87" s="2292"/>
      <c r="M87" s="1643">
        <f>$G87</f>
        <v>2588</v>
      </c>
      <c r="N87" s="2292" t="s">
        <v>2931</v>
      </c>
      <c r="O87" s="1633"/>
      <c r="P87" s="2292"/>
      <c r="Q87" s="1633"/>
      <c r="R87" s="2292"/>
      <c r="S87" s="1643">
        <f>$G87</f>
        <v>2588</v>
      </c>
      <c r="U87" s="423"/>
      <c r="V87" s="424"/>
      <c r="W87" s="424"/>
      <c r="X87" s="424"/>
      <c r="Y87" s="424">
        <f>SUM(Y75:Y86)</f>
        <v>146.67000000000002</v>
      </c>
      <c r="Z87" s="424">
        <f>SUM(Z75:Z86)</f>
        <v>323.5</v>
      </c>
      <c r="AA87" s="425">
        <f>SUM(AA75:AA86)</f>
        <v>616.83999999999992</v>
      </c>
      <c r="AB87" s="426">
        <f>SUM(AB75:AB86)</f>
        <v>1983.1889000000001</v>
      </c>
    </row>
    <row r="88" spans="1:33">
      <c r="A88" s="2294"/>
      <c r="B88" s="2197" t="s">
        <v>5023</v>
      </c>
      <c r="C88" s="2271"/>
      <c r="D88" s="2272">
        <f>AB87</f>
        <v>1983.1889000000001</v>
      </c>
      <c r="E88" s="2273" t="s">
        <v>2845</v>
      </c>
      <c r="F88" s="2300">
        <v>2</v>
      </c>
      <c r="G88" s="662">
        <f t="shared" si="34"/>
        <v>3966</v>
      </c>
      <c r="H88" s="2292" t="s">
        <v>2931</v>
      </c>
      <c r="I88" s="1634"/>
      <c r="J88" s="2292" t="s">
        <v>2931</v>
      </c>
      <c r="K88" s="1633"/>
      <c r="L88" s="2292"/>
      <c r="M88" s="1643">
        <f>$G88</f>
        <v>3966</v>
      </c>
      <c r="N88" s="2292" t="s">
        <v>2931</v>
      </c>
      <c r="O88" s="1633"/>
      <c r="P88" s="2292"/>
      <c r="Q88" s="1633"/>
      <c r="R88" s="2292"/>
      <c r="S88" s="1634"/>
      <c r="U88" s="427"/>
      <c r="V88" s="428"/>
      <c r="W88" s="428"/>
      <c r="X88" s="428"/>
      <c r="Y88" s="428"/>
      <c r="Z88" s="428"/>
      <c r="AA88" s="429"/>
      <c r="AB88" s="430"/>
    </row>
    <row r="89" spans="1:33">
      <c r="A89" s="2294"/>
      <c r="B89" s="2197" t="s">
        <v>5024</v>
      </c>
      <c r="C89" s="2271"/>
      <c r="D89" s="2272"/>
      <c r="E89" s="2273"/>
      <c r="F89" s="2300"/>
      <c r="G89" s="662"/>
      <c r="H89" s="2292" t="s">
        <v>2931</v>
      </c>
      <c r="I89" s="1634"/>
      <c r="J89" s="2292" t="s">
        <v>2931</v>
      </c>
      <c r="K89" s="1633"/>
      <c r="L89" s="2292"/>
      <c r="M89" s="1633"/>
      <c r="N89" s="2292" t="s">
        <v>2931</v>
      </c>
      <c r="O89" s="1633"/>
      <c r="P89" s="2292"/>
      <c r="Q89" s="1633"/>
      <c r="R89" s="2292"/>
      <c r="S89" s="1634"/>
      <c r="U89" s="427"/>
      <c r="V89" s="428"/>
      <c r="W89" s="428"/>
      <c r="X89" s="428"/>
      <c r="Y89" s="428"/>
      <c r="Z89" s="428"/>
      <c r="AA89" s="429"/>
      <c r="AB89" s="430"/>
    </row>
    <row r="90" spans="1:33">
      <c r="A90" s="2294"/>
      <c r="B90" s="2197"/>
      <c r="C90" s="2271"/>
      <c r="D90" s="2272"/>
      <c r="E90" s="2273"/>
      <c r="F90" s="2300"/>
      <c r="G90" s="662"/>
      <c r="H90" s="2292"/>
      <c r="I90" s="1634"/>
      <c r="J90" s="2292"/>
      <c r="K90" s="1633"/>
      <c r="L90" s="2292"/>
      <c r="M90" s="1633"/>
      <c r="N90" s="2292"/>
      <c r="O90" s="1633"/>
      <c r="P90" s="2292"/>
      <c r="Q90" s="1633"/>
      <c r="R90" s="2292"/>
      <c r="S90" s="1634"/>
      <c r="U90" s="427"/>
      <c r="V90" s="428"/>
      <c r="W90" s="428"/>
      <c r="X90" s="428"/>
      <c r="Y90" s="428"/>
      <c r="Z90" s="428"/>
      <c r="AA90" s="429"/>
      <c r="AB90" s="430"/>
    </row>
    <row r="91" spans="1:33">
      <c r="A91" s="2294"/>
      <c r="B91" s="2197" t="s">
        <v>5043</v>
      </c>
      <c r="C91" s="2271"/>
      <c r="D91" s="2272">
        <f>6.17*4.67</f>
        <v>28.8139</v>
      </c>
      <c r="E91" s="2273" t="s">
        <v>2845</v>
      </c>
      <c r="F91" s="2300">
        <v>150</v>
      </c>
      <c r="G91" s="662">
        <f t="shared" ref="G91" si="35">ROUND(D91*F91,0)</f>
        <v>4322</v>
      </c>
      <c r="H91" s="2292"/>
      <c r="I91" s="1643">
        <f>$G91</f>
        <v>4322</v>
      </c>
      <c r="J91" s="2292"/>
      <c r="K91" s="1643">
        <f>$G91</f>
        <v>4322</v>
      </c>
      <c r="L91" s="2292"/>
      <c r="M91" s="1643">
        <f>$G91</f>
        <v>4322</v>
      </c>
      <c r="N91" s="2292"/>
      <c r="O91" s="1643">
        <f>$G91</f>
        <v>4322</v>
      </c>
      <c r="P91" s="2292"/>
      <c r="Q91" s="1643"/>
      <c r="R91" s="2292"/>
      <c r="S91" s="1643">
        <f>$G91</f>
        <v>4322</v>
      </c>
      <c r="U91" s="427"/>
      <c r="V91" s="428"/>
      <c r="W91" s="428"/>
      <c r="X91" s="428"/>
      <c r="Y91" s="428"/>
      <c r="Z91" s="428"/>
      <c r="AA91" s="429"/>
      <c r="AB91" s="430"/>
    </row>
    <row r="92" spans="1:33">
      <c r="A92" s="2294"/>
      <c r="B92" s="2197" t="s">
        <v>5044</v>
      </c>
      <c r="C92" s="2271"/>
      <c r="D92" s="2272">
        <f>3.25*4.83</f>
        <v>15.6975</v>
      </c>
      <c r="E92" s="2273" t="s">
        <v>2845</v>
      </c>
      <c r="F92" s="2300">
        <v>150</v>
      </c>
      <c r="G92" s="662">
        <f t="shared" ref="G92" si="36">ROUND(D92*F92,0)</f>
        <v>2355</v>
      </c>
      <c r="H92" s="2292"/>
      <c r="I92" s="1643">
        <f>$G92</f>
        <v>2355</v>
      </c>
      <c r="J92" s="2292"/>
      <c r="K92" s="1643">
        <f>$G92</f>
        <v>2355</v>
      </c>
      <c r="L92" s="2292"/>
      <c r="M92" s="1643">
        <f>$G92</f>
        <v>2355</v>
      </c>
      <c r="N92" s="2292"/>
      <c r="O92" s="1643">
        <f>$G92</f>
        <v>2355</v>
      </c>
      <c r="P92" s="2292"/>
      <c r="Q92" s="1643"/>
      <c r="R92" s="2292"/>
      <c r="S92" s="1643">
        <f>$G92</f>
        <v>2355</v>
      </c>
      <c r="U92" s="408"/>
      <c r="V92" s="409"/>
      <c r="W92" s="409"/>
      <c r="X92" s="409"/>
      <c r="Y92" s="409"/>
      <c r="Z92" s="409"/>
      <c r="AA92" s="414"/>
      <c r="AB92" s="415"/>
    </row>
    <row r="93" spans="1:33">
      <c r="A93" s="2294"/>
      <c r="B93" s="2197"/>
      <c r="C93" s="2271"/>
      <c r="D93" s="2272"/>
      <c r="E93" s="2273"/>
      <c r="F93" s="2300"/>
      <c r="G93" s="662">
        <f t="shared" si="0"/>
        <v>0</v>
      </c>
      <c r="H93" s="2292"/>
      <c r="I93" s="1634"/>
      <c r="J93" s="2292"/>
      <c r="K93" s="1633"/>
      <c r="L93" s="2292"/>
      <c r="M93" s="1633"/>
      <c r="N93" s="2292"/>
      <c r="O93" s="1633"/>
      <c r="P93" s="2292"/>
      <c r="Q93" s="1633"/>
      <c r="R93" s="2292"/>
      <c r="S93" s="1634"/>
      <c r="U93" s="408"/>
      <c r="V93" s="409"/>
      <c r="W93" s="409"/>
      <c r="X93" s="409"/>
      <c r="Y93" s="409"/>
      <c r="Z93" s="409"/>
      <c r="AA93" s="414"/>
      <c r="AB93" s="415"/>
    </row>
    <row r="94" spans="1:33">
      <c r="A94" s="2294"/>
      <c r="B94" s="2194" t="s">
        <v>5045</v>
      </c>
      <c r="C94" s="2271"/>
      <c r="D94" s="2272"/>
      <c r="E94" s="2273"/>
      <c r="F94" s="2300"/>
      <c r="G94" s="662">
        <f t="shared" si="0"/>
        <v>0</v>
      </c>
      <c r="H94" s="2292"/>
      <c r="I94" s="1634"/>
      <c r="J94" s="2292"/>
      <c r="K94" s="1633"/>
      <c r="L94" s="2292"/>
      <c r="M94" s="1633"/>
      <c r="N94" s="2292"/>
      <c r="O94" s="1633"/>
      <c r="P94" s="2292"/>
      <c r="Q94" s="1633"/>
      <c r="R94" s="2292"/>
      <c r="S94" s="1634"/>
      <c r="U94" s="408"/>
      <c r="V94" s="409"/>
      <c r="W94" s="409"/>
      <c r="X94" s="409"/>
      <c r="Y94" s="409"/>
      <c r="Z94" s="409"/>
      <c r="AA94" s="414"/>
      <c r="AB94" s="415"/>
    </row>
    <row r="95" spans="1:33">
      <c r="A95" s="2294"/>
      <c r="B95" s="2197" t="s">
        <v>4971</v>
      </c>
      <c r="C95" s="2271"/>
      <c r="D95" s="2272">
        <f>SUM(D96:D152)</f>
        <v>5543.1963000000032</v>
      </c>
      <c r="E95" s="2273" t="s">
        <v>2845</v>
      </c>
      <c r="F95" s="2300">
        <f t="shared" ref="F95" si="37">$F$21</f>
        <v>150</v>
      </c>
      <c r="G95" s="662">
        <f t="shared" si="0"/>
        <v>831479</v>
      </c>
      <c r="H95" s="2292" t="s">
        <v>2931</v>
      </c>
      <c r="I95" s="1634"/>
      <c r="J95" s="2292" t="s">
        <v>2931</v>
      </c>
      <c r="K95" s="1633"/>
      <c r="L95" s="2292"/>
      <c r="M95" s="1633"/>
      <c r="N95" s="2292" t="s">
        <v>2931</v>
      </c>
      <c r="O95" s="1633"/>
      <c r="P95" s="2292"/>
      <c r="Q95" s="1633"/>
      <c r="R95" s="2292"/>
      <c r="S95" s="2305" t="s">
        <v>4979</v>
      </c>
      <c r="U95" s="408"/>
      <c r="V95" s="409"/>
      <c r="W95" s="409"/>
      <c r="X95" s="409"/>
      <c r="Y95" s="409"/>
      <c r="Z95" s="409"/>
      <c r="AA95" s="414"/>
      <c r="AB95" s="415"/>
    </row>
    <row r="96" spans="1:33" hidden="1" outlineLevel="1">
      <c r="A96" s="2294"/>
      <c r="B96" s="2198" t="s">
        <v>5046</v>
      </c>
      <c r="C96" s="2271"/>
      <c r="D96" s="2272">
        <f t="shared" si="4"/>
        <v>433.70640000000003</v>
      </c>
      <c r="E96" s="2273" t="s">
        <v>2845</v>
      </c>
      <c r="F96" s="2300"/>
      <c r="G96" s="662">
        <f t="shared" si="0"/>
        <v>0</v>
      </c>
      <c r="H96" s="2292"/>
      <c r="I96" s="1634"/>
      <c r="J96" s="2292"/>
      <c r="K96" s="1633"/>
      <c r="L96" s="2292"/>
      <c r="M96" s="1633"/>
      <c r="N96" s="2292"/>
      <c r="O96" s="1633"/>
      <c r="P96" s="2292"/>
      <c r="Q96" s="1633"/>
      <c r="R96" s="2292"/>
      <c r="S96" s="1634"/>
      <c r="U96" s="408">
        <v>1</v>
      </c>
      <c r="V96" s="409">
        <v>34.92</v>
      </c>
      <c r="W96" s="409">
        <v>12.42</v>
      </c>
      <c r="X96" s="409">
        <f t="shared" si="8"/>
        <v>433.70640000000003</v>
      </c>
      <c r="Y96" s="409">
        <f t="shared" ref="Y96" si="38">V96*U96</f>
        <v>34.92</v>
      </c>
      <c r="Z96" s="409">
        <f t="shared" ref="Z96" si="39">U96*(W96*2)</f>
        <v>24.84</v>
      </c>
      <c r="AA96" s="414">
        <f t="shared" ref="AA96" si="40">U96*(V96+V96+W96+W96)</f>
        <v>94.68</v>
      </c>
      <c r="AB96" s="415">
        <f t="shared" si="9"/>
        <v>433.70640000000003</v>
      </c>
    </row>
    <row r="97" spans="1:28" hidden="1" outlineLevel="1">
      <c r="A97" s="2294"/>
      <c r="B97" s="2198" t="s">
        <v>5047</v>
      </c>
      <c r="C97" s="2271"/>
      <c r="D97" s="2272">
        <f t="shared" si="4"/>
        <v>62.1</v>
      </c>
      <c r="E97" s="2273" t="s">
        <v>2845</v>
      </c>
      <c r="F97" s="2300"/>
      <c r="G97" s="662">
        <f t="shared" si="0"/>
        <v>0</v>
      </c>
      <c r="H97" s="2292"/>
      <c r="I97" s="1634"/>
      <c r="J97" s="2292"/>
      <c r="K97" s="1633"/>
      <c r="L97" s="2292"/>
      <c r="M97" s="1633"/>
      <c r="N97" s="2292"/>
      <c r="O97" s="1633"/>
      <c r="P97" s="2292"/>
      <c r="Q97" s="1633"/>
      <c r="R97" s="2292"/>
      <c r="S97" s="1634"/>
      <c r="U97" s="408">
        <v>1</v>
      </c>
      <c r="V97" s="409">
        <v>5</v>
      </c>
      <c r="W97" s="409">
        <v>12.42</v>
      </c>
      <c r="X97" s="409">
        <f t="shared" si="8"/>
        <v>62.1</v>
      </c>
      <c r="Y97" s="409">
        <f t="shared" ref="Y97:Y156" si="41">V97*U97</f>
        <v>5</v>
      </c>
      <c r="Z97" s="409">
        <f t="shared" ref="Z97:Z156" si="42">U97*(W97*2)</f>
        <v>24.84</v>
      </c>
      <c r="AA97" s="414">
        <f t="shared" ref="AA97:AA156" si="43">U97*(V97+V97+W97+W97)</f>
        <v>34.840000000000003</v>
      </c>
      <c r="AB97" s="415">
        <f t="shared" si="9"/>
        <v>62.1</v>
      </c>
    </row>
    <row r="98" spans="1:28" hidden="1" outlineLevel="1">
      <c r="A98" s="2294"/>
      <c r="B98" s="2198" t="s">
        <v>5048</v>
      </c>
      <c r="C98" s="2271"/>
      <c r="D98" s="2272">
        <f t="shared" si="4"/>
        <v>62.1</v>
      </c>
      <c r="E98" s="2273" t="s">
        <v>2845</v>
      </c>
      <c r="F98" s="2300"/>
      <c r="G98" s="662">
        <f t="shared" si="0"/>
        <v>0</v>
      </c>
      <c r="H98" s="2292"/>
      <c r="I98" s="1634"/>
      <c r="J98" s="2292"/>
      <c r="K98" s="1633"/>
      <c r="L98" s="2292"/>
      <c r="M98" s="1633"/>
      <c r="N98" s="2292"/>
      <c r="O98" s="1633"/>
      <c r="P98" s="2292"/>
      <c r="Q98" s="1633"/>
      <c r="R98" s="2292"/>
      <c r="S98" s="1634"/>
      <c r="U98" s="408">
        <v>1</v>
      </c>
      <c r="V98" s="409">
        <v>5</v>
      </c>
      <c r="W98" s="409">
        <v>12.42</v>
      </c>
      <c r="X98" s="409">
        <f t="shared" si="8"/>
        <v>62.1</v>
      </c>
      <c r="Y98" s="409">
        <f t="shared" si="41"/>
        <v>5</v>
      </c>
      <c r="Z98" s="409">
        <f t="shared" si="42"/>
        <v>24.84</v>
      </c>
      <c r="AA98" s="414">
        <f t="shared" si="43"/>
        <v>34.840000000000003</v>
      </c>
      <c r="AB98" s="415">
        <f t="shared" si="9"/>
        <v>62.1</v>
      </c>
    </row>
    <row r="99" spans="1:28" hidden="1" outlineLevel="1">
      <c r="A99" s="2294">
        <f>50-3.17-3.17</f>
        <v>43.66</v>
      </c>
      <c r="B99" s="2198" t="s">
        <v>5049</v>
      </c>
      <c r="C99" s="2271"/>
      <c r="D99" s="2272">
        <f t="shared" si="4"/>
        <v>542.38139999999999</v>
      </c>
      <c r="E99" s="2273" t="s">
        <v>2845</v>
      </c>
      <c r="F99" s="2300"/>
      <c r="G99" s="662">
        <f t="shared" si="0"/>
        <v>0</v>
      </c>
      <c r="H99" s="2292"/>
      <c r="I99" s="1634"/>
      <c r="J99" s="2292"/>
      <c r="K99" s="1633"/>
      <c r="L99" s="2292"/>
      <c r="M99" s="1633"/>
      <c r="N99" s="2292"/>
      <c r="O99" s="1633"/>
      <c r="P99" s="2292"/>
      <c r="Q99" s="1633"/>
      <c r="R99" s="2292"/>
      <c r="S99" s="1634"/>
      <c r="U99" s="408">
        <v>1</v>
      </c>
      <c r="V99" s="409">
        <v>43.67</v>
      </c>
      <c r="W99" s="409">
        <v>12.42</v>
      </c>
      <c r="X99" s="409">
        <f t="shared" si="8"/>
        <v>542.38139999999999</v>
      </c>
      <c r="Y99" s="409">
        <f t="shared" si="41"/>
        <v>43.67</v>
      </c>
      <c r="Z99" s="409">
        <f t="shared" si="42"/>
        <v>24.84</v>
      </c>
      <c r="AA99" s="414">
        <f t="shared" si="43"/>
        <v>112.18</v>
      </c>
      <c r="AB99" s="415">
        <f t="shared" si="9"/>
        <v>542.38139999999999</v>
      </c>
    </row>
    <row r="100" spans="1:28" hidden="1" outlineLevel="1">
      <c r="A100" s="2294"/>
      <c r="B100" s="2198" t="s">
        <v>5050</v>
      </c>
      <c r="C100" s="2271"/>
      <c r="D100" s="2272">
        <f t="shared" si="4"/>
        <v>8.7174999999999994</v>
      </c>
      <c r="E100" s="2273" t="s">
        <v>2845</v>
      </c>
      <c r="F100" s="2300"/>
      <c r="G100" s="662">
        <f t="shared" si="0"/>
        <v>0</v>
      </c>
      <c r="H100" s="2292"/>
      <c r="I100" s="1634"/>
      <c r="J100" s="2292"/>
      <c r="K100" s="1633"/>
      <c r="L100" s="2292"/>
      <c r="M100" s="1633"/>
      <c r="N100" s="2292"/>
      <c r="O100" s="1633"/>
      <c r="P100" s="2292"/>
      <c r="Q100" s="1633"/>
      <c r="R100" s="2292"/>
      <c r="S100" s="1634"/>
      <c r="U100" s="408">
        <v>1</v>
      </c>
      <c r="V100" s="409">
        <v>3.17</v>
      </c>
      <c r="W100" s="409">
        <v>2.75</v>
      </c>
      <c r="X100" s="409">
        <f t="shared" si="8"/>
        <v>8.7174999999999994</v>
      </c>
      <c r="Y100" s="409">
        <f t="shared" si="41"/>
        <v>3.17</v>
      </c>
      <c r="Z100" s="409">
        <f t="shared" si="42"/>
        <v>5.5</v>
      </c>
      <c r="AA100" s="414">
        <f t="shared" si="43"/>
        <v>11.84</v>
      </c>
      <c r="AB100" s="415">
        <f t="shared" si="9"/>
        <v>8.7174999999999994</v>
      </c>
    </row>
    <row r="101" spans="1:28" hidden="1" outlineLevel="1">
      <c r="A101" s="2294"/>
      <c r="B101" s="2198" t="s">
        <v>5050</v>
      </c>
      <c r="C101" s="2271"/>
      <c r="D101" s="2272">
        <f t="shared" si="4"/>
        <v>8.7174999999999994</v>
      </c>
      <c r="E101" s="2273" t="s">
        <v>2845</v>
      </c>
      <c r="F101" s="2300"/>
      <c r="G101" s="662">
        <f t="shared" si="0"/>
        <v>0</v>
      </c>
      <c r="H101" s="2292"/>
      <c r="I101" s="1634"/>
      <c r="J101" s="2292"/>
      <c r="K101" s="1633"/>
      <c r="L101" s="2292"/>
      <c r="M101" s="1633"/>
      <c r="N101" s="2292"/>
      <c r="O101" s="1633"/>
      <c r="P101" s="2292"/>
      <c r="Q101" s="1633"/>
      <c r="R101" s="2292"/>
      <c r="S101" s="1634"/>
      <c r="U101" s="408">
        <v>1</v>
      </c>
      <c r="V101" s="409">
        <v>3.17</v>
      </c>
      <c r="W101" s="409">
        <v>2.75</v>
      </c>
      <c r="X101" s="409">
        <f t="shared" si="8"/>
        <v>8.7174999999999994</v>
      </c>
      <c r="Y101" s="409">
        <f t="shared" si="41"/>
        <v>3.17</v>
      </c>
      <c r="Z101" s="409">
        <f t="shared" si="42"/>
        <v>5.5</v>
      </c>
      <c r="AA101" s="414">
        <f t="shared" si="43"/>
        <v>11.84</v>
      </c>
      <c r="AB101" s="415">
        <f t="shared" si="9"/>
        <v>8.7174999999999994</v>
      </c>
    </row>
    <row r="102" spans="1:28" hidden="1" outlineLevel="1">
      <c r="A102" s="2294"/>
      <c r="B102" s="2198" t="s">
        <v>5051</v>
      </c>
      <c r="C102" s="2271"/>
      <c r="D102" s="2272">
        <f t="shared" si="4"/>
        <v>46.778599999999997</v>
      </c>
      <c r="E102" s="2273" t="s">
        <v>2845</v>
      </c>
      <c r="F102" s="2300"/>
      <c r="G102" s="662">
        <f t="shared" si="0"/>
        <v>0</v>
      </c>
      <c r="H102" s="2292"/>
      <c r="I102" s="1634"/>
      <c r="J102" s="2292"/>
      <c r="K102" s="1633"/>
      <c r="L102" s="2292"/>
      <c r="M102" s="1633"/>
      <c r="N102" s="2292"/>
      <c r="O102" s="1633"/>
      <c r="P102" s="2292"/>
      <c r="Q102" s="1633"/>
      <c r="R102" s="2292"/>
      <c r="S102" s="1634"/>
      <c r="U102" s="408">
        <v>1</v>
      </c>
      <c r="V102" s="409">
        <v>19.329999999999998</v>
      </c>
      <c r="W102" s="409">
        <v>2.42</v>
      </c>
      <c r="X102" s="409">
        <f t="shared" si="8"/>
        <v>46.778599999999997</v>
      </c>
      <c r="Y102" s="409">
        <f t="shared" si="41"/>
        <v>19.329999999999998</v>
      </c>
      <c r="Z102" s="409">
        <f t="shared" si="42"/>
        <v>4.84</v>
      </c>
      <c r="AA102" s="414">
        <f t="shared" si="43"/>
        <v>43.5</v>
      </c>
      <c r="AB102" s="415">
        <f t="shared" si="9"/>
        <v>46.778599999999997</v>
      </c>
    </row>
    <row r="103" spans="1:28" hidden="1" outlineLevel="1">
      <c r="A103" s="2294">
        <f>54.67-3.17-3.17</f>
        <v>48.33</v>
      </c>
      <c r="B103" s="2198" t="s">
        <v>5052</v>
      </c>
      <c r="C103" s="2271"/>
      <c r="D103" s="2272">
        <f t="shared" si="4"/>
        <v>600.2586</v>
      </c>
      <c r="E103" s="2273" t="s">
        <v>2845</v>
      </c>
      <c r="F103" s="2300"/>
      <c r="G103" s="662">
        <f t="shared" si="0"/>
        <v>0</v>
      </c>
      <c r="H103" s="2292"/>
      <c r="I103" s="1634"/>
      <c r="J103" s="2292"/>
      <c r="K103" s="1633"/>
      <c r="L103" s="2292"/>
      <c r="M103" s="1633"/>
      <c r="N103" s="2292"/>
      <c r="O103" s="1633"/>
      <c r="P103" s="2292"/>
      <c r="Q103" s="1633"/>
      <c r="R103" s="2292"/>
      <c r="S103" s="1634"/>
      <c r="U103" s="408">
        <v>1</v>
      </c>
      <c r="V103" s="409">
        <v>48.33</v>
      </c>
      <c r="W103" s="409">
        <v>12.42</v>
      </c>
      <c r="X103" s="409">
        <f t="shared" si="8"/>
        <v>600.2586</v>
      </c>
      <c r="Y103" s="409">
        <f t="shared" si="41"/>
        <v>48.33</v>
      </c>
      <c r="Z103" s="409">
        <f t="shared" si="42"/>
        <v>24.84</v>
      </c>
      <c r="AA103" s="414">
        <f t="shared" si="43"/>
        <v>121.5</v>
      </c>
      <c r="AB103" s="415">
        <f t="shared" si="9"/>
        <v>600.2586</v>
      </c>
    </row>
    <row r="104" spans="1:28" hidden="1" outlineLevel="1">
      <c r="A104" s="2294"/>
      <c r="B104" s="2198" t="s">
        <v>5053</v>
      </c>
      <c r="C104" s="2271"/>
      <c r="D104" s="2272">
        <f t="shared" si="4"/>
        <v>8.7174999999999994</v>
      </c>
      <c r="E104" s="2273" t="s">
        <v>2845</v>
      </c>
      <c r="F104" s="2300"/>
      <c r="G104" s="662">
        <f t="shared" si="0"/>
        <v>0</v>
      </c>
      <c r="H104" s="2292"/>
      <c r="I104" s="1634"/>
      <c r="J104" s="2292"/>
      <c r="K104" s="1633"/>
      <c r="L104" s="2292"/>
      <c r="M104" s="1633"/>
      <c r="N104" s="2292"/>
      <c r="O104" s="1633"/>
      <c r="P104" s="2292"/>
      <c r="Q104" s="1633"/>
      <c r="R104" s="2292"/>
      <c r="S104" s="1634"/>
      <c r="U104" s="408">
        <v>1</v>
      </c>
      <c r="V104" s="409">
        <v>3.17</v>
      </c>
      <c r="W104" s="409">
        <v>2.75</v>
      </c>
      <c r="X104" s="409">
        <f t="shared" si="8"/>
        <v>8.7174999999999994</v>
      </c>
      <c r="Y104" s="409">
        <f t="shared" si="41"/>
        <v>3.17</v>
      </c>
      <c r="Z104" s="409">
        <f t="shared" si="42"/>
        <v>5.5</v>
      </c>
      <c r="AA104" s="414">
        <f t="shared" si="43"/>
        <v>11.84</v>
      </c>
      <c r="AB104" s="415">
        <f t="shared" si="9"/>
        <v>8.7174999999999994</v>
      </c>
    </row>
    <row r="105" spans="1:28" hidden="1" outlineLevel="1">
      <c r="A105" s="2294"/>
      <c r="B105" s="2198" t="s">
        <v>5054</v>
      </c>
      <c r="C105" s="2271"/>
      <c r="D105" s="2272">
        <f t="shared" si="4"/>
        <v>62.1</v>
      </c>
      <c r="E105" s="2273" t="s">
        <v>2845</v>
      </c>
      <c r="F105" s="2300"/>
      <c r="G105" s="662">
        <f t="shared" si="0"/>
        <v>0</v>
      </c>
      <c r="H105" s="2292"/>
      <c r="I105" s="1634"/>
      <c r="J105" s="2292"/>
      <c r="K105" s="1633"/>
      <c r="L105" s="2292"/>
      <c r="M105" s="1633"/>
      <c r="N105" s="2292"/>
      <c r="O105" s="1633"/>
      <c r="P105" s="2292"/>
      <c r="Q105" s="1633"/>
      <c r="R105" s="2292"/>
      <c r="S105" s="1634"/>
      <c r="U105" s="408">
        <v>1</v>
      </c>
      <c r="V105" s="409">
        <v>5</v>
      </c>
      <c r="W105" s="409">
        <v>12.42</v>
      </c>
      <c r="X105" s="409">
        <f t="shared" si="8"/>
        <v>62.1</v>
      </c>
      <c r="Y105" s="409">
        <f t="shared" si="41"/>
        <v>5</v>
      </c>
      <c r="Z105" s="409">
        <f t="shared" si="42"/>
        <v>24.84</v>
      </c>
      <c r="AA105" s="414">
        <f t="shared" si="43"/>
        <v>34.840000000000003</v>
      </c>
      <c r="AB105" s="415">
        <f t="shared" si="9"/>
        <v>62.1</v>
      </c>
    </row>
    <row r="106" spans="1:28" hidden="1" outlineLevel="1">
      <c r="A106" s="2294"/>
      <c r="B106" s="2198" t="s">
        <v>5055</v>
      </c>
      <c r="C106" s="2271"/>
      <c r="D106" s="2272">
        <f t="shared" si="4"/>
        <v>62.1</v>
      </c>
      <c r="E106" s="2273" t="s">
        <v>2845</v>
      </c>
      <c r="F106" s="2300"/>
      <c r="G106" s="662">
        <f t="shared" si="0"/>
        <v>0</v>
      </c>
      <c r="H106" s="2292"/>
      <c r="I106" s="1634"/>
      <c r="J106" s="2292"/>
      <c r="K106" s="1633"/>
      <c r="L106" s="2292"/>
      <c r="M106" s="1633"/>
      <c r="N106" s="2292"/>
      <c r="O106" s="1633"/>
      <c r="P106" s="2292"/>
      <c r="Q106" s="1633"/>
      <c r="R106" s="2292"/>
      <c r="S106" s="1634"/>
      <c r="U106" s="408">
        <v>1</v>
      </c>
      <c r="V106" s="409">
        <v>5</v>
      </c>
      <c r="W106" s="409">
        <v>12.42</v>
      </c>
      <c r="X106" s="409">
        <f t="shared" si="8"/>
        <v>62.1</v>
      </c>
      <c r="Y106" s="409">
        <f t="shared" si="41"/>
        <v>5</v>
      </c>
      <c r="Z106" s="409">
        <f t="shared" si="42"/>
        <v>24.84</v>
      </c>
      <c r="AA106" s="414">
        <f t="shared" si="43"/>
        <v>34.840000000000003</v>
      </c>
      <c r="AB106" s="415">
        <f t="shared" si="9"/>
        <v>62.1</v>
      </c>
    </row>
    <row r="107" spans="1:28" hidden="1" outlineLevel="1">
      <c r="A107" s="2294"/>
      <c r="B107" s="2198" t="s">
        <v>5056</v>
      </c>
      <c r="C107" s="2271"/>
      <c r="D107" s="2272">
        <f t="shared" si="4"/>
        <v>62.1</v>
      </c>
      <c r="E107" s="2273" t="s">
        <v>2845</v>
      </c>
      <c r="F107" s="2300"/>
      <c r="G107" s="662">
        <f t="shared" si="0"/>
        <v>0</v>
      </c>
      <c r="H107" s="2292"/>
      <c r="I107" s="1634"/>
      <c r="J107" s="2292"/>
      <c r="K107" s="1633"/>
      <c r="L107" s="2292"/>
      <c r="M107" s="1633"/>
      <c r="N107" s="2292"/>
      <c r="O107" s="1633"/>
      <c r="P107" s="2292"/>
      <c r="Q107" s="1633"/>
      <c r="R107" s="2292"/>
      <c r="S107" s="1634"/>
      <c r="U107" s="408">
        <v>1</v>
      </c>
      <c r="V107" s="409">
        <v>5</v>
      </c>
      <c r="W107" s="409">
        <v>12.42</v>
      </c>
      <c r="X107" s="409">
        <f t="shared" si="8"/>
        <v>62.1</v>
      </c>
      <c r="Y107" s="409">
        <f t="shared" si="41"/>
        <v>5</v>
      </c>
      <c r="Z107" s="409">
        <f t="shared" si="42"/>
        <v>24.84</v>
      </c>
      <c r="AA107" s="414">
        <f t="shared" si="43"/>
        <v>34.840000000000003</v>
      </c>
      <c r="AB107" s="415">
        <f t="shared" si="9"/>
        <v>62.1</v>
      </c>
    </row>
    <row r="108" spans="1:28" hidden="1" outlineLevel="1">
      <c r="A108" s="2294"/>
      <c r="B108" s="2198" t="s">
        <v>5057</v>
      </c>
      <c r="C108" s="2271"/>
      <c r="D108" s="2272">
        <f t="shared" si="4"/>
        <v>350.86500000000001</v>
      </c>
      <c r="E108" s="2273" t="s">
        <v>2845</v>
      </c>
      <c r="F108" s="2300"/>
      <c r="G108" s="662">
        <f t="shared" si="0"/>
        <v>0</v>
      </c>
      <c r="H108" s="2292"/>
      <c r="I108" s="1634"/>
      <c r="J108" s="2292"/>
      <c r="K108" s="1633"/>
      <c r="L108" s="2292"/>
      <c r="M108" s="1633"/>
      <c r="N108" s="2292"/>
      <c r="O108" s="1633"/>
      <c r="P108" s="2292"/>
      <c r="Q108" s="1633"/>
      <c r="R108" s="2292"/>
      <c r="S108" s="1634"/>
      <c r="U108" s="408">
        <v>1</v>
      </c>
      <c r="V108" s="409">
        <v>28.25</v>
      </c>
      <c r="W108" s="409">
        <v>12.42</v>
      </c>
      <c r="X108" s="409">
        <f t="shared" si="8"/>
        <v>350.86500000000001</v>
      </c>
      <c r="Y108" s="409">
        <f t="shared" si="41"/>
        <v>28.25</v>
      </c>
      <c r="Z108" s="409">
        <f t="shared" si="42"/>
        <v>24.84</v>
      </c>
      <c r="AA108" s="414">
        <f t="shared" si="43"/>
        <v>81.34</v>
      </c>
      <c r="AB108" s="415">
        <f t="shared" si="9"/>
        <v>350.86500000000001</v>
      </c>
    </row>
    <row r="109" spans="1:28" hidden="1" outlineLevel="1">
      <c r="A109" s="2294"/>
      <c r="B109" s="2198" t="s">
        <v>5058</v>
      </c>
      <c r="C109" s="2271"/>
      <c r="D109" s="2272">
        <f t="shared" si="4"/>
        <v>49.1389</v>
      </c>
      <c r="E109" s="2273" t="s">
        <v>2845</v>
      </c>
      <c r="F109" s="2300"/>
      <c r="G109" s="662">
        <f t="shared" si="0"/>
        <v>0</v>
      </c>
      <c r="H109" s="2292"/>
      <c r="I109" s="1634"/>
      <c r="J109" s="2292"/>
      <c r="K109" s="1633"/>
      <c r="L109" s="2292"/>
      <c r="M109" s="1633"/>
      <c r="N109" s="2292"/>
      <c r="O109" s="1633"/>
      <c r="P109" s="2292"/>
      <c r="Q109" s="1633"/>
      <c r="R109" s="2292"/>
      <c r="S109" s="1634"/>
      <c r="U109" s="408">
        <v>1</v>
      </c>
      <c r="V109" s="409">
        <v>3.83</v>
      </c>
      <c r="W109" s="409">
        <v>12.83</v>
      </c>
      <c r="X109" s="409">
        <f t="shared" si="8"/>
        <v>49.1389</v>
      </c>
      <c r="Y109" s="409">
        <f t="shared" si="41"/>
        <v>3.83</v>
      </c>
      <c r="Z109" s="409">
        <f t="shared" si="42"/>
        <v>25.66</v>
      </c>
      <c r="AA109" s="414">
        <f t="shared" si="43"/>
        <v>33.32</v>
      </c>
      <c r="AB109" s="415">
        <f t="shared" si="9"/>
        <v>49.1389</v>
      </c>
    </row>
    <row r="110" spans="1:28" hidden="1" outlineLevel="1">
      <c r="A110" s="2294"/>
      <c r="B110" s="2198" t="s">
        <v>5059</v>
      </c>
      <c r="C110" s="2271"/>
      <c r="D110" s="2272">
        <f t="shared" si="4"/>
        <v>283.28639999999996</v>
      </c>
      <c r="E110" s="2273" t="s">
        <v>2845</v>
      </c>
      <c r="F110" s="2300"/>
      <c r="G110" s="662">
        <f t="shared" si="0"/>
        <v>0</v>
      </c>
      <c r="H110" s="2292"/>
      <c r="I110" s="1634"/>
      <c r="J110" s="2292"/>
      <c r="K110" s="1633"/>
      <c r="L110" s="2292"/>
      <c r="M110" s="1633"/>
      <c r="N110" s="2292"/>
      <c r="O110" s="1633"/>
      <c r="P110" s="2292"/>
      <c r="Q110" s="1633"/>
      <c r="R110" s="2292"/>
      <c r="S110" s="1634"/>
      <c r="U110" s="408">
        <v>1</v>
      </c>
      <c r="V110" s="409">
        <v>22.08</v>
      </c>
      <c r="W110" s="409">
        <v>12.83</v>
      </c>
      <c r="X110" s="409">
        <f t="shared" si="8"/>
        <v>283.28639999999996</v>
      </c>
      <c r="Y110" s="409">
        <f t="shared" si="41"/>
        <v>22.08</v>
      </c>
      <c r="Z110" s="409">
        <f t="shared" si="42"/>
        <v>25.66</v>
      </c>
      <c r="AA110" s="414">
        <f t="shared" si="43"/>
        <v>69.819999999999993</v>
      </c>
      <c r="AB110" s="415">
        <f t="shared" si="9"/>
        <v>283.28639999999996</v>
      </c>
    </row>
    <row r="111" spans="1:28" hidden="1" outlineLevel="1">
      <c r="A111" s="2294">
        <f>18.17-6.17</f>
        <v>12.000000000000002</v>
      </c>
      <c r="B111" s="2198" t="s">
        <v>5060</v>
      </c>
      <c r="C111" s="2271"/>
      <c r="D111" s="2272">
        <f t="shared" si="4"/>
        <v>153.96</v>
      </c>
      <c r="E111" s="2273" t="s">
        <v>2845</v>
      </c>
      <c r="F111" s="2300"/>
      <c r="G111" s="662">
        <f t="shared" si="0"/>
        <v>0</v>
      </c>
      <c r="H111" s="2292"/>
      <c r="I111" s="1634"/>
      <c r="J111" s="2292"/>
      <c r="K111" s="1633"/>
      <c r="L111" s="2292"/>
      <c r="M111" s="1633"/>
      <c r="N111" s="2292"/>
      <c r="O111" s="1633"/>
      <c r="P111" s="2292"/>
      <c r="Q111" s="1633"/>
      <c r="R111" s="2292"/>
      <c r="S111" s="1634"/>
      <c r="U111" s="408">
        <v>1</v>
      </c>
      <c r="V111" s="409">
        <v>12</v>
      </c>
      <c r="W111" s="409">
        <v>12.83</v>
      </c>
      <c r="X111" s="409">
        <f t="shared" si="8"/>
        <v>153.96</v>
      </c>
      <c r="Y111" s="409">
        <f t="shared" si="41"/>
        <v>12</v>
      </c>
      <c r="Z111" s="409">
        <f t="shared" si="42"/>
        <v>25.66</v>
      </c>
      <c r="AA111" s="414">
        <f t="shared" si="43"/>
        <v>49.66</v>
      </c>
      <c r="AB111" s="415">
        <f t="shared" si="9"/>
        <v>153.96</v>
      </c>
    </row>
    <row r="112" spans="1:28" hidden="1" outlineLevel="1">
      <c r="A112" s="2294"/>
      <c r="B112" s="2198" t="s">
        <v>5061</v>
      </c>
      <c r="C112" s="2271"/>
      <c r="D112" s="2272">
        <f t="shared" si="4"/>
        <v>79.31</v>
      </c>
      <c r="E112" s="2273" t="s">
        <v>2845</v>
      </c>
      <c r="F112" s="2300"/>
      <c r="G112" s="662">
        <f t="shared" si="0"/>
        <v>0</v>
      </c>
      <c r="H112" s="2292"/>
      <c r="I112" s="1634"/>
      <c r="J112" s="2292"/>
      <c r="K112" s="1633"/>
      <c r="L112" s="2292"/>
      <c r="M112" s="1633"/>
      <c r="N112" s="2292"/>
      <c r="O112" s="1633"/>
      <c r="P112" s="2292"/>
      <c r="Q112" s="1633"/>
      <c r="R112" s="2292"/>
      <c r="S112" s="1634"/>
      <c r="U112" s="408">
        <v>1</v>
      </c>
      <c r="V112" s="409">
        <v>5.5</v>
      </c>
      <c r="W112" s="409">
        <v>14.42</v>
      </c>
      <c r="X112" s="409">
        <f t="shared" si="8"/>
        <v>79.31</v>
      </c>
      <c r="Y112" s="409">
        <f t="shared" si="41"/>
        <v>5.5</v>
      </c>
      <c r="Z112" s="409">
        <f t="shared" si="42"/>
        <v>28.84</v>
      </c>
      <c r="AA112" s="414">
        <f t="shared" si="43"/>
        <v>39.840000000000003</v>
      </c>
      <c r="AB112" s="415">
        <f t="shared" si="9"/>
        <v>79.31</v>
      </c>
    </row>
    <row r="113" spans="1:28" hidden="1" outlineLevel="1">
      <c r="A113" s="2294"/>
      <c r="B113" s="2198" t="s">
        <v>5062</v>
      </c>
      <c r="C113" s="2271"/>
      <c r="D113" s="2272">
        <f t="shared" si="4"/>
        <v>79.31</v>
      </c>
      <c r="E113" s="2273" t="s">
        <v>2845</v>
      </c>
      <c r="F113" s="2300"/>
      <c r="G113" s="662">
        <f t="shared" si="0"/>
        <v>0</v>
      </c>
      <c r="H113" s="2292"/>
      <c r="I113" s="1634"/>
      <c r="J113" s="2292"/>
      <c r="K113" s="1633"/>
      <c r="L113" s="2292"/>
      <c r="M113" s="1633"/>
      <c r="N113" s="2292"/>
      <c r="O113" s="1633"/>
      <c r="P113" s="2292"/>
      <c r="Q113" s="1633"/>
      <c r="R113" s="2292"/>
      <c r="S113" s="1634"/>
      <c r="U113" s="408">
        <v>1</v>
      </c>
      <c r="V113" s="409">
        <v>5.5</v>
      </c>
      <c r="W113" s="409">
        <v>14.42</v>
      </c>
      <c r="X113" s="409">
        <f t="shared" si="8"/>
        <v>79.31</v>
      </c>
      <c r="Y113" s="409">
        <f t="shared" si="41"/>
        <v>5.5</v>
      </c>
      <c r="Z113" s="409">
        <f t="shared" si="42"/>
        <v>28.84</v>
      </c>
      <c r="AA113" s="414">
        <f t="shared" si="43"/>
        <v>39.840000000000003</v>
      </c>
      <c r="AB113" s="415">
        <f t="shared" si="9"/>
        <v>79.31</v>
      </c>
    </row>
    <row r="114" spans="1:28" hidden="1" outlineLevel="1">
      <c r="A114" s="2294"/>
      <c r="B114" s="2198" t="s">
        <v>5063</v>
      </c>
      <c r="C114" s="2271"/>
      <c r="D114" s="2272">
        <f t="shared" si="4"/>
        <v>29.993600000000001</v>
      </c>
      <c r="E114" s="2273" t="s">
        <v>2845</v>
      </c>
      <c r="F114" s="2300"/>
      <c r="G114" s="662">
        <f t="shared" si="0"/>
        <v>0</v>
      </c>
      <c r="H114" s="2292"/>
      <c r="I114" s="1634"/>
      <c r="J114" s="2292"/>
      <c r="K114" s="1633"/>
      <c r="L114" s="2292"/>
      <c r="M114" s="1633"/>
      <c r="N114" s="2292"/>
      <c r="O114" s="1633"/>
      <c r="P114" s="2292"/>
      <c r="Q114" s="1633"/>
      <c r="R114" s="2292"/>
      <c r="S114" s="1634"/>
      <c r="U114" s="408">
        <v>1</v>
      </c>
      <c r="V114" s="409">
        <v>2.08</v>
      </c>
      <c r="W114" s="409">
        <v>14.42</v>
      </c>
      <c r="X114" s="409">
        <f t="shared" si="8"/>
        <v>29.993600000000001</v>
      </c>
      <c r="Y114" s="409">
        <f t="shared" si="41"/>
        <v>2.08</v>
      </c>
      <c r="Z114" s="409">
        <f t="shared" si="42"/>
        <v>28.84</v>
      </c>
      <c r="AA114" s="414">
        <f t="shared" si="43"/>
        <v>33</v>
      </c>
      <c r="AB114" s="415">
        <f t="shared" si="9"/>
        <v>29.993600000000001</v>
      </c>
    </row>
    <row r="115" spans="1:28" hidden="1" outlineLevel="1">
      <c r="A115" s="2294"/>
      <c r="B115" s="2198" t="s">
        <v>5064</v>
      </c>
      <c r="C115" s="2271"/>
      <c r="D115" s="2272">
        <f t="shared" si="4"/>
        <v>17.100000000000001</v>
      </c>
      <c r="E115" s="2273" t="s">
        <v>2845</v>
      </c>
      <c r="F115" s="2300"/>
      <c r="G115" s="662">
        <f t="shared" si="0"/>
        <v>0</v>
      </c>
      <c r="H115" s="2292"/>
      <c r="I115" s="1634"/>
      <c r="J115" s="2292"/>
      <c r="K115" s="1633"/>
      <c r="L115" s="2292"/>
      <c r="M115" s="1633"/>
      <c r="N115" s="2292"/>
      <c r="O115" s="1633"/>
      <c r="P115" s="2292"/>
      <c r="Q115" s="1633"/>
      <c r="R115" s="2292"/>
      <c r="S115" s="1634"/>
      <c r="U115" s="408">
        <v>1</v>
      </c>
      <c r="V115" s="409">
        <v>3.42</v>
      </c>
      <c r="W115" s="409">
        <v>5</v>
      </c>
      <c r="X115" s="409">
        <f t="shared" si="8"/>
        <v>17.100000000000001</v>
      </c>
      <c r="Y115" s="409">
        <f t="shared" si="41"/>
        <v>3.42</v>
      </c>
      <c r="Z115" s="409">
        <f t="shared" si="42"/>
        <v>10</v>
      </c>
      <c r="AA115" s="414">
        <f t="shared" si="43"/>
        <v>16.84</v>
      </c>
      <c r="AB115" s="415">
        <f t="shared" si="9"/>
        <v>17.100000000000001</v>
      </c>
    </row>
    <row r="116" spans="1:28" hidden="1" outlineLevel="1">
      <c r="A116" s="2294"/>
      <c r="B116" s="2198" t="s">
        <v>5065</v>
      </c>
      <c r="C116" s="2271"/>
      <c r="D116" s="2272">
        <f t="shared" si="4"/>
        <v>79.31</v>
      </c>
      <c r="E116" s="2273" t="s">
        <v>2845</v>
      </c>
      <c r="F116" s="2300"/>
      <c r="G116" s="662">
        <f t="shared" si="0"/>
        <v>0</v>
      </c>
      <c r="H116" s="2292"/>
      <c r="I116" s="1634"/>
      <c r="J116" s="2292"/>
      <c r="K116" s="1633"/>
      <c r="L116" s="2292"/>
      <c r="M116" s="1633"/>
      <c r="N116" s="2292"/>
      <c r="O116" s="1633"/>
      <c r="P116" s="2292"/>
      <c r="Q116" s="1633"/>
      <c r="R116" s="2292"/>
      <c r="S116" s="1634"/>
      <c r="U116" s="408">
        <v>1</v>
      </c>
      <c r="V116" s="409">
        <v>5.5</v>
      </c>
      <c r="W116" s="409">
        <v>14.42</v>
      </c>
      <c r="X116" s="409">
        <f t="shared" si="8"/>
        <v>79.31</v>
      </c>
      <c r="Y116" s="409">
        <f t="shared" si="41"/>
        <v>5.5</v>
      </c>
      <c r="Z116" s="409">
        <f t="shared" si="42"/>
        <v>28.84</v>
      </c>
      <c r="AA116" s="414">
        <f t="shared" si="43"/>
        <v>39.840000000000003</v>
      </c>
      <c r="AB116" s="415">
        <f t="shared" si="9"/>
        <v>79.31</v>
      </c>
    </row>
    <row r="117" spans="1:28" hidden="1" outlineLevel="1">
      <c r="A117" s="2294"/>
      <c r="B117" s="2198" t="s">
        <v>5066</v>
      </c>
      <c r="C117" s="2271"/>
      <c r="D117" s="2272">
        <f t="shared" si="4"/>
        <v>45.581400000000002</v>
      </c>
      <c r="E117" s="2273" t="s">
        <v>2845</v>
      </c>
      <c r="F117" s="2300"/>
      <c r="G117" s="662">
        <f t="shared" si="0"/>
        <v>0</v>
      </c>
      <c r="H117" s="2292"/>
      <c r="I117" s="1634"/>
      <c r="J117" s="2292"/>
      <c r="K117" s="1633"/>
      <c r="L117" s="2292"/>
      <c r="M117" s="1633"/>
      <c r="N117" s="2292"/>
      <c r="O117" s="1633"/>
      <c r="P117" s="2292"/>
      <c r="Q117" s="1633"/>
      <c r="R117" s="2292"/>
      <c r="S117" s="1634"/>
      <c r="U117" s="408">
        <v>1</v>
      </c>
      <c r="V117" s="409">
        <v>3.67</v>
      </c>
      <c r="W117" s="409">
        <v>12.42</v>
      </c>
      <c r="X117" s="409">
        <f t="shared" si="8"/>
        <v>45.581400000000002</v>
      </c>
      <c r="Y117" s="409">
        <f t="shared" si="41"/>
        <v>3.67</v>
      </c>
      <c r="Z117" s="409">
        <f t="shared" si="42"/>
        <v>24.84</v>
      </c>
      <c r="AA117" s="414">
        <f t="shared" si="43"/>
        <v>32.18</v>
      </c>
      <c r="AB117" s="415">
        <f t="shared" si="9"/>
        <v>45.581400000000002</v>
      </c>
    </row>
    <row r="118" spans="1:28" hidden="1" outlineLevel="1">
      <c r="A118" s="2294"/>
      <c r="B118" s="2198" t="s">
        <v>5067</v>
      </c>
      <c r="C118" s="2271"/>
      <c r="D118" s="2272">
        <f t="shared" si="4"/>
        <v>45.581400000000002</v>
      </c>
      <c r="E118" s="2273" t="s">
        <v>2845</v>
      </c>
      <c r="F118" s="2300"/>
      <c r="G118" s="662">
        <f t="shared" si="0"/>
        <v>0</v>
      </c>
      <c r="H118" s="2292"/>
      <c r="I118" s="1634"/>
      <c r="J118" s="2292"/>
      <c r="K118" s="1633"/>
      <c r="L118" s="2292"/>
      <c r="M118" s="1633"/>
      <c r="N118" s="2292"/>
      <c r="O118" s="1633"/>
      <c r="P118" s="2292"/>
      <c r="Q118" s="1633"/>
      <c r="R118" s="2292"/>
      <c r="S118" s="1634"/>
      <c r="U118" s="408">
        <v>1</v>
      </c>
      <c r="V118" s="409">
        <v>3.67</v>
      </c>
      <c r="W118" s="409">
        <v>12.42</v>
      </c>
      <c r="X118" s="409">
        <f t="shared" si="8"/>
        <v>45.581400000000002</v>
      </c>
      <c r="Y118" s="409">
        <f t="shared" si="41"/>
        <v>3.67</v>
      </c>
      <c r="Z118" s="409">
        <f t="shared" si="42"/>
        <v>24.84</v>
      </c>
      <c r="AA118" s="414">
        <f t="shared" si="43"/>
        <v>32.18</v>
      </c>
      <c r="AB118" s="415">
        <f t="shared" si="9"/>
        <v>45.581400000000002</v>
      </c>
    </row>
    <row r="119" spans="1:28" hidden="1" outlineLevel="1">
      <c r="A119" s="2294"/>
      <c r="B119" s="2198" t="s">
        <v>5068</v>
      </c>
      <c r="C119" s="2271"/>
      <c r="D119" s="2272">
        <f t="shared" si="4"/>
        <v>74.52</v>
      </c>
      <c r="E119" s="2273" t="s">
        <v>2845</v>
      </c>
      <c r="F119" s="2300"/>
      <c r="G119" s="662">
        <f t="shared" si="0"/>
        <v>0</v>
      </c>
      <c r="H119" s="2292"/>
      <c r="I119" s="1634"/>
      <c r="J119" s="2292"/>
      <c r="K119" s="1633"/>
      <c r="L119" s="2292"/>
      <c r="M119" s="1633"/>
      <c r="N119" s="2292"/>
      <c r="O119" s="1633"/>
      <c r="P119" s="2292"/>
      <c r="Q119" s="1633"/>
      <c r="R119" s="2292"/>
      <c r="S119" s="1634"/>
      <c r="U119" s="408">
        <v>1</v>
      </c>
      <c r="V119" s="409">
        <v>6</v>
      </c>
      <c r="W119" s="409">
        <v>12.42</v>
      </c>
      <c r="X119" s="409">
        <f t="shared" si="8"/>
        <v>74.52</v>
      </c>
      <c r="Y119" s="409">
        <f t="shared" si="41"/>
        <v>6</v>
      </c>
      <c r="Z119" s="409">
        <f t="shared" si="42"/>
        <v>24.84</v>
      </c>
      <c r="AA119" s="414">
        <f t="shared" si="43"/>
        <v>36.840000000000003</v>
      </c>
      <c r="AB119" s="415">
        <f t="shared" si="9"/>
        <v>74.52</v>
      </c>
    </row>
    <row r="120" spans="1:28" hidden="1" outlineLevel="1">
      <c r="A120" s="2294"/>
      <c r="B120" s="2198" t="s">
        <v>5069</v>
      </c>
      <c r="C120" s="2271"/>
      <c r="D120" s="2272">
        <f t="shared" si="4"/>
        <v>10.7164</v>
      </c>
      <c r="E120" s="2273" t="s">
        <v>2845</v>
      </c>
      <c r="F120" s="2300"/>
      <c r="G120" s="662">
        <f t="shared" si="0"/>
        <v>0</v>
      </c>
      <c r="H120" s="2292"/>
      <c r="I120" s="1634"/>
      <c r="J120" s="2292"/>
      <c r="K120" s="1633"/>
      <c r="L120" s="2292"/>
      <c r="M120" s="1633"/>
      <c r="N120" s="2292"/>
      <c r="O120" s="1633"/>
      <c r="P120" s="2292"/>
      <c r="Q120" s="1633"/>
      <c r="R120" s="2292"/>
      <c r="S120" s="1634"/>
      <c r="U120" s="408">
        <v>1</v>
      </c>
      <c r="V120" s="409">
        <v>3.67</v>
      </c>
      <c r="W120" s="409">
        <v>2.92</v>
      </c>
      <c r="X120" s="409">
        <f t="shared" si="8"/>
        <v>10.7164</v>
      </c>
      <c r="Y120" s="409">
        <f t="shared" si="41"/>
        <v>3.67</v>
      </c>
      <c r="Z120" s="409">
        <f t="shared" si="42"/>
        <v>5.84</v>
      </c>
      <c r="AA120" s="414">
        <f t="shared" si="43"/>
        <v>13.18</v>
      </c>
      <c r="AB120" s="415">
        <f t="shared" si="9"/>
        <v>10.7164</v>
      </c>
    </row>
    <row r="121" spans="1:28" hidden="1" outlineLevel="1">
      <c r="A121" s="2294">
        <f>18.17-5.08-3.67</f>
        <v>9.4200000000000017</v>
      </c>
      <c r="B121" s="2198" t="s">
        <v>5070</v>
      </c>
      <c r="C121" s="2271"/>
      <c r="D121" s="2272">
        <f t="shared" si="4"/>
        <v>27.506399999999999</v>
      </c>
      <c r="E121" s="2273" t="s">
        <v>2845</v>
      </c>
      <c r="F121" s="2300"/>
      <c r="G121" s="662">
        <f t="shared" si="0"/>
        <v>0</v>
      </c>
      <c r="H121" s="2292"/>
      <c r="I121" s="1634"/>
      <c r="J121" s="2292"/>
      <c r="K121" s="1633"/>
      <c r="L121" s="2292"/>
      <c r="M121" s="1633"/>
      <c r="N121" s="2292"/>
      <c r="O121" s="1633"/>
      <c r="P121" s="2292"/>
      <c r="Q121" s="1633"/>
      <c r="R121" s="2292"/>
      <c r="S121" s="1634"/>
      <c r="U121" s="408">
        <v>1</v>
      </c>
      <c r="V121" s="409">
        <v>9.42</v>
      </c>
      <c r="W121" s="409">
        <v>2.92</v>
      </c>
      <c r="X121" s="409">
        <f t="shared" si="8"/>
        <v>27.506399999999999</v>
      </c>
      <c r="Y121" s="409">
        <f t="shared" si="41"/>
        <v>9.42</v>
      </c>
      <c r="Z121" s="409">
        <f t="shared" si="42"/>
        <v>5.84</v>
      </c>
      <c r="AA121" s="414">
        <f t="shared" si="43"/>
        <v>24.68</v>
      </c>
      <c r="AB121" s="415">
        <f t="shared" si="9"/>
        <v>27.506399999999999</v>
      </c>
    </row>
    <row r="122" spans="1:28" hidden="1" outlineLevel="1">
      <c r="A122" s="2294"/>
      <c r="B122" s="2198" t="s">
        <v>5071</v>
      </c>
      <c r="C122" s="2271"/>
      <c r="D122" s="2272">
        <f t="shared" si="4"/>
        <v>8.9710999999999999</v>
      </c>
      <c r="E122" s="2273" t="s">
        <v>2845</v>
      </c>
      <c r="F122" s="2300"/>
      <c r="G122" s="662">
        <f t="shared" si="0"/>
        <v>0</v>
      </c>
      <c r="H122" s="2292"/>
      <c r="I122" s="1634"/>
      <c r="J122" s="2292"/>
      <c r="K122" s="1633"/>
      <c r="L122" s="2292"/>
      <c r="M122" s="1633"/>
      <c r="N122" s="2292"/>
      <c r="O122" s="1633"/>
      <c r="P122" s="2292"/>
      <c r="Q122" s="1633"/>
      <c r="R122" s="2292"/>
      <c r="S122" s="1634"/>
      <c r="U122" s="408">
        <v>1</v>
      </c>
      <c r="V122" s="409">
        <v>3.17</v>
      </c>
      <c r="W122" s="409">
        <v>2.83</v>
      </c>
      <c r="X122" s="409">
        <f t="shared" si="8"/>
        <v>8.9710999999999999</v>
      </c>
      <c r="Y122" s="409">
        <f t="shared" si="41"/>
        <v>3.17</v>
      </c>
      <c r="Z122" s="409">
        <f t="shared" si="42"/>
        <v>5.66</v>
      </c>
      <c r="AA122" s="414">
        <f t="shared" si="43"/>
        <v>12</v>
      </c>
      <c r="AB122" s="415">
        <f t="shared" si="9"/>
        <v>8.9710999999999999</v>
      </c>
    </row>
    <row r="123" spans="1:28" hidden="1" outlineLevel="1">
      <c r="A123" s="2294">
        <f>5+4.56+2.92</f>
        <v>12.479999999999999</v>
      </c>
      <c r="B123" s="2198" t="s">
        <v>5072</v>
      </c>
      <c r="C123" s="2271"/>
      <c r="D123" s="2272">
        <f t="shared" si="4"/>
        <v>154.25639999999999</v>
      </c>
      <c r="E123" s="2273" t="s">
        <v>2845</v>
      </c>
      <c r="F123" s="2300"/>
      <c r="G123" s="662">
        <f t="shared" si="0"/>
        <v>0</v>
      </c>
      <c r="H123" s="2292"/>
      <c r="I123" s="1634"/>
      <c r="J123" s="2292"/>
      <c r="K123" s="1633"/>
      <c r="L123" s="2292"/>
      <c r="M123" s="1633"/>
      <c r="N123" s="2292"/>
      <c r="O123" s="1633"/>
      <c r="P123" s="2292"/>
      <c r="Q123" s="1633"/>
      <c r="R123" s="2292"/>
      <c r="S123" s="1634"/>
      <c r="U123" s="408">
        <v>1</v>
      </c>
      <c r="V123" s="409">
        <v>12.42</v>
      </c>
      <c r="W123" s="409">
        <v>12.42</v>
      </c>
      <c r="X123" s="409">
        <f t="shared" si="8"/>
        <v>154.25639999999999</v>
      </c>
      <c r="Y123" s="409">
        <f t="shared" si="41"/>
        <v>12.42</v>
      </c>
      <c r="Z123" s="409">
        <f t="shared" si="42"/>
        <v>24.84</v>
      </c>
      <c r="AA123" s="414">
        <f t="shared" si="43"/>
        <v>49.68</v>
      </c>
      <c r="AB123" s="415">
        <f t="shared" si="9"/>
        <v>154.25639999999999</v>
      </c>
    </row>
    <row r="124" spans="1:28" hidden="1" outlineLevel="1">
      <c r="A124" s="2294"/>
      <c r="B124" s="2198" t="s">
        <v>5073</v>
      </c>
      <c r="C124" s="2271"/>
      <c r="D124" s="2272">
        <f t="shared" si="4"/>
        <v>458.54640000000001</v>
      </c>
      <c r="E124" s="2273" t="s">
        <v>2845</v>
      </c>
      <c r="F124" s="2300"/>
      <c r="G124" s="662">
        <f t="shared" si="0"/>
        <v>0</v>
      </c>
      <c r="H124" s="2292"/>
      <c r="I124" s="1634"/>
      <c r="J124" s="2292"/>
      <c r="K124" s="1633"/>
      <c r="L124" s="2292"/>
      <c r="M124" s="1633"/>
      <c r="N124" s="2292"/>
      <c r="O124" s="1633"/>
      <c r="P124" s="2292"/>
      <c r="Q124" s="1633"/>
      <c r="R124" s="2292"/>
      <c r="S124" s="1634"/>
      <c r="U124" s="408">
        <v>1</v>
      </c>
      <c r="V124" s="409">
        <v>36.92</v>
      </c>
      <c r="W124" s="409">
        <v>12.42</v>
      </c>
      <c r="X124" s="409">
        <f t="shared" si="8"/>
        <v>458.54640000000001</v>
      </c>
      <c r="Y124" s="409">
        <f t="shared" si="41"/>
        <v>36.92</v>
      </c>
      <c r="Z124" s="409">
        <f t="shared" si="42"/>
        <v>24.84</v>
      </c>
      <c r="AA124" s="414">
        <f t="shared" si="43"/>
        <v>98.68</v>
      </c>
      <c r="AB124" s="415">
        <f t="shared" si="9"/>
        <v>458.54640000000001</v>
      </c>
    </row>
    <row r="125" spans="1:28" hidden="1" outlineLevel="1">
      <c r="A125" s="2294"/>
      <c r="B125" s="2198" t="s">
        <v>5074</v>
      </c>
      <c r="C125" s="2271"/>
      <c r="D125" s="2272">
        <f t="shared" si="4"/>
        <v>26.9514</v>
      </c>
      <c r="E125" s="2273" t="s">
        <v>2845</v>
      </c>
      <c r="F125" s="2300"/>
      <c r="G125" s="662">
        <f t="shared" si="0"/>
        <v>0</v>
      </c>
      <c r="H125" s="2292"/>
      <c r="I125" s="1634"/>
      <c r="J125" s="2292"/>
      <c r="K125" s="1633"/>
      <c r="L125" s="2292"/>
      <c r="M125" s="1633"/>
      <c r="N125" s="2292"/>
      <c r="O125" s="1633"/>
      <c r="P125" s="2292"/>
      <c r="Q125" s="1633"/>
      <c r="R125" s="2292"/>
      <c r="S125" s="1634"/>
      <c r="U125" s="408">
        <v>1</v>
      </c>
      <c r="V125" s="409">
        <v>2.17</v>
      </c>
      <c r="W125" s="409">
        <v>12.42</v>
      </c>
      <c r="X125" s="409">
        <f t="shared" si="8"/>
        <v>26.9514</v>
      </c>
      <c r="Y125" s="409">
        <f t="shared" si="41"/>
        <v>2.17</v>
      </c>
      <c r="Z125" s="409">
        <f t="shared" si="42"/>
        <v>24.84</v>
      </c>
      <c r="AA125" s="414">
        <f t="shared" si="43"/>
        <v>29.18</v>
      </c>
      <c r="AB125" s="415">
        <f t="shared" si="9"/>
        <v>26.9514</v>
      </c>
    </row>
    <row r="126" spans="1:28" hidden="1" outlineLevel="1">
      <c r="A126" s="2294"/>
      <c r="B126" s="2198" t="s">
        <v>5075</v>
      </c>
      <c r="C126" s="2271"/>
      <c r="D126" s="2272">
        <f t="shared" si="4"/>
        <v>68.31</v>
      </c>
      <c r="E126" s="2273" t="s">
        <v>2845</v>
      </c>
      <c r="F126" s="2300"/>
      <c r="G126" s="662">
        <f t="shared" si="0"/>
        <v>0</v>
      </c>
      <c r="H126" s="2292"/>
      <c r="I126" s="1634"/>
      <c r="J126" s="2292"/>
      <c r="K126" s="1633"/>
      <c r="L126" s="2292"/>
      <c r="M126" s="1633"/>
      <c r="N126" s="2292"/>
      <c r="O126" s="1633"/>
      <c r="P126" s="2292"/>
      <c r="Q126" s="1633"/>
      <c r="R126" s="2292"/>
      <c r="S126" s="1634"/>
      <c r="U126" s="408">
        <v>1</v>
      </c>
      <c r="V126" s="409">
        <v>5.5</v>
      </c>
      <c r="W126" s="409">
        <v>12.42</v>
      </c>
      <c r="X126" s="409">
        <f t="shared" si="8"/>
        <v>68.31</v>
      </c>
      <c r="Y126" s="409">
        <f t="shared" si="41"/>
        <v>5.5</v>
      </c>
      <c r="Z126" s="409">
        <f t="shared" si="42"/>
        <v>24.84</v>
      </c>
      <c r="AA126" s="414">
        <f t="shared" si="43"/>
        <v>35.840000000000003</v>
      </c>
      <c r="AB126" s="415">
        <f t="shared" si="9"/>
        <v>68.31</v>
      </c>
    </row>
    <row r="127" spans="1:28" hidden="1" outlineLevel="1">
      <c r="A127" s="2294"/>
      <c r="B127" s="2198" t="s">
        <v>5076</v>
      </c>
      <c r="C127" s="2271"/>
      <c r="D127" s="2272">
        <f t="shared" si="4"/>
        <v>26.9514</v>
      </c>
      <c r="E127" s="2273" t="s">
        <v>2845</v>
      </c>
      <c r="F127" s="2300"/>
      <c r="G127" s="662">
        <f t="shared" si="0"/>
        <v>0</v>
      </c>
      <c r="H127" s="2292"/>
      <c r="I127" s="1634"/>
      <c r="J127" s="2292"/>
      <c r="K127" s="1633"/>
      <c r="L127" s="2292"/>
      <c r="M127" s="1633"/>
      <c r="N127" s="2292"/>
      <c r="O127" s="1633"/>
      <c r="P127" s="2292"/>
      <c r="Q127" s="1633"/>
      <c r="R127" s="2292"/>
      <c r="S127" s="1634"/>
      <c r="U127" s="408">
        <v>1</v>
      </c>
      <c r="V127" s="409">
        <v>2.17</v>
      </c>
      <c r="W127" s="409">
        <v>12.42</v>
      </c>
      <c r="X127" s="409">
        <f t="shared" si="8"/>
        <v>26.9514</v>
      </c>
      <c r="Y127" s="409">
        <f t="shared" si="41"/>
        <v>2.17</v>
      </c>
      <c r="Z127" s="409">
        <f t="shared" si="42"/>
        <v>24.84</v>
      </c>
      <c r="AA127" s="414">
        <f t="shared" si="43"/>
        <v>29.18</v>
      </c>
      <c r="AB127" s="415">
        <f t="shared" si="9"/>
        <v>26.9514</v>
      </c>
    </row>
    <row r="128" spans="1:28" hidden="1" outlineLevel="1">
      <c r="A128" s="2294"/>
      <c r="B128" s="2198" t="s">
        <v>5077</v>
      </c>
      <c r="C128" s="2271"/>
      <c r="D128" s="2272">
        <f t="shared" si="4"/>
        <v>26.9514</v>
      </c>
      <c r="E128" s="2273" t="s">
        <v>2845</v>
      </c>
      <c r="F128" s="2300"/>
      <c r="G128" s="662">
        <f t="shared" si="0"/>
        <v>0</v>
      </c>
      <c r="H128" s="2292"/>
      <c r="I128" s="1634"/>
      <c r="J128" s="2292"/>
      <c r="K128" s="1633"/>
      <c r="L128" s="2292"/>
      <c r="M128" s="1633"/>
      <c r="N128" s="2292"/>
      <c r="O128" s="1633"/>
      <c r="P128" s="2292"/>
      <c r="Q128" s="1633"/>
      <c r="R128" s="2292"/>
      <c r="S128" s="1634"/>
      <c r="U128" s="408">
        <v>1</v>
      </c>
      <c r="V128" s="409">
        <v>2.17</v>
      </c>
      <c r="W128" s="409">
        <v>12.42</v>
      </c>
      <c r="X128" s="409">
        <f t="shared" si="8"/>
        <v>26.9514</v>
      </c>
      <c r="Y128" s="409">
        <f t="shared" si="41"/>
        <v>2.17</v>
      </c>
      <c r="Z128" s="409">
        <f t="shared" si="42"/>
        <v>24.84</v>
      </c>
      <c r="AA128" s="414">
        <f t="shared" si="43"/>
        <v>29.18</v>
      </c>
      <c r="AB128" s="415">
        <f t="shared" si="9"/>
        <v>26.9514</v>
      </c>
    </row>
    <row r="129" spans="1:28" hidden="1" outlineLevel="1">
      <c r="A129" s="2294"/>
      <c r="B129" s="2198" t="s">
        <v>5078</v>
      </c>
      <c r="C129" s="2271"/>
      <c r="D129" s="2272">
        <f t="shared" si="4"/>
        <v>240.07859999999997</v>
      </c>
      <c r="E129" s="2273" t="s">
        <v>2845</v>
      </c>
      <c r="F129" s="2300"/>
      <c r="G129" s="662">
        <f t="shared" si="0"/>
        <v>0</v>
      </c>
      <c r="H129" s="2292"/>
      <c r="I129" s="1634"/>
      <c r="J129" s="2292"/>
      <c r="K129" s="1633"/>
      <c r="L129" s="2292"/>
      <c r="M129" s="1633"/>
      <c r="N129" s="2292"/>
      <c r="O129" s="1633"/>
      <c r="P129" s="2292"/>
      <c r="Q129" s="1633"/>
      <c r="R129" s="2292"/>
      <c r="S129" s="1634"/>
      <c r="U129" s="408">
        <v>1</v>
      </c>
      <c r="V129" s="409">
        <v>19.329999999999998</v>
      </c>
      <c r="W129" s="409">
        <v>12.42</v>
      </c>
      <c r="X129" s="409">
        <f t="shared" si="8"/>
        <v>240.07859999999997</v>
      </c>
      <c r="Y129" s="409">
        <f t="shared" si="41"/>
        <v>19.329999999999998</v>
      </c>
      <c r="Z129" s="409">
        <f t="shared" si="42"/>
        <v>24.84</v>
      </c>
      <c r="AA129" s="414">
        <f t="shared" si="43"/>
        <v>63.5</v>
      </c>
      <c r="AB129" s="415">
        <f t="shared" si="9"/>
        <v>240.07859999999997</v>
      </c>
    </row>
    <row r="130" spans="1:28" hidden="1" outlineLevel="1">
      <c r="A130" s="2294"/>
      <c r="B130" s="2198" t="s">
        <v>5079</v>
      </c>
      <c r="C130" s="2271"/>
      <c r="D130" s="2272">
        <f t="shared" si="4"/>
        <v>26.9514</v>
      </c>
      <c r="E130" s="2273" t="s">
        <v>2845</v>
      </c>
      <c r="F130" s="2300"/>
      <c r="G130" s="662">
        <f t="shared" si="0"/>
        <v>0</v>
      </c>
      <c r="H130" s="2292"/>
      <c r="I130" s="1634"/>
      <c r="J130" s="2292"/>
      <c r="K130" s="1633"/>
      <c r="L130" s="2292"/>
      <c r="M130" s="1633"/>
      <c r="N130" s="2292"/>
      <c r="O130" s="1633"/>
      <c r="P130" s="2292"/>
      <c r="Q130" s="1633"/>
      <c r="R130" s="2292"/>
      <c r="S130" s="1634"/>
      <c r="U130" s="408">
        <v>1</v>
      </c>
      <c r="V130" s="409">
        <v>2.17</v>
      </c>
      <c r="W130" s="409">
        <v>12.42</v>
      </c>
      <c r="X130" s="409">
        <f t="shared" si="8"/>
        <v>26.9514</v>
      </c>
      <c r="Y130" s="409">
        <f t="shared" si="41"/>
        <v>2.17</v>
      </c>
      <c r="Z130" s="409">
        <f t="shared" si="42"/>
        <v>24.84</v>
      </c>
      <c r="AA130" s="414">
        <f t="shared" si="43"/>
        <v>29.18</v>
      </c>
      <c r="AB130" s="415">
        <f t="shared" si="9"/>
        <v>26.9514</v>
      </c>
    </row>
    <row r="131" spans="1:28" hidden="1" outlineLevel="1">
      <c r="A131" s="2294"/>
      <c r="B131" s="2198" t="s">
        <v>5080</v>
      </c>
      <c r="C131" s="2271"/>
      <c r="D131" s="2272">
        <f t="shared" si="4"/>
        <v>93.15</v>
      </c>
      <c r="E131" s="2273" t="s">
        <v>2845</v>
      </c>
      <c r="F131" s="2300"/>
      <c r="G131" s="662">
        <f t="shared" si="0"/>
        <v>0</v>
      </c>
      <c r="H131" s="2292"/>
      <c r="I131" s="1634"/>
      <c r="J131" s="2292"/>
      <c r="K131" s="1633"/>
      <c r="L131" s="2292"/>
      <c r="M131" s="1633"/>
      <c r="N131" s="2292"/>
      <c r="O131" s="1633"/>
      <c r="P131" s="2292"/>
      <c r="Q131" s="1633"/>
      <c r="R131" s="2292"/>
      <c r="S131" s="1634"/>
      <c r="U131" s="408">
        <v>1</v>
      </c>
      <c r="V131" s="409">
        <v>7.5</v>
      </c>
      <c r="W131" s="409">
        <v>12.42</v>
      </c>
      <c r="X131" s="409">
        <f t="shared" si="8"/>
        <v>93.15</v>
      </c>
      <c r="Y131" s="409">
        <f t="shared" si="41"/>
        <v>7.5</v>
      </c>
      <c r="Z131" s="409">
        <f t="shared" si="42"/>
        <v>24.84</v>
      </c>
      <c r="AA131" s="414">
        <f t="shared" si="43"/>
        <v>39.840000000000003</v>
      </c>
      <c r="AB131" s="415">
        <f t="shared" si="9"/>
        <v>93.15</v>
      </c>
    </row>
    <row r="132" spans="1:28" hidden="1" outlineLevel="1">
      <c r="A132" s="2294"/>
      <c r="B132" s="2198" t="s">
        <v>5081</v>
      </c>
      <c r="C132" s="2271"/>
      <c r="D132" s="2272">
        <f t="shared" si="4"/>
        <v>68.31</v>
      </c>
      <c r="E132" s="2273" t="s">
        <v>2845</v>
      </c>
      <c r="F132" s="2300"/>
      <c r="G132" s="662">
        <f t="shared" si="0"/>
        <v>0</v>
      </c>
      <c r="H132" s="2292"/>
      <c r="I132" s="1634"/>
      <c r="J132" s="2292"/>
      <c r="K132" s="1633"/>
      <c r="L132" s="2292"/>
      <c r="M132" s="1633"/>
      <c r="N132" s="2292"/>
      <c r="O132" s="1633"/>
      <c r="P132" s="2292"/>
      <c r="Q132" s="1633"/>
      <c r="R132" s="2292"/>
      <c r="S132" s="1634"/>
      <c r="U132" s="408">
        <v>1</v>
      </c>
      <c r="V132" s="409">
        <v>5.5</v>
      </c>
      <c r="W132" s="409">
        <v>12.42</v>
      </c>
      <c r="X132" s="409">
        <f t="shared" si="8"/>
        <v>68.31</v>
      </c>
      <c r="Y132" s="409">
        <f t="shared" si="41"/>
        <v>5.5</v>
      </c>
      <c r="Z132" s="409">
        <f t="shared" si="42"/>
        <v>24.84</v>
      </c>
      <c r="AA132" s="414">
        <f t="shared" si="43"/>
        <v>35.840000000000003</v>
      </c>
      <c r="AB132" s="415">
        <f t="shared" si="9"/>
        <v>68.31</v>
      </c>
    </row>
    <row r="133" spans="1:28" hidden="1" outlineLevel="1">
      <c r="A133" s="2294"/>
      <c r="B133" s="2198" t="s">
        <v>5082</v>
      </c>
      <c r="C133" s="2271"/>
      <c r="D133" s="2272">
        <f t="shared" si="4"/>
        <v>45.581400000000002</v>
      </c>
      <c r="E133" s="2273" t="s">
        <v>2845</v>
      </c>
      <c r="F133" s="2300"/>
      <c r="G133" s="662">
        <f t="shared" si="0"/>
        <v>0</v>
      </c>
      <c r="H133" s="2292"/>
      <c r="I133" s="1634"/>
      <c r="J133" s="2292"/>
      <c r="K133" s="1633"/>
      <c r="L133" s="2292"/>
      <c r="M133" s="1633"/>
      <c r="N133" s="2292"/>
      <c r="O133" s="1633"/>
      <c r="P133" s="2292"/>
      <c r="Q133" s="1633"/>
      <c r="R133" s="2292"/>
      <c r="S133" s="1634"/>
      <c r="U133" s="408">
        <v>1</v>
      </c>
      <c r="V133" s="409">
        <v>3.67</v>
      </c>
      <c r="W133" s="409">
        <v>12.42</v>
      </c>
      <c r="X133" s="409">
        <f t="shared" si="8"/>
        <v>45.581400000000002</v>
      </c>
      <c r="Y133" s="409">
        <f t="shared" si="41"/>
        <v>3.67</v>
      </c>
      <c r="Z133" s="409">
        <f t="shared" si="42"/>
        <v>24.84</v>
      </c>
      <c r="AA133" s="414">
        <f t="shared" si="43"/>
        <v>32.18</v>
      </c>
      <c r="AB133" s="415">
        <f t="shared" si="9"/>
        <v>45.581400000000002</v>
      </c>
    </row>
    <row r="134" spans="1:28" hidden="1" outlineLevel="1">
      <c r="A134" s="2294"/>
      <c r="B134" s="2198" t="s">
        <v>5083</v>
      </c>
      <c r="C134" s="2271"/>
      <c r="D134" s="2272">
        <f t="shared" ref="D134:D152" si="44">AB134</f>
        <v>79.115399999999994</v>
      </c>
      <c r="E134" s="2273" t="s">
        <v>2845</v>
      </c>
      <c r="F134" s="2300"/>
      <c r="G134" s="662">
        <f t="shared" si="0"/>
        <v>0</v>
      </c>
      <c r="H134" s="2292"/>
      <c r="I134" s="1634"/>
      <c r="J134" s="2292"/>
      <c r="K134" s="1633"/>
      <c r="L134" s="2292"/>
      <c r="M134" s="1633"/>
      <c r="N134" s="2292"/>
      <c r="O134" s="1633"/>
      <c r="P134" s="2292"/>
      <c r="Q134" s="1633"/>
      <c r="R134" s="2292"/>
      <c r="S134" s="1634"/>
      <c r="U134" s="408">
        <v>1</v>
      </c>
      <c r="V134" s="409">
        <v>6.37</v>
      </c>
      <c r="W134" s="409">
        <v>12.42</v>
      </c>
      <c r="X134" s="409">
        <f t="shared" si="8"/>
        <v>79.115399999999994</v>
      </c>
      <c r="Y134" s="409">
        <f t="shared" si="41"/>
        <v>6.37</v>
      </c>
      <c r="Z134" s="409">
        <f t="shared" si="42"/>
        <v>24.84</v>
      </c>
      <c r="AA134" s="414">
        <f t="shared" si="43"/>
        <v>37.58</v>
      </c>
      <c r="AB134" s="415">
        <f t="shared" si="9"/>
        <v>79.115399999999994</v>
      </c>
    </row>
    <row r="135" spans="1:28" hidden="1" outlineLevel="1">
      <c r="A135" s="2294"/>
      <c r="B135" s="2198" t="s">
        <v>5084</v>
      </c>
      <c r="C135" s="2271"/>
      <c r="D135" s="2272">
        <f t="shared" si="44"/>
        <v>45.581400000000002</v>
      </c>
      <c r="E135" s="2273" t="s">
        <v>2845</v>
      </c>
      <c r="F135" s="2300"/>
      <c r="G135" s="662">
        <f t="shared" si="0"/>
        <v>0</v>
      </c>
      <c r="H135" s="2292"/>
      <c r="I135" s="1634"/>
      <c r="J135" s="2292"/>
      <c r="K135" s="1633"/>
      <c r="L135" s="2292"/>
      <c r="M135" s="1633"/>
      <c r="N135" s="2292"/>
      <c r="O135" s="1633"/>
      <c r="P135" s="2292"/>
      <c r="Q135" s="1633"/>
      <c r="R135" s="2292"/>
      <c r="S135" s="1634"/>
      <c r="U135" s="408">
        <v>1</v>
      </c>
      <c r="V135" s="409">
        <v>3.67</v>
      </c>
      <c r="W135" s="409">
        <v>12.42</v>
      </c>
      <c r="X135" s="409">
        <f t="shared" si="8"/>
        <v>45.581400000000002</v>
      </c>
      <c r="Y135" s="409">
        <f t="shared" si="41"/>
        <v>3.67</v>
      </c>
      <c r="Z135" s="409">
        <f t="shared" si="42"/>
        <v>24.84</v>
      </c>
      <c r="AA135" s="414">
        <f t="shared" si="43"/>
        <v>32.18</v>
      </c>
      <c r="AB135" s="415">
        <f t="shared" si="9"/>
        <v>45.581400000000002</v>
      </c>
    </row>
    <row r="136" spans="1:28" hidden="1" outlineLevel="1">
      <c r="A136" s="2294"/>
      <c r="B136" s="2198" t="s">
        <v>5085</v>
      </c>
      <c r="C136" s="2271"/>
      <c r="D136" s="2272">
        <f t="shared" si="44"/>
        <v>45.581400000000002</v>
      </c>
      <c r="E136" s="2273" t="s">
        <v>2845</v>
      </c>
      <c r="F136" s="2300"/>
      <c r="G136" s="662">
        <f t="shared" si="0"/>
        <v>0</v>
      </c>
      <c r="H136" s="2292"/>
      <c r="I136" s="1634"/>
      <c r="J136" s="2292"/>
      <c r="K136" s="1633"/>
      <c r="L136" s="2292"/>
      <c r="M136" s="1633"/>
      <c r="N136" s="2292"/>
      <c r="O136" s="1633"/>
      <c r="P136" s="2292"/>
      <c r="Q136" s="1633"/>
      <c r="R136" s="2292"/>
      <c r="S136" s="1634"/>
      <c r="U136" s="408">
        <v>1</v>
      </c>
      <c r="V136" s="409">
        <v>3.67</v>
      </c>
      <c r="W136" s="409">
        <v>12.42</v>
      </c>
      <c r="X136" s="409">
        <f t="shared" si="8"/>
        <v>45.581400000000002</v>
      </c>
      <c r="Y136" s="409">
        <f t="shared" si="41"/>
        <v>3.67</v>
      </c>
      <c r="Z136" s="409">
        <f t="shared" si="42"/>
        <v>24.84</v>
      </c>
      <c r="AA136" s="414">
        <f t="shared" si="43"/>
        <v>32.18</v>
      </c>
      <c r="AB136" s="415">
        <f t="shared" si="9"/>
        <v>45.581400000000002</v>
      </c>
    </row>
    <row r="137" spans="1:28" hidden="1" outlineLevel="1">
      <c r="A137" s="2294"/>
      <c r="B137" s="2198" t="s">
        <v>5086</v>
      </c>
      <c r="C137" s="2271"/>
      <c r="D137" s="2272">
        <f t="shared" si="44"/>
        <v>45.581400000000002</v>
      </c>
      <c r="E137" s="2273" t="s">
        <v>2845</v>
      </c>
      <c r="F137" s="2300"/>
      <c r="G137" s="662">
        <f t="shared" si="0"/>
        <v>0</v>
      </c>
      <c r="H137" s="2292"/>
      <c r="I137" s="1634"/>
      <c r="J137" s="2292"/>
      <c r="K137" s="1633"/>
      <c r="L137" s="2292"/>
      <c r="M137" s="1633"/>
      <c r="N137" s="2292"/>
      <c r="O137" s="1633"/>
      <c r="P137" s="2292"/>
      <c r="Q137" s="1633"/>
      <c r="R137" s="2292"/>
      <c r="S137" s="1634"/>
      <c r="U137" s="408">
        <v>1</v>
      </c>
      <c r="V137" s="409">
        <v>3.67</v>
      </c>
      <c r="W137" s="409">
        <v>12.42</v>
      </c>
      <c r="X137" s="409">
        <f t="shared" si="8"/>
        <v>45.581400000000002</v>
      </c>
      <c r="Y137" s="409">
        <f t="shared" si="41"/>
        <v>3.67</v>
      </c>
      <c r="Z137" s="409">
        <f t="shared" si="42"/>
        <v>24.84</v>
      </c>
      <c r="AA137" s="414">
        <f t="shared" si="43"/>
        <v>32.18</v>
      </c>
      <c r="AB137" s="415">
        <f t="shared" si="9"/>
        <v>45.581400000000002</v>
      </c>
    </row>
    <row r="138" spans="1:28" hidden="1" outlineLevel="1">
      <c r="A138" s="2294"/>
      <c r="B138" s="2198" t="s">
        <v>5087</v>
      </c>
      <c r="C138" s="2271"/>
      <c r="D138" s="2272">
        <f t="shared" si="44"/>
        <v>141.8364</v>
      </c>
      <c r="E138" s="2273" t="s">
        <v>2845</v>
      </c>
      <c r="F138" s="2300"/>
      <c r="G138" s="662">
        <f t="shared" si="0"/>
        <v>0</v>
      </c>
      <c r="H138" s="2292"/>
      <c r="I138" s="1634"/>
      <c r="J138" s="2292"/>
      <c r="K138" s="1633"/>
      <c r="L138" s="2292"/>
      <c r="M138" s="1633"/>
      <c r="N138" s="2292"/>
      <c r="O138" s="1633"/>
      <c r="P138" s="2292"/>
      <c r="Q138" s="1633"/>
      <c r="R138" s="2292"/>
      <c r="S138" s="1634"/>
      <c r="U138" s="408">
        <v>1</v>
      </c>
      <c r="V138" s="409">
        <v>11.42</v>
      </c>
      <c r="W138" s="409">
        <v>12.42</v>
      </c>
      <c r="X138" s="409">
        <f t="shared" ref="X138:X153" si="45">V138*W138</f>
        <v>141.8364</v>
      </c>
      <c r="Y138" s="409">
        <f t="shared" si="41"/>
        <v>11.42</v>
      </c>
      <c r="Z138" s="409">
        <f t="shared" si="42"/>
        <v>24.84</v>
      </c>
      <c r="AA138" s="414">
        <f t="shared" si="43"/>
        <v>47.68</v>
      </c>
      <c r="AB138" s="415">
        <f t="shared" ref="AB138:AB153" si="46">U138*X138</f>
        <v>141.8364</v>
      </c>
    </row>
    <row r="139" spans="1:28" hidden="1" outlineLevel="1">
      <c r="A139" s="2294"/>
      <c r="B139" s="2198" t="s">
        <v>5088</v>
      </c>
      <c r="C139" s="2271"/>
      <c r="D139" s="2272">
        <f t="shared" si="44"/>
        <v>9.6785999999999994</v>
      </c>
      <c r="E139" s="2273" t="s">
        <v>2845</v>
      </c>
      <c r="F139" s="2300"/>
      <c r="G139" s="662">
        <f t="shared" si="0"/>
        <v>0</v>
      </c>
      <c r="H139" s="2292"/>
      <c r="I139" s="1634"/>
      <c r="J139" s="2292"/>
      <c r="K139" s="1633"/>
      <c r="L139" s="2292"/>
      <c r="M139" s="1633"/>
      <c r="N139" s="2292"/>
      <c r="O139" s="1633"/>
      <c r="P139" s="2292"/>
      <c r="Q139" s="1633"/>
      <c r="R139" s="2292"/>
      <c r="S139" s="1634"/>
      <c r="U139" s="408">
        <v>1</v>
      </c>
      <c r="V139" s="409">
        <v>3.42</v>
      </c>
      <c r="W139" s="409">
        <v>2.83</v>
      </c>
      <c r="X139" s="409">
        <f t="shared" si="45"/>
        <v>9.6785999999999994</v>
      </c>
      <c r="Y139" s="409">
        <f t="shared" si="41"/>
        <v>3.42</v>
      </c>
      <c r="Z139" s="409">
        <f t="shared" si="42"/>
        <v>5.66</v>
      </c>
      <c r="AA139" s="414">
        <f t="shared" si="43"/>
        <v>12.5</v>
      </c>
      <c r="AB139" s="415">
        <f t="shared" si="46"/>
        <v>9.6785999999999994</v>
      </c>
    </row>
    <row r="140" spans="1:28" hidden="1" outlineLevel="1">
      <c r="A140" s="2294"/>
      <c r="B140" s="2198" t="s">
        <v>5089</v>
      </c>
      <c r="C140" s="2271"/>
      <c r="D140" s="2272">
        <f t="shared" si="44"/>
        <v>22.7286</v>
      </c>
      <c r="E140" s="2273" t="s">
        <v>2845</v>
      </c>
      <c r="F140" s="2300"/>
      <c r="G140" s="662">
        <f t="shared" si="0"/>
        <v>0</v>
      </c>
      <c r="H140" s="2292"/>
      <c r="I140" s="1634"/>
      <c r="J140" s="2292"/>
      <c r="K140" s="1633"/>
      <c r="L140" s="2292"/>
      <c r="M140" s="1633"/>
      <c r="N140" s="2292"/>
      <c r="O140" s="1633"/>
      <c r="P140" s="2292"/>
      <c r="Q140" s="1633"/>
      <c r="R140" s="2292"/>
      <c r="S140" s="1634"/>
      <c r="U140" s="408">
        <v>1</v>
      </c>
      <c r="V140" s="409">
        <v>1.83</v>
      </c>
      <c r="W140" s="409">
        <v>12.42</v>
      </c>
      <c r="X140" s="409">
        <f t="shared" si="45"/>
        <v>22.7286</v>
      </c>
      <c r="Y140" s="409">
        <f t="shared" si="41"/>
        <v>1.83</v>
      </c>
      <c r="Z140" s="409">
        <f t="shared" si="42"/>
        <v>24.84</v>
      </c>
      <c r="AA140" s="414">
        <f t="shared" si="43"/>
        <v>28.5</v>
      </c>
      <c r="AB140" s="415">
        <f t="shared" si="46"/>
        <v>22.7286</v>
      </c>
    </row>
    <row r="141" spans="1:28" hidden="1" outlineLevel="1">
      <c r="A141" s="2294"/>
      <c r="B141" s="2198" t="s">
        <v>5090</v>
      </c>
      <c r="C141" s="2271"/>
      <c r="D141" s="2272">
        <f t="shared" si="44"/>
        <v>20.9986</v>
      </c>
      <c r="E141" s="2273" t="s">
        <v>2845</v>
      </c>
      <c r="F141" s="2300"/>
      <c r="G141" s="662">
        <f t="shared" si="0"/>
        <v>0</v>
      </c>
      <c r="H141" s="2292"/>
      <c r="I141" s="1634"/>
      <c r="J141" s="2292"/>
      <c r="K141" s="1633"/>
      <c r="L141" s="2292"/>
      <c r="M141" s="1633"/>
      <c r="N141" s="2292"/>
      <c r="O141" s="1633"/>
      <c r="P141" s="2292"/>
      <c r="Q141" s="1633"/>
      <c r="R141" s="2292"/>
      <c r="S141" s="1634"/>
      <c r="U141" s="408">
        <v>1</v>
      </c>
      <c r="V141" s="409">
        <v>7.42</v>
      </c>
      <c r="W141" s="409">
        <v>2.83</v>
      </c>
      <c r="X141" s="409">
        <f t="shared" si="45"/>
        <v>20.9986</v>
      </c>
      <c r="Y141" s="409">
        <f t="shared" si="41"/>
        <v>7.42</v>
      </c>
      <c r="Z141" s="409">
        <f t="shared" si="42"/>
        <v>5.66</v>
      </c>
      <c r="AA141" s="414">
        <f t="shared" si="43"/>
        <v>20.5</v>
      </c>
      <c r="AB141" s="415">
        <f t="shared" si="46"/>
        <v>20.9986</v>
      </c>
    </row>
    <row r="142" spans="1:28" hidden="1" outlineLevel="1">
      <c r="A142" s="2294"/>
      <c r="B142" s="2198" t="s">
        <v>5091</v>
      </c>
      <c r="C142" s="2271"/>
      <c r="D142" s="2272">
        <f t="shared" si="44"/>
        <v>22.7286</v>
      </c>
      <c r="E142" s="2273" t="s">
        <v>2845</v>
      </c>
      <c r="F142" s="2300"/>
      <c r="G142" s="662">
        <f t="shared" ref="G142:G154" si="47">ROUND(D142*F142,0)</f>
        <v>0</v>
      </c>
      <c r="H142" s="2292"/>
      <c r="I142" s="1634"/>
      <c r="J142" s="2292"/>
      <c r="K142" s="1633"/>
      <c r="L142" s="2292"/>
      <c r="M142" s="1633"/>
      <c r="N142" s="2292"/>
      <c r="O142" s="1633"/>
      <c r="P142" s="2292"/>
      <c r="Q142" s="1633"/>
      <c r="R142" s="2292"/>
      <c r="S142" s="1634"/>
      <c r="U142" s="408">
        <v>1</v>
      </c>
      <c r="V142" s="409">
        <v>1.83</v>
      </c>
      <c r="W142" s="409">
        <v>12.42</v>
      </c>
      <c r="X142" s="409">
        <f t="shared" si="45"/>
        <v>22.7286</v>
      </c>
      <c r="Y142" s="409">
        <f t="shared" si="41"/>
        <v>1.83</v>
      </c>
      <c r="Z142" s="409">
        <f t="shared" si="42"/>
        <v>24.84</v>
      </c>
      <c r="AA142" s="414">
        <f t="shared" si="43"/>
        <v>28.5</v>
      </c>
      <c r="AB142" s="415">
        <f t="shared" si="46"/>
        <v>22.7286</v>
      </c>
    </row>
    <row r="143" spans="1:28" hidden="1" outlineLevel="1">
      <c r="A143" s="2294"/>
      <c r="B143" s="2198" t="s">
        <v>5092</v>
      </c>
      <c r="C143" s="2271"/>
      <c r="D143" s="2272">
        <f t="shared" si="44"/>
        <v>22.7286</v>
      </c>
      <c r="E143" s="2273" t="s">
        <v>2845</v>
      </c>
      <c r="F143" s="2300"/>
      <c r="G143" s="662">
        <f t="shared" si="47"/>
        <v>0</v>
      </c>
      <c r="H143" s="2292"/>
      <c r="I143" s="1634"/>
      <c r="J143" s="2292"/>
      <c r="K143" s="1633"/>
      <c r="L143" s="2292"/>
      <c r="M143" s="1633"/>
      <c r="N143" s="2292"/>
      <c r="O143" s="1633"/>
      <c r="P143" s="2292"/>
      <c r="Q143" s="1633"/>
      <c r="R143" s="2292"/>
      <c r="S143" s="1634"/>
      <c r="U143" s="408">
        <v>1</v>
      </c>
      <c r="V143" s="409">
        <v>1.83</v>
      </c>
      <c r="W143" s="409">
        <v>12.42</v>
      </c>
      <c r="X143" s="409">
        <f t="shared" si="45"/>
        <v>22.7286</v>
      </c>
      <c r="Y143" s="409">
        <f t="shared" si="41"/>
        <v>1.83</v>
      </c>
      <c r="Z143" s="409">
        <f t="shared" si="42"/>
        <v>24.84</v>
      </c>
      <c r="AA143" s="414">
        <f t="shared" si="43"/>
        <v>28.5</v>
      </c>
      <c r="AB143" s="415">
        <f t="shared" si="46"/>
        <v>22.7286</v>
      </c>
    </row>
    <row r="144" spans="1:28" hidden="1" outlineLevel="1">
      <c r="A144" s="2294"/>
      <c r="B144" s="2198" t="s">
        <v>5093</v>
      </c>
      <c r="C144" s="2271"/>
      <c r="D144" s="2272">
        <f t="shared" si="44"/>
        <v>22.7286</v>
      </c>
      <c r="E144" s="2273" t="s">
        <v>2845</v>
      </c>
      <c r="F144" s="2300"/>
      <c r="G144" s="662">
        <f t="shared" si="47"/>
        <v>0</v>
      </c>
      <c r="H144" s="2292"/>
      <c r="I144" s="1634"/>
      <c r="J144" s="2292"/>
      <c r="K144" s="1633"/>
      <c r="L144" s="2292"/>
      <c r="M144" s="1633"/>
      <c r="N144" s="2292"/>
      <c r="O144" s="1633"/>
      <c r="P144" s="2292"/>
      <c r="Q144" s="1633"/>
      <c r="R144" s="2292"/>
      <c r="S144" s="1634"/>
      <c r="U144" s="408">
        <v>1</v>
      </c>
      <c r="V144" s="409">
        <v>1.83</v>
      </c>
      <c r="W144" s="409">
        <v>12.42</v>
      </c>
      <c r="X144" s="409">
        <f t="shared" si="45"/>
        <v>22.7286</v>
      </c>
      <c r="Y144" s="409">
        <f t="shared" si="41"/>
        <v>1.83</v>
      </c>
      <c r="Z144" s="409">
        <f t="shared" si="42"/>
        <v>24.84</v>
      </c>
      <c r="AA144" s="414">
        <f t="shared" si="43"/>
        <v>28.5</v>
      </c>
      <c r="AB144" s="415">
        <f t="shared" si="46"/>
        <v>22.7286</v>
      </c>
    </row>
    <row r="145" spans="1:32" hidden="1" outlineLevel="1">
      <c r="A145" s="2294"/>
      <c r="B145" s="2198" t="s">
        <v>5094</v>
      </c>
      <c r="C145" s="2271"/>
      <c r="D145" s="2272">
        <f t="shared" si="44"/>
        <v>63.093600000000002</v>
      </c>
      <c r="E145" s="2273" t="s">
        <v>2845</v>
      </c>
      <c r="F145" s="2300"/>
      <c r="G145" s="662">
        <f t="shared" si="47"/>
        <v>0</v>
      </c>
      <c r="H145" s="2292"/>
      <c r="I145" s="1634"/>
      <c r="J145" s="2292"/>
      <c r="K145" s="1633"/>
      <c r="L145" s="2292"/>
      <c r="M145" s="1633"/>
      <c r="N145" s="2292"/>
      <c r="O145" s="1633"/>
      <c r="P145" s="2292"/>
      <c r="Q145" s="1633"/>
      <c r="R145" s="2292"/>
      <c r="S145" s="1634"/>
      <c r="U145" s="408">
        <v>1</v>
      </c>
      <c r="V145" s="409">
        <v>5.08</v>
      </c>
      <c r="W145" s="409">
        <v>12.42</v>
      </c>
      <c r="X145" s="409">
        <f t="shared" si="45"/>
        <v>63.093600000000002</v>
      </c>
      <c r="Y145" s="409">
        <f t="shared" si="41"/>
        <v>5.08</v>
      </c>
      <c r="Z145" s="409">
        <f t="shared" si="42"/>
        <v>24.84</v>
      </c>
      <c r="AA145" s="414">
        <f t="shared" si="43"/>
        <v>35</v>
      </c>
      <c r="AB145" s="415">
        <f t="shared" si="46"/>
        <v>63.093600000000002</v>
      </c>
    </row>
    <row r="146" spans="1:32" hidden="1" outlineLevel="1">
      <c r="A146" s="2294"/>
      <c r="B146" s="2198" t="s">
        <v>5095</v>
      </c>
      <c r="C146" s="2271"/>
      <c r="D146" s="2272">
        <f t="shared" si="44"/>
        <v>59.988599999999998</v>
      </c>
      <c r="E146" s="2273" t="s">
        <v>2845</v>
      </c>
      <c r="F146" s="2300"/>
      <c r="G146" s="662">
        <f t="shared" si="47"/>
        <v>0</v>
      </c>
      <c r="H146" s="2292"/>
      <c r="I146" s="1634"/>
      <c r="J146" s="2292"/>
      <c r="K146" s="1633"/>
      <c r="L146" s="2292"/>
      <c r="M146" s="1633"/>
      <c r="N146" s="2292"/>
      <c r="O146" s="1633"/>
      <c r="P146" s="2292"/>
      <c r="Q146" s="1633"/>
      <c r="R146" s="2292"/>
      <c r="S146" s="1634"/>
      <c r="U146" s="408">
        <v>1</v>
      </c>
      <c r="V146" s="409">
        <v>4.83</v>
      </c>
      <c r="W146" s="409">
        <v>12.42</v>
      </c>
      <c r="X146" s="409">
        <f t="shared" si="45"/>
        <v>59.988599999999998</v>
      </c>
      <c r="Y146" s="409">
        <f t="shared" si="41"/>
        <v>4.83</v>
      </c>
      <c r="Z146" s="409">
        <f t="shared" si="42"/>
        <v>24.84</v>
      </c>
      <c r="AA146" s="414">
        <f t="shared" si="43"/>
        <v>34.5</v>
      </c>
      <c r="AB146" s="415">
        <f t="shared" si="46"/>
        <v>59.988599999999998</v>
      </c>
    </row>
    <row r="147" spans="1:32" hidden="1" outlineLevel="1">
      <c r="A147" s="2294"/>
      <c r="B147" s="2198" t="s">
        <v>5096</v>
      </c>
      <c r="C147" s="2271"/>
      <c r="D147" s="2272">
        <f t="shared" si="44"/>
        <v>68.31</v>
      </c>
      <c r="E147" s="2273" t="s">
        <v>2845</v>
      </c>
      <c r="F147" s="2300"/>
      <c r="G147" s="662">
        <f t="shared" si="47"/>
        <v>0</v>
      </c>
      <c r="H147" s="2292"/>
      <c r="I147" s="1634"/>
      <c r="J147" s="2292"/>
      <c r="K147" s="1633"/>
      <c r="L147" s="2292"/>
      <c r="M147" s="1633"/>
      <c r="N147" s="2292"/>
      <c r="O147" s="1633"/>
      <c r="P147" s="2292"/>
      <c r="Q147" s="1633"/>
      <c r="R147" s="2292"/>
      <c r="S147" s="1634"/>
      <c r="U147" s="408">
        <v>1</v>
      </c>
      <c r="V147" s="409">
        <v>5.5</v>
      </c>
      <c r="W147" s="409">
        <v>12.42</v>
      </c>
      <c r="X147" s="409">
        <f t="shared" si="45"/>
        <v>68.31</v>
      </c>
      <c r="Y147" s="409">
        <f t="shared" si="41"/>
        <v>5.5</v>
      </c>
      <c r="Z147" s="409">
        <f t="shared" si="42"/>
        <v>24.84</v>
      </c>
      <c r="AA147" s="414">
        <f t="shared" si="43"/>
        <v>35.840000000000003</v>
      </c>
      <c r="AB147" s="415">
        <f t="shared" si="46"/>
        <v>68.31</v>
      </c>
    </row>
    <row r="148" spans="1:32" hidden="1" outlineLevel="1">
      <c r="A148" s="2294"/>
      <c r="B148" s="2198" t="s">
        <v>5097</v>
      </c>
      <c r="C148" s="2271"/>
      <c r="D148" s="2272">
        <f t="shared" si="44"/>
        <v>68.31</v>
      </c>
      <c r="E148" s="2273" t="s">
        <v>2845</v>
      </c>
      <c r="F148" s="2300"/>
      <c r="G148" s="662">
        <f t="shared" si="47"/>
        <v>0</v>
      </c>
      <c r="H148" s="2292"/>
      <c r="I148" s="1634"/>
      <c r="J148" s="2292"/>
      <c r="K148" s="1633"/>
      <c r="L148" s="2292"/>
      <c r="M148" s="1633"/>
      <c r="N148" s="2292"/>
      <c r="O148" s="1633"/>
      <c r="P148" s="2292"/>
      <c r="Q148" s="1633"/>
      <c r="R148" s="2292"/>
      <c r="S148" s="1634"/>
      <c r="U148" s="408">
        <v>1</v>
      </c>
      <c r="V148" s="409">
        <v>5.5</v>
      </c>
      <c r="W148" s="409">
        <v>12.42</v>
      </c>
      <c r="X148" s="409">
        <f t="shared" si="45"/>
        <v>68.31</v>
      </c>
      <c r="Y148" s="409">
        <f t="shared" si="41"/>
        <v>5.5</v>
      </c>
      <c r="Z148" s="409">
        <f t="shared" si="42"/>
        <v>24.84</v>
      </c>
      <c r="AA148" s="414">
        <f t="shared" si="43"/>
        <v>35.840000000000003</v>
      </c>
      <c r="AB148" s="415">
        <f t="shared" si="46"/>
        <v>68.31</v>
      </c>
    </row>
    <row r="149" spans="1:32" hidden="1" outlineLevel="1">
      <c r="A149" s="2294"/>
      <c r="B149" s="2198" t="s">
        <v>5098</v>
      </c>
      <c r="C149" s="2271"/>
      <c r="D149" s="2272">
        <f t="shared" si="44"/>
        <v>68.31</v>
      </c>
      <c r="E149" s="2273" t="s">
        <v>2845</v>
      </c>
      <c r="F149" s="2300"/>
      <c r="G149" s="662">
        <f t="shared" si="47"/>
        <v>0</v>
      </c>
      <c r="H149" s="2292"/>
      <c r="I149" s="1634"/>
      <c r="J149" s="2292"/>
      <c r="K149" s="1633"/>
      <c r="L149" s="2292"/>
      <c r="M149" s="1633"/>
      <c r="N149" s="2292"/>
      <c r="O149" s="1633"/>
      <c r="P149" s="2292"/>
      <c r="Q149" s="1633"/>
      <c r="R149" s="2292"/>
      <c r="S149" s="1634"/>
      <c r="U149" s="408">
        <v>1</v>
      </c>
      <c r="V149" s="409">
        <v>5.5</v>
      </c>
      <c r="W149" s="409">
        <v>12.42</v>
      </c>
      <c r="X149" s="409">
        <f t="shared" si="45"/>
        <v>68.31</v>
      </c>
      <c r="Y149" s="409">
        <f t="shared" si="41"/>
        <v>5.5</v>
      </c>
      <c r="Z149" s="409">
        <f t="shared" si="42"/>
        <v>24.84</v>
      </c>
      <c r="AA149" s="414">
        <f t="shared" si="43"/>
        <v>35.840000000000003</v>
      </c>
      <c r="AB149" s="415">
        <f t="shared" si="46"/>
        <v>68.31</v>
      </c>
    </row>
    <row r="150" spans="1:32" hidden="1" outlineLevel="1">
      <c r="A150" s="2294"/>
      <c r="B150" s="2198" t="s">
        <v>5099</v>
      </c>
      <c r="C150" s="2271"/>
      <c r="D150" s="2272">
        <f t="shared" si="44"/>
        <v>68.31</v>
      </c>
      <c r="E150" s="2273" t="s">
        <v>2845</v>
      </c>
      <c r="F150" s="2300"/>
      <c r="G150" s="662">
        <f t="shared" si="47"/>
        <v>0</v>
      </c>
      <c r="H150" s="2292"/>
      <c r="I150" s="1634"/>
      <c r="J150" s="2292"/>
      <c r="K150" s="1633"/>
      <c r="L150" s="2292"/>
      <c r="M150" s="1633"/>
      <c r="N150" s="2292"/>
      <c r="O150" s="1633"/>
      <c r="P150" s="2292"/>
      <c r="Q150" s="1633"/>
      <c r="R150" s="2292"/>
      <c r="S150" s="1634"/>
      <c r="U150" s="408">
        <v>1</v>
      </c>
      <c r="V150" s="409">
        <v>5.5</v>
      </c>
      <c r="W150" s="409">
        <v>12.42</v>
      </c>
      <c r="X150" s="409">
        <f t="shared" si="45"/>
        <v>68.31</v>
      </c>
      <c r="Y150" s="409">
        <f t="shared" si="41"/>
        <v>5.5</v>
      </c>
      <c r="Z150" s="409">
        <f t="shared" si="42"/>
        <v>24.84</v>
      </c>
      <c r="AA150" s="414">
        <f t="shared" si="43"/>
        <v>35.840000000000003</v>
      </c>
      <c r="AB150" s="415">
        <f t="shared" si="46"/>
        <v>68.31</v>
      </c>
    </row>
    <row r="151" spans="1:32" hidden="1" outlineLevel="1">
      <c r="A151" s="2294"/>
      <c r="B151" s="2198" t="s">
        <v>5100</v>
      </c>
      <c r="C151" s="2271"/>
      <c r="D151" s="2272">
        <f t="shared" si="44"/>
        <v>68.31</v>
      </c>
      <c r="E151" s="2273" t="s">
        <v>2845</v>
      </c>
      <c r="F151" s="2300"/>
      <c r="G151" s="662">
        <f t="shared" si="47"/>
        <v>0</v>
      </c>
      <c r="H151" s="2292"/>
      <c r="I151" s="1634"/>
      <c r="J151" s="2292"/>
      <c r="K151" s="1633"/>
      <c r="L151" s="2292"/>
      <c r="M151" s="1633"/>
      <c r="N151" s="2292"/>
      <c r="O151" s="1633"/>
      <c r="P151" s="2292"/>
      <c r="Q151" s="1633"/>
      <c r="R151" s="2292"/>
      <c r="S151" s="1634"/>
      <c r="U151" s="408">
        <v>1</v>
      </c>
      <c r="V151" s="409">
        <v>5.5</v>
      </c>
      <c r="W151" s="409">
        <v>12.42</v>
      </c>
      <c r="X151" s="409">
        <f t="shared" si="45"/>
        <v>68.31</v>
      </c>
      <c r="Y151" s="409">
        <f t="shared" si="41"/>
        <v>5.5</v>
      </c>
      <c r="Z151" s="409">
        <f t="shared" si="42"/>
        <v>24.84</v>
      </c>
      <c r="AA151" s="414">
        <f t="shared" si="43"/>
        <v>35.840000000000003</v>
      </c>
      <c r="AB151" s="415">
        <f t="shared" si="46"/>
        <v>68.31</v>
      </c>
    </row>
    <row r="152" spans="1:32" hidden="1" outlineLevel="1">
      <c r="A152" s="2294"/>
      <c r="B152" s="2198" t="s">
        <v>5101</v>
      </c>
      <c r="C152" s="2271"/>
      <c r="D152" s="2272">
        <f t="shared" si="44"/>
        <v>68.31</v>
      </c>
      <c r="E152" s="2273" t="s">
        <v>2845</v>
      </c>
      <c r="F152" s="2300"/>
      <c r="G152" s="662">
        <f t="shared" si="47"/>
        <v>0</v>
      </c>
      <c r="H152" s="2292"/>
      <c r="I152" s="1634"/>
      <c r="J152" s="2292"/>
      <c r="K152" s="1633"/>
      <c r="L152" s="2292"/>
      <c r="M152" s="1633"/>
      <c r="N152" s="2292"/>
      <c r="O152" s="1633"/>
      <c r="P152" s="2292"/>
      <c r="Q152" s="1633"/>
      <c r="R152" s="2292"/>
      <c r="S152" s="1634"/>
      <c r="U152" s="408">
        <v>1</v>
      </c>
      <c r="V152" s="409">
        <v>5.5</v>
      </c>
      <c r="W152" s="409">
        <v>12.42</v>
      </c>
      <c r="X152" s="409">
        <f t="shared" si="45"/>
        <v>68.31</v>
      </c>
      <c r="Y152" s="409">
        <f t="shared" si="41"/>
        <v>5.5</v>
      </c>
      <c r="Z152" s="409">
        <f t="shared" si="42"/>
        <v>24.84</v>
      </c>
      <c r="AA152" s="414">
        <f t="shared" si="43"/>
        <v>35.840000000000003</v>
      </c>
      <c r="AB152" s="415">
        <f t="shared" si="46"/>
        <v>68.31</v>
      </c>
    </row>
    <row r="153" spans="1:32" collapsed="1">
      <c r="A153" s="2294"/>
      <c r="B153" s="2197" t="s">
        <v>5102</v>
      </c>
      <c r="C153" s="2271"/>
      <c r="D153" s="2272">
        <v>0</v>
      </c>
      <c r="E153" s="2273" t="s">
        <v>2845</v>
      </c>
      <c r="F153" s="2300">
        <f>$F$22</f>
        <v>300</v>
      </c>
      <c r="G153" s="662">
        <f t="shared" si="47"/>
        <v>0</v>
      </c>
      <c r="H153" s="2292"/>
      <c r="I153" s="1634"/>
      <c r="J153" s="2292"/>
      <c r="K153" s="1633"/>
      <c r="L153" s="2292"/>
      <c r="M153" s="1633"/>
      <c r="N153" s="2292"/>
      <c r="O153" s="1633"/>
      <c r="P153" s="2292"/>
      <c r="Q153" s="1633"/>
      <c r="R153" s="2292"/>
      <c r="S153" s="1634"/>
      <c r="U153" s="408"/>
      <c r="V153" s="409"/>
      <c r="W153" s="409"/>
      <c r="X153" s="409">
        <f t="shared" si="45"/>
        <v>0</v>
      </c>
      <c r="Y153" s="409">
        <f t="shared" si="41"/>
        <v>0</v>
      </c>
      <c r="Z153" s="409">
        <f t="shared" si="42"/>
        <v>0</v>
      </c>
      <c r="AA153" s="414">
        <f t="shared" si="43"/>
        <v>0</v>
      </c>
      <c r="AB153" s="415">
        <f t="shared" si="46"/>
        <v>0</v>
      </c>
    </row>
    <row r="154" spans="1:32" ht="15.75" thickBot="1">
      <c r="A154" s="2294"/>
      <c r="B154" s="2197" t="s">
        <v>4660</v>
      </c>
      <c r="C154" s="2271"/>
      <c r="D154" s="2272">
        <f>SUM(D155:D159)</f>
        <v>340.19</v>
      </c>
      <c r="E154" s="2273" t="s">
        <v>2845</v>
      </c>
      <c r="F154" s="2300">
        <f t="shared" ref="F154" si="48">$F$23</f>
        <v>125</v>
      </c>
      <c r="G154" s="662">
        <f t="shared" si="47"/>
        <v>42524</v>
      </c>
      <c r="H154" s="2292" t="s">
        <v>2931</v>
      </c>
      <c r="I154" s="1634"/>
      <c r="J154" s="2292" t="s">
        <v>2931</v>
      </c>
      <c r="K154" s="1633"/>
      <c r="L154" s="2292"/>
      <c r="M154" s="1633"/>
      <c r="N154" s="2292" t="s">
        <v>2931</v>
      </c>
      <c r="O154" s="1633"/>
      <c r="P154" s="2292"/>
      <c r="Q154" s="1633"/>
      <c r="R154" s="2292"/>
      <c r="S154" s="1634"/>
      <c r="U154" s="408"/>
      <c r="V154" s="409"/>
      <c r="W154" s="409"/>
      <c r="X154" s="409">
        <f t="shared" ref="X154" si="49">V154*W154</f>
        <v>0</v>
      </c>
      <c r="Y154" s="409">
        <f t="shared" si="41"/>
        <v>0</v>
      </c>
      <c r="Z154" s="409">
        <f t="shared" si="42"/>
        <v>0</v>
      </c>
      <c r="AA154" s="414">
        <f t="shared" si="43"/>
        <v>0</v>
      </c>
      <c r="AB154" s="415">
        <f t="shared" ref="AB154" si="50">U154*X154</f>
        <v>0</v>
      </c>
    </row>
    <row r="155" spans="1:32" ht="15.75" hidden="1" outlineLevel="1" thickBot="1">
      <c r="A155" s="2294"/>
      <c r="B155" s="2198" t="s">
        <v>5103</v>
      </c>
      <c r="C155" s="2271"/>
      <c r="D155" s="2272">
        <f>AB155</f>
        <v>162</v>
      </c>
      <c r="E155" s="2273" t="s">
        <v>2845</v>
      </c>
      <c r="F155" s="2300"/>
      <c r="G155" s="662">
        <f t="shared" si="0"/>
        <v>0</v>
      </c>
      <c r="H155" s="2292"/>
      <c r="I155" s="1634"/>
      <c r="J155" s="2292"/>
      <c r="K155" s="1633"/>
      <c r="L155" s="2292"/>
      <c r="M155" s="1633"/>
      <c r="N155" s="2292"/>
      <c r="O155" s="1633"/>
      <c r="P155" s="2292"/>
      <c r="Q155" s="1633"/>
      <c r="R155" s="2292"/>
      <c r="S155" s="1634"/>
      <c r="U155" s="408">
        <v>6</v>
      </c>
      <c r="V155" s="409">
        <v>3</v>
      </c>
      <c r="W155" s="409">
        <v>9</v>
      </c>
      <c r="X155" s="409">
        <f t="shared" ref="X155:X159" si="51">V155*W155</f>
        <v>27</v>
      </c>
      <c r="Y155" s="409">
        <f t="shared" si="41"/>
        <v>18</v>
      </c>
      <c r="Z155" s="409">
        <f t="shared" si="42"/>
        <v>108</v>
      </c>
      <c r="AA155" s="414">
        <f t="shared" si="43"/>
        <v>144</v>
      </c>
      <c r="AB155" s="415">
        <f t="shared" ref="AB155:AB159" si="52">U155*X155</f>
        <v>162</v>
      </c>
      <c r="AD155" t="s">
        <v>5104</v>
      </c>
      <c r="AE155">
        <v>6</v>
      </c>
      <c r="AF155" t="s">
        <v>3041</v>
      </c>
    </row>
    <row r="156" spans="1:32" ht="15.75" hidden="1" outlineLevel="1" thickBot="1">
      <c r="A156" s="2294"/>
      <c r="B156" s="2198" t="s">
        <v>5105</v>
      </c>
      <c r="C156" s="2271"/>
      <c r="D156" s="2272">
        <f>AB156</f>
        <v>28.53</v>
      </c>
      <c r="E156" s="2273" t="s">
        <v>2845</v>
      </c>
      <c r="F156" s="2300"/>
      <c r="G156" s="662">
        <f t="shared" si="0"/>
        <v>0</v>
      </c>
      <c r="H156" s="2292"/>
      <c r="I156" s="1634"/>
      <c r="J156" s="2292"/>
      <c r="K156" s="1633"/>
      <c r="L156" s="2292"/>
      <c r="M156" s="1633"/>
      <c r="N156" s="2292"/>
      <c r="O156" s="1633"/>
      <c r="P156" s="2292"/>
      <c r="Q156" s="1633"/>
      <c r="R156" s="2292"/>
      <c r="S156" s="1634"/>
      <c r="U156" s="408">
        <v>1</v>
      </c>
      <c r="V156" s="409">
        <v>3.17</v>
      </c>
      <c r="W156" s="409">
        <v>9</v>
      </c>
      <c r="X156" s="409">
        <f t="shared" si="51"/>
        <v>28.53</v>
      </c>
      <c r="Y156" s="409">
        <f t="shared" si="41"/>
        <v>3.17</v>
      </c>
      <c r="Z156" s="409">
        <f t="shared" si="42"/>
        <v>18</v>
      </c>
      <c r="AA156" s="414">
        <f t="shared" si="43"/>
        <v>24.34</v>
      </c>
      <c r="AB156" s="415">
        <f t="shared" si="52"/>
        <v>28.53</v>
      </c>
      <c r="AD156" t="s">
        <v>5106</v>
      </c>
      <c r="AE156">
        <v>1</v>
      </c>
      <c r="AF156" t="s">
        <v>3041</v>
      </c>
    </row>
    <row r="157" spans="1:32" ht="15.75" hidden="1" outlineLevel="1" thickBot="1">
      <c r="A157" s="2294"/>
      <c r="B157" s="2198" t="s">
        <v>5107</v>
      </c>
      <c r="C157" s="2271"/>
      <c r="D157" s="2272">
        <f>AB157</f>
        <v>34.64</v>
      </c>
      <c r="E157" s="2273" t="s">
        <v>2845</v>
      </c>
      <c r="F157" s="2300"/>
      <c r="G157" s="662">
        <f t="shared" si="0"/>
        <v>0</v>
      </c>
      <c r="H157" s="2292"/>
      <c r="I157" s="1634"/>
      <c r="J157" s="2292"/>
      <c r="K157" s="1633"/>
      <c r="L157" s="2292"/>
      <c r="M157" s="1633"/>
      <c r="N157" s="2292"/>
      <c r="O157" s="1633"/>
      <c r="P157" s="2292"/>
      <c r="Q157" s="1633"/>
      <c r="R157" s="2292"/>
      <c r="S157" s="1634"/>
      <c r="U157" s="408">
        <v>1</v>
      </c>
      <c r="V157" s="409">
        <v>4.33</v>
      </c>
      <c r="W157" s="409">
        <v>8</v>
      </c>
      <c r="X157" s="409">
        <f t="shared" si="51"/>
        <v>34.64</v>
      </c>
      <c r="Y157" s="409">
        <f t="shared" ref="Y157:Y159" si="53">V157*U157</f>
        <v>4.33</v>
      </c>
      <c r="Z157" s="409">
        <f t="shared" ref="Z157:Z159" si="54">U157*(W157*2)</f>
        <v>16</v>
      </c>
      <c r="AA157" s="414">
        <f t="shared" ref="AA157:AA159" si="55">U157*(V157+V157+W157+W157)</f>
        <v>24.66</v>
      </c>
      <c r="AB157" s="415">
        <f t="shared" si="52"/>
        <v>34.64</v>
      </c>
      <c r="AD157" t="s">
        <v>5108</v>
      </c>
      <c r="AE157">
        <v>1</v>
      </c>
      <c r="AF157" t="s">
        <v>3041</v>
      </c>
    </row>
    <row r="158" spans="1:32" ht="15.75" hidden="1" outlineLevel="1" thickBot="1">
      <c r="A158" s="2294"/>
      <c r="B158" s="2198" t="s">
        <v>5109</v>
      </c>
      <c r="C158" s="2271"/>
      <c r="D158" s="2272">
        <f>AB158</f>
        <v>63</v>
      </c>
      <c r="E158" s="2273" t="s">
        <v>2845</v>
      </c>
      <c r="F158" s="2300"/>
      <c r="G158" s="662">
        <f t="shared" si="0"/>
        <v>0</v>
      </c>
      <c r="H158" s="2292"/>
      <c r="I158" s="1634"/>
      <c r="J158" s="2292"/>
      <c r="K158" s="1633"/>
      <c r="L158" s="2292"/>
      <c r="M158" s="1633"/>
      <c r="N158" s="2292"/>
      <c r="O158" s="1633"/>
      <c r="P158" s="2292"/>
      <c r="Q158" s="1633"/>
      <c r="R158" s="2292"/>
      <c r="S158" s="1634"/>
      <c r="U158" s="408">
        <v>1</v>
      </c>
      <c r="V158" s="409">
        <v>7</v>
      </c>
      <c r="W158" s="409">
        <v>9</v>
      </c>
      <c r="X158" s="409">
        <f t="shared" si="51"/>
        <v>63</v>
      </c>
      <c r="Y158" s="409">
        <f t="shared" si="53"/>
        <v>7</v>
      </c>
      <c r="Z158" s="409">
        <f t="shared" si="54"/>
        <v>18</v>
      </c>
      <c r="AA158" s="414">
        <f t="shared" si="55"/>
        <v>32</v>
      </c>
      <c r="AB158" s="415">
        <f t="shared" si="52"/>
        <v>63</v>
      </c>
      <c r="AD158" t="s">
        <v>5110</v>
      </c>
      <c r="AE158">
        <v>1</v>
      </c>
      <c r="AF158" t="s">
        <v>3041</v>
      </c>
    </row>
    <row r="159" spans="1:32" ht="15.75" hidden="1" outlineLevel="1" thickBot="1">
      <c r="A159" s="2294"/>
      <c r="B159" s="2198" t="s">
        <v>5111</v>
      </c>
      <c r="C159" s="2271"/>
      <c r="D159" s="2272">
        <f>AB159</f>
        <v>52.019999999999996</v>
      </c>
      <c r="E159" s="2273" t="s">
        <v>2845</v>
      </c>
      <c r="F159" s="2300"/>
      <c r="G159" s="662">
        <f t="shared" si="0"/>
        <v>0</v>
      </c>
      <c r="H159" s="2292"/>
      <c r="I159" s="1634"/>
      <c r="J159" s="2292"/>
      <c r="K159" s="1633"/>
      <c r="L159" s="2292"/>
      <c r="M159" s="1633"/>
      <c r="N159" s="2292"/>
      <c r="O159" s="1633"/>
      <c r="P159" s="2292"/>
      <c r="Q159" s="1633"/>
      <c r="R159" s="2292"/>
      <c r="S159" s="1634"/>
      <c r="U159" s="408">
        <v>1</v>
      </c>
      <c r="V159" s="409">
        <v>6</v>
      </c>
      <c r="W159" s="409">
        <v>8.67</v>
      </c>
      <c r="X159" s="409">
        <f t="shared" si="51"/>
        <v>52.019999999999996</v>
      </c>
      <c r="Y159" s="409">
        <f t="shared" si="53"/>
        <v>6</v>
      </c>
      <c r="Z159" s="409">
        <f t="shared" si="54"/>
        <v>17.34</v>
      </c>
      <c r="AA159" s="414">
        <f t="shared" si="55"/>
        <v>29.340000000000003</v>
      </c>
      <c r="AB159" s="415">
        <f t="shared" si="52"/>
        <v>52.019999999999996</v>
      </c>
      <c r="AD159" t="s">
        <v>5112</v>
      </c>
      <c r="AE159">
        <v>1</v>
      </c>
      <c r="AF159" t="s">
        <v>3041</v>
      </c>
    </row>
    <row r="160" spans="1:32" ht="15.75" collapsed="1" thickBot="1">
      <c r="A160" s="2294"/>
      <c r="B160" s="2197" t="s">
        <v>5022</v>
      </c>
      <c r="C160" s="2271"/>
      <c r="D160" s="2272">
        <f>Z160</f>
        <v>1423.2799999999997</v>
      </c>
      <c r="E160" s="2273" t="s">
        <v>2864</v>
      </c>
      <c r="F160" s="2300">
        <v>8</v>
      </c>
      <c r="G160" s="662">
        <f t="shared" si="0"/>
        <v>11386</v>
      </c>
      <c r="H160" s="2292"/>
      <c r="I160" s="1643">
        <f>$G160</f>
        <v>11386</v>
      </c>
      <c r="J160" s="2292"/>
      <c r="K160" s="1897">
        <v>13560</v>
      </c>
      <c r="L160" s="2292"/>
      <c r="M160" s="1643">
        <f>$G160</f>
        <v>11386</v>
      </c>
      <c r="N160" s="2292" t="s">
        <v>2931</v>
      </c>
      <c r="O160" s="1633"/>
      <c r="P160" s="2292"/>
      <c r="Q160" s="1633"/>
      <c r="R160" s="2292"/>
      <c r="S160" s="1643">
        <f>$G160</f>
        <v>11386</v>
      </c>
      <c r="U160" s="423"/>
      <c r="V160" s="424"/>
      <c r="W160" s="424"/>
      <c r="X160" s="424"/>
      <c r="Y160" s="424">
        <f>SUM(Y96:Y159)</f>
        <v>526.4100000000002</v>
      </c>
      <c r="Z160" s="424">
        <f>SUM(Z96:Z159)</f>
        <v>1423.2799999999997</v>
      </c>
      <c r="AA160" s="425">
        <f>SUM(AA96:AA159)</f>
        <v>2476.1000000000013</v>
      </c>
      <c r="AB160" s="426">
        <f>SUM(AB96:AB159)</f>
        <v>5883.3863000000038</v>
      </c>
    </row>
    <row r="161" spans="1:28">
      <c r="A161" s="2294"/>
      <c r="B161" s="2197" t="s">
        <v>5023</v>
      </c>
      <c r="C161" s="2271"/>
      <c r="D161" s="2272">
        <f>AB160</f>
        <v>5883.3863000000038</v>
      </c>
      <c r="E161" s="2273" t="s">
        <v>2845</v>
      </c>
      <c r="F161" s="2300">
        <v>2</v>
      </c>
      <c r="G161" s="662">
        <f t="shared" si="0"/>
        <v>11767</v>
      </c>
      <c r="H161" s="2292" t="s">
        <v>2931</v>
      </c>
      <c r="I161" s="1634"/>
      <c r="J161" s="2292" t="s">
        <v>2931</v>
      </c>
      <c r="K161" s="1633"/>
      <c r="L161" s="2292"/>
      <c r="M161" s="1643">
        <f>$G161</f>
        <v>11767</v>
      </c>
      <c r="N161" s="2292" t="s">
        <v>2931</v>
      </c>
      <c r="O161" s="1633"/>
      <c r="P161" s="2292"/>
      <c r="Q161" s="1633"/>
      <c r="R161" s="2292"/>
      <c r="S161" s="1634"/>
      <c r="U161" s="427"/>
      <c r="V161" s="428"/>
      <c r="W161" s="428"/>
      <c r="X161" s="428"/>
      <c r="Y161" s="428"/>
      <c r="Z161" s="428"/>
      <c r="AA161" s="429"/>
      <c r="AB161" s="430"/>
    </row>
    <row r="162" spans="1:28">
      <c r="A162" s="2294"/>
      <c r="B162" s="2197" t="s">
        <v>5024</v>
      </c>
      <c r="C162" s="2271"/>
      <c r="D162" s="2272"/>
      <c r="E162" s="2273"/>
      <c r="F162" s="2300"/>
      <c r="G162" s="662"/>
      <c r="H162" s="2292" t="s">
        <v>2931</v>
      </c>
      <c r="I162" s="1634"/>
      <c r="J162" s="2292" t="s">
        <v>2931</v>
      </c>
      <c r="K162" s="1633"/>
      <c r="L162" s="2292"/>
      <c r="M162" s="1633"/>
      <c r="N162" s="2292" t="s">
        <v>2931</v>
      </c>
      <c r="O162" s="1633"/>
      <c r="P162" s="2292"/>
      <c r="Q162" s="1633"/>
      <c r="R162" s="2292"/>
      <c r="S162" s="1634"/>
      <c r="U162" s="427"/>
      <c r="V162" s="428"/>
      <c r="W162" s="428"/>
      <c r="X162" s="428"/>
      <c r="Y162" s="428"/>
      <c r="Z162" s="428"/>
      <c r="AA162" s="429"/>
      <c r="AB162" s="430"/>
    </row>
    <row r="163" spans="1:28">
      <c r="A163" s="2294"/>
      <c r="B163" s="2197"/>
      <c r="C163" s="2271"/>
      <c r="D163" s="2272"/>
      <c r="E163" s="2273"/>
      <c r="F163" s="2300"/>
      <c r="G163" s="662"/>
      <c r="H163" s="2292"/>
      <c r="I163" s="1634"/>
      <c r="J163" s="2292"/>
      <c r="K163" s="1633"/>
      <c r="L163" s="2292"/>
      <c r="M163" s="1633"/>
      <c r="N163" s="2292"/>
      <c r="O163" s="1633"/>
      <c r="P163" s="2292"/>
      <c r="Q163" s="1633"/>
      <c r="R163" s="2292"/>
      <c r="S163" s="1634"/>
      <c r="U163" s="427"/>
      <c r="V163" s="428"/>
      <c r="W163" s="428"/>
      <c r="X163" s="428"/>
      <c r="Y163" s="428"/>
      <c r="Z163" s="428"/>
      <c r="AA163" s="429"/>
      <c r="AB163" s="430"/>
    </row>
    <row r="164" spans="1:28">
      <c r="A164" s="2294"/>
      <c r="B164" s="2197" t="s">
        <v>5113</v>
      </c>
      <c r="C164" s="2271"/>
      <c r="D164" s="2272">
        <f>6.17*2.25</f>
        <v>13.8825</v>
      </c>
      <c r="E164" s="2273" t="s">
        <v>2845</v>
      </c>
      <c r="F164" s="2300">
        <v>150</v>
      </c>
      <c r="G164" s="662">
        <f t="shared" ref="G164:G171" si="56">ROUND(D164*F164,0)</f>
        <v>2082</v>
      </c>
      <c r="H164" s="2292"/>
      <c r="I164" s="1643">
        <f>$G164</f>
        <v>2082</v>
      </c>
      <c r="J164" s="2292"/>
      <c r="K164" s="1643">
        <f>$G164</f>
        <v>2082</v>
      </c>
      <c r="L164" s="2292"/>
      <c r="M164" s="1643">
        <f>$G164</f>
        <v>2082</v>
      </c>
      <c r="N164" s="2292"/>
      <c r="O164" s="1643">
        <f>$G164</f>
        <v>2082</v>
      </c>
      <c r="P164" s="2292"/>
      <c r="Q164" s="1643"/>
      <c r="R164" s="2292"/>
      <c r="S164" s="1643">
        <f>$G164</f>
        <v>2082</v>
      </c>
      <c r="U164" s="427"/>
      <c r="V164" s="428"/>
      <c r="W164" s="428"/>
      <c r="X164" s="428"/>
      <c r="Y164" s="428"/>
      <c r="Z164" s="428"/>
      <c r="AA164" s="429"/>
      <c r="AB164" s="430"/>
    </row>
    <row r="165" spans="1:28">
      <c r="A165" s="2294"/>
      <c r="B165" s="2198"/>
      <c r="C165" s="2271"/>
      <c r="D165" s="2272"/>
      <c r="E165" s="2273"/>
      <c r="F165" s="2300"/>
      <c r="G165" s="662">
        <f t="shared" si="56"/>
        <v>0</v>
      </c>
      <c r="H165" s="2292"/>
      <c r="I165" s="1634"/>
      <c r="J165" s="2292"/>
      <c r="K165" s="1633"/>
      <c r="L165" s="2292"/>
      <c r="M165" s="1633"/>
      <c r="N165" s="2292"/>
      <c r="O165" s="1633"/>
      <c r="P165" s="2292"/>
      <c r="Q165" s="1633"/>
      <c r="R165" s="2292"/>
      <c r="S165" s="1634"/>
      <c r="U165" s="408"/>
      <c r="V165" s="409"/>
      <c r="W165" s="409"/>
      <c r="X165" s="409"/>
      <c r="Y165" s="409"/>
      <c r="Z165" s="409"/>
      <c r="AA165" s="414"/>
      <c r="AB165" s="415"/>
    </row>
    <row r="166" spans="1:28">
      <c r="A166" s="2294"/>
      <c r="B166" s="2197" t="s">
        <v>5114</v>
      </c>
      <c r="C166" s="2271"/>
      <c r="D166" s="2272">
        <f>SUM(D167:D170)</f>
        <v>464</v>
      </c>
      <c r="E166" s="2273" t="s">
        <v>2845</v>
      </c>
      <c r="F166" s="2300">
        <v>65</v>
      </c>
      <c r="G166" s="662">
        <f t="shared" si="56"/>
        <v>30160</v>
      </c>
      <c r="H166" s="2292"/>
      <c r="I166" s="1634">
        <v>48343.040000000001</v>
      </c>
      <c r="J166" s="2292"/>
      <c r="K166" s="1643">
        <v>50000</v>
      </c>
      <c r="L166" s="2292"/>
      <c r="M166" s="1643">
        <v>50000</v>
      </c>
      <c r="N166" s="2292" t="s">
        <v>2931</v>
      </c>
      <c r="O166" s="1642">
        <v>50000</v>
      </c>
      <c r="P166" s="2292"/>
      <c r="Q166" s="1643"/>
      <c r="R166" s="2292"/>
      <c r="S166" s="1643">
        <v>50000</v>
      </c>
      <c r="U166" s="427"/>
      <c r="V166" s="428"/>
      <c r="W166" s="428"/>
      <c r="X166" s="428"/>
      <c r="Y166" s="428"/>
      <c r="Z166" s="428"/>
      <c r="AA166" s="429"/>
      <c r="AB166" s="430"/>
    </row>
    <row r="167" spans="1:28">
      <c r="A167" s="2294"/>
      <c r="B167" s="2198" t="s">
        <v>5115</v>
      </c>
      <c r="C167" s="2271"/>
      <c r="D167" s="2272">
        <f t="shared" ref="D167:D170" si="57">AB167</f>
        <v>144</v>
      </c>
      <c r="E167" s="2273" t="s">
        <v>2845</v>
      </c>
      <c r="F167" s="2300"/>
      <c r="G167" s="662">
        <f t="shared" ref="G167:G170" si="58">ROUND(D167*F167,0)</f>
        <v>0</v>
      </c>
      <c r="H167" s="2292"/>
      <c r="I167" s="1634"/>
      <c r="J167" s="2292"/>
      <c r="K167" s="1633"/>
      <c r="L167" s="2292"/>
      <c r="M167" s="1633"/>
      <c r="N167" s="2292"/>
      <c r="O167" s="1633"/>
      <c r="P167" s="2292"/>
      <c r="Q167" s="1633"/>
      <c r="R167" s="2292"/>
      <c r="S167" s="1634"/>
      <c r="U167" s="408">
        <v>6</v>
      </c>
      <c r="V167" s="409">
        <v>3</v>
      </c>
      <c r="W167" s="409">
        <v>8</v>
      </c>
      <c r="X167" s="409">
        <f t="shared" ref="X167:X170" si="59">V167*W167</f>
        <v>24</v>
      </c>
      <c r="Y167" s="409">
        <f t="shared" ref="Y167:Y170" si="60">V167*U167</f>
        <v>18</v>
      </c>
      <c r="Z167" s="409">
        <f t="shared" ref="Z167:Z170" si="61">U167*(W167*2)</f>
        <v>96</v>
      </c>
      <c r="AA167" s="414">
        <f t="shared" ref="AA167:AA170" si="62">U167*(V167+V167+W167+W167)</f>
        <v>132</v>
      </c>
      <c r="AB167" s="415">
        <f t="shared" ref="AB167:AB170" si="63">U167*X167</f>
        <v>144</v>
      </c>
    </row>
    <row r="168" spans="1:28">
      <c r="A168" s="2294"/>
      <c r="B168" s="2198" t="s">
        <v>5116</v>
      </c>
      <c r="C168" s="2271"/>
      <c r="D168" s="2272">
        <f t="shared" si="57"/>
        <v>216</v>
      </c>
      <c r="E168" s="2273" t="s">
        <v>2845</v>
      </c>
      <c r="F168" s="2300"/>
      <c r="G168" s="662">
        <f t="shared" si="58"/>
        <v>0</v>
      </c>
      <c r="H168" s="2292"/>
      <c r="I168" s="1634"/>
      <c r="J168" s="2292"/>
      <c r="K168" s="1633"/>
      <c r="L168" s="2292"/>
      <c r="M168" s="1633"/>
      <c r="N168" s="2292"/>
      <c r="O168" s="1633"/>
      <c r="P168" s="2292"/>
      <c r="Q168" s="1633"/>
      <c r="R168" s="2292"/>
      <c r="S168" s="1634"/>
      <c r="U168" s="408">
        <v>8</v>
      </c>
      <c r="V168" s="409">
        <v>3</v>
      </c>
      <c r="W168" s="409">
        <v>9</v>
      </c>
      <c r="X168" s="409">
        <f t="shared" si="59"/>
        <v>27</v>
      </c>
      <c r="Y168" s="409">
        <f t="shared" si="60"/>
        <v>24</v>
      </c>
      <c r="Z168" s="409">
        <f t="shared" si="61"/>
        <v>144</v>
      </c>
      <c r="AA168" s="414">
        <f t="shared" si="62"/>
        <v>192</v>
      </c>
      <c r="AB168" s="415">
        <f t="shared" si="63"/>
        <v>216</v>
      </c>
    </row>
    <row r="169" spans="1:28">
      <c r="A169" s="2294"/>
      <c r="B169" s="2198" t="s">
        <v>5117</v>
      </c>
      <c r="C169" s="2271"/>
      <c r="D169" s="2272">
        <f t="shared" si="57"/>
        <v>48</v>
      </c>
      <c r="E169" s="2273" t="s">
        <v>2845</v>
      </c>
      <c r="F169" s="2300"/>
      <c r="G169" s="662">
        <f t="shared" si="58"/>
        <v>0</v>
      </c>
      <c r="H169" s="2292"/>
      <c r="I169" s="1634"/>
      <c r="J169" s="2292"/>
      <c r="K169" s="1633"/>
      <c r="L169" s="2292"/>
      <c r="M169" s="1633"/>
      <c r="N169" s="2292"/>
      <c r="O169" s="1633"/>
      <c r="P169" s="2292"/>
      <c r="Q169" s="1633"/>
      <c r="R169" s="2292"/>
      <c r="S169" s="1634"/>
      <c r="U169" s="408">
        <v>2</v>
      </c>
      <c r="V169" s="409">
        <v>3</v>
      </c>
      <c r="W169" s="409">
        <v>8</v>
      </c>
      <c r="X169" s="409">
        <f t="shared" si="59"/>
        <v>24</v>
      </c>
      <c r="Y169" s="409">
        <f t="shared" si="60"/>
        <v>6</v>
      </c>
      <c r="Z169" s="409">
        <f t="shared" si="61"/>
        <v>32</v>
      </c>
      <c r="AA169" s="414">
        <f t="shared" si="62"/>
        <v>44</v>
      </c>
      <c r="AB169" s="415">
        <f t="shared" si="63"/>
        <v>48</v>
      </c>
    </row>
    <row r="170" spans="1:28">
      <c r="A170" s="2294"/>
      <c r="B170" s="2198" t="s">
        <v>5118</v>
      </c>
      <c r="C170" s="2271"/>
      <c r="D170" s="2272">
        <f t="shared" si="57"/>
        <v>56</v>
      </c>
      <c r="E170" s="2273" t="s">
        <v>2845</v>
      </c>
      <c r="F170" s="2300"/>
      <c r="G170" s="662">
        <f t="shared" si="58"/>
        <v>0</v>
      </c>
      <c r="H170" s="2292"/>
      <c r="I170" s="1634"/>
      <c r="J170" s="2292"/>
      <c r="K170" s="1633"/>
      <c r="L170" s="2292"/>
      <c r="M170" s="1633"/>
      <c r="N170" s="2292"/>
      <c r="O170" s="1633"/>
      <c r="P170" s="2292"/>
      <c r="Q170" s="1633"/>
      <c r="R170" s="2292"/>
      <c r="S170" s="1634"/>
      <c r="U170" s="408">
        <v>2</v>
      </c>
      <c r="V170" s="409">
        <v>3.5</v>
      </c>
      <c r="W170" s="409">
        <v>8</v>
      </c>
      <c r="X170" s="409">
        <f t="shared" si="59"/>
        <v>28</v>
      </c>
      <c r="Y170" s="409">
        <f t="shared" si="60"/>
        <v>7</v>
      </c>
      <c r="Z170" s="409">
        <f t="shared" si="61"/>
        <v>32</v>
      </c>
      <c r="AA170" s="414">
        <f t="shared" si="62"/>
        <v>46</v>
      </c>
      <c r="AB170" s="415">
        <f t="shared" si="63"/>
        <v>56</v>
      </c>
    </row>
    <row r="171" spans="1:28">
      <c r="A171" s="2294"/>
      <c r="B171" s="2198"/>
      <c r="C171" s="2271"/>
      <c r="D171" s="2272"/>
      <c r="E171" s="2273"/>
      <c r="F171" s="2300"/>
      <c r="G171" s="662">
        <f t="shared" si="56"/>
        <v>0</v>
      </c>
      <c r="H171" s="2292"/>
      <c r="I171" s="1634"/>
      <c r="J171" s="2292"/>
      <c r="K171" s="1633"/>
      <c r="L171" s="2292"/>
      <c r="M171" s="1633"/>
      <c r="N171" s="2292"/>
      <c r="O171" s="1633"/>
      <c r="P171" s="2292"/>
      <c r="Q171" s="1633"/>
      <c r="R171" s="2292"/>
      <c r="S171" s="1634"/>
      <c r="U171" s="408"/>
      <c r="V171" s="409"/>
      <c r="W171" s="409"/>
      <c r="X171" s="409"/>
      <c r="Y171" s="409"/>
      <c r="Z171" s="409"/>
      <c r="AA171" s="414"/>
      <c r="AB171" s="415"/>
    </row>
    <row r="172" spans="1:28">
      <c r="A172" s="2294"/>
      <c r="B172" s="2197" t="s">
        <v>5119</v>
      </c>
      <c r="C172" s="2271"/>
      <c r="D172" s="2272"/>
      <c r="E172" s="2273"/>
      <c r="F172" s="2300"/>
      <c r="G172" s="662">
        <f t="shared" si="0"/>
        <v>0</v>
      </c>
      <c r="H172" s="2292"/>
      <c r="I172" s="1634"/>
      <c r="J172" s="2292"/>
      <c r="K172" s="1633"/>
      <c r="L172" s="2292"/>
      <c r="M172" s="1633"/>
      <c r="N172" s="2292"/>
      <c r="O172" s="1633"/>
      <c r="P172" s="2292"/>
      <c r="Q172" s="1633"/>
      <c r="R172" s="2292"/>
      <c r="S172" s="1634"/>
      <c r="U172" s="408"/>
      <c r="V172" s="409"/>
      <c r="W172" s="409"/>
      <c r="X172" s="409"/>
      <c r="Y172" s="409"/>
      <c r="Z172" s="409"/>
      <c r="AA172" s="414"/>
      <c r="AB172" s="415"/>
    </row>
    <row r="173" spans="1:28">
      <c r="A173" s="2294"/>
      <c r="B173" s="2198" t="s">
        <v>5120</v>
      </c>
      <c r="C173" s="2271"/>
      <c r="D173" s="2272">
        <v>8</v>
      </c>
      <c r="E173" s="2273" t="s">
        <v>2803</v>
      </c>
      <c r="F173" s="2300">
        <f>2.5*8*50</f>
        <v>1000</v>
      </c>
      <c r="G173" s="662">
        <f t="shared" si="0"/>
        <v>8000</v>
      </c>
      <c r="H173" s="2292"/>
      <c r="I173" s="1643">
        <f>$G173</f>
        <v>8000</v>
      </c>
      <c r="J173" s="2292"/>
      <c r="K173" s="1643">
        <f>$G173</f>
        <v>8000</v>
      </c>
      <c r="L173" s="2292"/>
      <c r="M173" s="1643">
        <f>$G173</f>
        <v>8000</v>
      </c>
      <c r="N173" s="2292"/>
      <c r="O173" s="1643">
        <f>$G173</f>
        <v>8000</v>
      </c>
      <c r="P173" s="2292"/>
      <c r="Q173" s="1643"/>
      <c r="R173" s="2292"/>
      <c r="S173" s="1643">
        <f>$G173</f>
        <v>8000</v>
      </c>
      <c r="U173" s="408"/>
      <c r="V173" s="409"/>
      <c r="W173" s="409"/>
      <c r="X173" s="409"/>
      <c r="Y173" s="409"/>
      <c r="Z173" s="409"/>
      <c r="AA173" s="414"/>
      <c r="AB173" s="415"/>
    </row>
    <row r="174" spans="1:28">
      <c r="A174" s="2294"/>
      <c r="B174" s="2198"/>
      <c r="C174" s="2271"/>
      <c r="D174" s="2272"/>
      <c r="E174" s="2273"/>
      <c r="F174" s="2300"/>
      <c r="G174" s="662">
        <f t="shared" si="0"/>
        <v>0</v>
      </c>
      <c r="H174" s="2292"/>
      <c r="I174" s="1634"/>
      <c r="J174" s="2292"/>
      <c r="K174" s="1633"/>
      <c r="L174" s="2292"/>
      <c r="M174" s="1633"/>
      <c r="N174" s="2292"/>
      <c r="O174" s="1633"/>
      <c r="P174" s="2292"/>
      <c r="Q174" s="1633"/>
      <c r="R174" s="2292"/>
      <c r="S174" s="1634"/>
      <c r="U174" s="408"/>
      <c r="V174" s="409"/>
      <c r="W174" s="409"/>
      <c r="X174" s="409"/>
      <c r="Y174" s="409"/>
      <c r="Z174" s="409"/>
      <c r="AA174" s="414"/>
      <c r="AB174" s="415"/>
    </row>
    <row r="175" spans="1:28">
      <c r="A175" s="2294"/>
      <c r="B175" s="2194" t="s">
        <v>5121</v>
      </c>
      <c r="C175" s="2271"/>
      <c r="D175" s="2272"/>
      <c r="E175" s="2273"/>
      <c r="F175" s="2300"/>
      <c r="G175" s="662">
        <f t="shared" si="0"/>
        <v>0</v>
      </c>
      <c r="H175" s="2292" t="s">
        <v>2931</v>
      </c>
      <c r="I175" s="1643">
        <v>50000</v>
      </c>
      <c r="J175" s="2292" t="s">
        <v>2931</v>
      </c>
      <c r="K175" s="1633"/>
      <c r="L175" s="2292"/>
      <c r="M175" s="1633">
        <v>50000</v>
      </c>
      <c r="N175" s="2292" t="s">
        <v>2929</v>
      </c>
      <c r="O175" s="1643">
        <v>50000</v>
      </c>
      <c r="P175" s="2292"/>
      <c r="Q175" s="1633"/>
      <c r="R175" s="2292"/>
      <c r="S175" s="1643"/>
      <c r="U175" s="408"/>
      <c r="V175" s="409"/>
      <c r="W175" s="409"/>
      <c r="X175" s="409"/>
      <c r="Y175" s="409"/>
      <c r="Z175" s="409"/>
      <c r="AA175" s="414"/>
      <c r="AB175" s="415"/>
    </row>
    <row r="176" spans="1:28">
      <c r="A176" s="2294"/>
      <c r="B176" s="2194" t="s">
        <v>5122</v>
      </c>
      <c r="C176" s="2271"/>
      <c r="D176" s="2272"/>
      <c r="E176" s="2273"/>
      <c r="F176" s="2300"/>
      <c r="G176" s="662">
        <f t="shared" si="0"/>
        <v>0</v>
      </c>
      <c r="H176" s="2292" t="s">
        <v>2931</v>
      </c>
      <c r="I176" s="1643">
        <v>50000</v>
      </c>
      <c r="J176" s="2292" t="s">
        <v>2931</v>
      </c>
      <c r="K176" s="1633"/>
      <c r="L176" s="2292"/>
      <c r="M176" s="1633"/>
      <c r="N176" s="2292" t="s">
        <v>2931</v>
      </c>
      <c r="O176" s="1633"/>
      <c r="P176" s="2292"/>
      <c r="Q176" s="1633"/>
      <c r="R176" s="2292"/>
      <c r="S176" s="1643"/>
      <c r="U176" s="408"/>
      <c r="V176" s="409"/>
      <c r="W176" s="409"/>
      <c r="X176" s="409"/>
      <c r="Y176" s="409"/>
      <c r="Z176" s="409"/>
      <c r="AA176" s="414"/>
      <c r="AB176" s="415"/>
    </row>
    <row r="177" spans="1:28">
      <c r="A177" s="2294"/>
      <c r="B177" s="2194" t="s">
        <v>5123</v>
      </c>
      <c r="C177" s="2271"/>
      <c r="D177" s="2272"/>
      <c r="E177" s="2273"/>
      <c r="F177" s="2300"/>
      <c r="G177" s="662">
        <f t="shared" si="0"/>
        <v>0</v>
      </c>
      <c r="H177" s="2292" t="s">
        <v>2931</v>
      </c>
      <c r="I177" s="1643">
        <v>50000</v>
      </c>
      <c r="J177" s="2292" t="s">
        <v>2931</v>
      </c>
      <c r="K177" s="1633"/>
      <c r="L177" s="2292"/>
      <c r="M177" s="1633"/>
      <c r="N177" s="2292" t="s">
        <v>2931</v>
      </c>
      <c r="O177" s="1633"/>
      <c r="P177" s="2292"/>
      <c r="Q177" s="1633"/>
      <c r="R177" s="2292"/>
      <c r="S177" s="1643"/>
      <c r="U177" s="408"/>
      <c r="V177" s="409"/>
      <c r="W177" s="409"/>
      <c r="X177" s="409"/>
      <c r="Y177" s="409"/>
      <c r="Z177" s="409"/>
      <c r="AA177" s="414"/>
      <c r="AB177" s="415"/>
    </row>
    <row r="178" spans="1:28">
      <c r="A178" s="2294"/>
      <c r="B178" s="2197"/>
      <c r="C178" s="2271"/>
      <c r="D178" s="2272"/>
      <c r="E178" s="2273"/>
      <c r="F178" s="2300"/>
      <c r="G178" s="662">
        <f t="shared" si="0"/>
        <v>0</v>
      </c>
      <c r="H178" s="2292"/>
      <c r="I178" s="1634"/>
      <c r="J178" s="2292"/>
      <c r="K178" s="1633"/>
      <c r="L178" s="2292"/>
      <c r="M178" s="1633"/>
      <c r="N178" s="2292"/>
      <c r="O178" s="1633"/>
      <c r="P178" s="2292"/>
      <c r="Q178" s="1633"/>
      <c r="R178" s="2292"/>
      <c r="S178" s="1634"/>
      <c r="U178" s="408"/>
      <c r="V178" s="409"/>
      <c r="W178" s="409"/>
      <c r="X178" s="409"/>
      <c r="Y178" s="409"/>
      <c r="Z178" s="409"/>
      <c r="AA178" s="414"/>
      <c r="AB178" s="415"/>
    </row>
    <row r="179" spans="1:28">
      <c r="A179" s="2294"/>
      <c r="B179" s="2194" t="s">
        <v>4757</v>
      </c>
      <c r="C179" s="2271"/>
      <c r="D179" s="2272"/>
      <c r="E179" s="2273"/>
      <c r="F179" s="2300"/>
      <c r="G179" s="662">
        <f t="shared" si="0"/>
        <v>0</v>
      </c>
      <c r="H179" s="2292"/>
      <c r="I179" s="1634"/>
      <c r="J179" s="2292"/>
      <c r="K179" s="1633"/>
      <c r="L179" s="2292"/>
      <c r="M179" s="1633"/>
      <c r="N179" s="2292"/>
      <c r="O179" s="1633"/>
      <c r="P179" s="2292"/>
      <c r="Q179" s="1633"/>
      <c r="R179" s="2292"/>
      <c r="S179" s="1634"/>
      <c r="U179" s="408"/>
      <c r="V179" s="409"/>
      <c r="W179" s="409"/>
      <c r="X179" s="409"/>
      <c r="Y179" s="409"/>
      <c r="Z179" s="409"/>
      <c r="AA179" s="414"/>
      <c r="AB179" s="415"/>
    </row>
    <row r="180" spans="1:28" s="175" customFormat="1" ht="75">
      <c r="A180" s="2294"/>
      <c r="B180" s="2308" t="s">
        <v>5124</v>
      </c>
      <c r="C180" s="2309"/>
      <c r="D180" s="2310"/>
      <c r="E180" s="2311"/>
      <c r="F180" s="2312"/>
      <c r="G180" s="662">
        <f t="shared" si="0"/>
        <v>0</v>
      </c>
      <c r="H180" s="2292"/>
      <c r="I180" s="1634"/>
      <c r="J180" s="2313"/>
      <c r="K180" s="785"/>
      <c r="L180" s="2313"/>
      <c r="M180" s="785"/>
      <c r="N180" s="2313"/>
      <c r="O180" s="785"/>
      <c r="P180" s="2313"/>
      <c r="Q180" s="785"/>
      <c r="R180" s="2313"/>
      <c r="S180" s="784"/>
      <c r="U180" s="489"/>
      <c r="V180" s="490"/>
      <c r="W180" s="490"/>
      <c r="X180" s="490"/>
      <c r="Y180" s="490"/>
      <c r="Z180" s="490"/>
      <c r="AA180" s="491"/>
      <c r="AB180" s="492"/>
    </row>
    <row r="181" spans="1:28" s="175" customFormat="1" ht="30">
      <c r="A181" s="2294"/>
      <c r="B181" s="2308" t="s">
        <v>5125</v>
      </c>
      <c r="C181" s="2309"/>
      <c r="D181" s="2310"/>
      <c r="E181" s="2311"/>
      <c r="F181" s="2312"/>
      <c r="G181" s="662">
        <f t="shared" si="0"/>
        <v>0</v>
      </c>
      <c r="H181" s="2292"/>
      <c r="I181" s="1634"/>
      <c r="J181" s="2313"/>
      <c r="K181" s="785"/>
      <c r="L181" s="2313"/>
      <c r="M181" s="785"/>
      <c r="N181" s="2313"/>
      <c r="O181" s="785"/>
      <c r="P181" s="2313"/>
      <c r="Q181" s="785"/>
      <c r="R181" s="2313"/>
      <c r="S181" s="784"/>
      <c r="U181" s="489"/>
      <c r="V181" s="490"/>
      <c r="W181" s="490"/>
      <c r="X181" s="490"/>
      <c r="Y181" s="490"/>
      <c r="Z181" s="490"/>
      <c r="AA181" s="491"/>
      <c r="AB181" s="492"/>
    </row>
    <row r="182" spans="1:28" ht="45">
      <c r="A182" s="2294"/>
      <c r="B182" s="2314" t="s">
        <v>5126</v>
      </c>
      <c r="C182" s="2271"/>
      <c r="D182" s="2272"/>
      <c r="E182" s="2273"/>
      <c r="F182" s="2300"/>
      <c r="G182" s="662">
        <f t="shared" si="0"/>
        <v>0</v>
      </c>
      <c r="H182" s="2292"/>
      <c r="I182" s="1634"/>
      <c r="J182" s="2292"/>
      <c r="K182" s="1633"/>
      <c r="L182" s="2292"/>
      <c r="M182" s="1633"/>
      <c r="N182" s="2292"/>
      <c r="O182" s="1633"/>
      <c r="P182" s="2292"/>
      <c r="Q182" s="1633"/>
      <c r="R182" s="2292"/>
      <c r="S182" s="1634"/>
      <c r="U182" s="408"/>
      <c r="V182" s="409"/>
      <c r="W182" s="409"/>
      <c r="X182" s="409"/>
      <c r="Y182" s="409"/>
      <c r="Z182" s="409"/>
      <c r="AA182" s="414"/>
      <c r="AB182" s="415"/>
    </row>
    <row r="183" spans="1:28">
      <c r="A183" s="2294"/>
      <c r="B183" s="2314"/>
      <c r="C183" s="2271"/>
      <c r="D183" s="2272"/>
      <c r="E183" s="2273"/>
      <c r="F183" s="2300"/>
      <c r="G183" s="662">
        <f t="shared" si="0"/>
        <v>0</v>
      </c>
      <c r="H183" s="2292"/>
      <c r="I183" s="1634"/>
      <c r="J183" s="2292"/>
      <c r="K183" s="1633"/>
      <c r="L183" s="2292"/>
      <c r="M183" s="1633"/>
      <c r="N183" s="2292"/>
      <c r="O183" s="1633"/>
      <c r="P183" s="2292"/>
      <c r="Q183" s="1633"/>
      <c r="R183" s="2292"/>
      <c r="S183" s="1634"/>
      <c r="U183" s="408"/>
      <c r="V183" s="409"/>
      <c r="W183" s="409"/>
      <c r="X183" s="409"/>
      <c r="Y183" s="409"/>
      <c r="Z183" s="409"/>
      <c r="AA183" s="414"/>
      <c r="AB183" s="415"/>
    </row>
    <row r="184" spans="1:28">
      <c r="A184" s="2315" t="s">
        <v>2587</v>
      </c>
      <c r="B184" s="2314" t="s">
        <v>5127</v>
      </c>
      <c r="C184" s="2271"/>
      <c r="D184" s="2272"/>
      <c r="E184" s="2273"/>
      <c r="F184" s="2300"/>
      <c r="G184" s="670">
        <f>SUM(G185:G188)</f>
        <v>149000</v>
      </c>
      <c r="H184" s="2292"/>
      <c r="I184" s="783">
        <f>$G184</f>
        <v>149000</v>
      </c>
      <c r="J184" s="2292"/>
      <c r="K184" s="783">
        <f>$G184</f>
        <v>149000</v>
      </c>
      <c r="L184" s="2292"/>
      <c r="M184" s="783">
        <f>$G184</f>
        <v>149000</v>
      </c>
      <c r="N184" s="2292"/>
      <c r="O184" s="783">
        <f>$G184</f>
        <v>149000</v>
      </c>
      <c r="P184" s="2292"/>
      <c r="Q184" s="1633"/>
      <c r="R184" s="2292"/>
      <c r="S184" s="783">
        <f>$G184</f>
        <v>149000</v>
      </c>
      <c r="U184" s="571"/>
      <c r="V184" s="571"/>
      <c r="W184" s="571"/>
      <c r="X184" s="571"/>
      <c r="Y184" s="571"/>
      <c r="Z184" s="571"/>
      <c r="AA184" s="493"/>
      <c r="AB184" s="493"/>
    </row>
    <row r="185" spans="1:28">
      <c r="A185" s="2294"/>
      <c r="B185" s="2316" t="s">
        <v>5128</v>
      </c>
      <c r="C185" s="2271" t="s">
        <v>5129</v>
      </c>
      <c r="D185" s="2272">
        <v>187</v>
      </c>
      <c r="E185" s="2273" t="s">
        <v>2864</v>
      </c>
      <c r="F185" s="2230">
        <v>500</v>
      </c>
      <c r="G185" s="662">
        <f t="shared" si="0"/>
        <v>93500</v>
      </c>
      <c r="H185" s="2292"/>
      <c r="I185" s="1634"/>
      <c r="J185" s="2292"/>
      <c r="K185" s="1633"/>
      <c r="L185" s="2292"/>
      <c r="M185" s="1633"/>
      <c r="N185" s="2292"/>
      <c r="O185" s="1633"/>
      <c r="P185" s="2292"/>
      <c r="Q185" s="1633"/>
      <c r="R185" s="2292"/>
      <c r="S185" s="1634"/>
      <c r="U185" s="571"/>
      <c r="V185" s="571"/>
      <c r="W185" s="571"/>
      <c r="X185" s="571"/>
      <c r="Y185" s="571"/>
      <c r="Z185" s="571"/>
      <c r="AA185" s="493"/>
      <c r="AB185" s="493"/>
    </row>
    <row r="186" spans="1:28">
      <c r="A186" s="2294"/>
      <c r="B186" s="2316" t="s">
        <v>5130</v>
      </c>
      <c r="C186" s="2271" t="s">
        <v>712</v>
      </c>
      <c r="D186" s="2272">
        <v>28</v>
      </c>
      <c r="E186" s="2273" t="s">
        <v>2864</v>
      </c>
      <c r="F186" s="2230">
        <v>500</v>
      </c>
      <c r="G186" s="662">
        <f t="shared" si="0"/>
        <v>14000</v>
      </c>
      <c r="H186" s="2292"/>
      <c r="I186" s="1634"/>
      <c r="J186" s="2292"/>
      <c r="K186" s="1633"/>
      <c r="L186" s="2292"/>
      <c r="M186" s="1633"/>
      <c r="N186" s="2292"/>
      <c r="O186" s="1633"/>
      <c r="P186" s="2292"/>
      <c r="Q186" s="1633"/>
      <c r="R186" s="2292"/>
      <c r="S186" s="1634"/>
      <c r="U186" s="571"/>
      <c r="V186" s="571"/>
      <c r="W186" s="571"/>
      <c r="X186" s="571"/>
      <c r="Y186" s="571"/>
      <c r="Z186" s="571"/>
      <c r="AA186" s="493"/>
      <c r="AB186" s="493"/>
    </row>
    <row r="187" spans="1:28">
      <c r="A187" s="2294"/>
      <c r="B187" s="2316" t="s">
        <v>5131</v>
      </c>
      <c r="C187" s="2271" t="s">
        <v>5132</v>
      </c>
      <c r="D187" s="2272">
        <v>50</v>
      </c>
      <c r="E187" s="2273" t="s">
        <v>2864</v>
      </c>
      <c r="F187" s="2230">
        <v>500</v>
      </c>
      <c r="G187" s="662">
        <f t="shared" si="0"/>
        <v>25000</v>
      </c>
      <c r="H187" s="2292"/>
      <c r="I187" s="1634"/>
      <c r="J187" s="2292"/>
      <c r="K187" s="1633"/>
      <c r="L187" s="2292"/>
      <c r="M187" s="1633"/>
      <c r="N187" s="2292"/>
      <c r="O187" s="1633"/>
      <c r="P187" s="2292"/>
      <c r="Q187" s="1633"/>
      <c r="R187" s="2292"/>
      <c r="S187" s="1634"/>
      <c r="U187" s="408"/>
      <c r="V187" s="409"/>
      <c r="W187" s="409"/>
      <c r="X187" s="409"/>
      <c r="Y187" s="409"/>
      <c r="Z187" s="409"/>
      <c r="AA187" s="414"/>
      <c r="AB187" s="415"/>
    </row>
    <row r="188" spans="1:28">
      <c r="A188" s="2294"/>
      <c r="B188" s="2316" t="s">
        <v>5133</v>
      </c>
      <c r="C188" s="2271" t="s">
        <v>767</v>
      </c>
      <c r="D188" s="2272">
        <v>33</v>
      </c>
      <c r="E188" s="2273" t="s">
        <v>2864</v>
      </c>
      <c r="F188" s="2230">
        <v>500</v>
      </c>
      <c r="G188" s="662">
        <f t="shared" si="0"/>
        <v>16500</v>
      </c>
      <c r="H188" s="2292"/>
      <c r="I188" s="1634"/>
      <c r="J188" s="2292"/>
      <c r="K188" s="1633"/>
      <c r="L188" s="2292"/>
      <c r="M188" s="1633"/>
      <c r="N188" s="2292"/>
      <c r="O188" s="1633"/>
      <c r="P188" s="2292"/>
      <c r="Q188" s="1633"/>
      <c r="R188" s="2292"/>
      <c r="S188" s="1634"/>
      <c r="U188" s="571"/>
      <c r="V188" s="571"/>
      <c r="W188" s="571"/>
      <c r="X188" s="571"/>
      <c r="Y188" s="571"/>
      <c r="Z188" s="571"/>
      <c r="AA188" s="493"/>
      <c r="AB188" s="493"/>
    </row>
    <row r="189" spans="1:28">
      <c r="A189" s="2294"/>
      <c r="B189" s="2314"/>
      <c r="C189" s="2271"/>
      <c r="D189" s="2272"/>
      <c r="E189" s="2273"/>
      <c r="F189" s="2300"/>
      <c r="G189" s="662">
        <f t="shared" si="0"/>
        <v>0</v>
      </c>
      <c r="H189" s="2292"/>
      <c r="I189" s="1634"/>
      <c r="J189" s="2292"/>
      <c r="K189" s="1633"/>
      <c r="L189" s="2292"/>
      <c r="M189" s="1633"/>
      <c r="N189" s="2292"/>
      <c r="O189" s="1633"/>
      <c r="P189" s="2292"/>
      <c r="Q189" s="1633"/>
      <c r="R189" s="2292"/>
      <c r="S189" s="1634"/>
      <c r="U189" s="408"/>
      <c r="V189" s="409"/>
      <c r="W189" s="409"/>
      <c r="X189" s="409"/>
      <c r="Y189" s="409"/>
      <c r="Z189" s="409"/>
      <c r="AA189" s="414"/>
      <c r="AB189" s="415"/>
    </row>
    <row r="190" spans="1:28">
      <c r="A190" s="2294"/>
      <c r="B190" s="2226" t="s">
        <v>3235</v>
      </c>
      <c r="C190" s="2271"/>
      <c r="D190" s="2272"/>
      <c r="E190" s="2273"/>
      <c r="F190" s="2300"/>
      <c r="G190" s="662">
        <f t="shared" si="0"/>
        <v>0</v>
      </c>
      <c r="H190" s="2292"/>
      <c r="I190" s="1729">
        <f>SUBTOTAL(9,I191:I192)</f>
        <v>0</v>
      </c>
      <c r="J190" s="2292"/>
      <c r="K190" s="1729">
        <f>SUBTOTAL(9,K191:K192)</f>
        <v>0</v>
      </c>
      <c r="L190" s="2292"/>
      <c r="M190" s="1729">
        <f>SUBTOTAL(9,M191:M192)</f>
        <v>0</v>
      </c>
      <c r="N190" s="2292"/>
      <c r="O190" s="1729">
        <f>SUBTOTAL(9,O191:O192)</f>
        <v>0</v>
      </c>
      <c r="P190" s="2292"/>
      <c r="Q190" s="1729">
        <f>SUBTOTAL(9,Q191:Q192)</f>
        <v>0</v>
      </c>
      <c r="R190" s="2292"/>
      <c r="S190" s="1729">
        <f>SUBTOTAL(9,S191:S192)</f>
        <v>0</v>
      </c>
      <c r="U190" s="408"/>
      <c r="V190" s="409"/>
      <c r="W190" s="409"/>
      <c r="X190" s="409"/>
      <c r="Y190" s="409"/>
      <c r="Z190" s="409"/>
      <c r="AA190" s="414"/>
      <c r="AB190" s="415"/>
    </row>
    <row r="191" spans="1:28">
      <c r="A191" s="2294"/>
      <c r="B191" s="2194" t="s">
        <v>5134</v>
      </c>
      <c r="C191" s="2271"/>
      <c r="D191" s="2272"/>
      <c r="E191" s="2273"/>
      <c r="F191" s="2300"/>
      <c r="G191" s="662">
        <f t="shared" si="0"/>
        <v>0</v>
      </c>
      <c r="H191" s="2292"/>
      <c r="I191" s="1634"/>
      <c r="J191" s="2292"/>
      <c r="K191" s="1633"/>
      <c r="L191" s="2292"/>
      <c r="M191" s="1633"/>
      <c r="N191" s="2292"/>
      <c r="O191" s="1633"/>
      <c r="P191" s="2292"/>
      <c r="Q191" s="1633"/>
      <c r="R191" s="2292"/>
      <c r="S191" s="1634"/>
      <c r="U191" s="408"/>
      <c r="V191" s="409"/>
      <c r="W191" s="409"/>
      <c r="X191" s="409"/>
      <c r="Y191" s="409"/>
      <c r="Z191" s="409"/>
      <c r="AA191" s="414"/>
      <c r="AB191" s="415"/>
    </row>
    <row r="192" spans="1:28">
      <c r="A192" s="2294"/>
      <c r="B192" s="2194"/>
      <c r="C192" s="2271"/>
      <c r="D192" s="2272"/>
      <c r="E192" s="2273"/>
      <c r="F192" s="2300"/>
      <c r="G192" s="662">
        <f t="shared" si="0"/>
        <v>0</v>
      </c>
      <c r="H192" s="2292"/>
      <c r="I192" s="1634"/>
      <c r="J192" s="2292"/>
      <c r="K192" s="1633"/>
      <c r="L192" s="2292"/>
      <c r="M192" s="1633"/>
      <c r="N192" s="2292"/>
      <c r="O192" s="1633"/>
      <c r="P192" s="2292"/>
      <c r="Q192" s="1633"/>
      <c r="R192" s="2292"/>
      <c r="S192" s="1634"/>
      <c r="U192" s="408"/>
      <c r="V192" s="409"/>
      <c r="W192" s="409"/>
      <c r="X192" s="409"/>
      <c r="Y192" s="409"/>
      <c r="Z192" s="409"/>
      <c r="AA192" s="414"/>
      <c r="AB192" s="415"/>
    </row>
    <row r="193" spans="1:28">
      <c r="A193" s="2294"/>
      <c r="B193" s="2226" t="s">
        <v>5135</v>
      </c>
      <c r="C193" s="2271"/>
      <c r="D193" s="2272"/>
      <c r="E193" s="2273"/>
      <c r="F193" s="2300"/>
      <c r="G193" s="662">
        <f t="shared" si="0"/>
        <v>0</v>
      </c>
      <c r="H193" s="2292"/>
      <c r="I193" s="1729">
        <f>SUBTOTAL(9,I194:I233)</f>
        <v>247760.7</v>
      </c>
      <c r="J193" s="2292"/>
      <c r="K193" s="1729">
        <f>SUBTOTAL(9,K194:K233)</f>
        <v>269313</v>
      </c>
      <c r="L193" s="2292"/>
      <c r="M193" s="1729">
        <f>SUBTOTAL(9,M194:M233)</f>
        <v>268789</v>
      </c>
      <c r="N193" s="2292"/>
      <c r="O193" s="1729">
        <f>SUBTOTAL(9,O194:O233)</f>
        <v>287346</v>
      </c>
      <c r="P193" s="2292"/>
      <c r="Q193" s="1729">
        <f>SUBTOTAL(9,Q194:Q233)</f>
        <v>0</v>
      </c>
      <c r="R193" s="2292"/>
      <c r="S193" s="1729">
        <f>SUBTOTAL(9,S194:S233)</f>
        <v>252510</v>
      </c>
      <c r="U193" s="408"/>
      <c r="V193" s="409"/>
      <c r="W193" s="409"/>
      <c r="X193" s="409"/>
      <c r="Y193" s="409"/>
      <c r="Z193" s="409"/>
      <c r="AA193" s="414"/>
      <c r="AB193" s="415"/>
    </row>
    <row r="194" spans="1:28">
      <c r="A194" s="2302"/>
      <c r="B194" s="2227" t="s">
        <v>2994</v>
      </c>
      <c r="C194" s="659"/>
      <c r="D194" s="2272"/>
      <c r="E194" s="2273"/>
      <c r="F194" s="2300"/>
      <c r="G194" s="662"/>
      <c r="H194" s="2292"/>
      <c r="I194" s="1634">
        <f>243947.7-I230</f>
        <v>220007.25</v>
      </c>
      <c r="J194" s="2292" t="s">
        <v>2931</v>
      </c>
      <c r="K194" s="782">
        <v>240500</v>
      </c>
      <c r="L194" s="2292"/>
      <c r="M194" s="1633">
        <v>237800</v>
      </c>
      <c r="N194" s="2292"/>
      <c r="O194" s="782">
        <v>262346</v>
      </c>
      <c r="P194" s="2292"/>
      <c r="Q194" s="1633"/>
      <c r="R194" s="2292"/>
      <c r="S194" s="1634">
        <v>252510</v>
      </c>
      <c r="U194" s="408"/>
      <c r="V194" s="409"/>
      <c r="W194" s="409"/>
      <c r="X194" s="409"/>
      <c r="Y194" s="409"/>
      <c r="Z194" s="409"/>
      <c r="AA194" s="414"/>
      <c r="AB194" s="415"/>
    </row>
    <row r="195" spans="1:28">
      <c r="A195" s="2302"/>
      <c r="B195" s="2227" t="s">
        <v>4978</v>
      </c>
      <c r="C195" s="659"/>
      <c r="D195" s="2272">
        <f>SUM(D196:D207)</f>
        <v>282.21059999999994</v>
      </c>
      <c r="E195" s="2273" t="s">
        <v>2845</v>
      </c>
      <c r="F195" s="2300">
        <f t="shared" ref="F195" si="64">$F$21</f>
        <v>150</v>
      </c>
      <c r="G195" s="662">
        <f t="shared" si="0"/>
        <v>42332</v>
      </c>
      <c r="H195" s="2292"/>
      <c r="I195" s="1634"/>
      <c r="J195" s="2292"/>
      <c r="K195" s="1633"/>
      <c r="L195" s="2292"/>
      <c r="M195" s="1633"/>
      <c r="N195" s="2292"/>
      <c r="O195" s="1633"/>
      <c r="P195" s="2292"/>
      <c r="Q195" s="1633"/>
      <c r="R195" s="2292"/>
      <c r="S195" s="1634"/>
      <c r="U195" s="408"/>
      <c r="V195" s="409"/>
      <c r="W195" s="409"/>
      <c r="X195" s="409"/>
      <c r="Y195" s="409"/>
      <c r="Z195" s="409"/>
      <c r="AA195" s="414"/>
      <c r="AB195" s="415"/>
    </row>
    <row r="196" spans="1:28" hidden="1" outlineLevel="1">
      <c r="A196" s="2294"/>
      <c r="B196" s="2197" t="s">
        <v>5136</v>
      </c>
      <c r="C196" s="2271"/>
      <c r="D196" s="2272">
        <f t="shared" ref="D196:D207" si="65">AB196</f>
        <v>19.0656</v>
      </c>
      <c r="E196" s="2273" t="s">
        <v>2845</v>
      </c>
      <c r="F196" s="2300"/>
      <c r="G196" s="662">
        <f t="shared" si="0"/>
        <v>0</v>
      </c>
      <c r="H196" s="2292"/>
      <c r="I196" s="1634"/>
      <c r="J196" s="2292"/>
      <c r="K196" s="1633"/>
      <c r="L196" s="2292"/>
      <c r="M196" s="1633"/>
      <c r="N196" s="2292"/>
      <c r="O196" s="1633"/>
      <c r="P196" s="2292"/>
      <c r="Q196" s="1633"/>
      <c r="R196" s="2292"/>
      <c r="S196" s="1634"/>
      <c r="U196" s="408">
        <v>1</v>
      </c>
      <c r="V196" s="409">
        <v>1.92</v>
      </c>
      <c r="W196" s="409">
        <v>9.93</v>
      </c>
      <c r="X196" s="409">
        <f t="shared" ref="X196:X220" si="66">V196*W196</f>
        <v>19.0656</v>
      </c>
      <c r="Y196" s="409">
        <f t="shared" ref="Y196" si="67">V196*U196</f>
        <v>1.92</v>
      </c>
      <c r="Z196" s="409">
        <f t="shared" ref="Z196" si="68">U196*(W196*2)</f>
        <v>19.86</v>
      </c>
      <c r="AA196" s="414">
        <f t="shared" ref="AA196" si="69">U196*(V196+V196+W196+W196)</f>
        <v>23.7</v>
      </c>
      <c r="AB196" s="415">
        <f t="shared" ref="AB196:AB220" si="70">U196*X196</f>
        <v>19.0656</v>
      </c>
    </row>
    <row r="197" spans="1:28" hidden="1" outlineLevel="1">
      <c r="A197" s="2294">
        <f>7.17/2</f>
        <v>3.585</v>
      </c>
      <c r="B197" s="2197" t="s">
        <v>5137</v>
      </c>
      <c r="C197" s="2271"/>
      <c r="D197" s="2272">
        <f t="shared" si="65"/>
        <v>35.3508</v>
      </c>
      <c r="E197" s="2273" t="s">
        <v>2845</v>
      </c>
      <c r="F197" s="2300"/>
      <c r="G197" s="662">
        <f t="shared" si="0"/>
        <v>0</v>
      </c>
      <c r="H197" s="2292"/>
      <c r="I197" s="1634"/>
      <c r="J197" s="2292"/>
      <c r="K197" s="1633"/>
      <c r="L197" s="2292"/>
      <c r="M197" s="1633"/>
      <c r="N197" s="2292"/>
      <c r="O197" s="1633"/>
      <c r="P197" s="2292"/>
      <c r="Q197" s="1633"/>
      <c r="R197" s="2292"/>
      <c r="S197" s="1634"/>
      <c r="U197" s="408">
        <v>1</v>
      </c>
      <c r="V197" s="409">
        <v>3.56</v>
      </c>
      <c r="W197" s="409">
        <v>9.93</v>
      </c>
      <c r="X197" s="409">
        <f t="shared" si="66"/>
        <v>35.3508</v>
      </c>
      <c r="Y197" s="409">
        <f t="shared" ref="Y197:Y221" si="71">V197*U197</f>
        <v>3.56</v>
      </c>
      <c r="Z197" s="409">
        <f t="shared" ref="Z197:Z221" si="72">U197*(W197*2)</f>
        <v>19.86</v>
      </c>
      <c r="AA197" s="414">
        <f t="shared" ref="AA197:AA221" si="73">U197*(V197+V197+W197+W197)</f>
        <v>26.98</v>
      </c>
      <c r="AB197" s="415">
        <f t="shared" si="70"/>
        <v>35.3508</v>
      </c>
    </row>
    <row r="198" spans="1:28" hidden="1" outlineLevel="1">
      <c r="A198" s="2294"/>
      <c r="B198" s="2197" t="s">
        <v>5138</v>
      </c>
      <c r="C198" s="2271"/>
      <c r="D198" s="2272">
        <f t="shared" si="65"/>
        <v>34.754999999999995</v>
      </c>
      <c r="E198" s="2273" t="s">
        <v>2845</v>
      </c>
      <c r="F198" s="2300"/>
      <c r="G198" s="662">
        <f t="shared" si="0"/>
        <v>0</v>
      </c>
      <c r="H198" s="2292"/>
      <c r="I198" s="1634"/>
      <c r="J198" s="2292"/>
      <c r="K198" s="1633"/>
      <c r="L198" s="2292"/>
      <c r="M198" s="1633"/>
      <c r="N198" s="2292"/>
      <c r="O198" s="1633"/>
      <c r="P198" s="2292"/>
      <c r="Q198" s="1633"/>
      <c r="R198" s="2292"/>
      <c r="S198" s="1634"/>
      <c r="U198" s="408">
        <v>1</v>
      </c>
      <c r="V198" s="409">
        <v>3.5</v>
      </c>
      <c r="W198" s="409">
        <v>9.93</v>
      </c>
      <c r="X198" s="409">
        <f t="shared" si="66"/>
        <v>34.754999999999995</v>
      </c>
      <c r="Y198" s="409">
        <f t="shared" si="71"/>
        <v>3.5</v>
      </c>
      <c r="Z198" s="409">
        <f t="shared" si="72"/>
        <v>19.86</v>
      </c>
      <c r="AA198" s="414">
        <f t="shared" si="73"/>
        <v>26.86</v>
      </c>
      <c r="AB198" s="415">
        <f t="shared" si="70"/>
        <v>34.754999999999995</v>
      </c>
    </row>
    <row r="199" spans="1:28" hidden="1" outlineLevel="1">
      <c r="A199" s="2294"/>
      <c r="B199" s="2197" t="s">
        <v>5139</v>
      </c>
      <c r="C199" s="2271"/>
      <c r="D199" s="2272">
        <f t="shared" si="65"/>
        <v>19.0656</v>
      </c>
      <c r="E199" s="2273" t="s">
        <v>2845</v>
      </c>
      <c r="F199" s="2300"/>
      <c r="G199" s="662">
        <f t="shared" si="0"/>
        <v>0</v>
      </c>
      <c r="H199" s="2292"/>
      <c r="I199" s="1634"/>
      <c r="J199" s="2292"/>
      <c r="K199" s="1633"/>
      <c r="L199" s="2292"/>
      <c r="M199" s="1633"/>
      <c r="N199" s="2292"/>
      <c r="O199" s="1633"/>
      <c r="P199" s="2292"/>
      <c r="Q199" s="1633"/>
      <c r="R199" s="2292"/>
      <c r="S199" s="1634"/>
      <c r="U199" s="408">
        <v>1</v>
      </c>
      <c r="V199" s="409">
        <v>1.92</v>
      </c>
      <c r="W199" s="409">
        <v>9.93</v>
      </c>
      <c r="X199" s="409">
        <f t="shared" si="66"/>
        <v>19.0656</v>
      </c>
      <c r="Y199" s="409">
        <f t="shared" si="71"/>
        <v>1.92</v>
      </c>
      <c r="Z199" s="409">
        <f t="shared" si="72"/>
        <v>19.86</v>
      </c>
      <c r="AA199" s="414">
        <f t="shared" si="73"/>
        <v>23.7</v>
      </c>
      <c r="AB199" s="415">
        <f t="shared" si="70"/>
        <v>19.0656</v>
      </c>
    </row>
    <row r="200" spans="1:28" hidden="1" outlineLevel="1">
      <c r="A200" s="2294"/>
      <c r="B200" s="2197" t="s">
        <v>5140</v>
      </c>
      <c r="C200" s="2271"/>
      <c r="D200" s="2272">
        <f t="shared" si="65"/>
        <v>19.0656</v>
      </c>
      <c r="E200" s="2273" t="s">
        <v>2845</v>
      </c>
      <c r="F200" s="2300"/>
      <c r="G200" s="662">
        <f t="shared" si="0"/>
        <v>0</v>
      </c>
      <c r="H200" s="2292"/>
      <c r="I200" s="1634"/>
      <c r="J200" s="2292"/>
      <c r="K200" s="1633"/>
      <c r="L200" s="2292"/>
      <c r="M200" s="1633"/>
      <c r="N200" s="2292"/>
      <c r="O200" s="1633"/>
      <c r="P200" s="2292"/>
      <c r="Q200" s="1633"/>
      <c r="R200" s="2292"/>
      <c r="S200" s="1634"/>
      <c r="U200" s="408">
        <v>1</v>
      </c>
      <c r="V200" s="409">
        <v>1.92</v>
      </c>
      <c r="W200" s="409">
        <v>9.93</v>
      </c>
      <c r="X200" s="409">
        <f t="shared" si="66"/>
        <v>19.0656</v>
      </c>
      <c r="Y200" s="409">
        <f t="shared" si="71"/>
        <v>1.92</v>
      </c>
      <c r="Z200" s="409">
        <f t="shared" si="72"/>
        <v>19.86</v>
      </c>
      <c r="AA200" s="414">
        <f t="shared" si="73"/>
        <v>23.7</v>
      </c>
      <c r="AB200" s="415">
        <f t="shared" si="70"/>
        <v>19.0656</v>
      </c>
    </row>
    <row r="201" spans="1:28" hidden="1" outlineLevel="1">
      <c r="A201" s="2294"/>
      <c r="B201" s="2197" t="s">
        <v>5141</v>
      </c>
      <c r="C201" s="2271"/>
      <c r="D201" s="2272">
        <f t="shared" si="65"/>
        <v>19.0656</v>
      </c>
      <c r="E201" s="2273" t="s">
        <v>2845</v>
      </c>
      <c r="F201" s="2300"/>
      <c r="G201" s="662">
        <f t="shared" si="0"/>
        <v>0</v>
      </c>
      <c r="H201" s="2292"/>
      <c r="I201" s="1634"/>
      <c r="J201" s="2292"/>
      <c r="K201" s="1633"/>
      <c r="L201" s="2292"/>
      <c r="M201" s="1633"/>
      <c r="N201" s="2292"/>
      <c r="O201" s="1633"/>
      <c r="P201" s="2292"/>
      <c r="Q201" s="1633"/>
      <c r="R201" s="2292"/>
      <c r="S201" s="1634"/>
      <c r="U201" s="408">
        <v>1</v>
      </c>
      <c r="V201" s="409">
        <v>1.92</v>
      </c>
      <c r="W201" s="409">
        <v>9.93</v>
      </c>
      <c r="X201" s="409">
        <f t="shared" si="66"/>
        <v>19.0656</v>
      </c>
      <c r="Y201" s="409">
        <f t="shared" si="71"/>
        <v>1.92</v>
      </c>
      <c r="Z201" s="409">
        <f t="shared" si="72"/>
        <v>19.86</v>
      </c>
      <c r="AA201" s="414">
        <f t="shared" si="73"/>
        <v>23.7</v>
      </c>
      <c r="AB201" s="415">
        <f t="shared" si="70"/>
        <v>19.0656</v>
      </c>
    </row>
    <row r="202" spans="1:28" hidden="1" outlineLevel="1">
      <c r="A202" s="2294"/>
      <c r="B202" s="2197" t="s">
        <v>5142</v>
      </c>
      <c r="C202" s="2271"/>
      <c r="D202" s="2272">
        <f t="shared" si="65"/>
        <v>19.0656</v>
      </c>
      <c r="E202" s="2273" t="s">
        <v>2845</v>
      </c>
      <c r="F202" s="2300"/>
      <c r="G202" s="662">
        <f t="shared" si="0"/>
        <v>0</v>
      </c>
      <c r="H202" s="2292"/>
      <c r="I202" s="1634"/>
      <c r="J202" s="2292"/>
      <c r="K202" s="1633"/>
      <c r="L202" s="2292"/>
      <c r="M202" s="1633"/>
      <c r="N202" s="2292"/>
      <c r="O202" s="1633"/>
      <c r="P202" s="2292"/>
      <c r="Q202" s="1633"/>
      <c r="R202" s="2292"/>
      <c r="S202" s="1634"/>
      <c r="U202" s="408">
        <v>1</v>
      </c>
      <c r="V202" s="409">
        <v>1.92</v>
      </c>
      <c r="W202" s="409">
        <v>9.93</v>
      </c>
      <c r="X202" s="409">
        <f t="shared" si="66"/>
        <v>19.0656</v>
      </c>
      <c r="Y202" s="409">
        <f t="shared" si="71"/>
        <v>1.92</v>
      </c>
      <c r="Z202" s="409">
        <f t="shared" si="72"/>
        <v>19.86</v>
      </c>
      <c r="AA202" s="414">
        <f t="shared" si="73"/>
        <v>23.7</v>
      </c>
      <c r="AB202" s="415">
        <f t="shared" si="70"/>
        <v>19.0656</v>
      </c>
    </row>
    <row r="203" spans="1:28" hidden="1" outlineLevel="1">
      <c r="A203" s="2294"/>
      <c r="B203" s="2197" t="s">
        <v>5143</v>
      </c>
      <c r="C203" s="2271"/>
      <c r="D203" s="2272">
        <f t="shared" si="65"/>
        <v>19.0656</v>
      </c>
      <c r="E203" s="2273" t="s">
        <v>2845</v>
      </c>
      <c r="F203" s="2300"/>
      <c r="G203" s="662">
        <f t="shared" si="0"/>
        <v>0</v>
      </c>
      <c r="H203" s="2292"/>
      <c r="I203" s="1634"/>
      <c r="J203" s="2292"/>
      <c r="K203" s="1633"/>
      <c r="L203" s="2292"/>
      <c r="M203" s="1633"/>
      <c r="N203" s="2292"/>
      <c r="O203" s="1633"/>
      <c r="P203" s="2292"/>
      <c r="Q203" s="1633"/>
      <c r="R203" s="2292"/>
      <c r="S203" s="1634"/>
      <c r="U203" s="408">
        <v>1</v>
      </c>
      <c r="V203" s="409">
        <v>1.92</v>
      </c>
      <c r="W203" s="409">
        <v>9.93</v>
      </c>
      <c r="X203" s="409">
        <f t="shared" si="66"/>
        <v>19.0656</v>
      </c>
      <c r="Y203" s="409">
        <f t="shared" si="71"/>
        <v>1.92</v>
      </c>
      <c r="Z203" s="409">
        <f t="shared" si="72"/>
        <v>19.86</v>
      </c>
      <c r="AA203" s="414">
        <f t="shared" si="73"/>
        <v>23.7</v>
      </c>
      <c r="AB203" s="415">
        <f t="shared" si="70"/>
        <v>19.0656</v>
      </c>
    </row>
    <row r="204" spans="1:28" hidden="1" outlineLevel="1">
      <c r="A204" s="2294"/>
      <c r="B204" s="2197" t="s">
        <v>5144</v>
      </c>
      <c r="C204" s="2271"/>
      <c r="D204" s="2272">
        <f t="shared" si="65"/>
        <v>29.79</v>
      </c>
      <c r="E204" s="2273" t="s">
        <v>2845</v>
      </c>
      <c r="F204" s="2300"/>
      <c r="G204" s="662">
        <f t="shared" si="0"/>
        <v>0</v>
      </c>
      <c r="H204" s="2292"/>
      <c r="I204" s="1634"/>
      <c r="J204" s="2292"/>
      <c r="K204" s="1633"/>
      <c r="L204" s="2292"/>
      <c r="M204" s="1633"/>
      <c r="N204" s="2292"/>
      <c r="O204" s="1633"/>
      <c r="P204" s="2292"/>
      <c r="Q204" s="1633"/>
      <c r="R204" s="2292"/>
      <c r="S204" s="1634"/>
      <c r="U204" s="408">
        <v>1</v>
      </c>
      <c r="V204" s="409">
        <v>3</v>
      </c>
      <c r="W204" s="409">
        <v>9.93</v>
      </c>
      <c r="X204" s="409">
        <f t="shared" si="66"/>
        <v>29.79</v>
      </c>
      <c r="Y204" s="409">
        <f t="shared" si="71"/>
        <v>3</v>
      </c>
      <c r="Z204" s="409">
        <f t="shared" si="72"/>
        <v>19.86</v>
      </c>
      <c r="AA204" s="414">
        <f t="shared" si="73"/>
        <v>25.86</v>
      </c>
      <c r="AB204" s="415">
        <f t="shared" si="70"/>
        <v>29.79</v>
      </c>
    </row>
    <row r="205" spans="1:28" hidden="1" outlineLevel="1">
      <c r="A205" s="2294"/>
      <c r="B205" s="2197" t="s">
        <v>5145</v>
      </c>
      <c r="C205" s="2271"/>
      <c r="D205" s="2272">
        <f t="shared" si="65"/>
        <v>19.0656</v>
      </c>
      <c r="E205" s="2273" t="s">
        <v>2845</v>
      </c>
      <c r="F205" s="2300"/>
      <c r="G205" s="662">
        <f t="shared" si="0"/>
        <v>0</v>
      </c>
      <c r="H205" s="2292"/>
      <c r="I205" s="1634"/>
      <c r="J205" s="2292"/>
      <c r="K205" s="1633"/>
      <c r="L205" s="2292"/>
      <c r="M205" s="1633"/>
      <c r="N205" s="2292"/>
      <c r="O205" s="1633"/>
      <c r="P205" s="2292"/>
      <c r="Q205" s="1633"/>
      <c r="R205" s="2292"/>
      <c r="S205" s="1634"/>
      <c r="U205" s="408">
        <v>1</v>
      </c>
      <c r="V205" s="409">
        <v>1.92</v>
      </c>
      <c r="W205" s="409">
        <v>9.93</v>
      </c>
      <c r="X205" s="409">
        <f t="shared" si="66"/>
        <v>19.0656</v>
      </c>
      <c r="Y205" s="409">
        <f t="shared" si="71"/>
        <v>1.92</v>
      </c>
      <c r="Z205" s="409">
        <f t="shared" si="72"/>
        <v>19.86</v>
      </c>
      <c r="AA205" s="414">
        <f t="shared" si="73"/>
        <v>23.7</v>
      </c>
      <c r="AB205" s="415">
        <f t="shared" si="70"/>
        <v>19.0656</v>
      </c>
    </row>
    <row r="206" spans="1:28" hidden="1" outlineLevel="1">
      <c r="A206" s="2294"/>
      <c r="B206" s="2197" t="s">
        <v>5146</v>
      </c>
      <c r="C206" s="2271"/>
      <c r="D206" s="2272">
        <f t="shared" si="65"/>
        <v>19.0656</v>
      </c>
      <c r="E206" s="2273" t="s">
        <v>2845</v>
      </c>
      <c r="F206" s="2300"/>
      <c r="G206" s="662">
        <f t="shared" si="0"/>
        <v>0</v>
      </c>
      <c r="H206" s="2292"/>
      <c r="I206" s="1634"/>
      <c r="J206" s="2292"/>
      <c r="K206" s="1633"/>
      <c r="L206" s="2292"/>
      <c r="M206" s="1633"/>
      <c r="N206" s="2292"/>
      <c r="O206" s="1633"/>
      <c r="P206" s="2292"/>
      <c r="Q206" s="1633"/>
      <c r="R206" s="2292"/>
      <c r="S206" s="1634"/>
      <c r="U206" s="408">
        <v>1</v>
      </c>
      <c r="V206" s="409">
        <v>1.92</v>
      </c>
      <c r="W206" s="409">
        <v>9.93</v>
      </c>
      <c r="X206" s="409">
        <f t="shared" si="66"/>
        <v>19.0656</v>
      </c>
      <c r="Y206" s="409">
        <f t="shared" si="71"/>
        <v>1.92</v>
      </c>
      <c r="Z206" s="409">
        <f t="shared" si="72"/>
        <v>19.86</v>
      </c>
      <c r="AA206" s="414">
        <f t="shared" si="73"/>
        <v>23.7</v>
      </c>
      <c r="AB206" s="415">
        <f t="shared" si="70"/>
        <v>19.0656</v>
      </c>
    </row>
    <row r="207" spans="1:28" hidden="1" outlineLevel="1">
      <c r="A207" s="2294"/>
      <c r="B207" s="2197" t="s">
        <v>5147</v>
      </c>
      <c r="C207" s="2271"/>
      <c r="D207" s="2272">
        <f t="shared" si="65"/>
        <v>29.79</v>
      </c>
      <c r="E207" s="2273" t="s">
        <v>2845</v>
      </c>
      <c r="F207" s="2300"/>
      <c r="G207" s="662">
        <f t="shared" si="0"/>
        <v>0</v>
      </c>
      <c r="H207" s="2292"/>
      <c r="I207" s="1634"/>
      <c r="J207" s="2292"/>
      <c r="K207" s="1633"/>
      <c r="L207" s="2292"/>
      <c r="M207" s="1633"/>
      <c r="N207" s="2292"/>
      <c r="O207" s="1633"/>
      <c r="P207" s="2292"/>
      <c r="Q207" s="1633"/>
      <c r="R207" s="2292"/>
      <c r="S207" s="1634"/>
      <c r="U207" s="408">
        <v>1</v>
      </c>
      <c r="V207" s="409">
        <v>3</v>
      </c>
      <c r="W207" s="409">
        <v>9.93</v>
      </c>
      <c r="X207" s="409">
        <f t="shared" si="66"/>
        <v>29.79</v>
      </c>
      <c r="Y207" s="409">
        <f t="shared" si="71"/>
        <v>3</v>
      </c>
      <c r="Z207" s="409">
        <f t="shared" si="72"/>
        <v>19.86</v>
      </c>
      <c r="AA207" s="414">
        <f t="shared" si="73"/>
        <v>25.86</v>
      </c>
      <c r="AB207" s="415">
        <f t="shared" si="70"/>
        <v>29.79</v>
      </c>
    </row>
    <row r="208" spans="1:28" collapsed="1">
      <c r="A208" s="2294"/>
      <c r="B208" s="2317" t="s">
        <v>4972</v>
      </c>
      <c r="C208" s="2271"/>
      <c r="D208" s="2272">
        <f>SUM(D209:D212)</f>
        <v>490.4427</v>
      </c>
      <c r="E208" s="2273" t="s">
        <v>2845</v>
      </c>
      <c r="F208" s="2300">
        <f t="shared" ref="F208" si="74">$F$22</f>
        <v>300</v>
      </c>
      <c r="G208" s="662">
        <f t="shared" si="0"/>
        <v>147133</v>
      </c>
      <c r="H208" s="2292"/>
      <c r="I208" s="1634"/>
      <c r="J208" s="2292"/>
      <c r="K208" s="1633"/>
      <c r="L208" s="2292"/>
      <c r="M208" s="1633"/>
      <c r="N208" s="2292"/>
      <c r="O208" s="1633"/>
      <c r="P208" s="2292"/>
      <c r="Q208" s="1633"/>
      <c r="R208" s="2292"/>
      <c r="S208" s="1634"/>
      <c r="U208" s="408"/>
      <c r="V208" s="409"/>
      <c r="W208" s="409"/>
      <c r="X208" s="409">
        <f t="shared" si="66"/>
        <v>0</v>
      </c>
      <c r="Y208" s="409">
        <f t="shared" si="71"/>
        <v>0</v>
      </c>
      <c r="Z208" s="409">
        <f t="shared" si="72"/>
        <v>0</v>
      </c>
      <c r="AA208" s="414">
        <f t="shared" si="73"/>
        <v>0</v>
      </c>
      <c r="AB208" s="415">
        <f t="shared" si="70"/>
        <v>0</v>
      </c>
    </row>
    <row r="209" spans="1:28" hidden="1" outlineLevel="1">
      <c r="A209" s="2294"/>
      <c r="B209" s="2197" t="s">
        <v>5148</v>
      </c>
      <c r="C209" s="2271"/>
      <c r="D209" s="2272">
        <f t="shared" ref="D209:D212" si="75">AB209</f>
        <v>104.8608</v>
      </c>
      <c r="E209" s="2273" t="s">
        <v>2845</v>
      </c>
      <c r="F209" s="2300"/>
      <c r="G209" s="662">
        <f t="shared" si="0"/>
        <v>0</v>
      </c>
      <c r="H209" s="2292"/>
      <c r="I209" s="1634"/>
      <c r="J209" s="2292"/>
      <c r="K209" s="1633"/>
      <c r="L209" s="2292"/>
      <c r="M209" s="1633"/>
      <c r="N209" s="2292"/>
      <c r="O209" s="1633"/>
      <c r="P209" s="2292"/>
      <c r="Q209" s="1633"/>
      <c r="R209" s="2292"/>
      <c r="S209" s="1634"/>
      <c r="U209" s="408">
        <v>1</v>
      </c>
      <c r="V209" s="409">
        <v>10.56</v>
      </c>
      <c r="W209" s="409">
        <v>9.93</v>
      </c>
      <c r="X209" s="409">
        <f t="shared" si="66"/>
        <v>104.8608</v>
      </c>
      <c r="Y209" s="409">
        <f t="shared" si="71"/>
        <v>10.56</v>
      </c>
      <c r="Z209" s="409">
        <f t="shared" si="72"/>
        <v>19.86</v>
      </c>
      <c r="AA209" s="414">
        <f t="shared" si="73"/>
        <v>40.980000000000004</v>
      </c>
      <c r="AB209" s="415">
        <f t="shared" si="70"/>
        <v>104.8608</v>
      </c>
    </row>
    <row r="210" spans="1:28" hidden="1" outlineLevel="1">
      <c r="A210" s="2294"/>
      <c r="B210" s="2197" t="s">
        <v>5149</v>
      </c>
      <c r="C210" s="2271"/>
      <c r="D210" s="2272">
        <f t="shared" si="75"/>
        <v>107.5419</v>
      </c>
      <c r="E210" s="2273" t="s">
        <v>2845</v>
      </c>
      <c r="F210" s="2300"/>
      <c r="G210" s="662">
        <f t="shared" si="0"/>
        <v>0</v>
      </c>
      <c r="H210" s="2292"/>
      <c r="I210" s="1634"/>
      <c r="J210" s="2292"/>
      <c r="K210" s="1633"/>
      <c r="L210" s="2292"/>
      <c r="M210" s="1633"/>
      <c r="N210" s="2292"/>
      <c r="O210" s="1633"/>
      <c r="P210" s="2292"/>
      <c r="Q210" s="1633"/>
      <c r="R210" s="2292"/>
      <c r="S210" s="1634"/>
      <c r="U210" s="408">
        <v>1</v>
      </c>
      <c r="V210" s="409">
        <v>10.83</v>
      </c>
      <c r="W210" s="409">
        <v>9.93</v>
      </c>
      <c r="X210" s="409">
        <f t="shared" si="66"/>
        <v>107.5419</v>
      </c>
      <c r="Y210" s="409">
        <f t="shared" si="71"/>
        <v>10.83</v>
      </c>
      <c r="Z210" s="409">
        <f t="shared" si="72"/>
        <v>19.86</v>
      </c>
      <c r="AA210" s="414">
        <f t="shared" si="73"/>
        <v>41.519999999999996</v>
      </c>
      <c r="AB210" s="415">
        <f t="shared" si="70"/>
        <v>107.5419</v>
      </c>
    </row>
    <row r="211" spans="1:28" hidden="1" outlineLevel="1">
      <c r="A211" s="2294"/>
      <c r="B211" s="2197" t="s">
        <v>5150</v>
      </c>
      <c r="C211" s="2271"/>
      <c r="D211" s="2272">
        <f t="shared" si="75"/>
        <v>172.08689999999999</v>
      </c>
      <c r="E211" s="2273" t="s">
        <v>2845</v>
      </c>
      <c r="F211" s="2300"/>
      <c r="G211" s="662">
        <f t="shared" si="0"/>
        <v>0</v>
      </c>
      <c r="H211" s="2292"/>
      <c r="I211" s="1634"/>
      <c r="J211" s="2292"/>
      <c r="K211" s="1633"/>
      <c r="L211" s="2292"/>
      <c r="M211" s="1633"/>
      <c r="N211" s="2292"/>
      <c r="O211" s="1633"/>
      <c r="P211" s="2292"/>
      <c r="Q211" s="1633"/>
      <c r="R211" s="2292"/>
      <c r="S211" s="1634"/>
      <c r="U211" s="408">
        <v>1</v>
      </c>
      <c r="V211" s="409">
        <v>17.329999999999998</v>
      </c>
      <c r="W211" s="409">
        <v>9.93</v>
      </c>
      <c r="X211" s="409">
        <f t="shared" si="66"/>
        <v>172.08689999999999</v>
      </c>
      <c r="Y211" s="409">
        <f t="shared" si="71"/>
        <v>17.329999999999998</v>
      </c>
      <c r="Z211" s="409">
        <f t="shared" si="72"/>
        <v>19.86</v>
      </c>
      <c r="AA211" s="414">
        <f t="shared" si="73"/>
        <v>54.519999999999996</v>
      </c>
      <c r="AB211" s="415">
        <f t="shared" si="70"/>
        <v>172.08689999999999</v>
      </c>
    </row>
    <row r="212" spans="1:28" hidden="1" outlineLevel="1">
      <c r="A212" s="2294"/>
      <c r="B212" s="2197" t="s">
        <v>5151</v>
      </c>
      <c r="C212" s="2271"/>
      <c r="D212" s="2272">
        <f t="shared" si="75"/>
        <v>105.95309999999999</v>
      </c>
      <c r="E212" s="2273" t="s">
        <v>2845</v>
      </c>
      <c r="F212" s="2300"/>
      <c r="G212" s="662">
        <f t="shared" si="0"/>
        <v>0</v>
      </c>
      <c r="H212" s="2292"/>
      <c r="I212" s="1634"/>
      <c r="J212" s="2292"/>
      <c r="K212" s="1633"/>
      <c r="L212" s="2292"/>
      <c r="M212" s="1633"/>
      <c r="N212" s="2292"/>
      <c r="O212" s="1633"/>
      <c r="P212" s="2292"/>
      <c r="Q212" s="1633"/>
      <c r="R212" s="2292"/>
      <c r="S212" s="1634"/>
      <c r="U212" s="408">
        <v>1</v>
      </c>
      <c r="V212" s="409">
        <v>10.67</v>
      </c>
      <c r="W212" s="409">
        <v>9.93</v>
      </c>
      <c r="X212" s="409">
        <f t="shared" si="66"/>
        <v>105.95309999999999</v>
      </c>
      <c r="Y212" s="409">
        <f t="shared" si="71"/>
        <v>10.67</v>
      </c>
      <c r="Z212" s="409">
        <f t="shared" si="72"/>
        <v>19.86</v>
      </c>
      <c r="AA212" s="414">
        <f t="shared" si="73"/>
        <v>41.2</v>
      </c>
      <c r="AB212" s="415">
        <f t="shared" si="70"/>
        <v>105.95309999999999</v>
      </c>
    </row>
    <row r="213" spans="1:28" ht="15.75" collapsed="1" thickBot="1">
      <c r="A213" s="2294"/>
      <c r="B213" s="2317" t="s">
        <v>4973</v>
      </c>
      <c r="C213" s="2271"/>
      <c r="D213" s="2272">
        <f>SUM(D214:D221)</f>
        <v>315.17819999999995</v>
      </c>
      <c r="E213" s="2273" t="s">
        <v>2845</v>
      </c>
      <c r="F213" s="2300">
        <f t="shared" ref="F213" si="76">$F$23</f>
        <v>125</v>
      </c>
      <c r="G213" s="662">
        <f t="shared" si="0"/>
        <v>39397</v>
      </c>
      <c r="H213" s="2292"/>
      <c r="I213" s="1634"/>
      <c r="J213" s="2292"/>
      <c r="K213" s="1633"/>
      <c r="L213" s="2292"/>
      <c r="M213" s="1633"/>
      <c r="N213" s="2292"/>
      <c r="O213" s="1633"/>
      <c r="P213" s="2292"/>
      <c r="Q213" s="1633"/>
      <c r="R213" s="2292"/>
      <c r="S213" s="1634"/>
      <c r="U213" s="408"/>
      <c r="V213" s="409"/>
      <c r="W213" s="409"/>
      <c r="X213" s="409">
        <f t="shared" si="66"/>
        <v>0</v>
      </c>
      <c r="Y213" s="409">
        <f t="shared" si="71"/>
        <v>0</v>
      </c>
      <c r="Z213" s="409">
        <f t="shared" si="72"/>
        <v>0</v>
      </c>
      <c r="AA213" s="414">
        <f t="shared" si="73"/>
        <v>0</v>
      </c>
      <c r="AB213" s="415">
        <f t="shared" si="70"/>
        <v>0</v>
      </c>
    </row>
    <row r="214" spans="1:28" ht="15.75" hidden="1" outlineLevel="1" thickBot="1">
      <c r="A214" s="2294"/>
      <c r="B214" s="2197" t="s">
        <v>5152</v>
      </c>
      <c r="C214" s="2271"/>
      <c r="D214" s="2272">
        <f t="shared" ref="D214:D223" si="77">AB214</f>
        <v>35.3508</v>
      </c>
      <c r="E214" s="2273" t="s">
        <v>2845</v>
      </c>
      <c r="F214" s="2300"/>
      <c r="G214" s="662">
        <f t="shared" si="0"/>
        <v>0</v>
      </c>
      <c r="H214" s="2292"/>
      <c r="I214" s="1634"/>
      <c r="J214" s="2292"/>
      <c r="K214" s="1633"/>
      <c r="L214" s="2292"/>
      <c r="M214" s="1633"/>
      <c r="N214" s="2292"/>
      <c r="O214" s="1633"/>
      <c r="P214" s="2292"/>
      <c r="Q214" s="1633"/>
      <c r="R214" s="2292"/>
      <c r="S214" s="1634"/>
      <c r="U214" s="408">
        <v>1</v>
      </c>
      <c r="V214" s="409">
        <v>3.56</v>
      </c>
      <c r="W214" s="409">
        <v>9.93</v>
      </c>
      <c r="X214" s="409">
        <f t="shared" si="66"/>
        <v>35.3508</v>
      </c>
      <c r="Y214" s="409">
        <f t="shared" si="71"/>
        <v>3.56</v>
      </c>
      <c r="Z214" s="409">
        <f t="shared" si="72"/>
        <v>19.86</v>
      </c>
      <c r="AA214" s="414">
        <f t="shared" si="73"/>
        <v>26.98</v>
      </c>
      <c r="AB214" s="415">
        <f t="shared" si="70"/>
        <v>35.3508</v>
      </c>
    </row>
    <row r="215" spans="1:28" ht="15.75" hidden="1" outlineLevel="1" thickBot="1">
      <c r="A215" s="2294"/>
      <c r="B215" s="2197" t="s">
        <v>5153</v>
      </c>
      <c r="C215" s="2271"/>
      <c r="D215" s="2272">
        <f t="shared" si="77"/>
        <v>34.754999999999995</v>
      </c>
      <c r="E215" s="2273" t="s">
        <v>2845</v>
      </c>
      <c r="F215" s="2300"/>
      <c r="G215" s="662">
        <f t="shared" si="0"/>
        <v>0</v>
      </c>
      <c r="H215" s="2292"/>
      <c r="I215" s="1634"/>
      <c r="J215" s="2292"/>
      <c r="K215" s="1633"/>
      <c r="L215" s="2292"/>
      <c r="M215" s="1633"/>
      <c r="N215" s="2292"/>
      <c r="O215" s="1633"/>
      <c r="P215" s="2292"/>
      <c r="Q215" s="1633"/>
      <c r="R215" s="2292"/>
      <c r="S215" s="1634"/>
      <c r="U215" s="408">
        <v>1</v>
      </c>
      <c r="V215" s="409">
        <v>3.5</v>
      </c>
      <c r="W215" s="409">
        <v>9.93</v>
      </c>
      <c r="X215" s="409">
        <f t="shared" si="66"/>
        <v>34.754999999999995</v>
      </c>
      <c r="Y215" s="409">
        <f t="shared" si="71"/>
        <v>3.5</v>
      </c>
      <c r="Z215" s="409">
        <f t="shared" si="72"/>
        <v>19.86</v>
      </c>
      <c r="AA215" s="414">
        <f t="shared" si="73"/>
        <v>26.86</v>
      </c>
      <c r="AB215" s="415">
        <f t="shared" si="70"/>
        <v>34.754999999999995</v>
      </c>
    </row>
    <row r="216" spans="1:28" ht="15.75" hidden="1" outlineLevel="1" thickBot="1">
      <c r="A216" s="2294"/>
      <c r="B216" s="2197" t="s">
        <v>5154</v>
      </c>
      <c r="C216" s="2271"/>
      <c r="D216" s="2272">
        <f t="shared" si="77"/>
        <v>31.478099999999998</v>
      </c>
      <c r="E216" s="2273" t="s">
        <v>2845</v>
      </c>
      <c r="F216" s="2300"/>
      <c r="G216" s="662">
        <f t="shared" si="0"/>
        <v>0</v>
      </c>
      <c r="H216" s="2292"/>
      <c r="I216" s="1634"/>
      <c r="J216" s="2292"/>
      <c r="K216" s="1633"/>
      <c r="L216" s="2292"/>
      <c r="M216" s="1633"/>
      <c r="N216" s="2292"/>
      <c r="O216" s="1633"/>
      <c r="P216" s="2292"/>
      <c r="Q216" s="1633"/>
      <c r="R216" s="2292"/>
      <c r="S216" s="1634"/>
      <c r="U216" s="408">
        <v>1</v>
      </c>
      <c r="V216" s="409">
        <v>3.17</v>
      </c>
      <c r="W216" s="409">
        <v>9.93</v>
      </c>
      <c r="X216" s="409">
        <f t="shared" si="66"/>
        <v>31.478099999999998</v>
      </c>
      <c r="Y216" s="409">
        <f t="shared" si="71"/>
        <v>3.17</v>
      </c>
      <c r="Z216" s="409">
        <f t="shared" si="72"/>
        <v>19.86</v>
      </c>
      <c r="AA216" s="414">
        <f t="shared" si="73"/>
        <v>26.2</v>
      </c>
      <c r="AB216" s="415">
        <f t="shared" si="70"/>
        <v>31.478099999999998</v>
      </c>
    </row>
    <row r="217" spans="1:28" ht="15.75" hidden="1" outlineLevel="1" thickBot="1">
      <c r="A217" s="2294"/>
      <c r="B217" s="2197" t="s">
        <v>5155</v>
      </c>
      <c r="C217" s="2271"/>
      <c r="D217" s="2272">
        <f t="shared" si="77"/>
        <v>31.478099999999998</v>
      </c>
      <c r="E217" s="2273" t="s">
        <v>2845</v>
      </c>
      <c r="F217" s="2300"/>
      <c r="G217" s="662">
        <f t="shared" si="0"/>
        <v>0</v>
      </c>
      <c r="H217" s="2292"/>
      <c r="I217" s="1634"/>
      <c r="J217" s="2292"/>
      <c r="K217" s="1633"/>
      <c r="L217" s="2292"/>
      <c r="M217" s="1633"/>
      <c r="N217" s="2292"/>
      <c r="O217" s="1633"/>
      <c r="P217" s="2292"/>
      <c r="Q217" s="1633"/>
      <c r="R217" s="2292"/>
      <c r="S217" s="1634"/>
      <c r="U217" s="408">
        <v>1</v>
      </c>
      <c r="V217" s="409">
        <v>3.17</v>
      </c>
      <c r="W217" s="409">
        <v>9.93</v>
      </c>
      <c r="X217" s="409">
        <f t="shared" si="66"/>
        <v>31.478099999999998</v>
      </c>
      <c r="Y217" s="409">
        <f t="shared" si="71"/>
        <v>3.17</v>
      </c>
      <c r="Z217" s="409">
        <f t="shared" si="72"/>
        <v>19.86</v>
      </c>
      <c r="AA217" s="414">
        <f t="shared" si="73"/>
        <v>26.2</v>
      </c>
      <c r="AB217" s="415">
        <f t="shared" si="70"/>
        <v>31.478099999999998</v>
      </c>
    </row>
    <row r="218" spans="1:28" ht="15.75" hidden="1" outlineLevel="1" thickBot="1">
      <c r="A218" s="2294"/>
      <c r="B218" s="2197" t="s">
        <v>5156</v>
      </c>
      <c r="C218" s="2271"/>
      <c r="D218" s="2272">
        <f t="shared" si="77"/>
        <v>59.58</v>
      </c>
      <c r="E218" s="2273" t="s">
        <v>2845</v>
      </c>
      <c r="F218" s="2300"/>
      <c r="G218" s="662">
        <f t="shared" si="0"/>
        <v>0</v>
      </c>
      <c r="H218" s="2292"/>
      <c r="I218" s="1634"/>
      <c r="J218" s="2292"/>
      <c r="K218" s="1633"/>
      <c r="L218" s="2292"/>
      <c r="M218" s="1633"/>
      <c r="N218" s="2292"/>
      <c r="O218" s="1633"/>
      <c r="P218" s="2292"/>
      <c r="Q218" s="1633"/>
      <c r="R218" s="2292"/>
      <c r="S218" s="1634"/>
      <c r="U218" s="408">
        <v>1</v>
      </c>
      <c r="V218" s="409">
        <v>6</v>
      </c>
      <c r="W218" s="409">
        <v>9.93</v>
      </c>
      <c r="X218" s="409">
        <f t="shared" si="66"/>
        <v>59.58</v>
      </c>
      <c r="Y218" s="409">
        <f t="shared" si="71"/>
        <v>6</v>
      </c>
      <c r="Z218" s="409">
        <f t="shared" si="72"/>
        <v>19.86</v>
      </c>
      <c r="AA218" s="414">
        <f t="shared" si="73"/>
        <v>31.86</v>
      </c>
      <c r="AB218" s="415">
        <f t="shared" si="70"/>
        <v>59.58</v>
      </c>
    </row>
    <row r="219" spans="1:28" ht="15.75" hidden="1" outlineLevel="1" thickBot="1">
      <c r="A219" s="2294"/>
      <c r="B219" s="2197" t="s">
        <v>5157</v>
      </c>
      <c r="C219" s="2271"/>
      <c r="D219" s="2272">
        <f t="shared" si="77"/>
        <v>31.478099999999998</v>
      </c>
      <c r="E219" s="2273" t="s">
        <v>2845</v>
      </c>
      <c r="F219" s="2300"/>
      <c r="G219" s="662">
        <f t="shared" si="0"/>
        <v>0</v>
      </c>
      <c r="H219" s="2292"/>
      <c r="I219" s="1634"/>
      <c r="J219" s="2292"/>
      <c r="K219" s="1633"/>
      <c r="L219" s="2292"/>
      <c r="M219" s="1633"/>
      <c r="N219" s="2292"/>
      <c r="O219" s="1633"/>
      <c r="P219" s="2292"/>
      <c r="Q219" s="1633"/>
      <c r="R219" s="2292"/>
      <c r="S219" s="1634"/>
      <c r="U219" s="408">
        <v>1</v>
      </c>
      <c r="V219" s="409">
        <v>3.17</v>
      </c>
      <c r="W219" s="409">
        <v>9.93</v>
      </c>
      <c r="X219" s="409">
        <f t="shared" si="66"/>
        <v>31.478099999999998</v>
      </c>
      <c r="Y219" s="409">
        <f t="shared" si="71"/>
        <v>3.17</v>
      </c>
      <c r="Z219" s="409">
        <f t="shared" si="72"/>
        <v>19.86</v>
      </c>
      <c r="AA219" s="414">
        <f t="shared" si="73"/>
        <v>26.2</v>
      </c>
      <c r="AB219" s="415">
        <f t="shared" si="70"/>
        <v>31.478099999999998</v>
      </c>
    </row>
    <row r="220" spans="1:28" ht="15.75" hidden="1" outlineLevel="1" thickBot="1">
      <c r="A220" s="2294"/>
      <c r="B220" s="2197" t="s">
        <v>5158</v>
      </c>
      <c r="C220" s="2271"/>
      <c r="D220" s="2272">
        <f t="shared" si="77"/>
        <v>59.58</v>
      </c>
      <c r="E220" s="2273" t="s">
        <v>2845</v>
      </c>
      <c r="F220" s="2300"/>
      <c r="G220" s="662">
        <f t="shared" si="0"/>
        <v>0</v>
      </c>
      <c r="H220" s="2292"/>
      <c r="I220" s="1634"/>
      <c r="J220" s="2292"/>
      <c r="K220" s="1633"/>
      <c r="L220" s="2292"/>
      <c r="M220" s="1633"/>
      <c r="N220" s="2292"/>
      <c r="O220" s="1633"/>
      <c r="P220" s="2292"/>
      <c r="Q220" s="1633"/>
      <c r="R220" s="2292"/>
      <c r="S220" s="1634"/>
      <c r="U220" s="408">
        <v>1</v>
      </c>
      <c r="V220" s="409">
        <v>6</v>
      </c>
      <c r="W220" s="409">
        <v>9.93</v>
      </c>
      <c r="X220" s="409">
        <f t="shared" si="66"/>
        <v>59.58</v>
      </c>
      <c r="Y220" s="409">
        <f t="shared" si="71"/>
        <v>6</v>
      </c>
      <c r="Z220" s="409">
        <f t="shared" si="72"/>
        <v>19.86</v>
      </c>
      <c r="AA220" s="414">
        <f t="shared" si="73"/>
        <v>31.86</v>
      </c>
      <c r="AB220" s="415">
        <f t="shared" si="70"/>
        <v>59.58</v>
      </c>
    </row>
    <row r="221" spans="1:28" ht="15.75" hidden="1" outlineLevel="1" thickBot="1">
      <c r="A221" s="2294"/>
      <c r="B221" s="2197" t="s">
        <v>5159</v>
      </c>
      <c r="C221" s="2271"/>
      <c r="D221" s="2272">
        <f t="shared" si="77"/>
        <v>31.478099999999998</v>
      </c>
      <c r="E221" s="2273" t="s">
        <v>2845</v>
      </c>
      <c r="F221" s="2300"/>
      <c r="G221" s="662">
        <f t="shared" si="0"/>
        <v>0</v>
      </c>
      <c r="H221" s="2292"/>
      <c r="I221" s="1634"/>
      <c r="J221" s="2292"/>
      <c r="K221" s="1633"/>
      <c r="L221" s="2292"/>
      <c r="M221" s="1633"/>
      <c r="N221" s="2292"/>
      <c r="O221" s="1633"/>
      <c r="P221" s="2292"/>
      <c r="Q221" s="1633"/>
      <c r="R221" s="2292"/>
      <c r="S221" s="1634"/>
      <c r="U221" s="408">
        <v>1</v>
      </c>
      <c r="V221" s="409">
        <v>3.17</v>
      </c>
      <c r="W221" s="409">
        <v>9.93</v>
      </c>
      <c r="X221" s="409">
        <f t="shared" ref="X221:X223" si="78">V221*W221</f>
        <v>31.478099999999998</v>
      </c>
      <c r="Y221" s="409">
        <f t="shared" si="71"/>
        <v>3.17</v>
      </c>
      <c r="Z221" s="409">
        <f t="shared" si="72"/>
        <v>19.86</v>
      </c>
      <c r="AA221" s="414">
        <f t="shared" si="73"/>
        <v>26.2</v>
      </c>
      <c r="AB221" s="415">
        <f t="shared" ref="AB221:AB223" si="79">U221*X221</f>
        <v>31.478099999999998</v>
      </c>
    </row>
    <row r="222" spans="1:28" ht="15.75" collapsed="1" thickBot="1">
      <c r="A222" s="2294"/>
      <c r="B222" s="2317" t="s">
        <v>5160</v>
      </c>
      <c r="C222" s="2271"/>
      <c r="D222" s="2272"/>
      <c r="E222" s="2273"/>
      <c r="F222" s="2300"/>
      <c r="G222" s="662"/>
      <c r="H222" s="2292"/>
      <c r="I222" s="1634"/>
      <c r="J222" s="2292"/>
      <c r="K222" s="1633"/>
      <c r="L222" s="2292"/>
      <c r="M222" s="1633"/>
      <c r="N222" s="2292"/>
      <c r="O222" s="1633"/>
      <c r="P222" s="2292"/>
      <c r="Q222" s="1633"/>
      <c r="R222" s="2292"/>
      <c r="S222" s="1634"/>
      <c r="U222" s="423"/>
      <c r="V222" s="424"/>
      <c r="W222" s="424"/>
      <c r="X222" s="424"/>
      <c r="Y222" s="424">
        <f>SUM(Y194:Y221)</f>
        <v>109.55000000000001</v>
      </c>
      <c r="Z222" s="424">
        <f>SUM(Z194:Z221)</f>
        <v>476.64000000000021</v>
      </c>
      <c r="AA222" s="425">
        <f>SUM(AA194:AA221)</f>
        <v>695.74000000000012</v>
      </c>
      <c r="AB222" s="426">
        <f>SUM(AB194:AB221)</f>
        <v>1087.8315</v>
      </c>
    </row>
    <row r="223" spans="1:28">
      <c r="A223" s="2294"/>
      <c r="B223" s="2197" t="s">
        <v>5161</v>
      </c>
      <c r="C223" s="2271"/>
      <c r="D223" s="2272">
        <f t="shared" si="77"/>
        <v>27</v>
      </c>
      <c r="E223" s="2273" t="s">
        <v>2845</v>
      </c>
      <c r="F223" s="2300">
        <v>65</v>
      </c>
      <c r="G223" s="662"/>
      <c r="H223" s="2292"/>
      <c r="I223" s="1634"/>
      <c r="J223" s="2292"/>
      <c r="K223" s="1633"/>
      <c r="L223" s="2292"/>
      <c r="M223" s="1633"/>
      <c r="N223" s="2292"/>
      <c r="O223" s="1633"/>
      <c r="P223" s="2292"/>
      <c r="Q223" s="1633"/>
      <c r="R223" s="2292"/>
      <c r="S223" s="1634"/>
      <c r="U223" s="408">
        <v>1</v>
      </c>
      <c r="V223" s="409">
        <v>3</v>
      </c>
      <c r="W223" s="409">
        <v>9</v>
      </c>
      <c r="X223" s="409">
        <f t="shared" si="78"/>
        <v>27</v>
      </c>
      <c r="Y223" s="409">
        <f t="shared" ref="Y223" si="80">V223*U223</f>
        <v>3</v>
      </c>
      <c r="Z223" s="409">
        <f t="shared" ref="Z223" si="81">(W223*2)</f>
        <v>18</v>
      </c>
      <c r="AA223" s="414">
        <f t="shared" ref="AA223" si="82">U223*Z223</f>
        <v>18</v>
      </c>
      <c r="AB223" s="415">
        <f t="shared" si="79"/>
        <v>27</v>
      </c>
    </row>
    <row r="224" spans="1:28">
      <c r="A224" s="2294"/>
      <c r="B224" s="2197"/>
      <c r="C224" s="2271"/>
      <c r="D224" s="2272"/>
      <c r="E224" s="2273"/>
      <c r="F224" s="2300"/>
      <c r="G224" s="662"/>
      <c r="H224" s="2292"/>
      <c r="I224" s="1634"/>
      <c r="J224" s="2292"/>
      <c r="K224" s="1633"/>
      <c r="L224" s="2292"/>
      <c r="M224" s="1633"/>
      <c r="N224" s="2292"/>
      <c r="O224" s="1633"/>
      <c r="P224" s="2292"/>
      <c r="Q224" s="1633"/>
      <c r="R224" s="2292"/>
      <c r="S224" s="1634"/>
      <c r="U224" s="408"/>
      <c r="V224" s="409"/>
      <c r="W224" s="409"/>
      <c r="X224" s="409"/>
      <c r="Y224" s="409"/>
      <c r="Z224" s="409"/>
      <c r="AA224" s="414"/>
      <c r="AB224" s="415"/>
    </row>
    <row r="225" spans="1:28">
      <c r="A225" s="2294"/>
      <c r="B225" s="2317" t="s">
        <v>5022</v>
      </c>
      <c r="C225" s="2271"/>
      <c r="D225" s="2272">
        <f>Z222</f>
        <v>476.64000000000021</v>
      </c>
      <c r="E225" s="2273" t="s">
        <v>2864</v>
      </c>
      <c r="F225" s="2300">
        <v>8</v>
      </c>
      <c r="G225" s="662">
        <f t="shared" ref="G225:G226" si="83">ROUND(D225*F225,0)</f>
        <v>3813</v>
      </c>
      <c r="H225" s="2292"/>
      <c r="I225" s="1643">
        <f>$G225</f>
        <v>3813</v>
      </c>
      <c r="J225" s="2292"/>
      <c r="K225" s="1643">
        <f>$G225</f>
        <v>3813</v>
      </c>
      <c r="L225" s="2292"/>
      <c r="M225" s="1643">
        <f>$G225</f>
        <v>3813</v>
      </c>
      <c r="N225" s="2292" t="s">
        <v>2931</v>
      </c>
      <c r="O225" s="1633"/>
      <c r="P225" s="2292"/>
      <c r="Q225" s="1633"/>
      <c r="R225" s="2292"/>
      <c r="S225" s="1634"/>
    </row>
    <row r="226" spans="1:28">
      <c r="A226" s="2294"/>
      <c r="B226" s="2317" t="s">
        <v>5023</v>
      </c>
      <c r="C226" s="2271"/>
      <c r="D226" s="2272">
        <f>AB222</f>
        <v>1087.8315</v>
      </c>
      <c r="E226" s="2273" t="s">
        <v>2845</v>
      </c>
      <c r="F226" s="2300">
        <v>2</v>
      </c>
      <c r="G226" s="662">
        <f t="shared" si="83"/>
        <v>2176</v>
      </c>
      <c r="H226" s="2292" t="s">
        <v>2931</v>
      </c>
      <c r="I226" s="1634"/>
      <c r="J226" s="2292" t="s">
        <v>2931</v>
      </c>
      <c r="K226" s="1633"/>
      <c r="L226" s="2292"/>
      <c r="M226" s="1643">
        <f>$G226</f>
        <v>2176</v>
      </c>
      <c r="N226" s="2292" t="s">
        <v>2931</v>
      </c>
      <c r="O226" s="1633"/>
      <c r="P226" s="2292"/>
      <c r="Q226" s="1633"/>
      <c r="R226" s="2292"/>
      <c r="S226" s="1634"/>
    </row>
    <row r="227" spans="1:28">
      <c r="A227" s="2294"/>
      <c r="B227" s="2317" t="s">
        <v>5024</v>
      </c>
      <c r="C227" s="2271"/>
      <c r="D227" s="2272"/>
      <c r="E227" s="2273"/>
      <c r="F227" s="2300"/>
      <c r="G227" s="662"/>
      <c r="H227" s="2292" t="s">
        <v>2931</v>
      </c>
      <c r="I227" s="1634"/>
      <c r="J227" s="2292" t="s">
        <v>2931</v>
      </c>
      <c r="K227" s="1633"/>
      <c r="L227" s="2292"/>
      <c r="M227" s="1633"/>
      <c r="N227" s="2292" t="s">
        <v>2931</v>
      </c>
      <c r="O227" s="1633"/>
      <c r="P227" s="2292"/>
      <c r="Q227" s="1633"/>
      <c r="R227" s="2292"/>
      <c r="S227" s="1634"/>
      <c r="U227" s="555"/>
      <c r="V227" s="556"/>
      <c r="W227" s="556"/>
      <c r="X227" s="556"/>
      <c r="Y227" s="556"/>
      <c r="Z227" s="556"/>
      <c r="AA227" s="429"/>
      <c r="AB227" s="430"/>
    </row>
    <row r="228" spans="1:28">
      <c r="A228" s="2294"/>
      <c r="B228" s="2317"/>
      <c r="C228" s="2271"/>
      <c r="D228" s="2272"/>
      <c r="E228" s="2273"/>
      <c r="F228" s="2300"/>
      <c r="G228" s="662"/>
      <c r="H228" s="2292"/>
      <c r="I228" s="1634"/>
      <c r="J228" s="2292"/>
      <c r="K228" s="1633"/>
      <c r="L228" s="2292"/>
      <c r="M228" s="1633"/>
      <c r="N228" s="2292"/>
      <c r="O228" s="1633"/>
      <c r="P228" s="2292"/>
      <c r="Q228" s="1633"/>
      <c r="R228" s="2292"/>
      <c r="S228" s="1634"/>
      <c r="U228" s="557"/>
      <c r="V228" s="557"/>
      <c r="W228" s="557"/>
      <c r="X228" s="557"/>
      <c r="Y228" s="557"/>
      <c r="Z228" s="557"/>
      <c r="AA228" s="493"/>
      <c r="AB228" s="493"/>
    </row>
    <row r="229" spans="1:28">
      <c r="A229" s="2294"/>
      <c r="B229" s="2194" t="s">
        <v>5119</v>
      </c>
      <c r="C229" s="2271"/>
      <c r="D229" s="2272"/>
      <c r="E229" s="2273"/>
      <c r="F229" s="2300"/>
      <c r="G229" s="662">
        <f t="shared" si="0"/>
        <v>0</v>
      </c>
      <c r="H229" s="2292"/>
      <c r="I229" s="1634"/>
      <c r="J229" s="2292"/>
      <c r="K229" s="1633"/>
      <c r="L229" s="2292"/>
      <c r="M229" s="1633"/>
      <c r="N229" s="2292"/>
      <c r="O229" s="1633"/>
      <c r="P229" s="2292"/>
      <c r="Q229" s="1633"/>
      <c r="R229" s="2292"/>
      <c r="S229" s="1634"/>
    </row>
    <row r="230" spans="1:28">
      <c r="A230" s="2294"/>
      <c r="B230" s="2197" t="s">
        <v>5162</v>
      </c>
      <c r="C230" s="2271"/>
      <c r="D230" s="2272">
        <v>342</v>
      </c>
      <c r="E230" s="2273" t="s">
        <v>2845</v>
      </c>
      <c r="F230" s="2300">
        <v>50</v>
      </c>
      <c r="G230" s="662">
        <f t="shared" si="0"/>
        <v>17100</v>
      </c>
      <c r="H230" s="2292"/>
      <c r="I230" s="1634">
        <v>23940.45</v>
      </c>
      <c r="J230" s="2292"/>
      <c r="K230" s="1642">
        <v>25000</v>
      </c>
      <c r="L230" s="2292"/>
      <c r="M230" s="1642">
        <v>25000</v>
      </c>
      <c r="N230" s="2292"/>
      <c r="O230" s="1642">
        <v>25000</v>
      </c>
      <c r="P230" s="2292"/>
      <c r="Q230" s="1633"/>
      <c r="R230" s="2292"/>
      <c r="S230" s="1634"/>
    </row>
    <row r="231" spans="1:28">
      <c r="A231" s="2294"/>
      <c r="B231" s="2194"/>
      <c r="C231" s="2271"/>
      <c r="D231" s="2272"/>
      <c r="E231" s="2273"/>
      <c r="F231" s="2300"/>
      <c r="G231" s="662">
        <f t="shared" si="0"/>
        <v>0</v>
      </c>
      <c r="H231" s="2292"/>
      <c r="I231" s="1634"/>
      <c r="J231" s="2292"/>
      <c r="K231" s="1633"/>
      <c r="L231" s="2292"/>
      <c r="M231" s="1633"/>
      <c r="N231" s="2292"/>
      <c r="O231" s="1633"/>
      <c r="P231" s="2292"/>
      <c r="Q231" s="1633"/>
      <c r="R231" s="2292"/>
      <c r="S231" s="1634"/>
    </row>
    <row r="232" spans="1:28">
      <c r="A232" s="2294"/>
      <c r="B232" s="2194" t="s">
        <v>5122</v>
      </c>
      <c r="C232" s="2271"/>
      <c r="D232" s="2272"/>
      <c r="E232" s="2273"/>
      <c r="F232" s="2300"/>
      <c r="G232" s="662">
        <f t="shared" si="0"/>
        <v>0</v>
      </c>
      <c r="H232" s="2292"/>
      <c r="I232" s="1634"/>
      <c r="J232" s="2292"/>
      <c r="K232" s="1633"/>
      <c r="L232" s="2292"/>
      <c r="M232" s="1633"/>
      <c r="N232" s="2292"/>
      <c r="O232" s="1633"/>
      <c r="P232" s="2292"/>
      <c r="Q232" s="1633"/>
      <c r="R232" s="2292"/>
      <c r="S232" s="1634"/>
    </row>
    <row r="233" spans="1:28">
      <c r="A233" s="2294"/>
      <c r="B233" s="2194"/>
      <c r="C233" s="2271"/>
      <c r="D233" s="2272"/>
      <c r="E233" s="2273"/>
      <c r="F233" s="2300"/>
      <c r="G233" s="662">
        <f t="shared" si="0"/>
        <v>0</v>
      </c>
      <c r="H233" s="2292"/>
      <c r="I233" s="1634"/>
      <c r="J233" s="2292"/>
      <c r="K233" s="1633"/>
      <c r="L233" s="2292"/>
      <c r="M233" s="1633"/>
      <c r="N233" s="2292"/>
      <c r="O233" s="1633"/>
      <c r="P233" s="2292"/>
      <c r="Q233" s="1633"/>
      <c r="R233" s="2292"/>
      <c r="S233" s="1634"/>
    </row>
    <row r="234" spans="1:28" ht="15.75" thickBot="1">
      <c r="A234" s="2294"/>
      <c r="B234" s="2227"/>
      <c r="C234" s="2228"/>
      <c r="D234" s="2229"/>
      <c r="E234" s="2273"/>
      <c r="F234" s="2230"/>
      <c r="G234" s="662"/>
      <c r="H234" s="2292"/>
      <c r="I234" s="1634"/>
      <c r="J234" s="2292"/>
      <c r="K234" s="1634"/>
      <c r="L234" s="2292"/>
      <c r="M234" s="1634"/>
      <c r="N234" s="2292"/>
      <c r="O234" s="1634"/>
      <c r="P234" s="2292"/>
      <c r="Q234" s="1634"/>
      <c r="R234" s="2292"/>
      <c r="S234" s="1634"/>
    </row>
    <row r="235" spans="1:28" ht="15.75" thickTop="1">
      <c r="A235" s="395"/>
      <c r="B235" s="226" t="s">
        <v>3265</v>
      </c>
      <c r="C235" s="15"/>
      <c r="D235" s="168"/>
      <c r="E235" s="176"/>
      <c r="F235" s="17"/>
      <c r="G235" s="227">
        <f>SUBTOTAL(9,G20:G234)</f>
        <v>2902701</v>
      </c>
      <c r="H235" s="19"/>
      <c r="I235" s="225">
        <f>SUBTOTAL(9,I25:I234)</f>
        <v>2575167.04</v>
      </c>
      <c r="J235" s="19"/>
      <c r="K235" s="225">
        <f>SUBTOTAL(9,K25:K234)</f>
        <v>2667891</v>
      </c>
      <c r="L235" s="19"/>
      <c r="M235" s="225">
        <f>SUBTOTAL(9,M25:M234)</f>
        <v>2666346</v>
      </c>
      <c r="N235" s="19"/>
      <c r="O235" s="225">
        <f>SUBTOTAL(9,O25:O234)</f>
        <v>2527284.15</v>
      </c>
      <c r="P235" s="19"/>
      <c r="Q235" s="225">
        <f>SUBTOTAL(9,Q25:Q234)</f>
        <v>0</v>
      </c>
      <c r="R235" s="19"/>
      <c r="S235" s="225">
        <f>SUBTOTAL(9,S25:S234)</f>
        <v>2176886</v>
      </c>
    </row>
    <row r="236" spans="1:28">
      <c r="A236" s="2318"/>
      <c r="B236" s="2232" t="s">
        <v>2976</v>
      </c>
      <c r="C236" s="2233"/>
      <c r="D236" s="2234"/>
      <c r="E236" s="2235"/>
      <c r="F236" s="2236"/>
      <c r="G236" s="654"/>
      <c r="H236" s="2237">
        <v>0</v>
      </c>
      <c r="I236" s="645"/>
      <c r="J236" s="2237">
        <v>0</v>
      </c>
      <c r="K236" s="645"/>
      <c r="L236" s="2237">
        <v>0</v>
      </c>
      <c r="M236" s="645"/>
      <c r="N236" s="2237">
        <v>0</v>
      </c>
      <c r="O236" s="645"/>
      <c r="P236" s="2237">
        <v>0</v>
      </c>
      <c r="Q236" s="645"/>
      <c r="R236" s="2237">
        <v>0</v>
      </c>
      <c r="S236" s="645"/>
    </row>
    <row r="237" spans="1:28">
      <c r="A237" s="2318"/>
      <c r="B237" s="2232" t="s">
        <v>2977</v>
      </c>
      <c r="C237" s="2233"/>
      <c r="D237" s="2234"/>
      <c r="E237" s="2235"/>
      <c r="F237" s="2236"/>
      <c r="G237" s="654">
        <f>F236*G235</f>
        <v>0</v>
      </c>
      <c r="H237" s="2238"/>
      <c r="I237" s="2239">
        <f>H236*I235</f>
        <v>0</v>
      </c>
      <c r="J237" s="2238"/>
      <c r="K237" s="2239">
        <f>J236*K235</f>
        <v>0</v>
      </c>
      <c r="L237" s="2238"/>
      <c r="M237" s="2239">
        <f>L236*M235</f>
        <v>0</v>
      </c>
      <c r="N237" s="2238"/>
      <c r="O237" s="2239">
        <f>N236*O235</f>
        <v>0</v>
      </c>
      <c r="P237" s="2238"/>
      <c r="Q237" s="2239">
        <f>P236*Q235</f>
        <v>0</v>
      </c>
      <c r="R237" s="2238"/>
      <c r="S237" s="2239">
        <f>R236*S235</f>
        <v>0</v>
      </c>
    </row>
    <row r="238" spans="1:28">
      <c r="A238" s="2318"/>
      <c r="B238" s="2232"/>
      <c r="C238" s="2233"/>
      <c r="D238" s="2234"/>
      <c r="E238" s="2235"/>
      <c r="F238" s="2236"/>
      <c r="G238" s="654"/>
      <c r="H238" s="2238"/>
      <c r="I238" s="2239"/>
      <c r="J238" s="2238"/>
      <c r="K238" s="2239"/>
      <c r="L238" s="2238"/>
      <c r="M238" s="2239"/>
      <c r="N238" s="2238"/>
      <c r="O238" s="2239"/>
      <c r="P238" s="2238"/>
      <c r="Q238" s="2239"/>
      <c r="R238" s="2238"/>
      <c r="S238" s="2239"/>
    </row>
    <row r="239" spans="1:28">
      <c r="A239" s="2318"/>
      <c r="B239" s="2232" t="s">
        <v>2978</v>
      </c>
      <c r="C239" s="2233"/>
      <c r="D239" s="2234"/>
      <c r="E239" s="2235"/>
      <c r="F239" s="2236"/>
      <c r="G239" s="654">
        <f>SUM(G235:G237)</f>
        <v>2902701</v>
      </c>
      <c r="H239" s="2240"/>
      <c r="I239" s="2239">
        <f>SUM(I235:I237)</f>
        <v>2575167.04</v>
      </c>
      <c r="J239" s="2240"/>
      <c r="K239" s="2239">
        <f>SUM(K235:K237)</f>
        <v>2667891</v>
      </c>
      <c r="L239" s="2240"/>
      <c r="M239" s="2239">
        <f>SUM(M235:M237)</f>
        <v>2666346</v>
      </c>
      <c r="N239" s="2240"/>
      <c r="O239" s="2239">
        <f>SUM(O235:O237)</f>
        <v>2527284.15</v>
      </c>
      <c r="P239" s="2240"/>
      <c r="Q239" s="2239">
        <f>SUM(Q235:Q237)</f>
        <v>0</v>
      </c>
      <c r="R239" s="2240"/>
      <c r="S239" s="2239">
        <f>SUM(S235:S237)</f>
        <v>2176886</v>
      </c>
    </row>
    <row r="240" spans="1:28">
      <c r="A240" s="2318"/>
      <c r="B240" s="2241" t="s">
        <v>2979</v>
      </c>
      <c r="C240" s="2233"/>
      <c r="D240" s="2234"/>
      <c r="E240" s="2235"/>
      <c r="F240" s="2241"/>
      <c r="G240" s="655">
        <f>G239/'Area Calculations'!$F$5</f>
        <v>32.735260285095634</v>
      </c>
      <c r="H240" s="2242"/>
      <c r="I240" s="2243">
        <f>I239/'Area Calculations'!$F$5</f>
        <v>29.041490436665462</v>
      </c>
      <c r="J240" s="2242"/>
      <c r="K240" s="2243">
        <f>K239/'Area Calculations'!$F$5</f>
        <v>30.087186485023459</v>
      </c>
      <c r="L240" s="2242"/>
      <c r="M240" s="2243">
        <f>M239/'Area Calculations'!$F$5</f>
        <v>30.069762721039336</v>
      </c>
      <c r="N240" s="2242"/>
      <c r="O240" s="2243">
        <f>O239/'Area Calculations'!$F$5</f>
        <v>28.501490323890291</v>
      </c>
      <c r="P240" s="2244"/>
      <c r="Q240" s="2243">
        <f>Q239/'Area Calculations'!$F$5</f>
        <v>0</v>
      </c>
      <c r="R240" s="2242"/>
      <c r="S240" s="2243">
        <f>S239/'Area Calculations'!$F$5</f>
        <v>24.549869180801156</v>
      </c>
    </row>
    <row r="241" spans="1:30">
      <c r="A241" s="2318"/>
      <c r="B241" s="2245"/>
      <c r="C241" s="2233"/>
      <c r="D241" s="2234"/>
      <c r="E241" s="2235"/>
      <c r="F241" s="2236"/>
      <c r="G241" s="656"/>
      <c r="H241" s="2246"/>
      <c r="I241" s="2246"/>
      <c r="J241" s="2246"/>
      <c r="K241" s="2246"/>
      <c r="L241" s="2246"/>
      <c r="M241" s="2246"/>
      <c r="N241" s="2246"/>
      <c r="O241" s="2246"/>
      <c r="P241" s="2246"/>
      <c r="Q241" s="2246"/>
      <c r="R241" s="2246"/>
      <c r="S241" s="2247"/>
    </row>
    <row r="242" spans="1:30" ht="16.5" hidden="1" thickTop="1" thickBot="1">
      <c r="A242" s="830" t="s">
        <v>2980</v>
      </c>
      <c r="B242" s="831"/>
      <c r="C242" s="12"/>
      <c r="D242" s="169"/>
      <c r="E242" s="177"/>
      <c r="F242" s="12"/>
      <c r="G242" s="228"/>
      <c r="H242" s="20"/>
      <c r="I242" s="20"/>
      <c r="J242" s="20"/>
      <c r="K242" s="20"/>
      <c r="L242" s="20"/>
      <c r="M242" s="20"/>
      <c r="N242" s="20"/>
      <c r="O242" s="20"/>
      <c r="P242" s="20"/>
      <c r="Q242" s="20"/>
      <c r="R242" s="47"/>
      <c r="S242" s="20"/>
    </row>
    <row r="243" spans="1:30" hidden="1">
      <c r="A243" s="2319"/>
      <c r="B243" s="2270"/>
      <c r="C243" s="2320"/>
      <c r="D243" s="2321"/>
      <c r="E243" s="2322"/>
      <c r="F243" s="2320"/>
      <c r="G243" s="780"/>
      <c r="H243" s="781"/>
      <c r="I243" s="781"/>
      <c r="J243" s="781"/>
      <c r="K243" s="781"/>
      <c r="L243" s="781"/>
      <c r="M243" s="781"/>
      <c r="N243" s="781"/>
      <c r="O243" s="781"/>
      <c r="P243" s="781"/>
      <c r="Q243" s="781"/>
      <c r="R243" s="788"/>
      <c r="S243" s="781"/>
    </row>
    <row r="244" spans="1:30" hidden="1">
      <c r="A244" s="2319"/>
      <c r="B244" s="2270"/>
      <c r="C244" s="2320"/>
      <c r="D244" s="2321"/>
      <c r="E244" s="2322"/>
      <c r="F244" s="2320"/>
      <c r="G244" s="780"/>
      <c r="H244" s="781"/>
      <c r="I244" s="781"/>
      <c r="J244" s="781"/>
      <c r="K244" s="781"/>
      <c r="L244" s="781"/>
      <c r="M244" s="781"/>
      <c r="N244" s="781"/>
      <c r="O244" s="781"/>
      <c r="P244" s="781"/>
      <c r="Q244" s="781"/>
      <c r="R244" s="788"/>
      <c r="S244" s="781"/>
    </row>
    <row r="245" spans="1:30" hidden="1">
      <c r="A245" s="2319"/>
      <c r="B245" s="2270"/>
      <c r="C245" s="2320"/>
      <c r="D245" s="2321"/>
      <c r="E245" s="2322"/>
      <c r="F245" s="2320"/>
      <c r="G245" s="780"/>
      <c r="H245" s="781"/>
      <c r="I245" s="781"/>
      <c r="J245" s="781"/>
      <c r="K245" s="781"/>
      <c r="L245" s="781"/>
      <c r="M245" s="781"/>
      <c r="N245" s="781"/>
      <c r="O245" s="781"/>
      <c r="P245" s="781"/>
      <c r="Q245" s="781"/>
      <c r="R245" s="788"/>
      <c r="S245" s="781"/>
    </row>
    <row r="246" spans="1:30" s="2" customFormat="1" ht="16.5" hidden="1" thickTop="1" thickBot="1">
      <c r="A246" s="830" t="s">
        <v>2981</v>
      </c>
      <c r="B246" s="831"/>
      <c r="C246" s="12"/>
      <c r="D246" s="169"/>
      <c r="E246" s="177"/>
      <c r="F246" s="12"/>
      <c r="G246" s="228"/>
      <c r="H246" s="20"/>
      <c r="I246" s="20"/>
      <c r="J246" s="20"/>
      <c r="K246" s="20"/>
      <c r="L246" s="20"/>
      <c r="M246" s="20"/>
      <c r="N246" s="20"/>
      <c r="O246" s="20"/>
      <c r="P246" s="20"/>
      <c r="Q246" s="20"/>
      <c r="R246" s="47"/>
      <c r="S246" s="20"/>
      <c r="T246"/>
      <c r="U246" s="402"/>
      <c r="V246" s="402"/>
      <c r="W246" s="402"/>
      <c r="X246"/>
      <c r="Y246"/>
      <c r="Z246"/>
      <c r="AA246"/>
      <c r="AB246"/>
      <c r="AC246"/>
      <c r="AD246"/>
    </row>
    <row r="247" spans="1:30" s="2" customFormat="1" hidden="1">
      <c r="A247" s="2319"/>
      <c r="B247" s="2270"/>
      <c r="C247" s="2320"/>
      <c r="D247" s="2321"/>
      <c r="E247" s="2322"/>
      <c r="F247" s="2320"/>
      <c r="G247" s="780"/>
      <c r="H247" s="781"/>
      <c r="I247" s="781"/>
      <c r="J247" s="781"/>
      <c r="K247" s="781"/>
      <c r="L247" s="781"/>
      <c r="M247" s="781"/>
      <c r="N247" s="781"/>
      <c r="O247" s="781"/>
      <c r="P247" s="781"/>
      <c r="Q247" s="781"/>
      <c r="R247" s="788"/>
      <c r="S247" s="781"/>
      <c r="T247"/>
      <c r="U247" s="402"/>
      <c r="V247" s="402"/>
      <c r="W247" s="402"/>
      <c r="X247"/>
      <c r="Y247"/>
      <c r="Z247"/>
      <c r="AA247"/>
      <c r="AB247"/>
      <c r="AC247"/>
      <c r="AD247"/>
    </row>
    <row r="248" spans="1:30" s="2" customFormat="1" hidden="1">
      <c r="A248" s="2319"/>
      <c r="B248" s="2270"/>
      <c r="C248" s="2320"/>
      <c r="D248" s="2321"/>
      <c r="E248" s="2322"/>
      <c r="F248" s="2320"/>
      <c r="G248" s="780"/>
      <c r="H248" s="781"/>
      <c r="I248" s="781"/>
      <c r="J248" s="781"/>
      <c r="K248" s="781"/>
      <c r="L248" s="781"/>
      <c r="M248" s="781"/>
      <c r="N248" s="781"/>
      <c r="O248" s="781"/>
      <c r="P248" s="781"/>
      <c r="Q248" s="781"/>
      <c r="R248" s="788"/>
      <c r="S248" s="781"/>
      <c r="T248"/>
      <c r="U248" s="402"/>
      <c r="V248" s="402"/>
      <c r="W248" s="402"/>
      <c r="X248"/>
      <c r="Y248"/>
      <c r="Z248"/>
      <c r="AA248"/>
      <c r="AB248"/>
      <c r="AC248"/>
      <c r="AD248"/>
    </row>
    <row r="249" spans="1:30" hidden="1">
      <c r="A249" s="2319"/>
      <c r="B249" s="2270"/>
      <c r="C249" s="2320"/>
      <c r="D249" s="2321"/>
      <c r="E249" s="2322"/>
      <c r="F249" s="2320"/>
      <c r="G249" s="780"/>
      <c r="H249" s="781"/>
      <c r="I249" s="781"/>
      <c r="J249" s="781"/>
      <c r="K249" s="781"/>
      <c r="L249" s="781"/>
      <c r="M249" s="781"/>
      <c r="N249" s="781"/>
      <c r="O249" s="781"/>
      <c r="P249" s="781"/>
      <c r="Q249" s="781"/>
      <c r="R249" s="788"/>
      <c r="S249" s="781"/>
      <c r="U249" s="403"/>
      <c r="V249" s="403"/>
      <c r="W249" s="403"/>
      <c r="X249" s="2"/>
      <c r="Y249" s="2"/>
      <c r="Z249" s="2"/>
      <c r="AA249" s="2"/>
      <c r="AB249" s="2"/>
    </row>
    <row r="250" spans="1:30" s="2" customFormat="1" ht="16.5" hidden="1" thickTop="1" thickBot="1">
      <c r="A250" s="830" t="s">
        <v>2982</v>
      </c>
      <c r="B250" s="831"/>
      <c r="C250" s="12"/>
      <c r="D250" s="169"/>
      <c r="E250" s="177"/>
      <c r="F250" s="12"/>
      <c r="G250" s="228"/>
      <c r="H250" s="20"/>
      <c r="I250" s="20"/>
      <c r="J250" s="20"/>
      <c r="K250" s="20"/>
      <c r="L250" s="20"/>
      <c r="M250" s="20"/>
      <c r="N250" s="20"/>
      <c r="O250" s="20"/>
      <c r="P250" s="20"/>
      <c r="Q250" s="20"/>
      <c r="R250" s="47"/>
      <c r="S250" s="20"/>
      <c r="T250"/>
      <c r="U250" s="402"/>
      <c r="V250" s="402"/>
      <c r="W250" s="402"/>
      <c r="X250"/>
      <c r="Y250"/>
      <c r="Z250"/>
      <c r="AA250"/>
      <c r="AB250"/>
      <c r="AC250"/>
      <c r="AD250"/>
    </row>
    <row r="251" spans="1:30" s="2" customFormat="1" hidden="1">
      <c r="A251" s="2319"/>
      <c r="B251" s="2270"/>
      <c r="C251" s="2320"/>
      <c r="D251" s="2321"/>
      <c r="E251" s="2322"/>
      <c r="F251" s="2320"/>
      <c r="G251" s="780"/>
      <c r="H251" s="781"/>
      <c r="I251" s="781"/>
      <c r="J251" s="781"/>
      <c r="K251" s="781"/>
      <c r="L251" s="781"/>
      <c r="M251" s="781"/>
      <c r="N251" s="781"/>
      <c r="O251" s="781"/>
      <c r="P251" s="781"/>
      <c r="Q251" s="781"/>
      <c r="R251" s="788"/>
      <c r="S251" s="781"/>
      <c r="T251"/>
      <c r="U251" s="403"/>
      <c r="V251" s="403"/>
      <c r="W251" s="403"/>
      <c r="AC251"/>
      <c r="AD251"/>
    </row>
    <row r="252" spans="1:30" s="2" customFormat="1" hidden="1">
      <c r="A252" s="2323"/>
      <c r="B252" s="2270"/>
      <c r="C252" s="2271"/>
      <c r="D252" s="2272"/>
      <c r="E252" s="2273"/>
      <c r="F252" s="2271"/>
      <c r="G252" s="2249"/>
      <c r="H252" s="2250"/>
      <c r="I252" s="2250"/>
      <c r="J252" s="2250"/>
      <c r="K252" s="2250"/>
      <c r="L252" s="2250"/>
      <c r="M252" s="2250"/>
      <c r="N252" s="2250"/>
      <c r="O252" s="2250"/>
      <c r="P252" s="2250"/>
      <c r="Q252" s="2250"/>
      <c r="R252" s="688"/>
      <c r="S252" s="2250"/>
      <c r="T252"/>
      <c r="U252" s="403"/>
      <c r="V252" s="403"/>
      <c r="W252" s="403"/>
      <c r="AC252"/>
      <c r="AD252"/>
    </row>
    <row r="253" spans="1:30" s="2" customFormat="1" hidden="1">
      <c r="A253" s="2324"/>
      <c r="B253" s="2252"/>
      <c r="C253" s="2271"/>
      <c r="D253" s="2272"/>
      <c r="E253" s="2273"/>
      <c r="F253" s="2271"/>
      <c r="G253" s="2249"/>
      <c r="H253" s="2253"/>
      <c r="I253" s="2253"/>
      <c r="J253" s="2253"/>
      <c r="K253" s="2253"/>
      <c r="L253" s="2253"/>
      <c r="M253" s="2253"/>
      <c r="N253" s="2253"/>
      <c r="O253" s="2253"/>
      <c r="P253" s="2253"/>
      <c r="Q253" s="2253"/>
      <c r="R253" s="689"/>
      <c r="S253" s="2253"/>
      <c r="U253" s="403"/>
      <c r="V253" s="403"/>
      <c r="W253" s="403"/>
    </row>
    <row r="254" spans="1:30" s="2" customFormat="1" ht="16.5" hidden="1" thickTop="1" thickBot="1">
      <c r="A254" s="830" t="s">
        <v>2983</v>
      </c>
      <c r="B254" s="831"/>
      <c r="C254" s="12"/>
      <c r="D254" s="169"/>
      <c r="E254" s="177"/>
      <c r="F254" s="12"/>
      <c r="G254" s="228"/>
      <c r="H254" s="20"/>
      <c r="I254" s="20"/>
      <c r="J254" s="20"/>
      <c r="K254" s="20"/>
      <c r="L254" s="20"/>
      <c r="M254" s="20"/>
      <c r="N254" s="20"/>
      <c r="O254" s="20"/>
      <c r="P254" s="20"/>
      <c r="Q254" s="20"/>
      <c r="R254" s="47"/>
      <c r="S254" s="20"/>
      <c r="T254"/>
      <c r="U254" s="402"/>
      <c r="V254" s="402"/>
      <c r="W254" s="402"/>
      <c r="X254"/>
      <c r="Y254"/>
      <c r="Z254"/>
      <c r="AA254"/>
      <c r="AB254"/>
      <c r="AC254"/>
      <c r="AD254"/>
    </row>
    <row r="255" spans="1:30" hidden="1">
      <c r="A255" s="2325"/>
      <c r="B255" s="2326"/>
      <c r="C255" s="2320"/>
      <c r="D255" s="2321"/>
      <c r="E255" s="2322"/>
      <c r="F255" s="2320"/>
      <c r="G255" s="780"/>
      <c r="H255" s="781"/>
      <c r="I255" s="781"/>
      <c r="J255" s="781"/>
      <c r="K255" s="781"/>
      <c r="L255" s="781"/>
      <c r="M255" s="781"/>
      <c r="N255" s="781"/>
      <c r="O255" s="781"/>
      <c r="P255" s="781"/>
      <c r="Q255" s="781"/>
      <c r="R255" s="788"/>
      <c r="S255" s="781"/>
      <c r="T255" s="2"/>
      <c r="AC255" s="2"/>
      <c r="AD255" s="2"/>
    </row>
    <row r="256" spans="1:30" hidden="1">
      <c r="A256" s="2324"/>
      <c r="B256" s="2252"/>
      <c r="C256" s="2271"/>
      <c r="D256" s="2272"/>
      <c r="E256" s="2273"/>
      <c r="F256" s="2271"/>
      <c r="G256" s="2249"/>
      <c r="H256" s="2254"/>
      <c r="I256" s="2254"/>
      <c r="J256" s="2254"/>
      <c r="K256" s="2254"/>
      <c r="L256" s="2254"/>
      <c r="M256" s="2254"/>
      <c r="N256" s="2254"/>
      <c r="O256" s="2254"/>
      <c r="P256" s="2254"/>
      <c r="Q256" s="2254"/>
      <c r="R256" s="690"/>
      <c r="S256" s="2254"/>
      <c r="T256" s="2"/>
      <c r="AC256" s="2"/>
      <c r="AD256" s="2"/>
    </row>
    <row r="257" spans="1:30" hidden="1">
      <c r="A257" s="2324"/>
      <c r="B257" s="2252"/>
      <c r="C257" s="2271"/>
      <c r="D257" s="2272"/>
      <c r="E257" s="2273"/>
      <c r="F257" s="2271"/>
      <c r="G257" s="2249"/>
      <c r="H257" s="2254"/>
      <c r="I257" s="2254"/>
      <c r="J257" s="2254"/>
      <c r="K257" s="2254"/>
      <c r="L257" s="2254"/>
      <c r="M257" s="2254"/>
      <c r="N257" s="2254"/>
      <c r="O257" s="2254"/>
      <c r="P257" s="2254"/>
      <c r="Q257" s="2254"/>
      <c r="R257" s="690"/>
      <c r="S257" s="2254"/>
      <c r="T257" s="2"/>
      <c r="AC257" s="2"/>
      <c r="AD257" s="2"/>
    </row>
    <row r="258" spans="1:30" ht="16.5" hidden="1" thickTop="1" thickBot="1">
      <c r="A258" s="830" t="s">
        <v>2984</v>
      </c>
      <c r="B258" s="831"/>
      <c r="C258" s="12"/>
      <c r="D258" s="169"/>
      <c r="E258" s="177"/>
      <c r="F258" s="12"/>
      <c r="G258" s="228"/>
      <c r="H258" s="20"/>
      <c r="I258" s="20"/>
      <c r="J258" s="20"/>
      <c r="K258" s="20"/>
      <c r="L258" s="20"/>
      <c r="M258" s="20"/>
      <c r="N258" s="20"/>
      <c r="O258" s="20"/>
      <c r="P258" s="20"/>
      <c r="Q258" s="20"/>
      <c r="R258" s="47"/>
      <c r="S258" s="20"/>
    </row>
    <row r="259" spans="1:30" hidden="1">
      <c r="A259" s="2323"/>
      <c r="B259" s="2270" t="s">
        <v>2985</v>
      </c>
      <c r="C259" s="2271"/>
      <c r="D259" s="2272"/>
      <c r="E259" s="2273"/>
      <c r="F259" s="2271"/>
      <c r="G259" s="2249"/>
      <c r="H259" s="2254"/>
      <c r="I259" s="2254"/>
      <c r="J259" s="2254"/>
      <c r="K259" s="2254"/>
      <c r="L259" s="2254"/>
      <c r="M259" s="2254"/>
      <c r="N259" s="2254"/>
      <c r="O259" s="2254"/>
      <c r="P259" s="2254"/>
      <c r="Q259" s="2254"/>
      <c r="R259" s="690"/>
      <c r="S259" s="2254"/>
    </row>
    <row r="260" spans="1:30" hidden="1">
      <c r="A260" s="2323"/>
      <c r="B260" s="2270" t="s">
        <v>2986</v>
      </c>
      <c r="C260" s="2271"/>
      <c r="D260" s="2272"/>
      <c r="E260" s="2273"/>
      <c r="F260" s="2271"/>
      <c r="G260" s="2249"/>
      <c r="H260" s="2254"/>
      <c r="I260" s="2254"/>
      <c r="J260" s="2254"/>
      <c r="K260" s="2254"/>
      <c r="L260" s="2254"/>
      <c r="M260" s="2254"/>
      <c r="N260" s="2254"/>
      <c r="O260" s="2254"/>
      <c r="P260" s="2254"/>
      <c r="Q260" s="2254"/>
      <c r="R260" s="690"/>
      <c r="S260" s="2254"/>
    </row>
    <row r="261" spans="1:30" hidden="1">
      <c r="A261" s="2323"/>
      <c r="B261" s="2270" t="s">
        <v>2987</v>
      </c>
      <c r="C261" s="2271"/>
      <c r="D261" s="2272"/>
      <c r="E261" s="2273"/>
      <c r="F261" s="2271"/>
      <c r="G261" s="2249"/>
      <c r="H261" s="2254"/>
      <c r="I261" s="2254"/>
      <c r="J261" s="2254"/>
      <c r="K261" s="2254"/>
      <c r="L261" s="2254"/>
      <c r="M261" s="2254"/>
      <c r="N261" s="2254"/>
      <c r="O261" s="2254"/>
      <c r="P261" s="2254"/>
      <c r="Q261" s="2254"/>
      <c r="R261" s="690"/>
      <c r="S261" s="2254"/>
    </row>
    <row r="262" spans="1:30" hidden="1">
      <c r="A262" s="2323"/>
      <c r="B262" s="2270" t="s">
        <v>2988</v>
      </c>
      <c r="C262" s="2271"/>
      <c r="D262" s="2272"/>
      <c r="E262" s="2273"/>
      <c r="F262" s="2271"/>
      <c r="G262" s="2249"/>
      <c r="H262" s="2254"/>
      <c r="I262" s="2254"/>
      <c r="J262" s="2254"/>
      <c r="K262" s="2254"/>
      <c r="L262" s="2254"/>
      <c r="M262" s="2254"/>
      <c r="N262" s="2254"/>
      <c r="O262" s="2254"/>
      <c r="P262" s="2254"/>
      <c r="Q262" s="2254"/>
      <c r="R262" s="690"/>
      <c r="S262" s="2254"/>
    </row>
    <row r="263" spans="1:30" hidden="1">
      <c r="A263" s="789"/>
      <c r="B263" s="619"/>
      <c r="C263" s="616"/>
      <c r="D263" s="621"/>
      <c r="E263" s="622"/>
      <c r="F263" s="616"/>
      <c r="G263" s="620"/>
      <c r="H263" s="647"/>
      <c r="I263" s="647"/>
      <c r="J263" s="647"/>
      <c r="K263" s="647"/>
      <c r="L263" s="647"/>
      <c r="M263" s="647"/>
      <c r="N263" s="647"/>
      <c r="O263" s="647"/>
      <c r="P263" s="647"/>
      <c r="Q263" s="647"/>
      <c r="R263" s="630"/>
      <c r="S263" s="647"/>
    </row>
    <row r="264" spans="1:30" ht="16.5" hidden="1" thickTop="1" thickBot="1">
      <c r="A264" s="396" t="s">
        <v>2989</v>
      </c>
      <c r="B264" s="8"/>
      <c r="C264" s="12"/>
      <c r="D264" s="169"/>
      <c r="E264" s="177"/>
      <c r="F264" s="12"/>
      <c r="G264" s="228"/>
      <c r="H264" s="20"/>
      <c r="I264" s="20"/>
      <c r="J264" s="20"/>
      <c r="K264" s="20"/>
      <c r="L264" s="20"/>
      <c r="M264" s="20"/>
      <c r="N264" s="20"/>
      <c r="O264" s="20"/>
      <c r="P264" s="20"/>
      <c r="Q264" s="20"/>
      <c r="R264" s="47"/>
      <c r="S264" s="20"/>
    </row>
    <row r="265" spans="1:30" hidden="1">
      <c r="A265" s="2319"/>
      <c r="B265" s="2327" t="s">
        <v>2990</v>
      </c>
      <c r="C265" s="2320"/>
      <c r="D265" s="2321"/>
      <c r="E265" s="2322"/>
      <c r="F265" s="2320"/>
      <c r="G265" s="780"/>
      <c r="H265" s="2328"/>
      <c r="I265" s="2328"/>
      <c r="J265" s="2328"/>
      <c r="K265" s="2328"/>
      <c r="L265" s="2328"/>
      <c r="M265" s="2328"/>
      <c r="N265" s="2328"/>
      <c r="O265" s="2328"/>
      <c r="P265" s="2328"/>
      <c r="Q265" s="2328"/>
      <c r="R265" s="1620"/>
      <c r="S265" s="2328"/>
    </row>
    <row r="266" spans="1:30" hidden="1">
      <c r="A266" s="2323"/>
      <c r="B266" s="2270" t="s">
        <v>2991</v>
      </c>
      <c r="C266" s="2271"/>
      <c r="D266" s="2272"/>
      <c r="E266" s="2273"/>
      <c r="F266" s="2271"/>
      <c r="G266" s="2249"/>
      <c r="H266" s="2255"/>
      <c r="I266" s="2255"/>
      <c r="J266" s="2255"/>
      <c r="K266" s="2255"/>
      <c r="L266" s="2255"/>
      <c r="M266" s="2255"/>
      <c r="N266" s="2255"/>
      <c r="O266" s="2255"/>
      <c r="P266" s="2255"/>
      <c r="Q266" s="2255"/>
      <c r="R266" s="691"/>
      <c r="S266" s="2255"/>
    </row>
    <row r="267" spans="1:30" ht="15.75" hidden="1" thickBot="1">
      <c r="A267" s="2329"/>
      <c r="B267" s="2284" t="s">
        <v>2992</v>
      </c>
      <c r="C267" s="2285"/>
      <c r="D267" s="2257"/>
      <c r="E267" s="2258"/>
      <c r="F267" s="2285"/>
      <c r="G267" s="2259"/>
      <c r="H267" s="2260"/>
      <c r="I267" s="2260"/>
      <c r="J267" s="2260"/>
      <c r="K267" s="2260"/>
      <c r="L267" s="2260"/>
      <c r="M267" s="2260"/>
      <c r="N267" s="2260"/>
      <c r="O267" s="2260"/>
      <c r="P267" s="2260"/>
      <c r="Q267" s="2260"/>
      <c r="R267" s="2261"/>
      <c r="S267" s="2260"/>
    </row>
    <row r="268" spans="1:30" ht="15.75" thickBot="1"/>
    <row r="269" spans="1:30" ht="16.5" thickTop="1" thickBot="1">
      <c r="A269" s="400" t="s">
        <v>2993</v>
      </c>
      <c r="B269" s="61"/>
      <c r="G269" s="2" t="s">
        <v>3584</v>
      </c>
      <c r="H269" s="236"/>
      <c r="I269" s="236">
        <v>1927700.34</v>
      </c>
    </row>
    <row r="270" spans="1:30" ht="15.75" thickTop="1">
      <c r="A270" s="401" t="s">
        <v>2936</v>
      </c>
      <c r="B270" s="2262"/>
      <c r="I270" s="236">
        <v>243947.7</v>
      </c>
    </row>
    <row r="271" spans="1:30">
      <c r="A271" s="2330" t="s">
        <v>2939</v>
      </c>
      <c r="B271" s="2262"/>
      <c r="G271" s="2" t="s">
        <v>3585</v>
      </c>
      <c r="H271" s="236"/>
      <c r="I271" s="529">
        <f>I184</f>
        <v>149000</v>
      </c>
    </row>
    <row r="272" spans="1:30">
      <c r="A272" s="2331" t="s">
        <v>2941</v>
      </c>
      <c r="B272" s="2265"/>
      <c r="G272" s="2" t="s">
        <v>3586</v>
      </c>
      <c r="H272" s="236"/>
      <c r="I272" s="527">
        <f>I28+I64+I69+I71+I87+I91+I92+I160+I164+I173+I225+I175+I176+I177</f>
        <v>254519</v>
      </c>
    </row>
    <row r="273" spans="1:9">
      <c r="A273" s="2331" t="s">
        <v>2943</v>
      </c>
      <c r="B273" s="2266"/>
      <c r="G273" s="2" t="s">
        <v>3587</v>
      </c>
      <c r="H273" s="236"/>
      <c r="I273" s="528"/>
    </row>
    <row r="274" spans="1:9" ht="15.75" thickBot="1">
      <c r="A274" s="2332" t="s">
        <v>2994</v>
      </c>
      <c r="B274" s="2268">
        <f>I239</f>
        <v>2575167.04</v>
      </c>
      <c r="G274" s="2" t="s">
        <v>3588</v>
      </c>
      <c r="H274" s="236"/>
      <c r="I274" s="2333"/>
    </row>
    <row r="275" spans="1:9" ht="15.75" thickTop="1">
      <c r="G275" s="2" t="s">
        <v>3589</v>
      </c>
      <c r="H275" s="236"/>
      <c r="I275" s="236">
        <f>SUM(I269:I274)</f>
        <v>2575167.04</v>
      </c>
    </row>
    <row r="276" spans="1:9">
      <c r="A276" s="397"/>
      <c r="B276" s="1" t="s">
        <v>2995</v>
      </c>
      <c r="G276" s="2" t="s">
        <v>3590</v>
      </c>
      <c r="H276" s="236"/>
      <c r="I276" s="2334">
        <f>I235</f>
        <v>2575167.04</v>
      </c>
    </row>
    <row r="277" spans="1:9">
      <c r="A277" s="398"/>
      <c r="B277" s="1" t="s">
        <v>2996</v>
      </c>
      <c r="G277" s="2" t="s">
        <v>3591</v>
      </c>
      <c r="H277" s="236"/>
      <c r="I277" s="236">
        <f>I276-I275</f>
        <v>0</v>
      </c>
    </row>
  </sheetData>
  <mergeCells count="35">
    <mergeCell ref="H5:I5"/>
    <mergeCell ref="H6:I6"/>
    <mergeCell ref="H7:I7"/>
    <mergeCell ref="P7:Q7"/>
    <mergeCell ref="P5:Q5"/>
    <mergeCell ref="P6:Q6"/>
    <mergeCell ref="J5:K5"/>
    <mergeCell ref="J6:K6"/>
    <mergeCell ref="J7:K7"/>
    <mergeCell ref="L5:M5"/>
    <mergeCell ref="L6:M6"/>
    <mergeCell ref="L7:M7"/>
    <mergeCell ref="R5:S5"/>
    <mergeCell ref="R6:S6"/>
    <mergeCell ref="R7:S7"/>
    <mergeCell ref="A258:B258"/>
    <mergeCell ref="A250:B250"/>
    <mergeCell ref="A254:B254"/>
    <mergeCell ref="N5:O5"/>
    <mergeCell ref="N6:O6"/>
    <mergeCell ref="N7:O7"/>
    <mergeCell ref="R8:S8"/>
    <mergeCell ref="H8:I8"/>
    <mergeCell ref="P9:Q9"/>
    <mergeCell ref="A242:B242"/>
    <mergeCell ref="A246:B246"/>
    <mergeCell ref="R9:S9"/>
    <mergeCell ref="H9:I9"/>
    <mergeCell ref="P8:Q8"/>
    <mergeCell ref="N8:O8"/>
    <mergeCell ref="J8:K8"/>
    <mergeCell ref="N9:O9"/>
    <mergeCell ref="J9:K9"/>
    <mergeCell ref="L9:M9"/>
    <mergeCell ref="L8:M8"/>
  </mergeCells>
  <phoneticPr fontId="27" type="noConversion"/>
  <conditionalFormatting sqref="H11:H18 J11:J18 L11:L18 N11:N18 P11:P18 R11:R18 H20:H234 J20:J234 L20:L234 N20:N234 P20:P234 R20:R234">
    <cfRule type="cellIs" dxfId="249" priority="27" operator="equal">
      <formula>"X"</formula>
    </cfRule>
    <cfRule type="cellIs" dxfId="248" priority="28" operator="equal">
      <formula>"I"</formula>
    </cfRule>
  </conditionalFormatting>
  <hyperlinks>
    <hyperlink ref="B4" location="'Cost Summary'!A1" display="BACK TO SUMMARY SHEET" xr:uid="{3F4C3D25-8FAB-4F3D-A1E5-ACEB84052D46}"/>
    <hyperlink ref="H8" r:id="rId1" xr:uid="{1BF19A42-06C0-448A-916E-B8708B43EDD3}"/>
    <hyperlink ref="R8" r:id="rId2" xr:uid="{71284340-CFCA-4521-8CB4-2DF0D2464B73}"/>
    <hyperlink ref="N8" r:id="rId3" xr:uid="{FBD49449-75B5-4229-8AD1-8FBB9AF52A68}"/>
    <hyperlink ref="J8" r:id="rId4" xr:uid="{C4987D89-F500-4938-ABB6-BC28F4FA0E59}"/>
    <hyperlink ref="L8" r:id="rId5" xr:uid="{3E61B73A-43A9-4264-ACBD-19D465949200}"/>
  </hyperlinks>
  <pageMargins left="0.2" right="0.2" top="0.5" bottom="0.75" header="0.3" footer="0.3"/>
  <pageSetup paperSize="3" scale="79" fitToHeight="0" orientation="landscape" horizontalDpi="1200" verticalDpi="1200"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5306-2076-41C2-B36F-3CF9F3C69BA0}">
  <sheetPr>
    <tabColor rgb="FF00B050"/>
    <pageSetUpPr fitToPage="1"/>
  </sheetPr>
  <dimension ref="A1:AH93"/>
  <sheetViews>
    <sheetView zoomScale="90" zoomScaleNormal="90" workbookViewId="0">
      <pane ySplit="10" topLeftCell="A11" activePane="bottomLeft" state="frozen"/>
      <selection pane="bottomLeft" activeCell="B23" sqref="B23"/>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5163</v>
      </c>
      <c r="I5" s="838"/>
      <c r="J5" s="837"/>
      <c r="K5" s="838"/>
      <c r="L5" s="841"/>
      <c r="M5" s="842"/>
      <c r="N5" s="841"/>
      <c r="O5" s="842"/>
      <c r="P5" s="841"/>
      <c r="Q5" s="842"/>
      <c r="R5" s="841"/>
      <c r="S5" s="842"/>
    </row>
    <row r="6" spans="1:19">
      <c r="A6" s="2335" t="s">
        <v>2938</v>
      </c>
      <c r="B6" s="2270" t="s">
        <v>2570</v>
      </c>
      <c r="C6" s="2271"/>
      <c r="D6" s="2272"/>
      <c r="E6" s="2273"/>
      <c r="F6" s="2271"/>
      <c r="G6" s="657" t="s">
        <v>2939</v>
      </c>
      <c r="H6" s="2274" t="s">
        <v>5164</v>
      </c>
      <c r="I6" s="839"/>
      <c r="J6" s="2274"/>
      <c r="K6" s="839"/>
      <c r="L6" s="2275"/>
      <c r="M6" s="843"/>
      <c r="N6" s="2275"/>
      <c r="O6" s="843"/>
      <c r="P6" s="2275"/>
      <c r="Q6" s="843"/>
      <c r="R6" s="2275"/>
      <c r="S6" s="843"/>
    </row>
    <row r="7" spans="1:19">
      <c r="A7" s="2335" t="s">
        <v>2940</v>
      </c>
      <c r="B7" s="2276" t="s">
        <v>2713</v>
      </c>
      <c r="C7" s="2271"/>
      <c r="D7" s="2272"/>
      <c r="E7" s="2273"/>
      <c r="F7" s="2271"/>
      <c r="G7" s="2277" t="s">
        <v>2941</v>
      </c>
      <c r="H7" s="2278" t="s">
        <v>5165</v>
      </c>
      <c r="I7" s="840"/>
      <c r="J7" s="2278"/>
      <c r="K7" s="840"/>
      <c r="L7" s="2279"/>
      <c r="M7" s="844"/>
      <c r="N7" s="2279"/>
      <c r="O7" s="844"/>
      <c r="P7" s="2279"/>
      <c r="Q7" s="844"/>
      <c r="R7" s="2279"/>
      <c r="S7" s="844"/>
    </row>
    <row r="8" spans="1:19">
      <c r="A8" s="2335" t="s">
        <v>2942</v>
      </c>
      <c r="B8" s="2280"/>
      <c r="C8" s="2271"/>
      <c r="D8" s="2272"/>
      <c r="E8" s="2273"/>
      <c r="F8" s="2271"/>
      <c r="G8" s="2277" t="s">
        <v>2943</v>
      </c>
      <c r="H8" s="2281" t="s">
        <v>5166</v>
      </c>
      <c r="I8" s="836"/>
      <c r="J8" s="2281"/>
      <c r="K8" s="836"/>
      <c r="L8" s="2282"/>
      <c r="M8" s="845"/>
      <c r="N8" s="2282"/>
      <c r="O8" s="845"/>
      <c r="P8" s="2282"/>
      <c r="Q8" s="845"/>
      <c r="R8" s="2282"/>
      <c r="S8" s="845"/>
    </row>
    <row r="9" spans="1:19" ht="15.75" thickBot="1">
      <c r="A9" s="2336"/>
      <c r="B9" s="2284"/>
      <c r="C9" s="616"/>
      <c r="D9" s="621"/>
      <c r="E9" s="622"/>
      <c r="F9" s="2285"/>
      <c r="G9" s="2286" t="s">
        <v>2944</v>
      </c>
      <c r="H9" s="2287">
        <f>I$55</f>
        <v>24736</v>
      </c>
      <c r="I9" s="2288"/>
      <c r="J9" s="2289">
        <f>K$55</f>
        <v>0</v>
      </c>
      <c r="K9" s="2290"/>
      <c r="L9" s="2287">
        <f t="shared" ref="L9" si="0">M$55</f>
        <v>0</v>
      </c>
      <c r="M9" s="2288"/>
      <c r="N9" s="2287">
        <f t="shared" ref="N9" si="1">O$55</f>
        <v>0</v>
      </c>
      <c r="O9" s="2288"/>
      <c r="P9" s="2287">
        <f t="shared" ref="P9" si="2">Q$55</f>
        <v>0</v>
      </c>
      <c r="Q9" s="2288"/>
      <c r="R9" s="2287">
        <f t="shared" ref="R9" si="3">S$55</f>
        <v>0</v>
      </c>
      <c r="S9" s="228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337"/>
      <c r="B11" s="1618" t="s">
        <v>2953</v>
      </c>
      <c r="C11" s="659"/>
      <c r="D11" s="2272"/>
      <c r="E11" s="2273"/>
      <c r="F11" s="2271"/>
      <c r="G11" s="660"/>
      <c r="H11" s="2292"/>
      <c r="I11" s="182"/>
      <c r="J11" s="2292"/>
      <c r="K11" s="2338"/>
      <c r="L11" s="2292"/>
      <c r="M11" s="2339"/>
      <c r="N11" s="2292"/>
      <c r="O11" s="2339"/>
      <c r="P11" s="2292"/>
      <c r="Q11" s="2339"/>
      <c r="R11" s="2292"/>
      <c r="S11" s="2339"/>
    </row>
    <row r="12" spans="1:19">
      <c r="A12" s="2340"/>
      <c r="B12" s="1622" t="s">
        <v>2954</v>
      </c>
      <c r="C12" s="2271"/>
      <c r="D12" s="2272"/>
      <c r="E12" s="2273"/>
      <c r="F12" s="2271"/>
      <c r="G12" s="660"/>
      <c r="H12" s="2292"/>
      <c r="I12" s="2339"/>
      <c r="J12" s="2292"/>
      <c r="K12" s="2338"/>
      <c r="L12" s="2292"/>
      <c r="M12" s="2339"/>
      <c r="N12" s="2292"/>
      <c r="O12" s="2339"/>
      <c r="P12" s="2292"/>
      <c r="Q12" s="2339"/>
      <c r="R12" s="2292"/>
      <c r="S12" s="2339"/>
    </row>
    <row r="13" spans="1:19">
      <c r="A13" s="2341"/>
      <c r="B13" s="2342" t="s">
        <v>2955</v>
      </c>
      <c r="C13" s="2271"/>
      <c r="D13" s="2272"/>
      <c r="E13" s="2273"/>
      <c r="F13" s="2271"/>
      <c r="G13" s="660"/>
      <c r="H13" s="2292"/>
      <c r="I13" s="2339"/>
      <c r="J13" s="2292"/>
      <c r="K13" s="2338"/>
      <c r="L13" s="2292"/>
      <c r="M13" s="2339"/>
      <c r="N13" s="2292"/>
      <c r="O13" s="2339"/>
      <c r="P13" s="2292"/>
      <c r="Q13" s="2339"/>
      <c r="R13" s="2292"/>
      <c r="S13" s="2339"/>
    </row>
    <row r="14" spans="1:19">
      <c r="A14" s="2341"/>
      <c r="B14" s="2343" t="s">
        <v>2956</v>
      </c>
      <c r="C14" s="2271"/>
      <c r="D14" s="2272"/>
      <c r="E14" s="2273"/>
      <c r="F14" s="2271"/>
      <c r="G14" s="660"/>
      <c r="H14" s="2292"/>
      <c r="I14" s="2339"/>
      <c r="J14" s="2292"/>
      <c r="K14" s="2338"/>
      <c r="L14" s="2292"/>
      <c r="M14" s="2339"/>
      <c r="N14" s="2292"/>
      <c r="O14" s="2339"/>
      <c r="P14" s="2292"/>
      <c r="Q14" s="2339"/>
      <c r="R14" s="2292"/>
      <c r="S14" s="2339"/>
    </row>
    <row r="15" spans="1:19">
      <c r="A15" s="2341"/>
      <c r="B15" s="2343" t="s">
        <v>2957</v>
      </c>
      <c r="C15" s="2271"/>
      <c r="D15" s="2272"/>
      <c r="E15" s="2273"/>
      <c r="F15" s="2271"/>
      <c r="G15" s="660"/>
      <c r="H15" s="2292"/>
      <c r="I15" s="2338"/>
      <c r="J15" s="2292"/>
      <c r="K15" s="2338"/>
      <c r="L15" s="2292"/>
      <c r="M15" s="2338"/>
      <c r="N15" s="2292"/>
      <c r="O15" s="2338"/>
      <c r="P15" s="2292"/>
      <c r="Q15" s="2338"/>
      <c r="R15" s="2292"/>
      <c r="S15" s="2338"/>
    </row>
    <row r="16" spans="1:19">
      <c r="A16" s="2341"/>
      <c r="B16" s="2343" t="s">
        <v>2958</v>
      </c>
      <c r="C16" s="2271"/>
      <c r="D16" s="2272"/>
      <c r="E16" s="2273"/>
      <c r="F16" s="2271"/>
      <c r="G16" s="660"/>
      <c r="H16" s="2292"/>
      <c r="I16" s="2339"/>
      <c r="J16" s="2292"/>
      <c r="K16" s="2338"/>
      <c r="L16" s="2292"/>
      <c r="M16" s="2339"/>
      <c r="N16" s="2292"/>
      <c r="O16" s="2339"/>
      <c r="P16" s="2292"/>
      <c r="Q16" s="2339"/>
      <c r="R16" s="2292"/>
      <c r="S16" s="2339"/>
    </row>
    <row r="17" spans="1:19">
      <c r="A17" s="2341"/>
      <c r="B17" s="2343" t="s">
        <v>2959</v>
      </c>
      <c r="C17" s="2271"/>
      <c r="D17" s="2272"/>
      <c r="E17" s="2273"/>
      <c r="F17" s="2271"/>
      <c r="G17" s="660"/>
      <c r="H17" s="2292"/>
      <c r="I17" s="2339"/>
      <c r="J17" s="2292"/>
      <c r="K17" s="2338"/>
      <c r="L17" s="2292"/>
      <c r="M17" s="2339"/>
      <c r="N17" s="2292"/>
      <c r="O17" s="2339"/>
      <c r="P17" s="2292"/>
      <c r="Q17" s="2339"/>
      <c r="R17" s="2292"/>
      <c r="S17" s="2339"/>
    </row>
    <row r="18" spans="1:19">
      <c r="A18" s="2341"/>
      <c r="B18" s="2344" t="s">
        <v>2960</v>
      </c>
      <c r="C18" s="2271"/>
      <c r="D18" s="2272"/>
      <c r="E18" s="2273"/>
      <c r="F18" s="2271"/>
      <c r="G18" s="660"/>
      <c r="H18" s="2292"/>
      <c r="I18" s="2339"/>
      <c r="J18" s="2292"/>
      <c r="K18" s="2338"/>
      <c r="L18" s="2292"/>
      <c r="M18" s="2339"/>
      <c r="N18" s="2292"/>
      <c r="O18" s="2339"/>
      <c r="P18" s="2292"/>
      <c r="Q18" s="2339"/>
      <c r="R18" s="2292"/>
      <c r="S18" s="2339"/>
    </row>
    <row r="19" spans="1:19">
      <c r="A19" s="2341"/>
      <c r="B19" s="2345" t="s">
        <v>2961</v>
      </c>
      <c r="C19" s="2295"/>
      <c r="D19" s="2296"/>
      <c r="E19" s="2297"/>
      <c r="F19" s="2298"/>
      <c r="G19" s="661"/>
      <c r="H19" s="2299"/>
      <c r="I19" s="2346"/>
      <c r="J19" s="2299"/>
      <c r="K19" s="2347"/>
      <c r="L19" s="2299"/>
      <c r="M19" s="2346"/>
      <c r="N19" s="2299"/>
      <c r="O19" s="2346"/>
      <c r="P19" s="2299"/>
      <c r="Q19" s="2346"/>
      <c r="R19" s="2299"/>
      <c r="S19" s="2346"/>
    </row>
    <row r="20" spans="1:19">
      <c r="A20" s="2341"/>
      <c r="B20" s="2348"/>
      <c r="C20" s="2271"/>
      <c r="D20" s="2272"/>
      <c r="E20" s="2273"/>
      <c r="F20" s="2300"/>
      <c r="G20" s="660"/>
      <c r="H20" s="2292"/>
      <c r="I20" s="2349"/>
      <c r="J20" s="2292"/>
      <c r="K20" s="2350"/>
      <c r="L20" s="2292"/>
      <c r="M20" s="2349"/>
      <c r="N20" s="2292"/>
      <c r="O20" s="2349"/>
      <c r="P20" s="2292"/>
      <c r="Q20" s="2349"/>
      <c r="R20" s="2292"/>
      <c r="S20" s="2349"/>
    </row>
    <row r="21" spans="1:19">
      <c r="A21" s="2294"/>
      <c r="B21" s="2351" t="s">
        <v>2695</v>
      </c>
      <c r="C21" s="2271"/>
      <c r="D21" s="2272"/>
      <c r="E21" s="2273"/>
      <c r="F21" s="2300"/>
      <c r="G21" s="662"/>
      <c r="H21" s="2292"/>
      <c r="I21" s="2352">
        <f>SUBTOTAL(9,I22:I32)</f>
        <v>24736</v>
      </c>
      <c r="J21" s="2292"/>
      <c r="K21" s="2352">
        <f>SUBTOTAL(9,K22:K32)</f>
        <v>0</v>
      </c>
      <c r="L21" s="2292"/>
      <c r="M21" s="2352">
        <f>SUBTOTAL(9,M22:M32)</f>
        <v>0</v>
      </c>
      <c r="N21" s="2292"/>
      <c r="O21" s="2352">
        <f>SUBTOTAL(9,O22:O32)</f>
        <v>0</v>
      </c>
      <c r="P21" s="2292"/>
      <c r="Q21" s="2352">
        <f>SUBTOTAL(9,Q22:Q32)</f>
        <v>0</v>
      </c>
      <c r="R21" s="2292"/>
      <c r="S21" s="2352">
        <f>SUBTOTAL(9,S22:S32)</f>
        <v>0</v>
      </c>
    </row>
    <row r="22" spans="1:19">
      <c r="A22" s="2341"/>
      <c r="B22" s="2348" t="s">
        <v>5167</v>
      </c>
      <c r="C22" s="2271"/>
      <c r="D22" s="2272"/>
      <c r="E22" s="2273"/>
      <c r="F22" s="2300"/>
      <c r="G22" s="662">
        <f t="shared" ref="G22:G32" si="4">ROUND(D22*F22,0)</f>
        <v>0</v>
      </c>
      <c r="H22" s="2292"/>
      <c r="I22" s="2350">
        <f t="shared" ref="I22:I32" si="5">G22</f>
        <v>0</v>
      </c>
      <c r="J22" s="2292"/>
      <c r="K22" s="2350"/>
      <c r="L22" s="2292"/>
      <c r="M22" s="2349"/>
      <c r="N22" s="2292"/>
      <c r="O22" s="2349"/>
      <c r="P22" s="2292"/>
      <c r="Q22" s="2349"/>
      <c r="R22" s="2292"/>
      <c r="S22" s="2349"/>
    </row>
    <row r="23" spans="1:19">
      <c r="A23" s="2341"/>
      <c r="B23" s="2353" t="s">
        <v>5168</v>
      </c>
      <c r="C23" s="2271"/>
      <c r="D23" s="2272">
        <v>2</v>
      </c>
      <c r="E23" s="2273" t="s">
        <v>2803</v>
      </c>
      <c r="F23" s="2300"/>
      <c r="G23" s="662">
        <f t="shared" si="4"/>
        <v>0</v>
      </c>
      <c r="H23" s="2292"/>
      <c r="I23" s="2350">
        <v>24256</v>
      </c>
      <c r="J23" s="2292"/>
      <c r="K23" s="2350"/>
      <c r="L23" s="2292"/>
      <c r="M23" s="2349"/>
      <c r="N23" s="2292"/>
      <c r="O23" s="2349"/>
      <c r="P23" s="2292"/>
      <c r="Q23" s="2349"/>
      <c r="R23" s="2292"/>
      <c r="S23" s="2349"/>
    </row>
    <row r="24" spans="1:19">
      <c r="A24" s="2341"/>
      <c r="B24" s="2353" t="s">
        <v>5169</v>
      </c>
      <c r="C24" s="2271"/>
      <c r="D24" s="2272">
        <v>2</v>
      </c>
      <c r="E24" s="2273" t="s">
        <v>2803</v>
      </c>
      <c r="F24" s="2300"/>
      <c r="G24" s="662"/>
      <c r="H24" s="2292" t="s">
        <v>2931</v>
      </c>
      <c r="I24" s="2350"/>
      <c r="J24" s="2292"/>
      <c r="K24" s="2350"/>
      <c r="L24" s="2292"/>
      <c r="M24" s="2349"/>
      <c r="N24" s="2292"/>
      <c r="O24" s="2349"/>
      <c r="P24" s="2292"/>
      <c r="Q24" s="2349"/>
      <c r="R24" s="2292"/>
      <c r="S24" s="2349"/>
    </row>
    <row r="25" spans="1:19">
      <c r="A25" s="2341"/>
      <c r="B25" s="2353" t="s">
        <v>5170</v>
      </c>
      <c r="C25" s="2271"/>
      <c r="D25" s="2272">
        <f>6*4*2</f>
        <v>48</v>
      </c>
      <c r="E25" s="2273" t="s">
        <v>2864</v>
      </c>
      <c r="F25" s="2300">
        <v>10</v>
      </c>
      <c r="G25" s="662">
        <f t="shared" si="4"/>
        <v>480</v>
      </c>
      <c r="H25" s="2292"/>
      <c r="I25" s="2350">
        <f t="shared" si="5"/>
        <v>480</v>
      </c>
      <c r="J25" s="2292"/>
      <c r="K25" s="2350"/>
      <c r="L25" s="2292"/>
      <c r="M25" s="2349"/>
      <c r="N25" s="2292"/>
      <c r="O25" s="2349"/>
      <c r="P25" s="2292"/>
      <c r="Q25" s="2349"/>
      <c r="R25" s="2292"/>
      <c r="S25" s="2349"/>
    </row>
    <row r="26" spans="1:19">
      <c r="A26" s="2341"/>
      <c r="B26" s="2348"/>
      <c r="C26" s="2271"/>
      <c r="D26" s="2272"/>
      <c r="E26" s="2273"/>
      <c r="F26" s="2300"/>
      <c r="G26" s="662">
        <f t="shared" si="4"/>
        <v>0</v>
      </c>
      <c r="H26" s="2292"/>
      <c r="I26" s="2350">
        <f t="shared" si="5"/>
        <v>0</v>
      </c>
      <c r="J26" s="2292"/>
      <c r="K26" s="2350"/>
      <c r="L26" s="2292"/>
      <c r="M26" s="2349"/>
      <c r="N26" s="2292"/>
      <c r="O26" s="2349"/>
      <c r="P26" s="2292"/>
      <c r="Q26" s="2349"/>
      <c r="R26" s="2292"/>
      <c r="S26" s="2349"/>
    </row>
    <row r="27" spans="1:19">
      <c r="A27" s="2341"/>
      <c r="B27" s="2348"/>
      <c r="C27" s="2271"/>
      <c r="D27" s="2272"/>
      <c r="E27" s="2273"/>
      <c r="F27" s="2300"/>
      <c r="G27" s="662">
        <f t="shared" si="4"/>
        <v>0</v>
      </c>
      <c r="H27" s="2292"/>
      <c r="I27" s="2350">
        <f t="shared" si="5"/>
        <v>0</v>
      </c>
      <c r="J27" s="2292"/>
      <c r="K27" s="2350"/>
      <c r="L27" s="2292"/>
      <c r="M27" s="2349"/>
      <c r="N27" s="2292"/>
      <c r="O27" s="2349"/>
      <c r="P27" s="2292"/>
      <c r="Q27" s="2349"/>
      <c r="R27" s="2292"/>
      <c r="S27" s="2349"/>
    </row>
    <row r="28" spans="1:19">
      <c r="A28" s="2341"/>
      <c r="B28" s="2348"/>
      <c r="C28" s="2271"/>
      <c r="D28" s="2272"/>
      <c r="E28" s="2273"/>
      <c r="F28" s="2300"/>
      <c r="G28" s="662">
        <f t="shared" si="4"/>
        <v>0</v>
      </c>
      <c r="H28" s="2292"/>
      <c r="I28" s="2350">
        <f t="shared" si="5"/>
        <v>0</v>
      </c>
      <c r="J28" s="2292"/>
      <c r="K28" s="2350"/>
      <c r="L28" s="2292"/>
      <c r="M28" s="2349"/>
      <c r="N28" s="2292"/>
      <c r="O28" s="2349"/>
      <c r="P28" s="2292"/>
      <c r="Q28" s="2349"/>
      <c r="R28" s="2292"/>
      <c r="S28" s="2349"/>
    </row>
    <row r="29" spans="1:19">
      <c r="A29" s="2341"/>
      <c r="B29" s="2348"/>
      <c r="C29" s="2271"/>
      <c r="D29" s="2272"/>
      <c r="E29" s="2273"/>
      <c r="F29" s="2300"/>
      <c r="G29" s="662">
        <f t="shared" si="4"/>
        <v>0</v>
      </c>
      <c r="H29" s="2292"/>
      <c r="I29" s="2350">
        <f t="shared" si="5"/>
        <v>0</v>
      </c>
      <c r="J29" s="2292"/>
      <c r="K29" s="2350"/>
      <c r="L29" s="2292"/>
      <c r="M29" s="2349"/>
      <c r="N29" s="2292"/>
      <c r="O29" s="2349"/>
      <c r="P29" s="2292"/>
      <c r="Q29" s="2349"/>
      <c r="R29" s="2292"/>
      <c r="S29" s="2349"/>
    </row>
    <row r="30" spans="1:19">
      <c r="A30" s="2341"/>
      <c r="B30" s="2348"/>
      <c r="C30" s="2271"/>
      <c r="D30" s="2272"/>
      <c r="E30" s="2273"/>
      <c r="F30" s="2300"/>
      <c r="G30" s="662">
        <f t="shared" si="4"/>
        <v>0</v>
      </c>
      <c r="H30" s="2292"/>
      <c r="I30" s="2350">
        <f t="shared" si="5"/>
        <v>0</v>
      </c>
      <c r="J30" s="2292"/>
      <c r="K30" s="2350"/>
      <c r="L30" s="2292"/>
      <c r="M30" s="2349"/>
      <c r="N30" s="2292"/>
      <c r="O30" s="2349"/>
      <c r="P30" s="2292"/>
      <c r="Q30" s="2349"/>
      <c r="R30" s="2292"/>
      <c r="S30" s="2349"/>
    </row>
    <row r="31" spans="1:19">
      <c r="A31" s="2341"/>
      <c r="B31" s="2348"/>
      <c r="C31" s="2271"/>
      <c r="D31" s="2272"/>
      <c r="E31" s="2273"/>
      <c r="F31" s="2300"/>
      <c r="G31" s="662">
        <f t="shared" si="4"/>
        <v>0</v>
      </c>
      <c r="H31" s="2292"/>
      <c r="I31" s="2350">
        <f t="shared" si="5"/>
        <v>0</v>
      </c>
      <c r="J31" s="2292"/>
      <c r="K31" s="2350"/>
      <c r="L31" s="2292"/>
      <c r="M31" s="2349"/>
      <c r="N31" s="2292"/>
      <c r="O31" s="2349"/>
      <c r="P31" s="2292"/>
      <c r="Q31" s="2349"/>
      <c r="R31" s="2292"/>
      <c r="S31" s="2349"/>
    </row>
    <row r="32" spans="1:19">
      <c r="A32" s="2341"/>
      <c r="B32" s="2348"/>
      <c r="C32" s="2271"/>
      <c r="D32" s="2272"/>
      <c r="E32" s="2273"/>
      <c r="F32" s="2300"/>
      <c r="G32" s="662">
        <f t="shared" si="4"/>
        <v>0</v>
      </c>
      <c r="H32" s="2292"/>
      <c r="I32" s="2350">
        <f t="shared" si="5"/>
        <v>0</v>
      </c>
      <c r="J32" s="2292"/>
      <c r="K32" s="2350"/>
      <c r="L32" s="2292"/>
      <c r="M32" s="2349"/>
      <c r="N32" s="2292"/>
      <c r="O32" s="2349"/>
      <c r="P32" s="2292"/>
      <c r="Q32" s="2349"/>
      <c r="R32" s="2292"/>
      <c r="S32" s="2349"/>
    </row>
    <row r="33" spans="1:19">
      <c r="A33" s="2341"/>
      <c r="B33" s="2348"/>
      <c r="C33" s="2271"/>
      <c r="D33" s="2272"/>
      <c r="E33" s="2273"/>
      <c r="F33" s="2300"/>
      <c r="G33" s="662">
        <f t="shared" ref="G33:G49" si="6">ROUND(D33*F33,0)</f>
        <v>0</v>
      </c>
      <c r="H33" s="2292"/>
      <c r="I33" s="2350">
        <f t="shared" ref="I33:I49" si="7">G33</f>
        <v>0</v>
      </c>
      <c r="J33" s="2292"/>
      <c r="K33" s="2350"/>
      <c r="L33" s="2292"/>
      <c r="M33" s="2349"/>
      <c r="N33" s="2292"/>
      <c r="O33" s="2349"/>
      <c r="P33" s="2292"/>
      <c r="Q33" s="2349"/>
      <c r="R33" s="2292"/>
      <c r="S33" s="2349"/>
    </row>
    <row r="34" spans="1:19">
      <c r="A34" s="2341"/>
      <c r="B34" s="2348"/>
      <c r="C34" s="2271"/>
      <c r="D34" s="2272"/>
      <c r="E34" s="2273"/>
      <c r="F34" s="2300"/>
      <c r="G34" s="662">
        <f t="shared" si="6"/>
        <v>0</v>
      </c>
      <c r="H34" s="2292"/>
      <c r="I34" s="2350">
        <f t="shared" si="7"/>
        <v>0</v>
      </c>
      <c r="J34" s="2292"/>
      <c r="K34" s="2350"/>
      <c r="L34" s="2292"/>
      <c r="M34" s="2349"/>
      <c r="N34" s="2292"/>
      <c r="O34" s="2349"/>
      <c r="P34" s="2292"/>
      <c r="Q34" s="2349"/>
      <c r="R34" s="2292"/>
      <c r="S34" s="2349"/>
    </row>
    <row r="35" spans="1:19">
      <c r="A35" s="2341"/>
      <c r="B35" s="2348"/>
      <c r="C35" s="2271"/>
      <c r="D35" s="2272"/>
      <c r="E35" s="2273"/>
      <c r="F35" s="2300"/>
      <c r="G35" s="662">
        <f t="shared" si="6"/>
        <v>0</v>
      </c>
      <c r="H35" s="2292"/>
      <c r="I35" s="2350">
        <f t="shared" si="7"/>
        <v>0</v>
      </c>
      <c r="J35" s="2292"/>
      <c r="K35" s="2350"/>
      <c r="L35" s="2292"/>
      <c r="M35" s="2349"/>
      <c r="N35" s="2292"/>
      <c r="O35" s="2349"/>
      <c r="P35" s="2292"/>
      <c r="Q35" s="2349"/>
      <c r="R35" s="2292"/>
      <c r="S35" s="2349"/>
    </row>
    <row r="36" spans="1:19">
      <c r="A36" s="2341"/>
      <c r="B36" s="2348"/>
      <c r="C36" s="2271"/>
      <c r="D36" s="2272"/>
      <c r="E36" s="2273"/>
      <c r="F36" s="2300"/>
      <c r="G36" s="662">
        <f t="shared" si="6"/>
        <v>0</v>
      </c>
      <c r="H36" s="2292"/>
      <c r="I36" s="2350">
        <f t="shared" si="7"/>
        <v>0</v>
      </c>
      <c r="J36" s="2292"/>
      <c r="K36" s="2350"/>
      <c r="L36" s="2292"/>
      <c r="M36" s="2349"/>
      <c r="N36" s="2292"/>
      <c r="O36" s="2349"/>
      <c r="P36" s="2292"/>
      <c r="Q36" s="2349"/>
      <c r="R36" s="2292"/>
      <c r="S36" s="2349"/>
    </row>
    <row r="37" spans="1:19">
      <c r="A37" s="2341"/>
      <c r="B37" s="2348"/>
      <c r="C37" s="2271"/>
      <c r="D37" s="2272"/>
      <c r="E37" s="2273"/>
      <c r="F37" s="2300"/>
      <c r="G37" s="662">
        <f t="shared" si="6"/>
        <v>0</v>
      </c>
      <c r="H37" s="2292"/>
      <c r="I37" s="2350">
        <f t="shared" si="7"/>
        <v>0</v>
      </c>
      <c r="J37" s="2292"/>
      <c r="K37" s="2350"/>
      <c r="L37" s="2292"/>
      <c r="M37" s="2349"/>
      <c r="N37" s="2292"/>
      <c r="O37" s="2349"/>
      <c r="P37" s="2292"/>
      <c r="Q37" s="2349"/>
      <c r="R37" s="2292"/>
      <c r="S37" s="2349"/>
    </row>
    <row r="38" spans="1:19">
      <c r="A38" s="2341"/>
      <c r="B38" s="2348"/>
      <c r="C38" s="2271"/>
      <c r="D38" s="2272"/>
      <c r="E38" s="2273"/>
      <c r="F38" s="2300"/>
      <c r="G38" s="662">
        <f t="shared" si="6"/>
        <v>0</v>
      </c>
      <c r="H38" s="2292"/>
      <c r="I38" s="2350">
        <f t="shared" si="7"/>
        <v>0</v>
      </c>
      <c r="J38" s="2292"/>
      <c r="K38" s="2350"/>
      <c r="L38" s="2292"/>
      <c r="M38" s="2349"/>
      <c r="N38" s="2292"/>
      <c r="O38" s="2349"/>
      <c r="P38" s="2292"/>
      <c r="Q38" s="2349"/>
      <c r="R38" s="2292"/>
      <c r="S38" s="2349"/>
    </row>
    <row r="39" spans="1:19">
      <c r="A39" s="2341"/>
      <c r="B39" s="2348"/>
      <c r="C39" s="2271"/>
      <c r="D39" s="2272"/>
      <c r="E39" s="2273"/>
      <c r="F39" s="2300"/>
      <c r="G39" s="662">
        <f t="shared" si="6"/>
        <v>0</v>
      </c>
      <c r="H39" s="2292"/>
      <c r="I39" s="2350">
        <f t="shared" si="7"/>
        <v>0</v>
      </c>
      <c r="J39" s="2292"/>
      <c r="K39" s="2350"/>
      <c r="L39" s="2292"/>
      <c r="M39" s="2349"/>
      <c r="N39" s="2292"/>
      <c r="O39" s="2349"/>
      <c r="P39" s="2292"/>
      <c r="Q39" s="2349"/>
      <c r="R39" s="2292"/>
      <c r="S39" s="2349"/>
    </row>
    <row r="40" spans="1:19">
      <c r="A40" s="2341"/>
      <c r="B40" s="2348"/>
      <c r="C40" s="2271"/>
      <c r="D40" s="2272"/>
      <c r="E40" s="2273"/>
      <c r="F40" s="2300"/>
      <c r="G40" s="662">
        <f t="shared" si="6"/>
        <v>0</v>
      </c>
      <c r="H40" s="2292"/>
      <c r="I40" s="2350">
        <f t="shared" si="7"/>
        <v>0</v>
      </c>
      <c r="J40" s="2292"/>
      <c r="K40" s="2350"/>
      <c r="L40" s="2292"/>
      <c r="M40" s="2349"/>
      <c r="N40" s="2292"/>
      <c r="O40" s="2349"/>
      <c r="P40" s="2292"/>
      <c r="Q40" s="2349"/>
      <c r="R40" s="2292"/>
      <c r="S40" s="2349"/>
    </row>
    <row r="41" spans="1:19">
      <c r="A41" s="2341"/>
      <c r="B41" s="2348"/>
      <c r="C41" s="2271"/>
      <c r="D41" s="2272"/>
      <c r="E41" s="2273"/>
      <c r="F41" s="2300"/>
      <c r="G41" s="662">
        <f t="shared" si="6"/>
        <v>0</v>
      </c>
      <c r="H41" s="2292"/>
      <c r="I41" s="2350">
        <f t="shared" si="7"/>
        <v>0</v>
      </c>
      <c r="J41" s="2292"/>
      <c r="K41" s="2350"/>
      <c r="L41" s="2292"/>
      <c r="M41" s="2349"/>
      <c r="N41" s="2292"/>
      <c r="O41" s="2349"/>
      <c r="P41" s="2292"/>
      <c r="Q41" s="2349"/>
      <c r="R41" s="2292"/>
      <c r="S41" s="2349"/>
    </row>
    <row r="42" spans="1:19">
      <c r="A42" s="2341"/>
      <c r="B42" s="2348"/>
      <c r="C42" s="2271"/>
      <c r="D42" s="2272"/>
      <c r="E42" s="2273"/>
      <c r="F42" s="2300"/>
      <c r="G42" s="662">
        <f t="shared" si="6"/>
        <v>0</v>
      </c>
      <c r="H42" s="2292"/>
      <c r="I42" s="2350">
        <f t="shared" si="7"/>
        <v>0</v>
      </c>
      <c r="J42" s="2292"/>
      <c r="K42" s="2350"/>
      <c r="L42" s="2292"/>
      <c r="M42" s="2349"/>
      <c r="N42" s="2292"/>
      <c r="O42" s="2349"/>
      <c r="P42" s="2292"/>
      <c r="Q42" s="2349"/>
      <c r="R42" s="2292"/>
      <c r="S42" s="2349"/>
    </row>
    <row r="43" spans="1:19">
      <c r="A43" s="2341"/>
      <c r="B43" s="2348"/>
      <c r="C43" s="2271"/>
      <c r="D43" s="2272"/>
      <c r="E43" s="2273"/>
      <c r="F43" s="2300"/>
      <c r="G43" s="662">
        <f t="shared" si="6"/>
        <v>0</v>
      </c>
      <c r="H43" s="2292"/>
      <c r="I43" s="2350">
        <f t="shared" si="7"/>
        <v>0</v>
      </c>
      <c r="J43" s="2292"/>
      <c r="K43" s="2350"/>
      <c r="L43" s="2292"/>
      <c r="M43" s="2349"/>
      <c r="N43" s="2292"/>
      <c r="O43" s="2349"/>
      <c r="P43" s="2292"/>
      <c r="Q43" s="2349"/>
      <c r="R43" s="2292"/>
      <c r="S43" s="2349"/>
    </row>
    <row r="44" spans="1:19">
      <c r="A44" s="2341"/>
      <c r="B44" s="2348"/>
      <c r="C44" s="2271"/>
      <c r="D44" s="2272"/>
      <c r="E44" s="2273"/>
      <c r="F44" s="2300"/>
      <c r="G44" s="662">
        <f t="shared" si="6"/>
        <v>0</v>
      </c>
      <c r="H44" s="2292"/>
      <c r="I44" s="2350">
        <f t="shared" si="7"/>
        <v>0</v>
      </c>
      <c r="J44" s="2292"/>
      <c r="K44" s="2350"/>
      <c r="L44" s="2292"/>
      <c r="M44" s="2349"/>
      <c r="N44" s="2292"/>
      <c r="O44" s="2349"/>
      <c r="P44" s="2292"/>
      <c r="Q44" s="2349"/>
      <c r="R44" s="2292"/>
      <c r="S44" s="2349"/>
    </row>
    <row r="45" spans="1:19">
      <c r="A45" s="2341"/>
      <c r="B45" s="2348"/>
      <c r="C45" s="2271"/>
      <c r="D45" s="2272"/>
      <c r="E45" s="2273"/>
      <c r="F45" s="2300"/>
      <c r="G45" s="662">
        <f t="shared" si="6"/>
        <v>0</v>
      </c>
      <c r="H45" s="2292"/>
      <c r="I45" s="2350">
        <f t="shared" si="7"/>
        <v>0</v>
      </c>
      <c r="J45" s="2292"/>
      <c r="K45" s="2350"/>
      <c r="L45" s="2292"/>
      <c r="M45" s="2349"/>
      <c r="N45" s="2292"/>
      <c r="O45" s="2349"/>
      <c r="P45" s="2292"/>
      <c r="Q45" s="2349"/>
      <c r="R45" s="2292"/>
      <c r="S45" s="2349"/>
    </row>
    <row r="46" spans="1:19">
      <c r="A46" s="2341"/>
      <c r="B46" s="2348"/>
      <c r="C46" s="2271"/>
      <c r="D46" s="2272"/>
      <c r="E46" s="2273"/>
      <c r="F46" s="2300"/>
      <c r="G46" s="662">
        <f t="shared" si="6"/>
        <v>0</v>
      </c>
      <c r="H46" s="2292"/>
      <c r="I46" s="2350">
        <f t="shared" si="7"/>
        <v>0</v>
      </c>
      <c r="J46" s="2292"/>
      <c r="K46" s="2350"/>
      <c r="L46" s="2292"/>
      <c r="M46" s="2349"/>
      <c r="N46" s="2292"/>
      <c r="O46" s="2349"/>
      <c r="P46" s="2292"/>
      <c r="Q46" s="2349"/>
      <c r="R46" s="2292"/>
      <c r="S46" s="2349"/>
    </row>
    <row r="47" spans="1:19">
      <c r="A47" s="2341"/>
      <c r="B47" s="2348"/>
      <c r="C47" s="2271"/>
      <c r="D47" s="2272"/>
      <c r="E47" s="2273"/>
      <c r="F47" s="2300"/>
      <c r="G47" s="662">
        <f t="shared" si="6"/>
        <v>0</v>
      </c>
      <c r="H47" s="2292"/>
      <c r="I47" s="2350">
        <f t="shared" si="7"/>
        <v>0</v>
      </c>
      <c r="J47" s="2292"/>
      <c r="K47" s="2350"/>
      <c r="L47" s="2292"/>
      <c r="M47" s="2349"/>
      <c r="N47" s="2292"/>
      <c r="O47" s="2349"/>
      <c r="P47" s="2292"/>
      <c r="Q47" s="2349"/>
      <c r="R47" s="2292"/>
      <c r="S47" s="2349"/>
    </row>
    <row r="48" spans="1:19">
      <c r="A48" s="2341"/>
      <c r="B48" s="2348"/>
      <c r="C48" s="2271"/>
      <c r="D48" s="2272"/>
      <c r="E48" s="2273"/>
      <c r="F48" s="2300"/>
      <c r="G48" s="662">
        <f t="shared" si="6"/>
        <v>0</v>
      </c>
      <c r="H48" s="2292"/>
      <c r="I48" s="2350">
        <f t="shared" si="7"/>
        <v>0</v>
      </c>
      <c r="J48" s="2292"/>
      <c r="K48" s="2350"/>
      <c r="L48" s="2292"/>
      <c r="M48" s="2349"/>
      <c r="N48" s="2292"/>
      <c r="O48" s="2349"/>
      <c r="P48" s="2292"/>
      <c r="Q48" s="2349"/>
      <c r="R48" s="2292"/>
      <c r="S48" s="2349"/>
    </row>
    <row r="49" spans="1:34">
      <c r="A49" s="2341"/>
      <c r="B49" s="2348"/>
      <c r="C49" s="2271"/>
      <c r="D49" s="2272"/>
      <c r="E49" s="2273"/>
      <c r="F49" s="2300"/>
      <c r="G49" s="662">
        <f t="shared" si="6"/>
        <v>0</v>
      </c>
      <c r="H49" s="2292"/>
      <c r="I49" s="2350">
        <f t="shared" si="7"/>
        <v>0</v>
      </c>
      <c r="J49" s="2292"/>
      <c r="K49" s="2350"/>
      <c r="L49" s="2292"/>
      <c r="M49" s="2349"/>
      <c r="N49" s="2292"/>
      <c r="O49" s="2349"/>
      <c r="P49" s="2292"/>
      <c r="Q49" s="2349"/>
      <c r="R49" s="2292"/>
      <c r="S49" s="2349"/>
    </row>
    <row r="50" spans="1:34" ht="15.75" thickBot="1">
      <c r="A50" s="2341"/>
      <c r="B50" s="2354"/>
      <c r="C50" s="2355"/>
      <c r="D50" s="2356"/>
      <c r="E50" s="2273"/>
      <c r="F50" s="2357"/>
      <c r="G50" s="662"/>
      <c r="H50" s="2292"/>
      <c r="I50" s="2350"/>
      <c r="J50" s="2292"/>
      <c r="K50" s="2350"/>
      <c r="L50" s="2292"/>
      <c r="M50" s="2350"/>
      <c r="N50" s="2292"/>
      <c r="O50" s="2350"/>
      <c r="P50" s="2292"/>
      <c r="Q50" s="2350"/>
      <c r="R50" s="2292"/>
      <c r="S50" s="2350"/>
    </row>
    <row r="51" spans="1:34" ht="15.75" thickTop="1">
      <c r="A51" s="13"/>
      <c r="B51" s="226" t="s">
        <v>3265</v>
      </c>
      <c r="C51" s="15"/>
      <c r="D51" s="168"/>
      <c r="E51" s="176"/>
      <c r="F51" s="17"/>
      <c r="G51" s="227">
        <f>SUBTOTAL(9,G21:G50)</f>
        <v>480</v>
      </c>
      <c r="H51" s="19"/>
      <c r="I51" s="225">
        <f>SUBTOTAL(9,I20:I50)</f>
        <v>24736</v>
      </c>
      <c r="J51" s="19"/>
      <c r="K51" s="225">
        <f>SUBTOTAL(9,K20:K50)</f>
        <v>0</v>
      </c>
      <c r="L51" s="19"/>
      <c r="M51" s="164">
        <f>SUBTOTAL(9,M20:M50)</f>
        <v>0</v>
      </c>
      <c r="N51" s="19"/>
      <c r="O51" s="164">
        <f>SUBTOTAL(9,O20:O50)</f>
        <v>0</v>
      </c>
      <c r="P51" s="19"/>
      <c r="Q51" s="164">
        <f>SUBTOTAL(9,Q20:Q50)</f>
        <v>0</v>
      </c>
      <c r="R51" s="19"/>
      <c r="S51" s="164">
        <f>SUBTOTAL(9,S20:S50)</f>
        <v>0</v>
      </c>
    </row>
    <row r="52" spans="1:34">
      <c r="A52" s="2358"/>
      <c r="B52" s="2359" t="s">
        <v>2976</v>
      </c>
      <c r="C52" s="2360"/>
      <c r="D52" s="2361"/>
      <c r="E52" s="2362"/>
      <c r="F52" s="2363"/>
      <c r="G52" s="654"/>
      <c r="H52" s="2364">
        <v>0</v>
      </c>
      <c r="I52" s="645"/>
      <c r="J52" s="2364">
        <v>0</v>
      </c>
      <c r="K52" s="645"/>
      <c r="L52" s="2364">
        <v>0</v>
      </c>
      <c r="M52" s="645"/>
      <c r="N52" s="2364">
        <v>0</v>
      </c>
      <c r="O52" s="645"/>
      <c r="P52" s="2364">
        <v>0</v>
      </c>
      <c r="Q52" s="645"/>
      <c r="R52" s="2364">
        <v>0</v>
      </c>
      <c r="S52" s="645"/>
    </row>
    <row r="53" spans="1:34">
      <c r="A53" s="2358"/>
      <c r="B53" s="2359" t="s">
        <v>2977</v>
      </c>
      <c r="C53" s="2360"/>
      <c r="D53" s="2361"/>
      <c r="E53" s="2362"/>
      <c r="F53" s="2363"/>
      <c r="G53" s="654">
        <f>F52*G51</f>
        <v>0</v>
      </c>
      <c r="H53" s="2365"/>
      <c r="I53" s="2366">
        <f>H52*I51</f>
        <v>0</v>
      </c>
      <c r="J53" s="2365"/>
      <c r="K53" s="2366">
        <f>J52*K51</f>
        <v>0</v>
      </c>
      <c r="L53" s="2365"/>
      <c r="M53" s="2366">
        <f>L52*M51</f>
        <v>0</v>
      </c>
      <c r="N53" s="2365"/>
      <c r="O53" s="2366">
        <f>N52*O51</f>
        <v>0</v>
      </c>
      <c r="P53" s="2365"/>
      <c r="Q53" s="2366">
        <f>P52*Q51</f>
        <v>0</v>
      </c>
      <c r="R53" s="2365"/>
      <c r="S53" s="2366">
        <f>R52*S51</f>
        <v>0</v>
      </c>
    </row>
    <row r="54" spans="1:34">
      <c r="A54" s="2358"/>
      <c r="B54" s="2359"/>
      <c r="C54" s="2360"/>
      <c r="D54" s="2361"/>
      <c r="E54" s="2362"/>
      <c r="F54" s="2363"/>
      <c r="G54" s="654"/>
      <c r="H54" s="2365"/>
      <c r="I54" s="2366"/>
      <c r="J54" s="2365"/>
      <c r="K54" s="2366"/>
      <c r="L54" s="2365"/>
      <c r="M54" s="2366"/>
      <c r="N54" s="2365"/>
      <c r="O54" s="2366"/>
      <c r="P54" s="2365"/>
      <c r="Q54" s="2366"/>
      <c r="R54" s="2365"/>
      <c r="S54" s="2366"/>
    </row>
    <row r="55" spans="1:34">
      <c r="A55" s="2358"/>
      <c r="B55" s="2359" t="s">
        <v>2978</v>
      </c>
      <c r="C55" s="2360"/>
      <c r="D55" s="2361"/>
      <c r="E55" s="2362"/>
      <c r="F55" s="2363"/>
      <c r="G55" s="654">
        <f>SUM(G51:G53)</f>
        <v>480</v>
      </c>
      <c r="H55" s="2367"/>
      <c r="I55" s="2366">
        <f>SUM(I51:I53)</f>
        <v>24736</v>
      </c>
      <c r="J55" s="2367"/>
      <c r="K55" s="2366">
        <f>SUM(K51:K53)</f>
        <v>0</v>
      </c>
      <c r="L55" s="2367"/>
      <c r="M55" s="2366">
        <f>SUM(M51:M53)</f>
        <v>0</v>
      </c>
      <c r="N55" s="2367"/>
      <c r="O55" s="2366">
        <f>SUM(O51:O53)</f>
        <v>0</v>
      </c>
      <c r="P55" s="2367"/>
      <c r="Q55" s="2366">
        <f>SUM(Q51:Q53)</f>
        <v>0</v>
      </c>
      <c r="R55" s="2367"/>
      <c r="S55" s="2366">
        <f>SUM(S51:S53)</f>
        <v>0</v>
      </c>
    </row>
    <row r="56" spans="1:34">
      <c r="A56" s="2358"/>
      <c r="B56" s="2368" t="s">
        <v>2979</v>
      </c>
      <c r="C56" s="2360"/>
      <c r="D56" s="2361"/>
      <c r="E56" s="2362"/>
      <c r="F56" s="2368"/>
      <c r="G56" s="655">
        <f>G55/'Area Calculations'!$F$5</f>
        <v>5.4132082280765065E-3</v>
      </c>
      <c r="H56" s="2369"/>
      <c r="I56" s="2370">
        <f>I55/'Area Calculations'!$F$5</f>
        <v>0.2789606640202093</v>
      </c>
      <c r="J56" s="2369"/>
      <c r="K56" s="2370">
        <f>K55/'Area Calculations'!$F$5</f>
        <v>0</v>
      </c>
      <c r="L56" s="2369"/>
      <c r="M56" s="2370">
        <f>M55/'Area Calculations'!$F$5</f>
        <v>0</v>
      </c>
      <c r="N56" s="2369"/>
      <c r="O56" s="2370">
        <f>O55/'Area Calculations'!$F$5</f>
        <v>0</v>
      </c>
      <c r="P56" s="2369"/>
      <c r="Q56" s="2370">
        <f>Q55/'Area Calculations'!$F$5</f>
        <v>0</v>
      </c>
      <c r="R56" s="2371"/>
      <c r="S56" s="2370">
        <f>S55/'Area Calculations'!$F$5</f>
        <v>0</v>
      </c>
    </row>
    <row r="57" spans="1:34">
      <c r="A57" s="2358"/>
      <c r="B57" s="2372"/>
      <c r="C57" s="2360"/>
      <c r="D57" s="2361"/>
      <c r="E57" s="2362"/>
      <c r="F57" s="2363"/>
      <c r="G57" s="656"/>
      <c r="H57" s="2373"/>
      <c r="I57" s="2373"/>
      <c r="J57" s="2373"/>
      <c r="K57" s="2374"/>
      <c r="L57" s="2373"/>
      <c r="M57" s="2373"/>
      <c r="N57" s="2373"/>
      <c r="O57" s="2373"/>
      <c r="P57" s="2373"/>
      <c r="Q57" s="2373"/>
      <c r="R57" s="2373"/>
      <c r="S57" s="2373"/>
    </row>
    <row r="58" spans="1:34" ht="16.5" hidden="1" thickTop="1" thickBot="1">
      <c r="A58" s="830" t="s">
        <v>2980</v>
      </c>
      <c r="B58" s="831"/>
      <c r="C58" s="12"/>
      <c r="D58" s="169"/>
      <c r="E58" s="177"/>
      <c r="F58" s="12"/>
      <c r="G58" s="228"/>
      <c r="H58" s="20"/>
      <c r="I58" s="20"/>
      <c r="J58" s="47"/>
      <c r="K58" s="20"/>
      <c r="L58" s="20"/>
      <c r="M58" s="20"/>
      <c r="N58" s="20"/>
      <c r="O58" s="20"/>
      <c r="P58" s="20"/>
      <c r="Q58" s="20"/>
      <c r="R58" s="20"/>
      <c r="S58" s="20"/>
    </row>
    <row r="59" spans="1:34" ht="15.75" hidden="1" thickTop="1">
      <c r="A59" s="2375"/>
      <c r="B59" s="2270"/>
      <c r="C59" s="2376"/>
      <c r="D59" s="2377"/>
      <c r="E59" s="2378"/>
      <c r="F59" s="2376"/>
      <c r="G59" s="2379"/>
      <c r="H59" s="2380"/>
      <c r="I59" s="2380"/>
      <c r="J59" s="2381"/>
      <c r="K59" s="2380"/>
      <c r="L59" s="2380"/>
      <c r="M59" s="2380"/>
      <c r="N59" s="2380"/>
      <c r="O59" s="2380"/>
      <c r="P59" s="2380"/>
      <c r="Q59" s="2380"/>
      <c r="R59" s="2380"/>
      <c r="S59" s="2380"/>
    </row>
    <row r="60" spans="1:34" hidden="1">
      <c r="A60" s="2375"/>
      <c r="B60" s="2270"/>
      <c r="C60" s="2376"/>
      <c r="D60" s="2377"/>
      <c r="E60" s="2378"/>
      <c r="F60" s="2376"/>
      <c r="G60" s="2379"/>
      <c r="H60" s="2380"/>
      <c r="I60" s="2380"/>
      <c r="J60" s="2381"/>
      <c r="K60" s="2380"/>
      <c r="L60" s="2380"/>
      <c r="M60" s="2380"/>
      <c r="N60" s="2380"/>
      <c r="O60" s="2380"/>
      <c r="P60" s="2380"/>
      <c r="Q60" s="2380"/>
      <c r="R60" s="2380"/>
      <c r="S60" s="2380"/>
    </row>
    <row r="61" spans="1:34" ht="15.75" hidden="1" thickBot="1">
      <c r="A61" s="2375"/>
      <c r="B61" s="2270"/>
      <c r="C61" s="2376"/>
      <c r="D61" s="2377"/>
      <c r="E61" s="2378"/>
      <c r="F61" s="2376"/>
      <c r="G61" s="2379"/>
      <c r="H61" s="2380"/>
      <c r="I61" s="2380"/>
      <c r="J61" s="2381"/>
      <c r="K61" s="2380"/>
      <c r="L61" s="2380"/>
      <c r="M61" s="2380"/>
      <c r="N61" s="2380"/>
      <c r="O61" s="2380"/>
      <c r="P61" s="2380"/>
      <c r="Q61" s="2380"/>
      <c r="R61" s="2380"/>
      <c r="S61" s="2380"/>
    </row>
    <row r="62" spans="1:34" s="2" customFormat="1" ht="16.5" hidden="1" thickTop="1" thickBot="1">
      <c r="A62" s="830" t="s">
        <v>2981</v>
      </c>
      <c r="B62" s="831"/>
      <c r="C62" s="12"/>
      <c r="D62" s="169"/>
      <c r="E62" s="177"/>
      <c r="F62" s="12"/>
      <c r="G62" s="228"/>
      <c r="H62" s="20"/>
      <c r="I62" s="20"/>
      <c r="J62" s="47"/>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2375"/>
      <c r="B63" s="2270"/>
      <c r="C63" s="2376"/>
      <c r="D63" s="2377"/>
      <c r="E63" s="2378"/>
      <c r="F63" s="2376"/>
      <c r="G63" s="2379"/>
      <c r="H63" s="2380"/>
      <c r="I63" s="2380"/>
      <c r="J63" s="2381"/>
      <c r="K63" s="2380"/>
      <c r="L63" s="2380"/>
      <c r="M63" s="2380"/>
      <c r="N63" s="2380"/>
      <c r="O63" s="2380"/>
      <c r="P63" s="2380"/>
      <c r="Q63" s="2380"/>
      <c r="R63" s="2380"/>
      <c r="S63" s="2380"/>
      <c r="T63"/>
      <c r="U63"/>
      <c r="V63"/>
      <c r="W63"/>
      <c r="X63"/>
      <c r="Y63"/>
      <c r="Z63"/>
      <c r="AA63"/>
      <c r="AB63"/>
      <c r="AC63"/>
      <c r="AD63"/>
      <c r="AE63"/>
      <c r="AF63"/>
      <c r="AG63"/>
      <c r="AH63"/>
    </row>
    <row r="64" spans="1:34" s="2" customFormat="1" hidden="1">
      <c r="A64" s="2375"/>
      <c r="B64" s="2270"/>
      <c r="C64" s="2376"/>
      <c r="D64" s="2377"/>
      <c r="E64" s="2378"/>
      <c r="F64" s="2376"/>
      <c r="G64" s="2379"/>
      <c r="H64" s="2380"/>
      <c r="I64" s="2380"/>
      <c r="J64" s="2381"/>
      <c r="K64" s="2380"/>
      <c r="L64" s="2380"/>
      <c r="M64" s="2380"/>
      <c r="N64" s="2380"/>
      <c r="O64" s="2380"/>
      <c r="P64" s="2380"/>
      <c r="Q64" s="2380"/>
      <c r="R64" s="2380"/>
      <c r="S64" s="2380"/>
      <c r="T64"/>
      <c r="U64"/>
      <c r="V64"/>
      <c r="W64"/>
      <c r="X64"/>
      <c r="Y64"/>
      <c r="Z64"/>
      <c r="AA64"/>
      <c r="AB64"/>
      <c r="AC64"/>
      <c r="AD64"/>
      <c r="AE64"/>
      <c r="AF64"/>
      <c r="AG64"/>
      <c r="AH64"/>
    </row>
    <row r="65" spans="1:34" ht="15.75" hidden="1" thickBot="1">
      <c r="A65" s="2375"/>
      <c r="B65" s="2270"/>
      <c r="C65" s="2376"/>
      <c r="D65" s="2377"/>
      <c r="E65" s="2378"/>
      <c r="F65" s="2376"/>
      <c r="G65" s="2379"/>
      <c r="H65" s="2380"/>
      <c r="I65" s="2380"/>
      <c r="J65" s="2381"/>
      <c r="K65" s="2380"/>
      <c r="L65" s="2380"/>
      <c r="M65" s="2380"/>
      <c r="N65" s="2380"/>
      <c r="O65" s="2380"/>
      <c r="P65" s="2380"/>
      <c r="Q65" s="2380"/>
      <c r="R65" s="2380"/>
      <c r="S65" s="2380"/>
    </row>
    <row r="66" spans="1:34" s="2" customFormat="1" ht="16.5" hidden="1" thickTop="1" thickBot="1">
      <c r="A66" s="830" t="s">
        <v>2982</v>
      </c>
      <c r="B66" s="831"/>
      <c r="C66" s="12"/>
      <c r="D66" s="169"/>
      <c r="E66" s="177"/>
      <c r="F66" s="12"/>
      <c r="G66" s="228"/>
      <c r="H66" s="20"/>
      <c r="I66" s="20"/>
      <c r="J66" s="47"/>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2375"/>
      <c r="B67" s="2270"/>
      <c r="C67" s="2376"/>
      <c r="D67" s="2377"/>
      <c r="E67" s="2378"/>
      <c r="F67" s="2376"/>
      <c r="G67" s="2379"/>
      <c r="H67" s="2380"/>
      <c r="I67" s="2380"/>
      <c r="J67" s="2381"/>
      <c r="K67" s="2380"/>
      <c r="L67" s="2380"/>
      <c r="M67" s="2380"/>
      <c r="N67" s="2380"/>
      <c r="O67" s="2380"/>
      <c r="P67" s="2380"/>
      <c r="Q67" s="2380"/>
      <c r="R67" s="2380"/>
      <c r="S67" s="2380"/>
      <c r="T67"/>
      <c r="U67"/>
      <c r="V67"/>
      <c r="W67"/>
      <c r="X67"/>
      <c r="Y67"/>
      <c r="Z67"/>
      <c r="AA67"/>
      <c r="AB67"/>
      <c r="AC67"/>
      <c r="AD67"/>
      <c r="AE67"/>
      <c r="AF67"/>
      <c r="AG67"/>
      <c r="AH67"/>
    </row>
    <row r="68" spans="1:34" s="2" customFormat="1" hidden="1">
      <c r="A68" s="2382"/>
      <c r="B68" s="2270"/>
      <c r="C68" s="2271"/>
      <c r="D68" s="2272"/>
      <c r="E68" s="2273"/>
      <c r="F68" s="2271"/>
      <c r="G68" s="2383"/>
      <c r="H68" s="2384"/>
      <c r="I68" s="2384"/>
      <c r="J68" s="688"/>
      <c r="K68" s="2384"/>
      <c r="L68" s="2384"/>
      <c r="M68" s="2384"/>
      <c r="N68" s="2384"/>
      <c r="O68" s="2384"/>
      <c r="P68" s="2384"/>
      <c r="Q68" s="2384"/>
      <c r="R68" s="2384"/>
      <c r="S68" s="2384"/>
      <c r="T68"/>
      <c r="U68"/>
      <c r="V68"/>
      <c r="W68"/>
      <c r="X68"/>
      <c r="Y68"/>
      <c r="Z68"/>
      <c r="AA68"/>
      <c r="AB68"/>
      <c r="AC68"/>
      <c r="AD68"/>
      <c r="AE68"/>
      <c r="AF68"/>
      <c r="AG68"/>
      <c r="AH68"/>
    </row>
    <row r="69" spans="1:34" s="2" customFormat="1" ht="15.75" hidden="1" thickBot="1">
      <c r="A69" s="2385"/>
      <c r="B69" s="2386"/>
      <c r="C69" s="2271"/>
      <c r="D69" s="2272"/>
      <c r="E69" s="2273"/>
      <c r="F69" s="2271"/>
      <c r="G69" s="2383"/>
      <c r="H69" s="2387"/>
      <c r="I69" s="2387"/>
      <c r="J69" s="689"/>
      <c r="K69" s="2387"/>
      <c r="L69" s="2387"/>
      <c r="M69" s="2387"/>
      <c r="N69" s="2387"/>
      <c r="O69" s="2387"/>
      <c r="P69" s="2387"/>
      <c r="Q69" s="2387"/>
      <c r="R69" s="2387"/>
      <c r="S69" s="2387"/>
    </row>
    <row r="70" spans="1:34" s="2" customFormat="1" ht="16.5" hidden="1" thickTop="1" thickBot="1">
      <c r="A70" s="830" t="s">
        <v>2983</v>
      </c>
      <c r="B70" s="831"/>
      <c r="C70" s="12"/>
      <c r="D70" s="169"/>
      <c r="E70" s="177"/>
      <c r="F70" s="12"/>
      <c r="G70" s="228"/>
      <c r="H70" s="20"/>
      <c r="I70" s="20"/>
      <c r="J70" s="47"/>
      <c r="K70" s="20"/>
      <c r="L70" s="20"/>
      <c r="M70" s="20"/>
      <c r="N70" s="20"/>
      <c r="O70" s="20"/>
      <c r="P70" s="20"/>
      <c r="Q70" s="20"/>
      <c r="R70" s="20"/>
      <c r="S70" s="20"/>
      <c r="T70"/>
      <c r="U70"/>
      <c r="V70"/>
      <c r="W70"/>
      <c r="X70"/>
      <c r="Y70"/>
      <c r="Z70"/>
      <c r="AA70"/>
      <c r="AB70"/>
      <c r="AC70"/>
      <c r="AD70"/>
      <c r="AE70"/>
      <c r="AF70"/>
      <c r="AG70"/>
      <c r="AH70"/>
    </row>
    <row r="71" spans="1:34" ht="15.75" hidden="1" thickTop="1">
      <c r="A71" s="2388"/>
      <c r="B71" s="2389"/>
      <c r="C71" s="2376"/>
      <c r="D71" s="2377"/>
      <c r="E71" s="2378"/>
      <c r="F71" s="2376"/>
      <c r="G71" s="2379"/>
      <c r="H71" s="2380"/>
      <c r="I71" s="2380"/>
      <c r="J71" s="2381"/>
      <c r="K71" s="2380"/>
      <c r="L71" s="2380"/>
      <c r="M71" s="2380"/>
      <c r="N71" s="2380"/>
      <c r="O71" s="2380"/>
      <c r="P71" s="2380"/>
      <c r="Q71" s="2380"/>
      <c r="R71" s="2380"/>
      <c r="S71" s="2380"/>
      <c r="T71" s="2"/>
      <c r="U71" s="2"/>
      <c r="V71" s="2"/>
      <c r="W71" s="2"/>
      <c r="X71" s="2"/>
      <c r="Y71" s="2"/>
      <c r="Z71" s="2"/>
      <c r="AA71" s="2"/>
      <c r="AB71" s="2"/>
      <c r="AC71" s="2"/>
      <c r="AD71" s="2"/>
      <c r="AE71" s="2"/>
      <c r="AF71" s="2"/>
      <c r="AG71" s="2"/>
      <c r="AH71" s="2"/>
    </row>
    <row r="72" spans="1:34" hidden="1">
      <c r="A72" s="2385"/>
      <c r="B72" s="2386"/>
      <c r="C72" s="2271"/>
      <c r="D72" s="2272"/>
      <c r="E72" s="2273"/>
      <c r="F72" s="2271"/>
      <c r="G72" s="2383"/>
      <c r="H72" s="2390"/>
      <c r="I72" s="2390"/>
      <c r="J72" s="690"/>
      <c r="K72" s="2390"/>
      <c r="L72" s="2390"/>
      <c r="M72" s="2390"/>
      <c r="N72" s="2390"/>
      <c r="O72" s="2390"/>
      <c r="P72" s="2390"/>
      <c r="Q72" s="2390"/>
      <c r="R72" s="2390"/>
      <c r="S72" s="2390"/>
      <c r="T72" s="2"/>
      <c r="U72" s="2"/>
      <c r="V72" s="2"/>
      <c r="W72" s="2"/>
      <c r="X72" s="2"/>
      <c r="Y72" s="2"/>
      <c r="Z72" s="2"/>
      <c r="AA72" s="2"/>
      <c r="AB72" s="2"/>
      <c r="AC72" s="2"/>
      <c r="AD72" s="2"/>
      <c r="AE72" s="2"/>
      <c r="AF72" s="2"/>
      <c r="AG72" s="2"/>
      <c r="AH72" s="2"/>
    </row>
    <row r="73" spans="1:34" ht="15.75" hidden="1" thickBot="1">
      <c r="A73" s="2385"/>
      <c r="B73" s="2386"/>
      <c r="C73" s="2271"/>
      <c r="D73" s="2272"/>
      <c r="E73" s="2273"/>
      <c r="F73" s="2271"/>
      <c r="G73" s="2383"/>
      <c r="H73" s="2390"/>
      <c r="I73" s="2390"/>
      <c r="J73" s="690"/>
      <c r="K73" s="2390"/>
      <c r="L73" s="2390"/>
      <c r="M73" s="2390"/>
      <c r="N73" s="2390"/>
      <c r="O73" s="2390"/>
      <c r="P73" s="2390"/>
      <c r="Q73" s="2390"/>
      <c r="R73" s="2390"/>
      <c r="S73" s="2390"/>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47"/>
      <c r="K74" s="20"/>
      <c r="L74" s="20"/>
      <c r="M74" s="20"/>
      <c r="N74" s="20"/>
      <c r="O74" s="20"/>
      <c r="P74" s="20"/>
      <c r="Q74" s="20"/>
      <c r="R74" s="20"/>
      <c r="S74" s="20"/>
    </row>
    <row r="75" spans="1:34" ht="15.75" hidden="1" thickTop="1">
      <c r="A75" s="2382"/>
      <c r="B75" s="2270" t="s">
        <v>2985</v>
      </c>
      <c r="C75" s="2271"/>
      <c r="D75" s="2272"/>
      <c r="E75" s="2273"/>
      <c r="F75" s="2271"/>
      <c r="G75" s="2383"/>
      <c r="H75" s="2390"/>
      <c r="I75" s="2390"/>
      <c r="J75" s="690"/>
      <c r="K75" s="2390"/>
      <c r="L75" s="2390"/>
      <c r="M75" s="2390"/>
      <c r="N75" s="2390"/>
      <c r="O75" s="2390"/>
      <c r="P75" s="2390"/>
      <c r="Q75" s="2390"/>
      <c r="R75" s="2390"/>
      <c r="S75" s="2390"/>
    </row>
    <row r="76" spans="1:34" hidden="1">
      <c r="A76" s="2382"/>
      <c r="B76" s="2270" t="s">
        <v>2986</v>
      </c>
      <c r="C76" s="2271"/>
      <c r="D76" s="2272"/>
      <c r="E76" s="2273"/>
      <c r="F76" s="2271"/>
      <c r="G76" s="2383"/>
      <c r="H76" s="2390"/>
      <c r="I76" s="2390"/>
      <c r="J76" s="690"/>
      <c r="K76" s="2390"/>
      <c r="L76" s="2390"/>
      <c r="M76" s="2390"/>
      <c r="N76" s="2390"/>
      <c r="O76" s="2390"/>
      <c r="P76" s="2390"/>
      <c r="Q76" s="2390"/>
      <c r="R76" s="2390"/>
      <c r="S76" s="2390"/>
    </row>
    <row r="77" spans="1:34" hidden="1">
      <c r="A77" s="2382"/>
      <c r="B77" s="2270" t="s">
        <v>2987</v>
      </c>
      <c r="C77" s="2271"/>
      <c r="D77" s="2272"/>
      <c r="E77" s="2273"/>
      <c r="F77" s="2271"/>
      <c r="G77" s="2383"/>
      <c r="H77" s="2390"/>
      <c r="I77" s="2390"/>
      <c r="J77" s="690"/>
      <c r="K77" s="2390"/>
      <c r="L77" s="2390"/>
      <c r="M77" s="2390"/>
      <c r="N77" s="2390"/>
      <c r="O77" s="2390"/>
      <c r="P77" s="2390"/>
      <c r="Q77" s="2390"/>
      <c r="R77" s="2390"/>
      <c r="S77" s="2390"/>
    </row>
    <row r="78" spans="1:34" hidden="1">
      <c r="A78" s="2382"/>
      <c r="B78" s="2270" t="s">
        <v>2988</v>
      </c>
      <c r="C78" s="2271"/>
      <c r="D78" s="2272"/>
      <c r="E78" s="2273"/>
      <c r="F78" s="2271"/>
      <c r="G78" s="2383"/>
      <c r="H78" s="2390"/>
      <c r="I78" s="2390"/>
      <c r="J78" s="690"/>
      <c r="K78" s="2390"/>
      <c r="L78" s="2390"/>
      <c r="M78" s="2390"/>
      <c r="N78" s="2390"/>
      <c r="O78" s="2390"/>
      <c r="P78" s="2390"/>
      <c r="Q78" s="2390"/>
      <c r="R78" s="2390"/>
      <c r="S78" s="2390"/>
    </row>
    <row r="79" spans="1:34" ht="15.75" hidden="1" thickBot="1">
      <c r="A79" s="646"/>
      <c r="B79" s="619"/>
      <c r="C79" s="616"/>
      <c r="D79" s="621"/>
      <c r="E79" s="622"/>
      <c r="F79" s="616"/>
      <c r="G79" s="620"/>
      <c r="H79" s="647"/>
      <c r="I79" s="647"/>
      <c r="J79" s="630"/>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47"/>
      <c r="K80" s="20"/>
      <c r="L80" s="20"/>
      <c r="M80" s="20"/>
      <c r="N80" s="20"/>
      <c r="O80" s="20"/>
      <c r="P80" s="20"/>
      <c r="Q80" s="20"/>
      <c r="R80" s="20"/>
      <c r="S80" s="20"/>
    </row>
    <row r="81" spans="1:19" ht="15.75" hidden="1" thickTop="1">
      <c r="A81" s="2375"/>
      <c r="B81" s="2327" t="s">
        <v>2990</v>
      </c>
      <c r="C81" s="2376"/>
      <c r="D81" s="2377"/>
      <c r="E81" s="2378"/>
      <c r="F81" s="2376"/>
      <c r="G81" s="2379"/>
      <c r="H81" s="2328"/>
      <c r="I81" s="2328"/>
      <c r="J81" s="2339"/>
      <c r="K81" s="2328"/>
      <c r="L81" s="2328"/>
      <c r="M81" s="2328"/>
      <c r="N81" s="2328"/>
      <c r="O81" s="2328"/>
      <c r="P81" s="2328"/>
      <c r="Q81" s="2328"/>
      <c r="R81" s="2328"/>
      <c r="S81" s="2328"/>
    </row>
    <row r="82" spans="1:19" hidden="1">
      <c r="A82" s="2382"/>
      <c r="B82" s="2270" t="s">
        <v>2991</v>
      </c>
      <c r="C82" s="2271"/>
      <c r="D82" s="2272"/>
      <c r="E82" s="2273"/>
      <c r="F82" s="2271"/>
      <c r="G82" s="2383"/>
      <c r="H82" s="2391"/>
      <c r="I82" s="2391"/>
      <c r="J82" s="691"/>
      <c r="K82" s="2391"/>
      <c r="L82" s="2391"/>
      <c r="M82" s="2391"/>
      <c r="N82" s="2391"/>
      <c r="O82" s="2391"/>
      <c r="P82" s="2391"/>
      <c r="Q82" s="2391"/>
      <c r="R82" s="2391"/>
      <c r="S82" s="2391"/>
    </row>
    <row r="83" spans="1:19" ht="15.75" hidden="1" thickBot="1">
      <c r="A83" s="2392"/>
      <c r="B83" s="2284" t="s">
        <v>2992</v>
      </c>
      <c r="C83" s="2285"/>
      <c r="D83" s="2393"/>
      <c r="E83" s="2394"/>
      <c r="F83" s="2285"/>
      <c r="G83" s="2395"/>
      <c r="H83" s="2396"/>
      <c r="I83" s="2396"/>
      <c r="J83" s="2397"/>
      <c r="K83" s="2396"/>
      <c r="L83" s="2396"/>
      <c r="M83" s="2396"/>
      <c r="N83" s="2396"/>
      <c r="O83" s="2396"/>
      <c r="P83" s="2396"/>
      <c r="Q83" s="2396"/>
      <c r="R83" s="2396"/>
      <c r="S83" s="2396"/>
    </row>
    <row r="84" spans="1:19" ht="15.75" thickBot="1"/>
    <row r="85" spans="1:19" ht="16.5" thickTop="1" thickBot="1">
      <c r="A85" s="59" t="s">
        <v>2993</v>
      </c>
      <c r="B85" s="61"/>
    </row>
    <row r="86" spans="1:19" ht="15.75" thickTop="1">
      <c r="A86" s="60" t="s">
        <v>2936</v>
      </c>
      <c r="B86" s="2398"/>
    </row>
    <row r="87" spans="1:19">
      <c r="A87" s="2399" t="s">
        <v>2939</v>
      </c>
      <c r="B87" s="2398"/>
    </row>
    <row r="88" spans="1:19">
      <c r="A88" s="2400" t="s">
        <v>2941</v>
      </c>
      <c r="B88" s="2401"/>
    </row>
    <row r="89" spans="1:19">
      <c r="A89" s="2400" t="s">
        <v>2943</v>
      </c>
      <c r="B89" s="2402"/>
    </row>
    <row r="90" spans="1:19" ht="15.75" thickBot="1">
      <c r="A90" s="2403" t="s">
        <v>2994</v>
      </c>
      <c r="B90" s="2404">
        <f>$I$55</f>
        <v>24736</v>
      </c>
    </row>
    <row r="91" spans="1:19" ht="15.75" thickTop="1"/>
    <row r="92" spans="1:19">
      <c r="A92" s="62"/>
      <c r="B92" s="1" t="s">
        <v>2995</v>
      </c>
    </row>
    <row r="93" spans="1:19">
      <c r="A93" s="63"/>
      <c r="B93" s="1" t="s">
        <v>2996</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J11:J18 L11:L18 N11:N18 P11:P18 R11:R18">
    <cfRule type="cellIs" dxfId="247" priority="7" operator="equal">
      <formula>"X"</formula>
    </cfRule>
    <cfRule type="cellIs" dxfId="246" priority="8" operator="equal">
      <formula>"I"</formula>
    </cfRule>
  </conditionalFormatting>
  <conditionalFormatting sqref="H20:H50 J20:J50 L20:L50 N20:N50 P20:P50 R20:R50">
    <cfRule type="cellIs" dxfId="245" priority="1" operator="equal">
      <formula>"X"</formula>
    </cfRule>
    <cfRule type="cellIs" dxfId="244" priority="2" operator="equal">
      <formula>"I"</formula>
    </cfRule>
  </conditionalFormatting>
  <hyperlinks>
    <hyperlink ref="H8" r:id="rId1" xr:uid="{AE8A2FEF-8FE7-46C9-8DAC-CEBF7B96B61F}"/>
    <hyperlink ref="B4" location="'Cost Summary'!A1" display="BACK TO SUMMARY SHEET" xr:uid="{DDF5EE9E-90D5-4C63-8096-CB9561AA219A}"/>
  </hyperlinks>
  <pageMargins left="0.2" right="0.2" top="0.5" bottom="0.75" header="0.3" footer="0.3"/>
  <pageSetup paperSize="3" scale="79" fitToHeight="0" orientation="landscape" horizontalDpi="1200" verticalDpi="12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2F2-65D6-4CAC-B510-7F76D3DC4B4F}">
  <sheetPr>
    <tabColor rgb="FF92D050"/>
    <pageSetUpPr fitToPage="1"/>
  </sheetPr>
  <dimension ref="A1:AJ75"/>
  <sheetViews>
    <sheetView zoomScale="90" zoomScaleNormal="90" workbookViewId="0">
      <pane xSplit="2" ySplit="9" topLeftCell="L14" activePane="bottomRight" state="frozen"/>
      <selection pane="bottomRight" activeCell="L8" sqref="L8:M8"/>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5" style="2" customWidth="1"/>
    <col min="4" max="4" width="15.7109375" style="165" customWidth="1"/>
    <col min="5" max="5" width="11" style="79" customWidth="1"/>
    <col min="6" max="6" width="16.42578125" style="2" bestFit="1" customWidth="1"/>
    <col min="7" max="7" width="15.28515625" style="2" bestFit="1" customWidth="1"/>
    <col min="8" max="8" width="7.28515625" style="2" customWidth="1"/>
    <col min="9" max="9" width="15.28515625" style="2" customWidth="1"/>
    <col min="10" max="10" width="6.28515625" style="2" customWidth="1"/>
    <col min="11" max="11" width="18.7109375" style="2" customWidth="1"/>
    <col min="12" max="12" width="7" style="2" customWidth="1"/>
    <col min="13" max="13" width="15.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hidden="1" customWidth="1"/>
    <col min="19" max="19" width="14.85546875" style="2" hidden="1" customWidth="1"/>
    <col min="20" max="20" width="7.42578125" style="2" bestFit="1" customWidth="1"/>
    <col min="21" max="21" width="14.85546875" style="2" customWidth="1"/>
  </cols>
  <sheetData>
    <row r="1" spans="1:19">
      <c r="F1" s="178"/>
      <c r="G1" s="56" t="s">
        <v>2928</v>
      </c>
      <c r="J1" s="56"/>
      <c r="K1" s="56"/>
    </row>
    <row r="2" spans="1:19">
      <c r="F2" s="179" t="s">
        <v>2929</v>
      </c>
      <c r="G2" s="56" t="s">
        <v>2930</v>
      </c>
      <c r="J2" s="56"/>
      <c r="K2" s="56"/>
      <c r="L2" s="961"/>
      <c r="M2" s="961"/>
    </row>
    <row r="3" spans="1:19">
      <c r="F3" s="180" t="s">
        <v>2931</v>
      </c>
      <c r="G3" s="56" t="s">
        <v>2932</v>
      </c>
      <c r="J3" s="56"/>
      <c r="K3" s="56"/>
      <c r="L3" s="959"/>
      <c r="M3" s="959"/>
    </row>
    <row r="4" spans="1:19">
      <c r="B4" s="181" t="s">
        <v>2933</v>
      </c>
      <c r="F4" s="170"/>
      <c r="G4" s="2" t="s">
        <v>2934</v>
      </c>
      <c r="H4" s="965"/>
      <c r="I4" s="965"/>
      <c r="J4" s="965"/>
      <c r="K4" s="965"/>
      <c r="L4" s="961" t="s">
        <v>5171</v>
      </c>
      <c r="M4" s="961"/>
      <c r="N4" s="965" t="s">
        <v>5172</v>
      </c>
      <c r="O4" s="965"/>
      <c r="P4" s="965" t="s">
        <v>5173</v>
      </c>
      <c r="Q4" s="965"/>
      <c r="R4" s="959"/>
      <c r="S4" s="959"/>
    </row>
    <row r="5" spans="1:19" ht="15.75" customHeight="1">
      <c r="A5" s="3" t="s">
        <v>2935</v>
      </c>
      <c r="B5" s="4" t="str">
        <f>'Area Calculations'!B4</f>
        <v>Atlantic Fields Club Core / Dock Bar / Spa Pods / Water Features</v>
      </c>
      <c r="C5" s="5"/>
      <c r="D5" s="166"/>
      <c r="E5" s="171"/>
      <c r="F5" s="5"/>
      <c r="G5" s="6" t="s">
        <v>2936</v>
      </c>
      <c r="H5" s="841" t="s">
        <v>5174</v>
      </c>
      <c r="I5" s="841"/>
      <c r="J5" s="841" t="s">
        <v>5175</v>
      </c>
      <c r="K5" s="841"/>
      <c r="L5" s="841" t="s">
        <v>5176</v>
      </c>
      <c r="M5" s="841"/>
      <c r="N5" s="841" t="s">
        <v>5177</v>
      </c>
      <c r="O5" s="841"/>
      <c r="P5" s="841" t="s">
        <v>5178</v>
      </c>
      <c r="Q5" s="966"/>
      <c r="R5" s="963" t="s">
        <v>5179</v>
      </c>
      <c r="S5" s="964"/>
    </row>
    <row r="6" spans="1:19">
      <c r="A6" s="2405" t="s">
        <v>2938</v>
      </c>
      <c r="B6" s="2406" t="s">
        <v>2571</v>
      </c>
      <c r="C6" s="2407"/>
      <c r="D6" s="2408"/>
      <c r="E6" s="2409"/>
      <c r="F6" s="2407"/>
      <c r="G6" s="657" t="s">
        <v>2939</v>
      </c>
      <c r="H6" s="2410" t="s">
        <v>5180</v>
      </c>
      <c r="I6" s="2410"/>
      <c r="J6" s="2410" t="s">
        <v>5181</v>
      </c>
      <c r="K6" s="2410"/>
      <c r="L6" s="2410" t="s">
        <v>3699</v>
      </c>
      <c r="M6" s="2410"/>
      <c r="N6" s="2410" t="s">
        <v>5182</v>
      </c>
      <c r="O6" s="2410"/>
      <c r="P6" s="2410" t="s">
        <v>5183</v>
      </c>
      <c r="Q6" s="2411"/>
      <c r="R6" s="962" t="s">
        <v>5184</v>
      </c>
      <c r="S6" s="2412"/>
    </row>
    <row r="7" spans="1:19">
      <c r="A7" s="2405" t="s">
        <v>2940</v>
      </c>
      <c r="B7" s="2413" t="s">
        <v>2714</v>
      </c>
      <c r="C7" s="2407"/>
      <c r="D7" s="2408"/>
      <c r="E7" s="2409"/>
      <c r="F7" s="2407"/>
      <c r="G7" s="2414" t="s">
        <v>2941</v>
      </c>
      <c r="H7" s="2415" t="s">
        <v>5185</v>
      </c>
      <c r="I7" s="2415"/>
      <c r="J7" s="2415" t="s">
        <v>5186</v>
      </c>
      <c r="K7" s="2415"/>
      <c r="L7" s="2415" t="s">
        <v>5187</v>
      </c>
      <c r="M7" s="2415"/>
      <c r="N7" s="2415" t="s">
        <v>5188</v>
      </c>
      <c r="O7" s="2415"/>
      <c r="P7" s="2415" t="s">
        <v>5189</v>
      </c>
      <c r="Q7" s="2416"/>
      <c r="R7" s="954" t="s">
        <v>5190</v>
      </c>
      <c r="S7" s="2417"/>
    </row>
    <row r="8" spans="1:19">
      <c r="A8" s="2405" t="s">
        <v>2942</v>
      </c>
      <c r="B8" s="2418"/>
      <c r="C8" s="2407"/>
      <c r="D8" s="2408"/>
      <c r="E8" s="2409"/>
      <c r="F8" s="2407"/>
      <c r="G8" s="2414" t="s">
        <v>2943</v>
      </c>
      <c r="H8" s="2419" t="s">
        <v>5191</v>
      </c>
      <c r="I8" s="2419"/>
      <c r="J8" s="2419" t="s">
        <v>5192</v>
      </c>
      <c r="K8" s="2419"/>
      <c r="L8" s="2419" t="s">
        <v>5193</v>
      </c>
      <c r="M8" s="2419"/>
      <c r="N8" s="2419" t="s">
        <v>5194</v>
      </c>
      <c r="O8" s="2419"/>
      <c r="P8" s="2420" t="s">
        <v>5195</v>
      </c>
      <c r="Q8" s="2421"/>
      <c r="R8" s="960" t="s">
        <v>5196</v>
      </c>
      <c r="S8" s="2422"/>
    </row>
    <row r="9" spans="1:19" ht="15.75" customHeight="1">
      <c r="A9" s="2423"/>
      <c r="B9" s="2424"/>
      <c r="C9" s="616"/>
      <c r="D9" s="621"/>
      <c r="E9" s="622"/>
      <c r="F9" s="2425"/>
      <c r="G9" s="2426" t="s">
        <v>2944</v>
      </c>
      <c r="H9" s="2427">
        <f>I$39</f>
        <v>200300</v>
      </c>
      <c r="I9" s="2427"/>
      <c r="J9" s="2427">
        <f>K$39</f>
        <v>197390</v>
      </c>
      <c r="K9" s="2427"/>
      <c r="L9" s="2427">
        <f>M$39</f>
        <v>387900</v>
      </c>
      <c r="M9" s="2427"/>
      <c r="N9" s="2427">
        <f>O$39</f>
        <v>0</v>
      </c>
      <c r="O9" s="2427"/>
      <c r="P9" s="2428">
        <f t="shared" ref="P9" si="0">Q$40</f>
        <v>0</v>
      </c>
      <c r="Q9" s="2427"/>
      <c r="R9" s="2429">
        <f t="shared" ref="R9" si="1">S$40</f>
        <v>0</v>
      </c>
      <c r="S9" s="2430"/>
    </row>
    <row r="10" spans="1:19" s="175" customFormat="1" ht="30">
      <c r="A10" s="160" t="s">
        <v>2945</v>
      </c>
      <c r="B10" s="172"/>
      <c r="C10" s="173" t="s">
        <v>2946</v>
      </c>
      <c r="D10" s="167" t="s">
        <v>2947</v>
      </c>
      <c r="E10" s="173" t="s">
        <v>2948</v>
      </c>
      <c r="F10" s="173" t="s">
        <v>2949</v>
      </c>
      <c r="G10" s="174" t="s">
        <v>2950</v>
      </c>
      <c r="H10" s="161" t="s">
        <v>2951</v>
      </c>
      <c r="I10" s="161" t="s">
        <v>2952</v>
      </c>
      <c r="J10" s="448"/>
      <c r="K10" s="448"/>
      <c r="L10" s="161" t="s">
        <v>2951</v>
      </c>
      <c r="M10" s="161" t="s">
        <v>2952</v>
      </c>
      <c r="N10" s="161" t="s">
        <v>2951</v>
      </c>
      <c r="O10" s="161" t="s">
        <v>2952</v>
      </c>
      <c r="P10" s="161" t="s">
        <v>2951</v>
      </c>
      <c r="Q10" s="161" t="s">
        <v>2952</v>
      </c>
      <c r="R10" s="566" t="s">
        <v>2951</v>
      </c>
      <c r="S10" s="566" t="s">
        <v>2952</v>
      </c>
    </row>
    <row r="11" spans="1:19">
      <c r="A11" s="2337"/>
      <c r="B11" s="1618" t="s">
        <v>2953</v>
      </c>
      <c r="C11" s="659"/>
      <c r="D11" s="2408"/>
      <c r="E11" s="2409"/>
      <c r="F11" s="2407"/>
      <c r="G11" s="660"/>
      <c r="H11" s="2431"/>
      <c r="I11" s="2339"/>
      <c r="J11" s="2431"/>
      <c r="K11" s="2338"/>
      <c r="L11" s="2431"/>
      <c r="M11" s="2339"/>
      <c r="N11" s="2431"/>
      <c r="O11" s="2338"/>
      <c r="P11" s="2431"/>
      <c r="Q11" s="2339"/>
      <c r="R11" s="2431"/>
      <c r="S11" s="2339"/>
    </row>
    <row r="12" spans="1:19">
      <c r="A12" s="2340"/>
      <c r="B12" s="1622" t="s">
        <v>2954</v>
      </c>
      <c r="C12" s="2407"/>
      <c r="D12" s="2408"/>
      <c r="E12" s="2409"/>
      <c r="F12" s="2407"/>
      <c r="G12" s="660"/>
      <c r="H12" s="790" t="s">
        <v>3028</v>
      </c>
      <c r="I12" s="2339"/>
      <c r="J12" s="790" t="s">
        <v>3028</v>
      </c>
      <c r="K12" s="2338"/>
      <c r="L12" s="790" t="s">
        <v>3028</v>
      </c>
      <c r="M12" s="2339"/>
      <c r="N12" s="2431"/>
      <c r="O12" s="2338"/>
      <c r="P12" s="2431"/>
      <c r="Q12" s="2339"/>
      <c r="R12" s="2431"/>
      <c r="S12" s="2339"/>
    </row>
    <row r="13" spans="1:19">
      <c r="A13" s="2432"/>
      <c r="B13" s="2342" t="s">
        <v>2955</v>
      </c>
      <c r="C13" s="2407"/>
      <c r="D13" s="2408"/>
      <c r="E13" s="2409"/>
      <c r="F13" s="2407"/>
      <c r="G13" s="660"/>
      <c r="H13" s="790" t="s">
        <v>3028</v>
      </c>
      <c r="I13" s="2339"/>
      <c r="J13" s="790" t="s">
        <v>3028</v>
      </c>
      <c r="K13" s="2338"/>
      <c r="L13" s="790" t="s">
        <v>3028</v>
      </c>
      <c r="M13" s="2339"/>
      <c r="N13" s="2431"/>
      <c r="O13" s="2338"/>
      <c r="P13" s="2431"/>
      <c r="Q13" s="2339"/>
      <c r="R13" s="2431"/>
      <c r="S13" s="2339"/>
    </row>
    <row r="14" spans="1:19">
      <c r="A14" s="2432"/>
      <c r="B14" s="2343" t="s">
        <v>2956</v>
      </c>
      <c r="C14" s="2407"/>
      <c r="D14" s="2408"/>
      <c r="E14" s="2409"/>
      <c r="F14" s="2407"/>
      <c r="G14" s="660"/>
      <c r="H14" s="790" t="s">
        <v>3807</v>
      </c>
      <c r="I14" s="2339"/>
      <c r="J14" s="790" t="s">
        <v>3807</v>
      </c>
      <c r="K14" s="2338"/>
      <c r="L14" s="790" t="s">
        <v>3807</v>
      </c>
      <c r="M14" s="2339"/>
      <c r="N14" s="2431"/>
      <c r="O14" s="2338"/>
      <c r="P14" s="2431"/>
      <c r="Q14" s="2339"/>
      <c r="R14" s="2431"/>
      <c r="S14" s="2339"/>
    </row>
    <row r="15" spans="1:19">
      <c r="A15" s="2432"/>
      <c r="B15" s="2343" t="s">
        <v>2957</v>
      </c>
      <c r="C15" s="2407"/>
      <c r="D15" s="2408"/>
      <c r="E15" s="2409"/>
      <c r="F15" s="2407"/>
      <c r="G15" s="660"/>
      <c r="H15" s="790" t="s">
        <v>3028</v>
      </c>
      <c r="I15" s="2338"/>
      <c r="J15" s="790" t="s">
        <v>3028</v>
      </c>
      <c r="K15" s="2338"/>
      <c r="L15" s="790" t="s">
        <v>3028</v>
      </c>
      <c r="M15" s="2338"/>
      <c r="N15" s="2431"/>
      <c r="O15" s="2338"/>
      <c r="P15" s="2431"/>
      <c r="Q15" s="2338"/>
      <c r="R15" s="2431"/>
      <c r="S15" s="2338"/>
    </row>
    <row r="16" spans="1:19">
      <c r="A16" s="2432"/>
      <c r="B16" s="2343" t="s">
        <v>2958</v>
      </c>
      <c r="C16" s="2407"/>
      <c r="D16" s="2408"/>
      <c r="E16" s="2409"/>
      <c r="F16" s="2407"/>
      <c r="G16" s="660"/>
      <c r="H16" s="790" t="s">
        <v>3028</v>
      </c>
      <c r="I16" s="2339"/>
      <c r="J16" s="790" t="s">
        <v>3028</v>
      </c>
      <c r="K16" s="2338"/>
      <c r="L16" s="790" t="s">
        <v>3028</v>
      </c>
      <c r="M16" s="2339"/>
      <c r="N16" s="2431"/>
      <c r="O16" s="2338"/>
      <c r="P16" s="2431"/>
      <c r="Q16" s="2339"/>
      <c r="R16" s="2431"/>
      <c r="S16" s="2339"/>
    </row>
    <row r="17" spans="1:19">
      <c r="A17" s="2432"/>
      <c r="B17" s="2343" t="s">
        <v>2959</v>
      </c>
      <c r="C17" s="2407"/>
      <c r="D17" s="2408"/>
      <c r="E17" s="2409"/>
      <c r="F17" s="2407"/>
      <c r="G17" s="660"/>
      <c r="H17" s="790" t="s">
        <v>3028</v>
      </c>
      <c r="I17" s="2339"/>
      <c r="J17" s="790" t="s">
        <v>3028</v>
      </c>
      <c r="K17" s="2338"/>
      <c r="L17" s="790" t="s">
        <v>3028</v>
      </c>
      <c r="M17" s="2339"/>
      <c r="N17" s="2431"/>
      <c r="O17" s="2338"/>
      <c r="P17" s="2431"/>
      <c r="Q17" s="2339"/>
      <c r="R17" s="2431"/>
      <c r="S17" s="2339"/>
    </row>
    <row r="18" spans="1:19">
      <c r="A18" s="2432"/>
      <c r="B18" s="2344" t="s">
        <v>2960</v>
      </c>
      <c r="C18" s="2407"/>
      <c r="D18" s="2408"/>
      <c r="E18" s="2409"/>
      <c r="F18" s="2407"/>
      <c r="G18" s="660"/>
      <c r="H18" s="2431"/>
      <c r="I18" s="2339"/>
      <c r="J18" s="2431"/>
      <c r="K18" s="2338"/>
      <c r="L18" s="2431"/>
      <c r="M18" s="2339"/>
      <c r="N18" s="2431"/>
      <c r="O18" s="2338"/>
      <c r="P18" s="2431"/>
      <c r="Q18" s="2339"/>
      <c r="R18" s="2431"/>
      <c r="S18" s="2339"/>
    </row>
    <row r="19" spans="1:19">
      <c r="A19" s="2432"/>
      <c r="B19" s="2345" t="s">
        <v>2961</v>
      </c>
      <c r="C19" s="2433"/>
      <c r="D19" s="2434"/>
      <c r="E19" s="2435"/>
      <c r="F19" s="2436"/>
      <c r="G19" s="661"/>
      <c r="H19" s="2437"/>
      <c r="I19" s="2346"/>
      <c r="J19" s="2437"/>
      <c r="K19" s="2347"/>
      <c r="L19" s="2437"/>
      <c r="M19" s="2346"/>
      <c r="N19" s="2437"/>
      <c r="O19" s="2347"/>
      <c r="P19" s="2437"/>
      <c r="Q19" s="2346"/>
      <c r="R19" s="2437"/>
      <c r="S19" s="2346"/>
    </row>
    <row r="20" spans="1:19">
      <c r="A20" s="2432"/>
      <c r="B20" s="2348"/>
      <c r="C20" s="2407"/>
      <c r="D20" s="2408"/>
      <c r="E20" s="2409"/>
      <c r="F20" s="2438"/>
      <c r="G20" s="660"/>
      <c r="H20" s="2431"/>
      <c r="I20" s="2349"/>
      <c r="J20" s="2431"/>
      <c r="K20" s="2349"/>
      <c r="L20" s="2431"/>
      <c r="M20" s="2349"/>
      <c r="N20" s="2431"/>
      <c r="O20" s="2349"/>
      <c r="P20" s="2431"/>
      <c r="Q20" s="2349"/>
      <c r="R20" s="2431"/>
      <c r="S20" s="2349"/>
    </row>
    <row r="21" spans="1:19" ht="15.75">
      <c r="A21" s="2432"/>
      <c r="B21" s="2439" t="s">
        <v>5197</v>
      </c>
      <c r="C21" s="2407"/>
      <c r="D21" s="2408"/>
      <c r="E21" s="2409"/>
      <c r="F21" s="2438"/>
      <c r="G21" s="662"/>
      <c r="H21" s="2431"/>
      <c r="I21" s="2349">
        <v>42500</v>
      </c>
      <c r="J21" s="2431"/>
      <c r="K21" s="2350">
        <v>39590</v>
      </c>
      <c r="L21" s="2431"/>
      <c r="M21" s="2349"/>
      <c r="N21" s="2431"/>
      <c r="O21" s="2350"/>
      <c r="P21" s="2431"/>
      <c r="Q21" s="2349"/>
      <c r="R21" s="2431"/>
      <c r="S21" s="2349"/>
    </row>
    <row r="22" spans="1:19">
      <c r="A22" s="2432"/>
      <c r="B22" s="2440" t="s">
        <v>5198</v>
      </c>
      <c r="C22" s="2407" t="s">
        <v>750</v>
      </c>
      <c r="D22" s="2441">
        <v>669</v>
      </c>
      <c r="E22" s="2409" t="s">
        <v>3112</v>
      </c>
      <c r="F22" s="2438">
        <v>8</v>
      </c>
      <c r="G22" s="662">
        <f>ROUND(D22*F22,0)</f>
        <v>5352</v>
      </c>
      <c r="H22" s="2442" t="s">
        <v>3028</v>
      </c>
      <c r="I22" s="2443"/>
      <c r="J22" s="2442" t="s">
        <v>3028</v>
      </c>
      <c r="K22" s="2444"/>
      <c r="L22" s="2442" t="s">
        <v>3028</v>
      </c>
      <c r="M22" s="2443">
        <v>124000</v>
      </c>
      <c r="N22" s="2442"/>
      <c r="O22" s="2444"/>
      <c r="P22" s="2442"/>
      <c r="Q22" s="2443"/>
      <c r="R22" s="2442"/>
      <c r="S22" s="2443"/>
    </row>
    <row r="23" spans="1:19" ht="30">
      <c r="A23" s="2432"/>
      <c r="B23" s="2440" t="s">
        <v>5199</v>
      </c>
      <c r="C23" s="2407" t="s">
        <v>5200</v>
      </c>
      <c r="D23" s="2441">
        <v>2540</v>
      </c>
      <c r="E23" s="2409" t="s">
        <v>3112</v>
      </c>
      <c r="F23" s="2438">
        <v>8</v>
      </c>
      <c r="G23" s="662">
        <f>ROUND(D23*F23,0)</f>
        <v>20320</v>
      </c>
      <c r="H23" s="2442" t="s">
        <v>3028</v>
      </c>
      <c r="I23" s="2445"/>
      <c r="J23" s="2442" t="s">
        <v>3028</v>
      </c>
      <c r="K23" s="2445"/>
      <c r="L23" s="2442" t="s">
        <v>3028</v>
      </c>
      <c r="M23" s="2443">
        <v>64000</v>
      </c>
      <c r="N23" s="2442"/>
      <c r="O23" s="2444"/>
      <c r="P23" s="2442"/>
      <c r="Q23" s="2443"/>
      <c r="R23" s="2442"/>
      <c r="S23" s="2443"/>
    </row>
    <row r="24" spans="1:19" ht="30" hidden="1">
      <c r="A24" s="2432"/>
      <c r="B24" s="2440" t="s">
        <v>5201</v>
      </c>
      <c r="C24" s="2407"/>
      <c r="D24" s="2408">
        <v>1326</v>
      </c>
      <c r="E24" s="2446" t="s">
        <v>3112</v>
      </c>
      <c r="F24" s="2446">
        <v>15</v>
      </c>
      <c r="G24" s="662">
        <f t="shared" ref="G24:G27" si="2">ROUND(D24*F24,0)</f>
        <v>19890</v>
      </c>
      <c r="H24" s="2431" t="s">
        <v>3807</v>
      </c>
      <c r="I24" s="2349"/>
      <c r="J24" s="2431" t="s">
        <v>3807</v>
      </c>
      <c r="K24" s="2350"/>
      <c r="L24" s="2431" t="s">
        <v>3807</v>
      </c>
      <c r="M24" s="2349"/>
      <c r="N24" s="2431"/>
      <c r="O24" s="2350"/>
      <c r="P24" s="2431"/>
      <c r="Q24" s="2349"/>
      <c r="R24" s="2431"/>
      <c r="S24" s="2349"/>
    </row>
    <row r="25" spans="1:19">
      <c r="A25" s="2432"/>
      <c r="B25" s="2440" t="s">
        <v>5202</v>
      </c>
      <c r="C25" s="2407"/>
      <c r="D25" s="2447">
        <v>17700</v>
      </c>
      <c r="E25" s="2446" t="s">
        <v>3112</v>
      </c>
      <c r="F25" s="2446">
        <v>8</v>
      </c>
      <c r="G25" s="662">
        <f>ROUND(D25*F25,0)</f>
        <v>141600</v>
      </c>
      <c r="H25" s="2448" t="s">
        <v>3028</v>
      </c>
      <c r="I25" s="2443">
        <v>157800</v>
      </c>
      <c r="J25" s="2448" t="s">
        <v>4877</v>
      </c>
      <c r="K25" s="2449">
        <f>I25</f>
        <v>157800</v>
      </c>
      <c r="L25" s="2431" t="s">
        <v>3028</v>
      </c>
      <c r="M25" s="2349">
        <v>199900</v>
      </c>
      <c r="N25" s="2431"/>
      <c r="O25" s="2350"/>
      <c r="P25" s="2431"/>
      <c r="Q25" s="2349"/>
      <c r="R25" s="2431"/>
      <c r="S25" s="2349"/>
    </row>
    <row r="26" spans="1:19" ht="15.75" hidden="1">
      <c r="A26" s="2432"/>
      <c r="B26" s="2439" t="s">
        <v>3235</v>
      </c>
      <c r="C26" s="2407"/>
      <c r="D26" s="2408"/>
      <c r="E26" s="2409"/>
      <c r="F26" s="2438"/>
      <c r="G26" s="662"/>
      <c r="H26" s="2431" t="s">
        <v>3807</v>
      </c>
      <c r="I26" s="2349"/>
      <c r="J26" s="2431" t="s">
        <v>3807</v>
      </c>
      <c r="K26" s="2350"/>
      <c r="L26" s="2431" t="s">
        <v>3807</v>
      </c>
      <c r="M26" s="2349"/>
      <c r="N26" s="2431"/>
      <c r="O26" s="2350"/>
      <c r="P26" s="2431"/>
      <c r="Q26" s="2349"/>
      <c r="R26" s="2431"/>
      <c r="S26" s="2349"/>
    </row>
    <row r="27" spans="1:19" hidden="1">
      <c r="A27" s="2432"/>
      <c r="B27" s="2348" t="s">
        <v>5203</v>
      </c>
      <c r="C27" s="2407"/>
      <c r="D27" s="2408">
        <v>60</v>
      </c>
      <c r="E27" s="2446" t="s">
        <v>3112</v>
      </c>
      <c r="F27" s="2446">
        <v>15</v>
      </c>
      <c r="G27" s="662">
        <f t="shared" si="2"/>
        <v>900</v>
      </c>
      <c r="H27" s="2431" t="s">
        <v>3807</v>
      </c>
      <c r="I27" s="2349"/>
      <c r="J27" s="2431" t="s">
        <v>3807</v>
      </c>
      <c r="K27" s="2349"/>
      <c r="L27" s="2431" t="s">
        <v>3807</v>
      </c>
      <c r="M27" s="2349"/>
      <c r="N27" s="2431"/>
      <c r="O27" s="2350"/>
      <c r="P27" s="2431"/>
      <c r="Q27" s="2349"/>
      <c r="R27" s="2431"/>
      <c r="S27" s="2349"/>
    </row>
    <row r="28" spans="1:19" ht="15.75" hidden="1">
      <c r="A28" s="2432"/>
      <c r="B28" s="2439" t="s">
        <v>5204</v>
      </c>
      <c r="C28" s="2407"/>
      <c r="D28" s="2408"/>
      <c r="E28" s="2409"/>
      <c r="F28" s="2438"/>
      <c r="G28" s="662"/>
      <c r="H28" s="2431" t="s">
        <v>3807</v>
      </c>
      <c r="I28" s="2349"/>
      <c r="J28" s="2431" t="s">
        <v>3807</v>
      </c>
      <c r="K28" s="2350"/>
      <c r="L28" s="2431" t="s">
        <v>3807</v>
      </c>
      <c r="M28" s="2349"/>
      <c r="N28" s="2431"/>
      <c r="O28" s="2350"/>
      <c r="P28" s="2431"/>
      <c r="Q28" s="2349"/>
      <c r="R28" s="2431"/>
      <c r="S28" s="2349"/>
    </row>
    <row r="29" spans="1:19" hidden="1">
      <c r="A29" s="2432"/>
      <c r="B29" s="2348" t="s">
        <v>5205</v>
      </c>
      <c r="C29" s="2407"/>
      <c r="D29" s="2408">
        <v>2679</v>
      </c>
      <c r="E29" s="2446" t="s">
        <v>3112</v>
      </c>
      <c r="F29" s="2446">
        <v>15</v>
      </c>
      <c r="G29" s="662">
        <f>ROUND(D29*F29,0)</f>
        <v>40185</v>
      </c>
      <c r="H29" s="2431" t="s">
        <v>3807</v>
      </c>
      <c r="I29" s="2349"/>
      <c r="J29" s="2448" t="s">
        <v>3807</v>
      </c>
      <c r="K29" s="2349"/>
      <c r="L29" s="2431" t="s">
        <v>3807</v>
      </c>
      <c r="M29" s="2349"/>
      <c r="N29" s="2431"/>
      <c r="O29" s="2350"/>
      <c r="P29" s="2431"/>
      <c r="Q29" s="2349"/>
      <c r="R29" s="2431"/>
      <c r="S29" s="2349"/>
    </row>
    <row r="30" spans="1:19" ht="15.75">
      <c r="A30" s="2432"/>
      <c r="B30" s="2439" t="s">
        <v>5206</v>
      </c>
      <c r="C30" s="2407"/>
      <c r="D30" s="2408"/>
      <c r="E30" s="2409"/>
      <c r="F30" s="2438"/>
      <c r="G30" s="662"/>
      <c r="H30" s="2431" t="s">
        <v>3028</v>
      </c>
      <c r="I30" s="2349"/>
      <c r="J30" s="2431" t="s">
        <v>3028</v>
      </c>
      <c r="K30" s="2350"/>
      <c r="L30" s="2431" t="s">
        <v>3028</v>
      </c>
      <c r="M30" s="2349"/>
      <c r="N30" s="2431"/>
      <c r="O30" s="2350"/>
      <c r="P30" s="2431"/>
      <c r="Q30" s="2349"/>
      <c r="R30" s="2431"/>
      <c r="S30" s="2349"/>
    </row>
    <row r="31" spans="1:19">
      <c r="A31" s="2432"/>
      <c r="B31" s="2348" t="s">
        <v>5207</v>
      </c>
      <c r="C31" s="2407"/>
      <c r="D31" s="2408">
        <v>1</v>
      </c>
      <c r="E31" s="2409" t="s">
        <v>5208</v>
      </c>
      <c r="F31" s="2438"/>
      <c r="G31" s="662"/>
      <c r="H31" s="2431" t="s">
        <v>3028</v>
      </c>
      <c r="I31" s="2349" t="s">
        <v>5209</v>
      </c>
      <c r="J31" s="2431" t="s">
        <v>3028</v>
      </c>
      <c r="K31" s="2350" t="s">
        <v>5210</v>
      </c>
      <c r="L31" s="2431" t="s">
        <v>3028</v>
      </c>
      <c r="M31" s="2349" t="s">
        <v>5211</v>
      </c>
      <c r="N31" s="2431"/>
      <c r="O31" s="2350"/>
      <c r="P31" s="2431"/>
      <c r="Q31" s="2349"/>
      <c r="R31" s="2431"/>
      <c r="S31" s="2349"/>
    </row>
    <row r="32" spans="1:19">
      <c r="A32" s="2432"/>
      <c r="B32" s="2450" t="s">
        <v>5212</v>
      </c>
      <c r="C32" s="2407"/>
      <c r="D32" s="2408">
        <v>1</v>
      </c>
      <c r="E32" s="2409" t="s">
        <v>5208</v>
      </c>
      <c r="F32" s="2438"/>
      <c r="G32" s="662"/>
      <c r="H32" s="2431" t="s">
        <v>3028</v>
      </c>
      <c r="I32" s="2349"/>
      <c r="J32" s="2431" t="s">
        <v>3028</v>
      </c>
      <c r="K32" s="2451" t="s">
        <v>5213</v>
      </c>
      <c r="L32" s="2431" t="s">
        <v>3028</v>
      </c>
      <c r="M32" s="2349" t="s">
        <v>5214</v>
      </c>
      <c r="N32" s="2431"/>
      <c r="O32" s="2350"/>
      <c r="P32" s="2431"/>
      <c r="Q32" s="2349"/>
      <c r="R32" s="2431"/>
      <c r="S32" s="2349"/>
    </row>
    <row r="33" spans="1:36">
      <c r="A33" s="2432"/>
      <c r="B33" s="2452" t="s">
        <v>5215</v>
      </c>
      <c r="C33" s="2407"/>
      <c r="D33" s="2408">
        <v>1</v>
      </c>
      <c r="E33" s="2409" t="s">
        <v>5208</v>
      </c>
      <c r="F33" s="2438"/>
      <c r="G33" s="662"/>
      <c r="H33" s="2431" t="s">
        <v>3028</v>
      </c>
      <c r="I33" s="2349"/>
      <c r="J33" s="2431" t="s">
        <v>3028</v>
      </c>
      <c r="K33" s="2451" t="s">
        <v>5216</v>
      </c>
      <c r="L33" s="2431" t="s">
        <v>3028</v>
      </c>
      <c r="M33" s="2349" t="s">
        <v>5214</v>
      </c>
      <c r="N33" s="2431"/>
      <c r="O33" s="2350"/>
      <c r="P33" s="2431"/>
      <c r="Q33" s="2349"/>
      <c r="R33" s="2431"/>
      <c r="S33" s="2349"/>
    </row>
    <row r="34" spans="1:36">
      <c r="A34" s="2432"/>
      <c r="B34" s="2348"/>
      <c r="C34" s="2407"/>
      <c r="D34" s="2408"/>
      <c r="E34" s="2409"/>
      <c r="F34" s="2438"/>
      <c r="G34" s="662"/>
      <c r="H34" s="2431"/>
      <c r="I34" s="2349"/>
      <c r="J34" s="2431"/>
      <c r="K34" s="2350"/>
      <c r="L34" s="2431"/>
      <c r="M34" s="2349"/>
      <c r="N34" s="2431"/>
      <c r="O34" s="2350"/>
      <c r="P34" s="2431"/>
      <c r="Q34" s="2349"/>
      <c r="R34" s="2431"/>
      <c r="S34" s="2349"/>
    </row>
    <row r="35" spans="1:36">
      <c r="A35" s="13"/>
      <c r="B35" s="226" t="s">
        <v>3265</v>
      </c>
      <c r="C35" s="15"/>
      <c r="D35" s="168"/>
      <c r="E35" s="176"/>
      <c r="F35" s="17"/>
      <c r="G35" s="227">
        <f>SUBTOTAL(9,G21:G34)</f>
        <v>228247</v>
      </c>
      <c r="H35" s="19"/>
      <c r="I35" s="164">
        <f>SUBTOTAL(9,I19:I34)</f>
        <v>200300</v>
      </c>
      <c r="J35" s="19"/>
      <c r="K35" s="164">
        <f>SUBTOTAL(9,K19:K34)</f>
        <v>197390</v>
      </c>
      <c r="L35" s="19"/>
      <c r="M35" s="164">
        <f>SUM(M19:M34)</f>
        <v>387900</v>
      </c>
      <c r="N35" s="19"/>
      <c r="O35" s="164">
        <f>SUBTOTAL(9,O19:O34)</f>
        <v>0</v>
      </c>
      <c r="P35" s="19"/>
      <c r="Q35" s="164">
        <f>SUM(Q19:Q34)</f>
        <v>0</v>
      </c>
      <c r="R35" s="19"/>
      <c r="S35" s="164">
        <f>SUM(S19:S34)</f>
        <v>0</v>
      </c>
    </row>
    <row r="36" spans="1:36">
      <c r="A36" s="2358"/>
      <c r="B36" s="2359" t="s">
        <v>2976</v>
      </c>
      <c r="C36" s="2360"/>
      <c r="D36" s="2361"/>
      <c r="E36" s="2362"/>
      <c r="F36" s="2363"/>
      <c r="G36" s="654"/>
      <c r="H36" s="2364">
        <v>0</v>
      </c>
      <c r="I36" s="645"/>
      <c r="J36" s="2364">
        <v>0</v>
      </c>
      <c r="K36" s="645"/>
      <c r="L36" s="2364">
        <v>0</v>
      </c>
      <c r="M36" s="645"/>
      <c r="N36" s="2364">
        <v>0</v>
      </c>
      <c r="O36" s="645"/>
      <c r="P36" s="2364">
        <v>0</v>
      </c>
      <c r="Q36" s="645"/>
      <c r="R36" s="2364">
        <v>0</v>
      </c>
      <c r="S36" s="645"/>
    </row>
    <row r="37" spans="1:36">
      <c r="A37" s="2358"/>
      <c r="B37" s="2359" t="s">
        <v>2977</v>
      </c>
      <c r="C37" s="2360"/>
      <c r="D37" s="2361"/>
      <c r="E37" s="2362"/>
      <c r="F37" s="2363"/>
      <c r="G37" s="654">
        <f>F36*G35</f>
        <v>0</v>
      </c>
      <c r="H37" s="2365"/>
      <c r="I37" s="2366">
        <f>H36*I35</f>
        <v>0</v>
      </c>
      <c r="J37" s="2365"/>
      <c r="K37" s="2366">
        <f>J36*K35</f>
        <v>0</v>
      </c>
      <c r="L37" s="2365"/>
      <c r="M37" s="2366">
        <f>L36*M35</f>
        <v>0</v>
      </c>
      <c r="N37" s="2365"/>
      <c r="O37" s="2366">
        <f>N36*O35</f>
        <v>0</v>
      </c>
      <c r="P37" s="2365"/>
      <c r="Q37" s="2366">
        <f>P36*Q35</f>
        <v>0</v>
      </c>
      <c r="R37" s="2365"/>
      <c r="S37" s="2366">
        <f>R36*S35</f>
        <v>0</v>
      </c>
    </row>
    <row r="38" spans="1:36">
      <c r="A38" s="2358"/>
      <c r="B38" s="2359"/>
      <c r="C38" s="2360"/>
      <c r="D38" s="2361"/>
      <c r="E38" s="2362"/>
      <c r="F38" s="2363"/>
      <c r="G38" s="654"/>
      <c r="H38" s="2365"/>
      <c r="I38" s="2366"/>
      <c r="J38" s="2365"/>
      <c r="K38" s="2366"/>
      <c r="L38" s="2365"/>
      <c r="M38" s="2366"/>
      <c r="N38" s="2365"/>
      <c r="O38" s="2366"/>
      <c r="P38" s="2365"/>
      <c r="Q38" s="2366"/>
      <c r="R38" s="2365"/>
      <c r="S38" s="2366"/>
    </row>
    <row r="39" spans="1:36">
      <c r="A39" s="2358"/>
      <c r="B39" s="2359" t="s">
        <v>2978</v>
      </c>
      <c r="C39" s="2360"/>
      <c r="D39" s="2361"/>
      <c r="E39" s="2362"/>
      <c r="F39" s="2363"/>
      <c r="G39" s="654">
        <f>SUM(G35:G37)</f>
        <v>228247</v>
      </c>
      <c r="H39" s="2367"/>
      <c r="I39" s="2366">
        <f>SUM(I35:I37)</f>
        <v>200300</v>
      </c>
      <c r="J39" s="2367"/>
      <c r="K39" s="2366">
        <f>SUM(K35:K37)</f>
        <v>197390</v>
      </c>
      <c r="L39" s="2367"/>
      <c r="M39" s="2366">
        <f>SUM(M35:M37)</f>
        <v>387900</v>
      </c>
      <c r="N39" s="2367"/>
      <c r="O39" s="2366">
        <f>SUM(O35:O37)</f>
        <v>0</v>
      </c>
      <c r="P39" s="2367"/>
      <c r="Q39" s="2366">
        <f>SUM(Q35:Q37)</f>
        <v>0</v>
      </c>
      <c r="R39" s="2367"/>
      <c r="S39" s="2366">
        <f>SUM(S35:S37)</f>
        <v>0</v>
      </c>
    </row>
    <row r="40" spans="1:36">
      <c r="A40" s="2358"/>
      <c r="B40" s="2368" t="s">
        <v>2979</v>
      </c>
      <c r="C40" s="2360"/>
      <c r="D40" s="2361"/>
      <c r="E40" s="2362"/>
      <c r="F40" s="2368"/>
      <c r="G40" s="655">
        <f>G39/'Area Calculations'!$F$5</f>
        <v>2.5740594550703717</v>
      </c>
      <c r="H40" s="2369"/>
      <c r="I40" s="2370">
        <f>I39/'Area Calculations'!$F$5</f>
        <v>2.2588866835077588</v>
      </c>
      <c r="J40" s="2369"/>
      <c r="K40" s="2370">
        <f>K39/'Area Calculations'!$F$5</f>
        <v>2.2260691086250453</v>
      </c>
      <c r="L40" s="2371"/>
      <c r="M40" s="2370">
        <f>M39/'Area Calculations'!$F$5</f>
        <v>4.3745488993143269</v>
      </c>
      <c r="N40" s="2369"/>
      <c r="O40" s="2370">
        <f>O39/'Area Calculations'!$F$5</f>
        <v>0</v>
      </c>
      <c r="P40" s="2369"/>
      <c r="Q40" s="2370">
        <f>Q39/'Area Calculations'!$F$5</f>
        <v>0</v>
      </c>
      <c r="R40" s="2369"/>
      <c r="S40" s="2370">
        <f>S39/'Area Calculations'!$F$5</f>
        <v>0</v>
      </c>
    </row>
    <row r="41" spans="1:36">
      <c r="A41" s="2358"/>
      <c r="B41" s="2372"/>
      <c r="C41" s="2360"/>
      <c r="D41" s="2361"/>
      <c r="E41" s="2362"/>
      <c r="F41" s="2363"/>
      <c r="G41" s="656"/>
      <c r="H41" s="2373"/>
      <c r="I41" s="2373"/>
      <c r="J41" s="2373"/>
      <c r="K41" s="2374"/>
      <c r="L41" s="2373"/>
      <c r="M41" s="2373"/>
      <c r="N41" s="2373"/>
      <c r="O41" s="2374"/>
      <c r="P41" s="2373"/>
      <c r="Q41" s="2373"/>
      <c r="R41" s="2373"/>
      <c r="S41" s="2373"/>
    </row>
    <row r="42" spans="1:36">
      <c r="A42" s="830" t="s">
        <v>2980</v>
      </c>
      <c r="B42" s="831"/>
      <c r="C42" s="12"/>
      <c r="D42" s="169"/>
      <c r="E42" s="177"/>
      <c r="F42" s="12"/>
      <c r="G42" s="228"/>
      <c r="H42" s="20"/>
      <c r="I42" s="20"/>
      <c r="J42" s="47"/>
      <c r="K42" s="47"/>
      <c r="L42" s="20"/>
      <c r="M42" s="20"/>
      <c r="N42" s="20"/>
      <c r="O42" s="20"/>
      <c r="P42" s="20"/>
      <c r="Q42" s="20"/>
      <c r="R42" s="20"/>
      <c r="S42" s="20"/>
    </row>
    <row r="43" spans="1:36" ht="30">
      <c r="A43" s="2375"/>
      <c r="B43" s="2386" t="s">
        <v>5217</v>
      </c>
      <c r="C43" s="2376"/>
      <c r="D43" s="2377"/>
      <c r="E43" s="2378"/>
      <c r="F43" s="2376"/>
      <c r="G43" s="2379"/>
      <c r="H43" s="2380"/>
      <c r="I43" s="2380"/>
      <c r="J43" s="2339"/>
      <c r="K43" s="2339"/>
      <c r="L43" s="2380"/>
      <c r="M43" s="2380"/>
      <c r="N43" s="2380"/>
      <c r="O43" s="2380"/>
      <c r="P43" s="2380"/>
      <c r="Q43" s="2380"/>
      <c r="R43" s="2380"/>
      <c r="S43" s="2380"/>
    </row>
    <row r="44" spans="1:36" ht="30">
      <c r="A44" s="2375"/>
      <c r="B44" s="2406" t="s">
        <v>5218</v>
      </c>
      <c r="C44" s="2376"/>
      <c r="D44" s="2377"/>
      <c r="E44" s="2378"/>
      <c r="F44" s="2376"/>
      <c r="G44" s="2379"/>
      <c r="H44" s="2380"/>
      <c r="I44" s="2380"/>
      <c r="J44" s="2339"/>
      <c r="K44" s="2339"/>
      <c r="L44" s="2380"/>
      <c r="M44" s="2380"/>
      <c r="N44" s="2380"/>
      <c r="O44" s="2380"/>
      <c r="P44" s="2380"/>
      <c r="Q44" s="2380"/>
      <c r="R44" s="2380"/>
      <c r="S44" s="2380"/>
    </row>
    <row r="45" spans="1:36" s="2" customFormat="1">
      <c r="A45" s="2375"/>
      <c r="B45" s="2386"/>
      <c r="C45" s="2376"/>
      <c r="D45" s="2377"/>
      <c r="E45" s="2378"/>
      <c r="F45" s="2376"/>
      <c r="G45" s="2379"/>
      <c r="H45" s="2380"/>
      <c r="I45" s="2380"/>
      <c r="J45" s="2339"/>
      <c r="K45" s="2339"/>
      <c r="L45" s="2380"/>
      <c r="M45" s="2380"/>
      <c r="N45" s="2380"/>
      <c r="O45" s="2380"/>
      <c r="P45" s="2380"/>
      <c r="Q45" s="2380"/>
      <c r="R45" s="2380"/>
      <c r="S45" s="2380"/>
      <c r="V45"/>
      <c r="W45"/>
      <c r="X45"/>
      <c r="Y45"/>
      <c r="Z45"/>
      <c r="AA45"/>
      <c r="AB45"/>
      <c r="AC45"/>
      <c r="AD45"/>
      <c r="AE45"/>
      <c r="AF45"/>
      <c r="AG45"/>
      <c r="AH45"/>
      <c r="AI45"/>
      <c r="AJ45"/>
    </row>
    <row r="46" spans="1:36" s="2" customFormat="1">
      <c r="A46" s="2375"/>
      <c r="B46" s="2348"/>
      <c r="C46" s="2376"/>
      <c r="D46" s="2377"/>
      <c r="E46" s="2378"/>
      <c r="F46" s="2376"/>
      <c r="G46" s="2379"/>
      <c r="H46" s="2380"/>
      <c r="I46" s="2380"/>
      <c r="J46" s="2339"/>
      <c r="K46" s="2339"/>
      <c r="L46" s="2380"/>
      <c r="M46" s="2380"/>
      <c r="N46" s="2380"/>
      <c r="O46" s="2380"/>
      <c r="P46" s="2380"/>
      <c r="Q46" s="2380"/>
      <c r="R46" s="2380"/>
      <c r="S46" s="2380"/>
      <c r="V46"/>
      <c r="W46"/>
      <c r="X46"/>
      <c r="Y46"/>
      <c r="Z46"/>
      <c r="AA46"/>
      <c r="AB46"/>
      <c r="AC46"/>
      <c r="AD46"/>
      <c r="AE46"/>
      <c r="AF46"/>
      <c r="AG46"/>
      <c r="AH46"/>
      <c r="AI46"/>
      <c r="AJ46"/>
    </row>
    <row r="47" spans="1:36">
      <c r="A47" s="2375"/>
      <c r="B47" s="2406"/>
      <c r="C47" s="2376"/>
      <c r="D47" s="2377"/>
      <c r="E47" s="2378"/>
      <c r="F47" s="2376"/>
      <c r="G47" s="2379"/>
      <c r="H47" s="2380"/>
      <c r="I47" s="2380"/>
      <c r="J47" s="2339"/>
      <c r="K47" s="2339"/>
      <c r="L47" s="2380"/>
      <c r="M47" s="2380"/>
      <c r="N47" s="2380"/>
      <c r="O47" s="2380"/>
      <c r="P47" s="2380"/>
      <c r="Q47" s="2380"/>
      <c r="R47" s="2380"/>
      <c r="S47" s="2380"/>
    </row>
    <row r="48" spans="1:36" s="2" customFormat="1">
      <c r="A48" s="830" t="s">
        <v>2982</v>
      </c>
      <c r="B48" s="831"/>
      <c r="C48" s="12"/>
      <c r="D48" s="169"/>
      <c r="E48" s="177"/>
      <c r="F48" s="12"/>
      <c r="G48" s="228"/>
      <c r="H48" s="20"/>
      <c r="I48" s="20"/>
      <c r="J48" s="47"/>
      <c r="K48" s="47"/>
      <c r="L48" s="20"/>
      <c r="M48" s="20"/>
      <c r="N48" s="20"/>
      <c r="O48" s="20"/>
      <c r="P48" s="20"/>
      <c r="Q48" s="20"/>
      <c r="R48" s="20"/>
      <c r="S48" s="20"/>
      <c r="V48"/>
      <c r="W48"/>
      <c r="X48"/>
      <c r="Y48"/>
      <c r="Z48"/>
      <c r="AA48"/>
      <c r="AB48"/>
      <c r="AC48"/>
      <c r="AD48"/>
      <c r="AE48"/>
      <c r="AF48"/>
      <c r="AG48"/>
      <c r="AH48"/>
      <c r="AI48"/>
      <c r="AJ48"/>
    </row>
    <row r="49" spans="1:36" s="2" customFormat="1">
      <c r="A49" s="2375"/>
      <c r="B49" s="2406"/>
      <c r="C49" s="2376"/>
      <c r="D49" s="2377"/>
      <c r="E49" s="2378"/>
      <c r="F49" s="2376"/>
      <c r="G49" s="2379"/>
      <c r="H49" s="2380"/>
      <c r="I49" s="2380"/>
      <c r="J49" s="2339"/>
      <c r="K49" s="2453"/>
      <c r="L49" s="2380"/>
      <c r="M49" s="2380"/>
      <c r="N49" s="2380"/>
      <c r="O49" s="2380"/>
      <c r="P49" s="2380"/>
      <c r="Q49" s="2380"/>
      <c r="R49" s="2380"/>
      <c r="S49" s="2380"/>
      <c r="V49"/>
      <c r="W49"/>
      <c r="X49"/>
      <c r="Y49"/>
      <c r="Z49"/>
      <c r="AA49"/>
      <c r="AB49"/>
      <c r="AC49"/>
      <c r="AD49"/>
      <c r="AE49"/>
      <c r="AF49"/>
      <c r="AG49"/>
      <c r="AH49"/>
      <c r="AI49"/>
      <c r="AJ49"/>
    </row>
    <row r="50" spans="1:36" s="2" customFormat="1">
      <c r="A50" s="2382"/>
      <c r="B50" s="2406"/>
      <c r="C50" s="2407"/>
      <c r="D50" s="2408"/>
      <c r="E50" s="2409"/>
      <c r="F50" s="2407"/>
      <c r="G50" s="2383"/>
      <c r="H50" s="2384"/>
      <c r="I50" s="2384"/>
      <c r="J50" s="691"/>
      <c r="K50" s="691"/>
      <c r="L50" s="2384"/>
      <c r="M50" s="2384"/>
      <c r="N50" s="2384"/>
      <c r="O50" s="2384"/>
      <c r="P50" s="2384"/>
      <c r="Q50" s="2384"/>
      <c r="R50" s="2384"/>
      <c r="S50" s="2384"/>
      <c r="V50"/>
      <c r="W50"/>
      <c r="X50"/>
      <c r="Y50"/>
      <c r="Z50"/>
      <c r="AA50"/>
      <c r="AB50"/>
      <c r="AC50"/>
      <c r="AD50"/>
      <c r="AE50"/>
      <c r="AF50"/>
      <c r="AG50"/>
      <c r="AH50"/>
      <c r="AI50"/>
      <c r="AJ50"/>
    </row>
    <row r="51" spans="1:36" s="2" customFormat="1">
      <c r="A51" s="2385"/>
      <c r="B51" s="2386"/>
      <c r="C51" s="2407"/>
      <c r="D51" s="2408"/>
      <c r="E51" s="2409"/>
      <c r="F51" s="2407"/>
      <c r="G51" s="2383"/>
      <c r="H51" s="2387"/>
      <c r="I51" s="2387"/>
      <c r="J51" s="691"/>
      <c r="K51" s="691"/>
      <c r="L51" s="2387"/>
      <c r="M51" s="2387"/>
      <c r="N51" s="2387"/>
      <c r="O51" s="2387"/>
      <c r="P51" s="2387"/>
      <c r="Q51" s="2387"/>
      <c r="R51" s="2387"/>
      <c r="S51" s="2387"/>
    </row>
    <row r="52" spans="1:36" s="2" customFormat="1">
      <c r="A52" s="830" t="s">
        <v>2983</v>
      </c>
      <c r="B52" s="831"/>
      <c r="C52" s="12"/>
      <c r="D52" s="169"/>
      <c r="E52" s="177"/>
      <c r="F52" s="12"/>
      <c r="G52" s="228"/>
      <c r="H52" s="20"/>
      <c r="I52" s="20"/>
      <c r="J52" s="47"/>
      <c r="K52" s="47"/>
      <c r="L52" s="20"/>
      <c r="M52" s="20"/>
      <c r="N52" s="20"/>
      <c r="O52" s="20"/>
      <c r="P52" s="20"/>
      <c r="Q52" s="20"/>
      <c r="R52" s="20"/>
      <c r="S52" s="20"/>
      <c r="V52"/>
      <c r="W52"/>
      <c r="X52"/>
      <c r="Y52"/>
      <c r="Z52"/>
      <c r="AA52"/>
      <c r="AB52"/>
      <c r="AC52"/>
      <c r="AD52"/>
      <c r="AE52"/>
      <c r="AF52"/>
      <c r="AG52"/>
      <c r="AH52"/>
      <c r="AI52"/>
      <c r="AJ52"/>
    </row>
    <row r="53" spans="1:36">
      <c r="A53" s="2388"/>
      <c r="B53" s="2389" t="s">
        <v>5219</v>
      </c>
      <c r="C53" s="2376"/>
      <c r="D53" s="2377"/>
      <c r="E53" s="2378"/>
      <c r="F53" s="2376"/>
      <c r="G53" s="2379"/>
      <c r="H53" s="2380"/>
      <c r="I53" s="2380">
        <f>-I25</f>
        <v>-157800</v>
      </c>
      <c r="J53" s="2339"/>
      <c r="K53" s="2339"/>
      <c r="L53" s="2380"/>
      <c r="M53" s="2380"/>
      <c r="N53" s="2380"/>
      <c r="O53" s="2380"/>
      <c r="P53" s="2380"/>
      <c r="Q53" s="2380"/>
      <c r="R53" s="2380"/>
      <c r="S53" s="2380"/>
      <c r="V53" s="2"/>
      <c r="W53" s="2"/>
      <c r="X53" s="2"/>
      <c r="Y53" s="2"/>
      <c r="Z53" s="2"/>
      <c r="AA53" s="2"/>
      <c r="AB53" s="2"/>
      <c r="AC53" s="2"/>
      <c r="AD53" s="2"/>
      <c r="AE53" s="2"/>
      <c r="AF53" s="2"/>
      <c r="AG53" s="2"/>
      <c r="AH53" s="2"/>
      <c r="AI53" s="2"/>
      <c r="AJ53" s="2"/>
    </row>
    <row r="54" spans="1:36">
      <c r="A54" s="2385"/>
      <c r="B54" s="2386" t="s">
        <v>5220</v>
      </c>
      <c r="C54" s="2407"/>
      <c r="D54" s="2408"/>
      <c r="E54" s="2409"/>
      <c r="F54" s="2407"/>
      <c r="G54" s="2383"/>
      <c r="H54" s="2390"/>
      <c r="I54" s="2390"/>
      <c r="J54" s="691"/>
      <c r="K54" s="691"/>
      <c r="L54" s="2390"/>
      <c r="M54" s="2390"/>
      <c r="N54" s="2390"/>
      <c r="O54" s="2390"/>
      <c r="P54" s="2390"/>
      <c r="Q54" s="2390"/>
      <c r="R54" s="2390"/>
      <c r="S54" s="2390"/>
      <c r="V54" s="2"/>
      <c r="W54" s="2"/>
      <c r="X54" s="2"/>
      <c r="Y54" s="2"/>
      <c r="Z54" s="2"/>
      <c r="AA54" s="2"/>
      <c r="AB54" s="2"/>
      <c r="AC54" s="2"/>
      <c r="AD54" s="2"/>
      <c r="AE54" s="2"/>
      <c r="AF54" s="2"/>
      <c r="AG54" s="2"/>
      <c r="AH54" s="2"/>
      <c r="AI54" s="2"/>
      <c r="AJ54" s="2"/>
    </row>
    <row r="55" spans="1:36" ht="30">
      <c r="A55" s="2385"/>
      <c r="B55" s="2440" t="s">
        <v>5221</v>
      </c>
      <c r="C55" s="2407" t="s">
        <v>5200</v>
      </c>
      <c r="D55" s="2441">
        <v>2540</v>
      </c>
      <c r="E55" s="2409" t="s">
        <v>3112</v>
      </c>
      <c r="F55" s="50"/>
      <c r="G55" s="450"/>
      <c r="H55" s="451"/>
      <c r="I55" s="451"/>
      <c r="J55" s="565"/>
      <c r="K55" s="451"/>
      <c r="L55" s="451"/>
      <c r="M55" s="451"/>
      <c r="N55" s="451"/>
      <c r="O55" s="451"/>
      <c r="P55" s="451"/>
      <c r="Q55" s="451"/>
      <c r="R55" s="451"/>
      <c r="S55" s="451"/>
      <c r="V55" s="2"/>
      <c r="W55" s="2"/>
      <c r="X55" s="2"/>
      <c r="Y55" s="2"/>
      <c r="Z55" s="2"/>
      <c r="AA55" s="2"/>
      <c r="AB55" s="2"/>
      <c r="AC55" s="2"/>
      <c r="AD55" s="2"/>
      <c r="AE55" s="2"/>
      <c r="AF55" s="2"/>
      <c r="AG55" s="2"/>
      <c r="AH55" s="2"/>
      <c r="AI55" s="2"/>
      <c r="AJ55" s="2"/>
    </row>
    <row r="56" spans="1:36">
      <c r="A56" s="830" t="s">
        <v>2984</v>
      </c>
      <c r="B56" s="831"/>
      <c r="C56" s="12"/>
      <c r="D56" s="169"/>
      <c r="E56" s="177"/>
      <c r="F56" s="12"/>
      <c r="G56" s="228"/>
      <c r="H56" s="20"/>
      <c r="I56" s="20"/>
      <c r="J56" s="47"/>
      <c r="K56" s="47"/>
      <c r="L56" s="20"/>
      <c r="M56" s="20"/>
      <c r="N56" s="20"/>
      <c r="O56" s="20"/>
      <c r="P56" s="20"/>
      <c r="Q56" s="20"/>
      <c r="R56" s="20"/>
      <c r="S56" s="20"/>
    </row>
    <row r="57" spans="1:36">
      <c r="A57" s="2382"/>
      <c r="B57" s="2406" t="s">
        <v>2985</v>
      </c>
      <c r="C57" s="2407"/>
      <c r="D57" s="2408"/>
      <c r="E57" s="2409"/>
      <c r="F57" s="2407"/>
      <c r="G57" s="2383"/>
      <c r="H57" s="2390"/>
      <c r="I57" s="2390"/>
      <c r="J57" s="691"/>
      <c r="K57" s="691"/>
      <c r="L57" s="2390"/>
      <c r="M57" s="2390"/>
      <c r="N57" s="2390"/>
      <c r="O57" s="2390"/>
      <c r="P57" s="2390"/>
      <c r="Q57" s="2390"/>
      <c r="R57" s="2390"/>
      <c r="S57" s="2390"/>
    </row>
    <row r="58" spans="1:36">
      <c r="A58" s="2382"/>
      <c r="B58" s="2406" t="s">
        <v>2986</v>
      </c>
      <c r="C58" s="2407"/>
      <c r="D58" s="2408"/>
      <c r="E58" s="2409"/>
      <c r="F58" s="2407"/>
      <c r="G58" s="2383"/>
      <c r="H58" s="2390"/>
      <c r="I58" s="2390"/>
      <c r="J58" s="691"/>
      <c r="K58" s="691"/>
      <c r="L58" s="2390"/>
      <c r="M58" s="2390"/>
      <c r="N58" s="2390"/>
      <c r="O58" s="2390"/>
      <c r="P58" s="2390"/>
      <c r="Q58" s="2390"/>
      <c r="R58" s="2390"/>
      <c r="S58" s="2390"/>
    </row>
    <row r="59" spans="1:36">
      <c r="A59" s="2382"/>
      <c r="B59" s="2406" t="s">
        <v>2987</v>
      </c>
      <c r="C59" s="2407"/>
      <c r="D59" s="2408"/>
      <c r="E59" s="2409"/>
      <c r="F59" s="2407"/>
      <c r="G59" s="2383"/>
      <c r="H59" s="2390"/>
      <c r="I59" s="2390"/>
      <c r="J59" s="691"/>
      <c r="K59" s="691"/>
      <c r="L59" s="2390"/>
      <c r="M59" s="2390"/>
      <c r="N59" s="2390"/>
      <c r="O59" s="2390"/>
      <c r="P59" s="2390"/>
      <c r="Q59" s="2390"/>
      <c r="R59" s="2390"/>
      <c r="S59" s="2390"/>
    </row>
    <row r="60" spans="1:36">
      <c r="A60" s="2382"/>
      <c r="B60" s="2406" t="s">
        <v>2988</v>
      </c>
      <c r="C60" s="2407"/>
      <c r="D60" s="2408"/>
      <c r="E60" s="2409"/>
      <c r="F60" s="2407"/>
      <c r="G60" s="2383"/>
      <c r="H60" s="2390"/>
      <c r="I60" s="2390"/>
      <c r="J60" s="691"/>
      <c r="K60" s="691"/>
      <c r="L60" s="2390"/>
      <c r="M60" s="2390"/>
      <c r="N60" s="2390"/>
      <c r="O60" s="2390"/>
      <c r="P60" s="2390"/>
      <c r="Q60" s="2390"/>
      <c r="R60" s="2390"/>
      <c r="S60" s="2390"/>
    </row>
    <row r="61" spans="1:36">
      <c r="A61" s="646"/>
      <c r="B61" s="619"/>
      <c r="C61" s="616"/>
      <c r="D61" s="621"/>
      <c r="E61" s="622"/>
      <c r="F61" s="616"/>
      <c r="G61" s="620"/>
      <c r="H61" s="647"/>
      <c r="I61" s="647"/>
      <c r="J61" s="631"/>
      <c r="K61" s="631"/>
      <c r="L61" s="647"/>
      <c r="M61" s="647"/>
      <c r="N61" s="647"/>
      <c r="O61" s="647"/>
      <c r="P61" s="647"/>
      <c r="Q61" s="647"/>
      <c r="R61" s="647"/>
      <c r="S61" s="647"/>
    </row>
    <row r="62" spans="1:36">
      <c r="A62" s="7" t="s">
        <v>2989</v>
      </c>
      <c r="B62" s="8"/>
      <c r="C62" s="12"/>
      <c r="D62" s="169"/>
      <c r="E62" s="177"/>
      <c r="F62" s="12"/>
      <c r="G62" s="228"/>
      <c r="H62" s="20"/>
      <c r="I62" s="20"/>
      <c r="J62" s="47"/>
      <c r="K62" s="47"/>
      <c r="L62" s="20"/>
      <c r="M62" s="20"/>
      <c r="N62" s="20"/>
      <c r="O62" s="20"/>
      <c r="P62" s="20"/>
      <c r="Q62" s="20"/>
      <c r="R62" s="20"/>
      <c r="S62" s="20"/>
    </row>
    <row r="63" spans="1:36">
      <c r="A63" s="2375"/>
      <c r="B63" s="2327" t="s">
        <v>2990</v>
      </c>
      <c r="C63" s="2376"/>
      <c r="D63" s="2377"/>
      <c r="E63" s="2378"/>
      <c r="F63" s="2376"/>
      <c r="G63" s="2379"/>
      <c r="H63" s="2328"/>
      <c r="I63" s="2328"/>
      <c r="J63" s="2339"/>
      <c r="K63" s="2339"/>
      <c r="L63" s="2328"/>
      <c r="M63" s="2328"/>
      <c r="N63" s="2328"/>
      <c r="O63" s="2328"/>
      <c r="P63" s="2328"/>
      <c r="Q63" s="2328"/>
      <c r="R63" s="2328"/>
      <c r="S63" s="2328"/>
    </row>
    <row r="64" spans="1:36">
      <c r="A64" s="2382"/>
      <c r="B64" s="2406" t="s">
        <v>2991</v>
      </c>
      <c r="C64" s="2407"/>
      <c r="D64" s="2408"/>
      <c r="E64" s="2409"/>
      <c r="F64" s="2407"/>
      <c r="G64" s="2383"/>
      <c r="H64" s="2391"/>
      <c r="I64" s="2391"/>
      <c r="J64" s="691"/>
      <c r="K64" s="691"/>
      <c r="L64" s="2391"/>
      <c r="M64" s="2391"/>
      <c r="N64" s="2391"/>
      <c r="O64" s="2391"/>
      <c r="P64" s="2391"/>
      <c r="Q64" s="2391"/>
      <c r="R64" s="2391"/>
      <c r="S64" s="2391"/>
    </row>
    <row r="65" spans="1:19">
      <c r="A65" s="2392"/>
      <c r="B65" s="2424" t="s">
        <v>2992</v>
      </c>
      <c r="C65" s="2425"/>
      <c r="D65" s="2393"/>
      <c r="E65" s="2394"/>
      <c r="F65" s="2425"/>
      <c r="G65" s="2395"/>
      <c r="H65" s="2396"/>
      <c r="I65" s="2396"/>
      <c r="J65" s="2397"/>
      <c r="K65" s="2397"/>
      <c r="L65" s="2396"/>
      <c r="M65" s="2396"/>
      <c r="N65" s="2396"/>
      <c r="O65" s="2396"/>
      <c r="P65" s="2396"/>
      <c r="Q65" s="2396"/>
      <c r="R65" s="2396"/>
      <c r="S65" s="2396"/>
    </row>
    <row r="67" spans="1:19">
      <c r="A67" s="59" t="s">
        <v>2993</v>
      </c>
      <c r="B67" s="61"/>
      <c r="C67" s="2" t="s">
        <v>5197</v>
      </c>
      <c r="D67" s="165" t="s">
        <v>3235</v>
      </c>
      <c r="E67" s="535" t="s">
        <v>5204</v>
      </c>
      <c r="K67" s="447"/>
    </row>
    <row r="68" spans="1:19">
      <c r="A68" s="60" t="s">
        <v>2936</v>
      </c>
      <c r="B68" s="2398"/>
    </row>
    <row r="69" spans="1:19">
      <c r="A69" s="2399" t="s">
        <v>2939</v>
      </c>
      <c r="B69" s="2398"/>
    </row>
    <row r="70" spans="1:19">
      <c r="A70" s="2400" t="s">
        <v>2941</v>
      </c>
      <c r="B70" s="2401"/>
    </row>
    <row r="71" spans="1:19">
      <c r="A71" s="2400" t="s">
        <v>2943</v>
      </c>
      <c r="B71" s="2402"/>
    </row>
    <row r="72" spans="1:19">
      <c r="A72" s="2403" t="s">
        <v>2994</v>
      </c>
      <c r="B72" s="2404">
        <f>H9</f>
        <v>200300</v>
      </c>
      <c r="C72" s="447">
        <f>SUM(I19:I34)</f>
        <v>200300</v>
      </c>
      <c r="D72" s="165">
        <f>SUM(I26:I27)</f>
        <v>0</v>
      </c>
      <c r="E72" s="536">
        <f>SUM(I28:I29)</f>
        <v>0</v>
      </c>
    </row>
    <row r="74" spans="1:19">
      <c r="A74" s="62"/>
      <c r="B74" s="1" t="s">
        <v>2995</v>
      </c>
    </row>
    <row r="75" spans="1:19">
      <c r="A75" s="63"/>
      <c r="B75" s="1" t="s">
        <v>2996</v>
      </c>
    </row>
  </sheetData>
  <mergeCells count="42">
    <mergeCell ref="L2:M2"/>
    <mergeCell ref="P4:Q4"/>
    <mergeCell ref="J4:K4"/>
    <mergeCell ref="N4:O4"/>
    <mergeCell ref="J7:K7"/>
    <mergeCell ref="P5:Q5"/>
    <mergeCell ref="N7:O7"/>
    <mergeCell ref="J8:K8"/>
    <mergeCell ref="H5:I5"/>
    <mergeCell ref="H4:I4"/>
    <mergeCell ref="L3:M3"/>
    <mergeCell ref="H6:I6"/>
    <mergeCell ref="L6:M6"/>
    <mergeCell ref="L7:M7"/>
    <mergeCell ref="L8:M8"/>
    <mergeCell ref="R5:S5"/>
    <mergeCell ref="N6:O6"/>
    <mergeCell ref="J5:K5"/>
    <mergeCell ref="J6:K6"/>
    <mergeCell ref="L5:M5"/>
    <mergeCell ref="N5:O5"/>
    <mergeCell ref="N9:O9"/>
    <mergeCell ref="P9:Q9"/>
    <mergeCell ref="H9:I9"/>
    <mergeCell ref="R9:S9"/>
    <mergeCell ref="J9:K9"/>
    <mergeCell ref="R4:S4"/>
    <mergeCell ref="A56:B56"/>
    <mergeCell ref="H7:I7"/>
    <mergeCell ref="P7:Q7"/>
    <mergeCell ref="R7:S7"/>
    <mergeCell ref="N8:O8"/>
    <mergeCell ref="H8:I8"/>
    <mergeCell ref="P8:Q8"/>
    <mergeCell ref="R8:S8"/>
    <mergeCell ref="L4:M4"/>
    <mergeCell ref="L9:M9"/>
    <mergeCell ref="A42:B42"/>
    <mergeCell ref="P6:Q6"/>
    <mergeCell ref="R6:S6"/>
    <mergeCell ref="A48:B48"/>
    <mergeCell ref="A52:B52"/>
  </mergeCells>
  <conditionalFormatting sqref="H11:H18">
    <cfRule type="cellIs" dxfId="243" priority="5" operator="equal">
      <formula>"X"</formula>
    </cfRule>
    <cfRule type="cellIs" dxfId="242" priority="6" operator="equal">
      <formula>"I"</formula>
    </cfRule>
  </conditionalFormatting>
  <conditionalFormatting sqref="H20:H34 J20:J34 L20:L34 N20:N34 P20:P34 R20:R34">
    <cfRule type="cellIs" dxfId="241" priority="25" operator="equal">
      <formula>"X"</formula>
    </cfRule>
    <cfRule type="cellIs" dxfId="240" priority="26" operator="equal">
      <formula>"I"</formula>
    </cfRule>
  </conditionalFormatting>
  <conditionalFormatting sqref="J11:J18">
    <cfRule type="cellIs" dxfId="239" priority="3" operator="equal">
      <formula>"X"</formula>
    </cfRule>
    <cfRule type="cellIs" dxfId="238" priority="4" operator="equal">
      <formula>"I"</formula>
    </cfRule>
  </conditionalFormatting>
  <conditionalFormatting sqref="L11:L18">
    <cfRule type="cellIs" dxfId="237" priority="1" operator="equal">
      <formula>"X"</formula>
    </cfRule>
    <cfRule type="cellIs" dxfId="236" priority="2" operator="equal">
      <formula>"I"</formula>
    </cfRule>
  </conditionalFormatting>
  <conditionalFormatting sqref="N11:N18 P11:P18 R11:R18">
    <cfRule type="cellIs" dxfId="235" priority="33" operator="equal">
      <formula>"X"</formula>
    </cfRule>
    <cfRule type="cellIs" dxfId="234" priority="34" operator="equal">
      <formula>"I"</formula>
    </cfRule>
  </conditionalFormatting>
  <hyperlinks>
    <hyperlink ref="B4" location="'Cost Summary'!A1" display="BACK TO SUMMARY SHEET" xr:uid="{404FCB8E-7F40-4541-B4D6-54465E07D6C0}"/>
    <hyperlink ref="N8" r:id="rId1" xr:uid="{3BDEA411-93FB-4601-976A-5C2CE1CEE305}"/>
    <hyperlink ref="R8:S8" r:id="rId2" display="james@doradodrywall.com" xr:uid="{1446996C-BD2F-433B-9C14-77B9D5CA5289}"/>
    <hyperlink ref="L8:M8" r:id="rId3" display="carlos.yepes@lcfinc.com" xr:uid="{9704DCAB-2D52-496E-BF0B-51E7D2FB42D8}"/>
    <hyperlink ref="H8:I8" r:id="rId4" display="admin@welchplastering.com" xr:uid="{794738E3-7FBB-491C-AF5E-C5EA47768210}"/>
    <hyperlink ref="P6:Q6" r:id="rId5" display="estimating@alliancegcusa.com" xr:uid="{20B7FF9F-7DF3-46F7-ACBC-2FCB3C3CCC47}"/>
    <hyperlink ref="P8:Q8" r:id="rId6" display="estimating@alliancegcusa.com" xr:uid="{0F8E414E-0D50-4A2C-8B26-9CFAED0B4C7A}"/>
    <hyperlink ref="J8" r:id="rId7" xr:uid="{2C55DD09-231A-475E-AF1F-FDACC374E64C}"/>
    <hyperlink ref="J8:K8" r:id="rId8" display="dan@griffinstucco.com" xr:uid="{56F39C43-8166-448D-A90D-46161E035C67}"/>
  </hyperlinks>
  <pageMargins left="0.2" right="0.2" top="0.5" bottom="0.75" header="0.3" footer="0.3"/>
  <pageSetup paperSize="3" scale="79" fitToHeight="0" orientation="landscape" horizontalDpi="1200" verticalDpi="1200" r:id="rId9"/>
  <legacyDrawing r:id="rId1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7860-44CC-4140-9B3C-23208E0BBBD6}">
  <sheetPr>
    <tabColor rgb="FF92D050"/>
    <pageSetUpPr fitToPage="1"/>
  </sheetPr>
  <dimension ref="A1:AH93"/>
  <sheetViews>
    <sheetView zoomScale="90" zoomScaleNormal="90" workbookViewId="0">
      <pane ySplit="10" topLeftCell="A11" activePane="bottomLeft" state="frozen"/>
      <selection pane="bottomLeft" activeCell="B4" sqref="B4"/>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1" width="10" bestFit="1" customWidth="1"/>
    <col min="22" max="22" width="2.140625" bestFit="1" customWidth="1"/>
    <col min="23" max="23" width="11.140625" bestFit="1"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5222</v>
      </c>
      <c r="I5" s="838"/>
      <c r="J5" s="837" t="s">
        <v>3698</v>
      </c>
      <c r="K5" s="838"/>
      <c r="L5" s="837" t="s">
        <v>5223</v>
      </c>
      <c r="M5" s="838"/>
      <c r="N5" s="841"/>
      <c r="O5" s="842"/>
      <c r="P5" s="841"/>
      <c r="Q5" s="842"/>
      <c r="R5" s="841"/>
      <c r="S5" s="842"/>
    </row>
    <row r="6" spans="1:19">
      <c r="A6" s="2405" t="s">
        <v>2938</v>
      </c>
      <c r="B6" s="2406" t="s">
        <v>2573</v>
      </c>
      <c r="C6" s="2407"/>
      <c r="D6" s="2408"/>
      <c r="E6" s="2409"/>
      <c r="F6" s="2407"/>
      <c r="G6" s="657" t="s">
        <v>2939</v>
      </c>
      <c r="H6" s="2454" t="s">
        <v>5224</v>
      </c>
      <c r="I6" s="839"/>
      <c r="J6" s="2454" t="s">
        <v>5225</v>
      </c>
      <c r="K6" s="839"/>
      <c r="L6" s="2454" t="s">
        <v>5226</v>
      </c>
      <c r="M6" s="839"/>
      <c r="N6" s="2410"/>
      <c r="O6" s="843"/>
      <c r="P6" s="2410"/>
      <c r="Q6" s="843"/>
      <c r="R6" s="2410"/>
      <c r="S6" s="843"/>
    </row>
    <row r="7" spans="1:19">
      <c r="A7" s="2405" t="s">
        <v>2940</v>
      </c>
      <c r="B7" s="2413" t="s">
        <v>5227</v>
      </c>
      <c r="C7" s="2407"/>
      <c r="D7" s="2408"/>
      <c r="E7" s="2409"/>
      <c r="F7" s="2407"/>
      <c r="G7" s="2414" t="s">
        <v>2941</v>
      </c>
      <c r="H7" s="2455" t="s">
        <v>5228</v>
      </c>
      <c r="I7" s="840"/>
      <c r="J7" s="2455" t="s">
        <v>5229</v>
      </c>
      <c r="K7" s="840"/>
      <c r="L7" s="2455" t="s">
        <v>5230</v>
      </c>
      <c r="M7" s="840"/>
      <c r="N7" s="2415"/>
      <c r="O7" s="844"/>
      <c r="P7" s="2415"/>
      <c r="Q7" s="844"/>
      <c r="R7" s="2415"/>
      <c r="S7" s="844"/>
    </row>
    <row r="8" spans="1:19">
      <c r="A8" s="2405" t="s">
        <v>2942</v>
      </c>
      <c r="B8" s="2418"/>
      <c r="C8" s="2407"/>
      <c r="D8" s="2408"/>
      <c r="E8" s="2409"/>
      <c r="F8" s="2407"/>
      <c r="G8" s="2414" t="s">
        <v>2943</v>
      </c>
      <c r="H8" s="2456" t="s">
        <v>5231</v>
      </c>
      <c r="I8" s="836"/>
      <c r="J8" s="2456" t="s">
        <v>5232</v>
      </c>
      <c r="K8" s="836"/>
      <c r="L8" s="2456" t="s">
        <v>5233</v>
      </c>
      <c r="M8" s="836"/>
      <c r="N8" s="2419"/>
      <c r="O8" s="845"/>
      <c r="P8" s="2419"/>
      <c r="Q8" s="845"/>
      <c r="R8" s="2419"/>
      <c r="S8" s="845"/>
    </row>
    <row r="9" spans="1:19" ht="15.75" thickBot="1">
      <c r="A9" s="2423"/>
      <c r="B9" s="2424"/>
      <c r="C9" s="616"/>
      <c r="D9" s="621"/>
      <c r="E9" s="622"/>
      <c r="F9" s="2425"/>
      <c r="G9" s="2426" t="s">
        <v>2944</v>
      </c>
      <c r="H9" s="2428">
        <f t="shared" ref="H9" si="0">I$55</f>
        <v>0</v>
      </c>
      <c r="I9" s="2457"/>
      <c r="J9" s="2428">
        <f t="shared" ref="J9" si="1">K$55</f>
        <v>0</v>
      </c>
      <c r="K9" s="2457"/>
      <c r="L9" s="2427">
        <f>M$55</f>
        <v>0</v>
      </c>
      <c r="M9" s="2458"/>
      <c r="N9" s="2428">
        <f t="shared" ref="N9" si="2">O$55</f>
        <v>0</v>
      </c>
      <c r="O9" s="2457"/>
      <c r="P9" s="2428">
        <f t="shared" ref="P9" si="3">Q$55</f>
        <v>0</v>
      </c>
      <c r="Q9" s="2457"/>
      <c r="R9" s="2428">
        <f t="shared" ref="R9" si="4">S$55</f>
        <v>0</v>
      </c>
      <c r="S9" s="2457"/>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337"/>
      <c r="B11" s="1618" t="s">
        <v>2953</v>
      </c>
      <c r="C11" s="659"/>
      <c r="D11" s="2408"/>
      <c r="E11" s="2409"/>
      <c r="F11" s="2407"/>
      <c r="G11" s="660"/>
      <c r="H11" s="2431"/>
      <c r="I11" s="182"/>
      <c r="J11" s="2431"/>
      <c r="K11" s="2339"/>
      <c r="L11" s="2431"/>
      <c r="M11" s="2338"/>
      <c r="N11" s="2431"/>
      <c r="O11" s="2339"/>
      <c r="P11" s="2431"/>
      <c r="Q11" s="2339"/>
      <c r="R11" s="2431"/>
      <c r="S11" s="2339"/>
    </row>
    <row r="12" spans="1:19">
      <c r="A12" s="2340"/>
      <c r="B12" s="1622" t="s">
        <v>2954</v>
      </c>
      <c r="C12" s="2407"/>
      <c r="D12" s="2408"/>
      <c r="E12" s="2409"/>
      <c r="F12" s="2407"/>
      <c r="G12" s="660"/>
      <c r="H12" s="2431"/>
      <c r="I12" s="2339"/>
      <c r="J12" s="2431"/>
      <c r="K12" s="2339"/>
      <c r="L12" s="2431"/>
      <c r="M12" s="2338"/>
      <c r="N12" s="2431"/>
      <c r="O12" s="2339"/>
      <c r="P12" s="2431"/>
      <c r="Q12" s="2339"/>
      <c r="R12" s="2431"/>
      <c r="S12" s="2339"/>
    </row>
    <row r="13" spans="1:19">
      <c r="A13" s="2432"/>
      <c r="B13" s="2342" t="s">
        <v>2955</v>
      </c>
      <c r="C13" s="2407"/>
      <c r="D13" s="2408"/>
      <c r="E13" s="2409"/>
      <c r="F13" s="2407"/>
      <c r="G13" s="660"/>
      <c r="H13" s="2431"/>
      <c r="I13" s="2339"/>
      <c r="J13" s="2431"/>
      <c r="K13" s="2339"/>
      <c r="L13" s="2431"/>
      <c r="M13" s="2338"/>
      <c r="N13" s="2431"/>
      <c r="O13" s="2339"/>
      <c r="P13" s="2431"/>
      <c r="Q13" s="2339"/>
      <c r="R13" s="2431"/>
      <c r="S13" s="2339"/>
    </row>
    <row r="14" spans="1:19">
      <c r="A14" s="2432"/>
      <c r="B14" s="2343" t="s">
        <v>2956</v>
      </c>
      <c r="C14" s="2407"/>
      <c r="D14" s="2408"/>
      <c r="E14" s="2409"/>
      <c r="F14" s="2407"/>
      <c r="G14" s="660"/>
      <c r="H14" s="2431"/>
      <c r="I14" s="2339"/>
      <c r="J14" s="2431"/>
      <c r="K14" s="2339"/>
      <c r="L14" s="2431"/>
      <c r="M14" s="2338"/>
      <c r="N14" s="2431"/>
      <c r="O14" s="2339"/>
      <c r="P14" s="2431"/>
      <c r="Q14" s="2339"/>
      <c r="R14" s="2431"/>
      <c r="S14" s="2339"/>
    </row>
    <row r="15" spans="1:19">
      <c r="A15" s="2432"/>
      <c r="B15" s="2343" t="s">
        <v>2957</v>
      </c>
      <c r="C15" s="2407"/>
      <c r="D15" s="2408"/>
      <c r="E15" s="2409"/>
      <c r="F15" s="2407"/>
      <c r="G15" s="660"/>
      <c r="H15" s="2431"/>
      <c r="I15" s="2338"/>
      <c r="J15" s="2431"/>
      <c r="K15" s="2338"/>
      <c r="L15" s="2431"/>
      <c r="M15" s="2338"/>
      <c r="N15" s="2431"/>
      <c r="O15" s="2338"/>
      <c r="P15" s="2431"/>
      <c r="Q15" s="2338"/>
      <c r="R15" s="2431"/>
      <c r="S15" s="2338"/>
    </row>
    <row r="16" spans="1:19">
      <c r="A16" s="2432"/>
      <c r="B16" s="2343" t="s">
        <v>2958</v>
      </c>
      <c r="C16" s="2407"/>
      <c r="D16" s="2408"/>
      <c r="E16" s="2409"/>
      <c r="F16" s="2407"/>
      <c r="G16" s="660"/>
      <c r="H16" s="2431"/>
      <c r="I16" s="2339"/>
      <c r="J16" s="2431"/>
      <c r="K16" s="2339"/>
      <c r="L16" s="2431"/>
      <c r="M16" s="2338"/>
      <c r="N16" s="2431"/>
      <c r="O16" s="2339"/>
      <c r="P16" s="2431"/>
      <c r="Q16" s="2339"/>
      <c r="R16" s="2431"/>
      <c r="S16" s="2339"/>
    </row>
    <row r="17" spans="1:21">
      <c r="A17" s="2432"/>
      <c r="B17" s="2343" t="s">
        <v>2959</v>
      </c>
      <c r="C17" s="2407"/>
      <c r="D17" s="2408"/>
      <c r="E17" s="2409"/>
      <c r="F17" s="2407"/>
      <c r="G17" s="660"/>
      <c r="H17" s="2431"/>
      <c r="I17" s="2339"/>
      <c r="J17" s="2431"/>
      <c r="K17" s="2339"/>
      <c r="L17" s="2431"/>
      <c r="M17" s="2338"/>
      <c r="N17" s="2431"/>
      <c r="O17" s="2339"/>
      <c r="P17" s="2431"/>
      <c r="Q17" s="2339"/>
      <c r="R17" s="2431"/>
      <c r="S17" s="2339"/>
    </row>
    <row r="18" spans="1:21">
      <c r="A18" s="2432"/>
      <c r="B18" s="2344" t="s">
        <v>2960</v>
      </c>
      <c r="C18" s="2407"/>
      <c r="D18" s="2408"/>
      <c r="E18" s="2409"/>
      <c r="F18" s="2407"/>
      <c r="G18" s="660"/>
      <c r="H18" s="2431"/>
      <c r="I18" s="2339"/>
      <c r="J18" s="2431"/>
      <c r="K18" s="2339"/>
      <c r="L18" s="2431"/>
      <c r="M18" s="2338"/>
      <c r="N18" s="2431"/>
      <c r="O18" s="2339"/>
      <c r="P18" s="2431"/>
      <c r="Q18" s="2339"/>
      <c r="R18" s="2431"/>
      <c r="S18" s="2339"/>
    </row>
    <row r="19" spans="1:21">
      <c r="A19" s="2432"/>
      <c r="B19" s="2345" t="s">
        <v>2961</v>
      </c>
      <c r="C19" s="2433"/>
      <c r="D19" s="2434"/>
      <c r="E19" s="2435"/>
      <c r="F19" s="2436"/>
      <c r="G19" s="661"/>
      <c r="H19" s="2437"/>
      <c r="I19" s="2346"/>
      <c r="J19" s="2437"/>
      <c r="K19" s="2346"/>
      <c r="L19" s="2437"/>
      <c r="M19" s="2347"/>
      <c r="N19" s="2437"/>
      <c r="O19" s="2346"/>
      <c r="P19" s="2437"/>
      <c r="Q19" s="2346"/>
      <c r="R19" s="2437"/>
      <c r="S19" s="2346"/>
      <c r="U19" t="s">
        <v>5234</v>
      </c>
    </row>
    <row r="20" spans="1:21">
      <c r="A20" s="2432"/>
      <c r="B20" s="2348"/>
      <c r="C20" s="2407"/>
      <c r="D20" s="2408"/>
      <c r="E20" s="2409"/>
      <c r="F20" s="2438"/>
      <c r="G20" s="660"/>
      <c r="H20" s="2431"/>
      <c r="I20" s="2349"/>
      <c r="J20" s="2431"/>
      <c r="K20" s="2350"/>
      <c r="L20" s="2431"/>
      <c r="M20" s="2349"/>
      <c r="N20" s="2431"/>
      <c r="O20" s="2349"/>
      <c r="P20" s="2431"/>
      <c r="Q20" s="2349"/>
      <c r="R20" s="2431"/>
      <c r="S20" s="2349"/>
    </row>
    <row r="21" spans="1:21">
      <c r="A21" s="2432"/>
      <c r="B21" s="2348"/>
      <c r="C21" s="2407"/>
      <c r="D21" s="2408"/>
      <c r="E21" s="2409"/>
      <c r="F21" s="2438"/>
      <c r="G21" s="662">
        <f t="shared" ref="G21:G49" si="5">ROUND(D21*F21,0)</f>
        <v>0</v>
      </c>
      <c r="H21" s="2431"/>
      <c r="I21" s="2350">
        <f>G21</f>
        <v>0</v>
      </c>
      <c r="J21" s="2431"/>
      <c r="K21" s="2350"/>
      <c r="L21" s="2431"/>
      <c r="M21" s="2349"/>
      <c r="N21" s="2431"/>
      <c r="O21" s="2349"/>
      <c r="P21" s="2431"/>
      <c r="Q21" s="2349"/>
      <c r="R21" s="2431"/>
      <c r="S21" s="2349"/>
    </row>
    <row r="22" spans="1:21">
      <c r="A22" s="2432"/>
      <c r="B22" s="2348"/>
      <c r="C22" s="2407"/>
      <c r="D22" s="2408"/>
      <c r="E22" s="2409"/>
      <c r="F22" s="2438"/>
      <c r="G22" s="662">
        <f t="shared" si="5"/>
        <v>0</v>
      </c>
      <c r="H22" s="2431"/>
      <c r="I22" s="2350">
        <f t="shared" ref="I22:I49" si="6">G22</f>
        <v>0</v>
      </c>
      <c r="J22" s="2431"/>
      <c r="K22" s="2350"/>
      <c r="L22" s="2431"/>
      <c r="M22" s="2349"/>
      <c r="N22" s="2431"/>
      <c r="O22" s="2349"/>
      <c r="P22" s="2431"/>
      <c r="Q22" s="2349"/>
      <c r="R22" s="2431"/>
      <c r="S22" s="2349"/>
    </row>
    <row r="23" spans="1:21">
      <c r="A23" s="2432"/>
      <c r="B23" s="2348"/>
      <c r="C23" s="2407"/>
      <c r="D23" s="2408"/>
      <c r="E23" s="2409"/>
      <c r="F23" s="2438"/>
      <c r="G23" s="662">
        <f t="shared" si="5"/>
        <v>0</v>
      </c>
      <c r="H23" s="2431"/>
      <c r="I23" s="2350">
        <f t="shared" si="6"/>
        <v>0</v>
      </c>
      <c r="J23" s="2431"/>
      <c r="K23" s="2350"/>
      <c r="L23" s="2431"/>
      <c r="M23" s="2349"/>
      <c r="N23" s="2431"/>
      <c r="O23" s="2349"/>
      <c r="P23" s="2431"/>
      <c r="Q23" s="2349"/>
      <c r="R23" s="2431"/>
      <c r="S23" s="2349"/>
    </row>
    <row r="24" spans="1:21">
      <c r="A24" s="2432"/>
      <c r="B24" s="2348"/>
      <c r="C24" s="2407"/>
      <c r="D24" s="2408"/>
      <c r="E24" s="2409"/>
      <c r="F24" s="2438"/>
      <c r="G24" s="662">
        <f t="shared" si="5"/>
        <v>0</v>
      </c>
      <c r="H24" s="2431"/>
      <c r="I24" s="2350">
        <f t="shared" si="6"/>
        <v>0</v>
      </c>
      <c r="J24" s="2431"/>
      <c r="K24" s="2350"/>
      <c r="L24" s="2431"/>
      <c r="M24" s="2349"/>
      <c r="N24" s="2431"/>
      <c r="O24" s="2349"/>
      <c r="P24" s="2431"/>
      <c r="Q24" s="2349"/>
      <c r="R24" s="2431"/>
      <c r="S24" s="2349"/>
    </row>
    <row r="25" spans="1:21">
      <c r="A25" s="2432"/>
      <c r="B25" s="2348"/>
      <c r="C25" s="2407"/>
      <c r="D25" s="2408"/>
      <c r="E25" s="2409"/>
      <c r="F25" s="2438"/>
      <c r="G25" s="662">
        <f t="shared" si="5"/>
        <v>0</v>
      </c>
      <c r="H25" s="2431"/>
      <c r="I25" s="2350">
        <f t="shared" si="6"/>
        <v>0</v>
      </c>
      <c r="J25" s="2431"/>
      <c r="K25" s="2350"/>
      <c r="L25" s="2431"/>
      <c r="M25" s="2349"/>
      <c r="N25" s="2431"/>
      <c r="O25" s="2349"/>
      <c r="P25" s="2431"/>
      <c r="Q25" s="2349"/>
      <c r="R25" s="2431"/>
      <c r="S25" s="2349"/>
    </row>
    <row r="26" spans="1:21">
      <c r="A26" s="2432"/>
      <c r="B26" s="2348"/>
      <c r="C26" s="2407"/>
      <c r="D26" s="2408"/>
      <c r="E26" s="2409"/>
      <c r="F26" s="2438"/>
      <c r="G26" s="662">
        <f t="shared" si="5"/>
        <v>0</v>
      </c>
      <c r="H26" s="2431"/>
      <c r="I26" s="2350">
        <f t="shared" si="6"/>
        <v>0</v>
      </c>
      <c r="J26" s="2431"/>
      <c r="K26" s="2350"/>
      <c r="L26" s="2431"/>
      <c r="M26" s="2349"/>
      <c r="N26" s="2431"/>
      <c r="O26" s="2349"/>
      <c r="P26" s="2431"/>
      <c r="Q26" s="2349"/>
      <c r="R26" s="2431"/>
      <c r="S26" s="2349"/>
    </row>
    <row r="27" spans="1:21">
      <c r="A27" s="2432"/>
      <c r="B27" s="2348"/>
      <c r="C27" s="2407"/>
      <c r="D27" s="2408"/>
      <c r="E27" s="2409"/>
      <c r="F27" s="2438"/>
      <c r="G27" s="662">
        <f t="shared" si="5"/>
        <v>0</v>
      </c>
      <c r="H27" s="2431"/>
      <c r="I27" s="2350">
        <f t="shared" si="6"/>
        <v>0</v>
      </c>
      <c r="J27" s="2431"/>
      <c r="K27" s="2350"/>
      <c r="L27" s="2431"/>
      <c r="M27" s="2349"/>
      <c r="N27" s="2431"/>
      <c r="O27" s="2349"/>
      <c r="P27" s="2431"/>
      <c r="Q27" s="2349"/>
      <c r="R27" s="2431"/>
      <c r="S27" s="2349"/>
    </row>
    <row r="28" spans="1:21">
      <c r="A28" s="2432"/>
      <c r="B28" s="2348"/>
      <c r="C28" s="2407"/>
      <c r="D28" s="2408"/>
      <c r="E28" s="2409"/>
      <c r="F28" s="2438"/>
      <c r="G28" s="662">
        <f t="shared" si="5"/>
        <v>0</v>
      </c>
      <c r="H28" s="2431"/>
      <c r="I28" s="2350">
        <f t="shared" si="6"/>
        <v>0</v>
      </c>
      <c r="J28" s="2431"/>
      <c r="K28" s="2350"/>
      <c r="L28" s="2431"/>
      <c r="M28" s="2349"/>
      <c r="N28" s="2431"/>
      <c r="O28" s="2349"/>
      <c r="P28" s="2431"/>
      <c r="Q28" s="2349"/>
      <c r="R28" s="2431"/>
      <c r="S28" s="2349"/>
    </row>
    <row r="29" spans="1:21">
      <c r="A29" s="2432"/>
      <c r="B29" s="2348"/>
      <c r="C29" s="2407"/>
      <c r="D29" s="2408"/>
      <c r="E29" s="2409"/>
      <c r="F29" s="2438"/>
      <c r="G29" s="662">
        <f t="shared" si="5"/>
        <v>0</v>
      </c>
      <c r="H29" s="2431"/>
      <c r="I29" s="2350">
        <f t="shared" si="6"/>
        <v>0</v>
      </c>
      <c r="J29" s="2431"/>
      <c r="K29" s="2350"/>
      <c r="L29" s="2431"/>
      <c r="M29" s="2349"/>
      <c r="N29" s="2431"/>
      <c r="O29" s="2349"/>
      <c r="P29" s="2431"/>
      <c r="Q29" s="2349"/>
      <c r="R29" s="2431"/>
      <c r="S29" s="2349"/>
    </row>
    <row r="30" spans="1:21">
      <c r="A30" s="2432"/>
      <c r="B30" s="2348"/>
      <c r="C30" s="2407"/>
      <c r="D30" s="2408"/>
      <c r="E30" s="2409"/>
      <c r="F30" s="2438"/>
      <c r="G30" s="662">
        <f t="shared" si="5"/>
        <v>0</v>
      </c>
      <c r="H30" s="2431"/>
      <c r="I30" s="2350">
        <f t="shared" si="6"/>
        <v>0</v>
      </c>
      <c r="J30" s="2431"/>
      <c r="K30" s="2350"/>
      <c r="L30" s="2431"/>
      <c r="M30" s="2349"/>
      <c r="N30" s="2431"/>
      <c r="O30" s="2349"/>
      <c r="P30" s="2431"/>
      <c r="Q30" s="2349"/>
      <c r="R30" s="2431"/>
      <c r="S30" s="2349"/>
    </row>
    <row r="31" spans="1:21">
      <c r="A31" s="2432"/>
      <c r="B31" s="2348"/>
      <c r="C31" s="2407"/>
      <c r="D31" s="2408"/>
      <c r="E31" s="2409"/>
      <c r="F31" s="2438"/>
      <c r="G31" s="662">
        <f t="shared" si="5"/>
        <v>0</v>
      </c>
      <c r="H31" s="2431"/>
      <c r="I31" s="2350">
        <f t="shared" si="6"/>
        <v>0</v>
      </c>
      <c r="J31" s="2431"/>
      <c r="K31" s="2350"/>
      <c r="L31" s="2431"/>
      <c r="M31" s="2349"/>
      <c r="N31" s="2431"/>
      <c r="O31" s="2349"/>
      <c r="P31" s="2431"/>
      <c r="Q31" s="2349"/>
      <c r="R31" s="2431"/>
      <c r="S31" s="2349"/>
    </row>
    <row r="32" spans="1:21">
      <c r="A32" s="2432"/>
      <c r="B32" s="2348"/>
      <c r="C32" s="2407"/>
      <c r="D32" s="2408"/>
      <c r="E32" s="2409"/>
      <c r="F32" s="2438"/>
      <c r="G32" s="662">
        <f t="shared" si="5"/>
        <v>0</v>
      </c>
      <c r="H32" s="2431"/>
      <c r="I32" s="2350">
        <f t="shared" si="6"/>
        <v>0</v>
      </c>
      <c r="J32" s="2431"/>
      <c r="K32" s="2350"/>
      <c r="L32" s="2431"/>
      <c r="M32" s="2349"/>
      <c r="N32" s="2431"/>
      <c r="O32" s="2349"/>
      <c r="P32" s="2431"/>
      <c r="Q32" s="2349"/>
      <c r="R32" s="2431"/>
      <c r="S32" s="2349"/>
    </row>
    <row r="33" spans="1:19">
      <c r="A33" s="2432"/>
      <c r="B33" s="2348"/>
      <c r="C33" s="2407"/>
      <c r="D33" s="2408"/>
      <c r="E33" s="2409"/>
      <c r="F33" s="2438"/>
      <c r="G33" s="662">
        <f t="shared" si="5"/>
        <v>0</v>
      </c>
      <c r="H33" s="2431"/>
      <c r="I33" s="2350">
        <f t="shared" si="6"/>
        <v>0</v>
      </c>
      <c r="J33" s="2431"/>
      <c r="K33" s="2350"/>
      <c r="L33" s="2431"/>
      <c r="M33" s="2349"/>
      <c r="N33" s="2431"/>
      <c r="O33" s="2349"/>
      <c r="P33" s="2431"/>
      <c r="Q33" s="2349"/>
      <c r="R33" s="2431"/>
      <c r="S33" s="2349"/>
    </row>
    <row r="34" spans="1:19">
      <c r="A34" s="2432"/>
      <c r="B34" s="2348"/>
      <c r="C34" s="2407"/>
      <c r="D34" s="2408"/>
      <c r="E34" s="2409"/>
      <c r="F34" s="2438"/>
      <c r="G34" s="662">
        <f t="shared" si="5"/>
        <v>0</v>
      </c>
      <c r="H34" s="2431"/>
      <c r="I34" s="2350">
        <f t="shared" si="6"/>
        <v>0</v>
      </c>
      <c r="J34" s="2431"/>
      <c r="K34" s="2350"/>
      <c r="L34" s="2431"/>
      <c r="M34" s="2349"/>
      <c r="N34" s="2431"/>
      <c r="O34" s="2349"/>
      <c r="P34" s="2431"/>
      <c r="Q34" s="2349"/>
      <c r="R34" s="2431"/>
      <c r="S34" s="2349"/>
    </row>
    <row r="35" spans="1:19">
      <c r="A35" s="2432"/>
      <c r="B35" s="2348"/>
      <c r="C35" s="2407"/>
      <c r="D35" s="2408"/>
      <c r="E35" s="2409"/>
      <c r="F35" s="2438"/>
      <c r="G35" s="662">
        <f t="shared" si="5"/>
        <v>0</v>
      </c>
      <c r="H35" s="2431"/>
      <c r="I35" s="2350">
        <f t="shared" si="6"/>
        <v>0</v>
      </c>
      <c r="J35" s="2431"/>
      <c r="K35" s="2350"/>
      <c r="L35" s="2431"/>
      <c r="M35" s="2349"/>
      <c r="N35" s="2431"/>
      <c r="O35" s="2349"/>
      <c r="P35" s="2431"/>
      <c r="Q35" s="2349"/>
      <c r="R35" s="2431"/>
      <c r="S35" s="2349"/>
    </row>
    <row r="36" spans="1:19">
      <c r="A36" s="2432"/>
      <c r="B36" s="2348"/>
      <c r="C36" s="2407"/>
      <c r="D36" s="2408"/>
      <c r="E36" s="2409"/>
      <c r="F36" s="2438"/>
      <c r="G36" s="662">
        <f t="shared" si="5"/>
        <v>0</v>
      </c>
      <c r="H36" s="2431"/>
      <c r="I36" s="2350">
        <f t="shared" si="6"/>
        <v>0</v>
      </c>
      <c r="J36" s="2431"/>
      <c r="K36" s="2350"/>
      <c r="L36" s="2431"/>
      <c r="M36" s="2349"/>
      <c r="N36" s="2431"/>
      <c r="O36" s="2349"/>
      <c r="P36" s="2431"/>
      <c r="Q36" s="2349"/>
      <c r="R36" s="2431"/>
      <c r="S36" s="2349"/>
    </row>
    <row r="37" spans="1:19">
      <c r="A37" s="2432"/>
      <c r="B37" s="2348"/>
      <c r="C37" s="2407"/>
      <c r="D37" s="2408"/>
      <c r="E37" s="2409"/>
      <c r="F37" s="2438"/>
      <c r="G37" s="662">
        <f t="shared" si="5"/>
        <v>0</v>
      </c>
      <c r="H37" s="2431"/>
      <c r="I37" s="2350">
        <f t="shared" si="6"/>
        <v>0</v>
      </c>
      <c r="J37" s="2431"/>
      <c r="K37" s="2350"/>
      <c r="L37" s="2431"/>
      <c r="M37" s="2349"/>
      <c r="N37" s="2431"/>
      <c r="O37" s="2349"/>
      <c r="P37" s="2431"/>
      <c r="Q37" s="2349"/>
      <c r="R37" s="2431"/>
      <c r="S37" s="2349"/>
    </row>
    <row r="38" spans="1:19">
      <c r="A38" s="2432"/>
      <c r="B38" s="2348"/>
      <c r="C38" s="2407"/>
      <c r="D38" s="2408"/>
      <c r="E38" s="2409"/>
      <c r="F38" s="2438"/>
      <c r="G38" s="662">
        <f t="shared" si="5"/>
        <v>0</v>
      </c>
      <c r="H38" s="2431"/>
      <c r="I38" s="2350">
        <f t="shared" si="6"/>
        <v>0</v>
      </c>
      <c r="J38" s="2431"/>
      <c r="K38" s="2350"/>
      <c r="L38" s="2431"/>
      <c r="M38" s="2349"/>
      <c r="N38" s="2431"/>
      <c r="O38" s="2349"/>
      <c r="P38" s="2431"/>
      <c r="Q38" s="2349"/>
      <c r="R38" s="2431"/>
      <c r="S38" s="2349"/>
    </row>
    <row r="39" spans="1:19">
      <c r="A39" s="2432"/>
      <c r="B39" s="2348"/>
      <c r="C39" s="2407"/>
      <c r="D39" s="2408"/>
      <c r="E39" s="2409"/>
      <c r="F39" s="2438"/>
      <c r="G39" s="662">
        <f t="shared" si="5"/>
        <v>0</v>
      </c>
      <c r="H39" s="2431"/>
      <c r="I39" s="2350">
        <f t="shared" si="6"/>
        <v>0</v>
      </c>
      <c r="J39" s="2431"/>
      <c r="K39" s="2350"/>
      <c r="L39" s="2431"/>
      <c r="M39" s="2349"/>
      <c r="N39" s="2431"/>
      <c r="O39" s="2349"/>
      <c r="P39" s="2431"/>
      <c r="Q39" s="2349"/>
      <c r="R39" s="2431"/>
      <c r="S39" s="2349"/>
    </row>
    <row r="40" spans="1:19">
      <c r="A40" s="2432"/>
      <c r="B40" s="2348"/>
      <c r="C40" s="2407"/>
      <c r="D40" s="2408"/>
      <c r="E40" s="2409"/>
      <c r="F40" s="2438"/>
      <c r="G40" s="662">
        <f t="shared" si="5"/>
        <v>0</v>
      </c>
      <c r="H40" s="2431"/>
      <c r="I40" s="2350">
        <f t="shared" si="6"/>
        <v>0</v>
      </c>
      <c r="J40" s="2431"/>
      <c r="K40" s="2350"/>
      <c r="L40" s="2431"/>
      <c r="M40" s="2349"/>
      <c r="N40" s="2431"/>
      <c r="O40" s="2349"/>
      <c r="P40" s="2431"/>
      <c r="Q40" s="2349"/>
      <c r="R40" s="2431"/>
      <c r="S40" s="2349"/>
    </row>
    <row r="41" spans="1:19">
      <c r="A41" s="2432"/>
      <c r="B41" s="2348"/>
      <c r="C41" s="2407"/>
      <c r="D41" s="2408"/>
      <c r="E41" s="2409"/>
      <c r="F41" s="2438"/>
      <c r="G41" s="662">
        <f t="shared" si="5"/>
        <v>0</v>
      </c>
      <c r="H41" s="2431"/>
      <c r="I41" s="2350">
        <f t="shared" si="6"/>
        <v>0</v>
      </c>
      <c r="J41" s="2431"/>
      <c r="K41" s="2350"/>
      <c r="L41" s="2431"/>
      <c r="M41" s="2349"/>
      <c r="N41" s="2431"/>
      <c r="O41" s="2349"/>
      <c r="P41" s="2431"/>
      <c r="Q41" s="2349"/>
      <c r="R41" s="2431"/>
      <c r="S41" s="2349"/>
    </row>
    <row r="42" spans="1:19">
      <c r="A42" s="2432"/>
      <c r="B42" s="2348"/>
      <c r="C42" s="2407"/>
      <c r="D42" s="2408"/>
      <c r="E42" s="2409"/>
      <c r="F42" s="2438"/>
      <c r="G42" s="662">
        <f t="shared" si="5"/>
        <v>0</v>
      </c>
      <c r="H42" s="2431"/>
      <c r="I42" s="2350">
        <f t="shared" si="6"/>
        <v>0</v>
      </c>
      <c r="J42" s="2431"/>
      <c r="K42" s="2350"/>
      <c r="L42" s="2431"/>
      <c r="M42" s="2349"/>
      <c r="N42" s="2431"/>
      <c r="O42" s="2349"/>
      <c r="P42" s="2431"/>
      <c r="Q42" s="2349"/>
      <c r="R42" s="2431"/>
      <c r="S42" s="2349"/>
    </row>
    <row r="43" spans="1:19">
      <c r="A43" s="2432"/>
      <c r="B43" s="2348"/>
      <c r="C43" s="2407"/>
      <c r="D43" s="2408"/>
      <c r="E43" s="2409"/>
      <c r="F43" s="2438"/>
      <c r="G43" s="662">
        <f t="shared" si="5"/>
        <v>0</v>
      </c>
      <c r="H43" s="2431"/>
      <c r="I43" s="2350">
        <f t="shared" si="6"/>
        <v>0</v>
      </c>
      <c r="J43" s="2431"/>
      <c r="K43" s="2350"/>
      <c r="L43" s="2431"/>
      <c r="M43" s="2349"/>
      <c r="N43" s="2431"/>
      <c r="O43" s="2349"/>
      <c r="P43" s="2431"/>
      <c r="Q43" s="2349"/>
      <c r="R43" s="2431"/>
      <c r="S43" s="2349"/>
    </row>
    <row r="44" spans="1:19">
      <c r="A44" s="2432"/>
      <c r="B44" s="2348"/>
      <c r="C44" s="2407"/>
      <c r="D44" s="2408"/>
      <c r="E44" s="2409"/>
      <c r="F44" s="2438"/>
      <c r="G44" s="662">
        <f t="shared" si="5"/>
        <v>0</v>
      </c>
      <c r="H44" s="2431"/>
      <c r="I44" s="2350">
        <f t="shared" si="6"/>
        <v>0</v>
      </c>
      <c r="J44" s="2431"/>
      <c r="K44" s="2350"/>
      <c r="L44" s="2431"/>
      <c r="M44" s="2349"/>
      <c r="N44" s="2431"/>
      <c r="O44" s="2349"/>
      <c r="P44" s="2431"/>
      <c r="Q44" s="2349"/>
      <c r="R44" s="2431"/>
      <c r="S44" s="2349"/>
    </row>
    <row r="45" spans="1:19">
      <c r="A45" s="2432"/>
      <c r="B45" s="2348"/>
      <c r="C45" s="2407"/>
      <c r="D45" s="2408"/>
      <c r="E45" s="2409"/>
      <c r="F45" s="2438"/>
      <c r="G45" s="662">
        <f t="shared" si="5"/>
        <v>0</v>
      </c>
      <c r="H45" s="2431"/>
      <c r="I45" s="2350">
        <f t="shared" si="6"/>
        <v>0</v>
      </c>
      <c r="J45" s="2431"/>
      <c r="K45" s="2350"/>
      <c r="L45" s="2431"/>
      <c r="M45" s="2349"/>
      <c r="N45" s="2431"/>
      <c r="O45" s="2349"/>
      <c r="P45" s="2431"/>
      <c r="Q45" s="2349"/>
      <c r="R45" s="2431"/>
      <c r="S45" s="2349"/>
    </row>
    <row r="46" spans="1:19">
      <c r="A46" s="2432"/>
      <c r="B46" s="2348"/>
      <c r="C46" s="2407"/>
      <c r="D46" s="2408"/>
      <c r="E46" s="2409"/>
      <c r="F46" s="2438"/>
      <c r="G46" s="662">
        <f t="shared" si="5"/>
        <v>0</v>
      </c>
      <c r="H46" s="2431"/>
      <c r="I46" s="2350">
        <f t="shared" si="6"/>
        <v>0</v>
      </c>
      <c r="J46" s="2431"/>
      <c r="K46" s="2350"/>
      <c r="L46" s="2431"/>
      <c r="M46" s="2349"/>
      <c r="N46" s="2431"/>
      <c r="O46" s="2349"/>
      <c r="P46" s="2431"/>
      <c r="Q46" s="2349"/>
      <c r="R46" s="2431"/>
      <c r="S46" s="2349"/>
    </row>
    <row r="47" spans="1:19">
      <c r="A47" s="2432"/>
      <c r="B47" s="2348"/>
      <c r="C47" s="2407"/>
      <c r="D47" s="2408"/>
      <c r="E47" s="2409"/>
      <c r="F47" s="2438"/>
      <c r="G47" s="662">
        <f t="shared" si="5"/>
        <v>0</v>
      </c>
      <c r="H47" s="2431"/>
      <c r="I47" s="2350">
        <f t="shared" si="6"/>
        <v>0</v>
      </c>
      <c r="J47" s="2431"/>
      <c r="K47" s="2350"/>
      <c r="L47" s="2431"/>
      <c r="M47" s="2349"/>
      <c r="N47" s="2431"/>
      <c r="O47" s="2349"/>
      <c r="P47" s="2431"/>
      <c r="Q47" s="2349"/>
      <c r="R47" s="2431"/>
      <c r="S47" s="2349"/>
    </row>
    <row r="48" spans="1:19">
      <c r="A48" s="2432"/>
      <c r="B48" s="2348"/>
      <c r="C48" s="2407"/>
      <c r="D48" s="2408"/>
      <c r="E48" s="2409"/>
      <c r="F48" s="2438"/>
      <c r="G48" s="662">
        <f t="shared" si="5"/>
        <v>0</v>
      </c>
      <c r="H48" s="2431"/>
      <c r="I48" s="2350">
        <f t="shared" si="6"/>
        <v>0</v>
      </c>
      <c r="J48" s="2431"/>
      <c r="K48" s="2350"/>
      <c r="L48" s="2431"/>
      <c r="M48" s="2349"/>
      <c r="N48" s="2431"/>
      <c r="O48" s="2349"/>
      <c r="P48" s="2431"/>
      <c r="Q48" s="2349"/>
      <c r="R48" s="2431"/>
      <c r="S48" s="2349"/>
    </row>
    <row r="49" spans="1:34">
      <c r="A49" s="2432"/>
      <c r="B49" s="2348"/>
      <c r="C49" s="2407"/>
      <c r="D49" s="2408"/>
      <c r="E49" s="2409"/>
      <c r="F49" s="2438"/>
      <c r="G49" s="662">
        <f t="shared" si="5"/>
        <v>0</v>
      </c>
      <c r="H49" s="2431"/>
      <c r="I49" s="2350">
        <f t="shared" si="6"/>
        <v>0</v>
      </c>
      <c r="J49" s="2431"/>
      <c r="K49" s="2350"/>
      <c r="L49" s="2431"/>
      <c r="M49" s="2349"/>
      <c r="N49" s="2431"/>
      <c r="O49" s="2349"/>
      <c r="P49" s="2431"/>
      <c r="Q49" s="2349"/>
      <c r="R49" s="2431"/>
      <c r="S49" s="2349"/>
    </row>
    <row r="50" spans="1:34" ht="15.75" thickBot="1">
      <c r="A50" s="2432"/>
      <c r="B50" s="2354"/>
      <c r="C50" s="2355"/>
      <c r="D50" s="2356"/>
      <c r="E50" s="2409"/>
      <c r="F50" s="2357"/>
      <c r="G50" s="662"/>
      <c r="H50" s="2431"/>
      <c r="I50" s="2350"/>
      <c r="J50" s="2431"/>
      <c r="K50" s="2350"/>
      <c r="L50" s="2431"/>
      <c r="M50" s="2350"/>
      <c r="N50" s="2431"/>
      <c r="O50" s="2350"/>
      <c r="P50" s="2431"/>
      <c r="Q50" s="2350"/>
      <c r="R50" s="2431"/>
      <c r="S50" s="2350"/>
    </row>
    <row r="51" spans="1:34" ht="15.75" thickTop="1">
      <c r="A51" s="13"/>
      <c r="B51" s="226" t="s">
        <v>3265</v>
      </c>
      <c r="C51" s="15"/>
      <c r="D51" s="168"/>
      <c r="E51" s="176"/>
      <c r="F51" s="17"/>
      <c r="G51" s="227">
        <f>SUBTOTAL(9,G21:G50)</f>
        <v>0</v>
      </c>
      <c r="H51" s="19"/>
      <c r="I51" s="225">
        <f>SUBTOTAL(9,I21:I50)</f>
        <v>0</v>
      </c>
      <c r="J51" s="19"/>
      <c r="K51" s="225">
        <f>SUBTOTAL(9,K21:K50)</f>
        <v>0</v>
      </c>
      <c r="L51" s="19"/>
      <c r="M51" s="225">
        <f>SUBTOTAL(9,M21:M50)</f>
        <v>0</v>
      </c>
      <c r="N51" s="19"/>
      <c r="O51" s="164">
        <f>SUM(O19:O50)</f>
        <v>0</v>
      </c>
      <c r="P51" s="19"/>
      <c r="Q51" s="164">
        <f>SUM(Q19:Q50)</f>
        <v>0</v>
      </c>
      <c r="R51" s="19"/>
      <c r="S51" s="164">
        <f>SUM(S19:S50)</f>
        <v>0</v>
      </c>
    </row>
    <row r="52" spans="1:34">
      <c r="A52" s="2358"/>
      <c r="B52" s="2359" t="s">
        <v>2976</v>
      </c>
      <c r="C52" s="2360"/>
      <c r="D52" s="2361"/>
      <c r="E52" s="2362"/>
      <c r="F52" s="2363"/>
      <c r="G52" s="654"/>
      <c r="H52" s="2364">
        <v>0</v>
      </c>
      <c r="I52" s="645"/>
      <c r="J52" s="2364">
        <v>0</v>
      </c>
      <c r="K52" s="645"/>
      <c r="L52" s="2364">
        <v>0</v>
      </c>
      <c r="M52" s="645"/>
      <c r="N52" s="2364">
        <v>0</v>
      </c>
      <c r="O52" s="645"/>
      <c r="P52" s="2364">
        <v>0</v>
      </c>
      <c r="Q52" s="645"/>
      <c r="R52" s="2364">
        <v>0</v>
      </c>
      <c r="S52" s="645"/>
    </row>
    <row r="53" spans="1:34">
      <c r="A53" s="2358"/>
      <c r="B53" s="2359" t="s">
        <v>2977</v>
      </c>
      <c r="C53" s="2360"/>
      <c r="D53" s="2361"/>
      <c r="E53" s="2362"/>
      <c r="F53" s="2363"/>
      <c r="G53" s="654">
        <f>F52*G51</f>
        <v>0</v>
      </c>
      <c r="H53" s="2365"/>
      <c r="I53" s="2366">
        <f>H52*I51</f>
        <v>0</v>
      </c>
      <c r="J53" s="2365"/>
      <c r="K53" s="2366">
        <f>J52*K51</f>
        <v>0</v>
      </c>
      <c r="L53" s="2365"/>
      <c r="M53" s="2366">
        <f>L52*M51</f>
        <v>0</v>
      </c>
      <c r="N53" s="2365"/>
      <c r="O53" s="2366">
        <f>N52*O51</f>
        <v>0</v>
      </c>
      <c r="P53" s="2365"/>
      <c r="Q53" s="2366">
        <f>P52*Q51</f>
        <v>0</v>
      </c>
      <c r="R53" s="2365"/>
      <c r="S53" s="2366">
        <f>R52*S51</f>
        <v>0</v>
      </c>
    </row>
    <row r="54" spans="1:34">
      <c r="A54" s="2358"/>
      <c r="B54" s="2359"/>
      <c r="C54" s="2360"/>
      <c r="D54" s="2361"/>
      <c r="E54" s="2362"/>
      <c r="F54" s="2363"/>
      <c r="G54" s="654"/>
      <c r="H54" s="2365"/>
      <c r="I54" s="2366"/>
      <c r="J54" s="2365"/>
      <c r="K54" s="2366"/>
      <c r="L54" s="2365"/>
      <c r="M54" s="2366"/>
      <c r="N54" s="2365"/>
      <c r="O54" s="2366"/>
      <c r="P54" s="2365"/>
      <c r="Q54" s="2366"/>
      <c r="R54" s="2365"/>
      <c r="S54" s="2366"/>
    </row>
    <row r="55" spans="1:34">
      <c r="A55" s="2358"/>
      <c r="B55" s="2359" t="s">
        <v>2978</v>
      </c>
      <c r="C55" s="2360"/>
      <c r="D55" s="2361"/>
      <c r="E55" s="2362"/>
      <c r="F55" s="2363"/>
      <c r="G55" s="654">
        <f>SUM(G51:G53)</f>
        <v>0</v>
      </c>
      <c r="H55" s="2367"/>
      <c r="I55" s="2366">
        <f>SUM(I51:I53)</f>
        <v>0</v>
      </c>
      <c r="J55" s="2367"/>
      <c r="K55" s="2366">
        <f>SUM(K51:K53)</f>
        <v>0</v>
      </c>
      <c r="L55" s="2367"/>
      <c r="M55" s="2366">
        <f>SUM(M51:M53)</f>
        <v>0</v>
      </c>
      <c r="N55" s="2367"/>
      <c r="O55" s="2366">
        <f>SUM(O51:O53)</f>
        <v>0</v>
      </c>
      <c r="P55" s="2367"/>
      <c r="Q55" s="2366">
        <f>SUM(Q51:Q53)</f>
        <v>0</v>
      </c>
      <c r="R55" s="2367"/>
      <c r="S55" s="2366">
        <f>SUM(S51:S53)</f>
        <v>0</v>
      </c>
    </row>
    <row r="56" spans="1:34">
      <c r="A56" s="2358"/>
      <c r="B56" s="2368" t="s">
        <v>2979</v>
      </c>
      <c r="C56" s="2360"/>
      <c r="D56" s="2361"/>
      <c r="E56" s="2362"/>
      <c r="F56" s="2368"/>
      <c r="G56" s="655">
        <f>G55/'Area Calculations'!$F$5</f>
        <v>0</v>
      </c>
      <c r="H56" s="2369"/>
      <c r="I56" s="2370">
        <f>I55/'Area Calculations'!$F$5</f>
        <v>0</v>
      </c>
      <c r="J56" s="2369"/>
      <c r="K56" s="2370">
        <f>K55/'Area Calculations'!$F$5</f>
        <v>0</v>
      </c>
      <c r="L56" s="2369"/>
      <c r="M56" s="2370">
        <f>M55/'Area Calculations'!$F$5</f>
        <v>0</v>
      </c>
      <c r="N56" s="2369"/>
      <c r="O56" s="2370">
        <f>O55/'Area Calculations'!$F$5</f>
        <v>0</v>
      </c>
      <c r="P56" s="2369"/>
      <c r="Q56" s="2370">
        <f>Q55/'Area Calculations'!$F$5</f>
        <v>0</v>
      </c>
      <c r="R56" s="2371"/>
      <c r="S56" s="2370">
        <f>S55/'Area Calculations'!$F$5</f>
        <v>0</v>
      </c>
    </row>
    <row r="57" spans="1:34" ht="15.75" thickBot="1">
      <c r="A57" s="2358"/>
      <c r="B57" s="2372"/>
      <c r="C57" s="2360"/>
      <c r="D57" s="2361"/>
      <c r="E57" s="2362"/>
      <c r="F57" s="2363"/>
      <c r="G57" s="656"/>
      <c r="H57" s="2373"/>
      <c r="I57" s="2373"/>
      <c r="J57" s="2373"/>
      <c r="K57" s="2373"/>
      <c r="L57" s="2373"/>
      <c r="M57" s="2374"/>
      <c r="N57" s="2373"/>
      <c r="O57" s="2373"/>
      <c r="P57" s="2373"/>
      <c r="Q57" s="2373"/>
      <c r="R57" s="2373"/>
      <c r="S57" s="2373"/>
    </row>
    <row r="58" spans="1:34" ht="16.5" thickTop="1" thickBot="1">
      <c r="A58" s="830" t="s">
        <v>2980</v>
      </c>
      <c r="B58" s="831"/>
      <c r="C58" s="12"/>
      <c r="D58" s="169"/>
      <c r="E58" s="177"/>
      <c r="F58" s="12"/>
      <c r="G58" s="228"/>
      <c r="H58" s="20"/>
      <c r="I58" s="20"/>
      <c r="J58" s="20"/>
      <c r="K58" s="20"/>
      <c r="L58" s="47"/>
      <c r="M58" s="20"/>
      <c r="N58" s="20"/>
      <c r="O58" s="20"/>
      <c r="P58" s="20"/>
      <c r="Q58" s="20"/>
      <c r="R58" s="20"/>
      <c r="S58" s="20"/>
    </row>
    <row r="59" spans="1:34" ht="15.75" thickTop="1">
      <c r="A59" s="2375"/>
      <c r="B59" s="2406"/>
      <c r="C59" s="2376"/>
      <c r="D59" s="2377"/>
      <c r="E59" s="2378"/>
      <c r="F59" s="2376"/>
      <c r="G59" s="2379"/>
      <c r="H59" s="2380"/>
      <c r="I59" s="2380"/>
      <c r="J59" s="2380"/>
      <c r="K59" s="2380"/>
      <c r="L59" s="2381"/>
      <c r="M59" s="2380"/>
      <c r="N59" s="2380"/>
      <c r="O59" s="2380"/>
      <c r="P59" s="2380"/>
      <c r="Q59" s="2380"/>
      <c r="R59" s="2380"/>
      <c r="S59" s="2380"/>
    </row>
    <row r="60" spans="1:34">
      <c r="A60" s="2375"/>
      <c r="B60" s="2406"/>
      <c r="C60" s="2376"/>
      <c r="D60" s="2377"/>
      <c r="E60" s="2378"/>
      <c r="F60" s="2376"/>
      <c r="G60" s="2379"/>
      <c r="H60" s="2380"/>
      <c r="I60" s="2380"/>
      <c r="J60" s="2380"/>
      <c r="K60" s="2380"/>
      <c r="L60" s="2381"/>
      <c r="M60" s="2380"/>
      <c r="N60" s="2380"/>
      <c r="O60" s="2380"/>
      <c r="P60" s="2380"/>
      <c r="Q60" s="2380"/>
      <c r="R60" s="2380"/>
      <c r="S60" s="2380"/>
    </row>
    <row r="61" spans="1:34" ht="15.75" thickBot="1">
      <c r="A61" s="2375"/>
      <c r="B61" s="2406"/>
      <c r="C61" s="2376"/>
      <c r="D61" s="2377"/>
      <c r="E61" s="2378"/>
      <c r="F61" s="2376"/>
      <c r="G61" s="2379"/>
      <c r="H61" s="2380"/>
      <c r="I61" s="2380"/>
      <c r="J61" s="2380"/>
      <c r="K61" s="2380"/>
      <c r="L61" s="2381"/>
      <c r="M61" s="2380"/>
      <c r="N61" s="2380"/>
      <c r="O61" s="2380"/>
      <c r="P61" s="2380"/>
      <c r="Q61" s="2380"/>
      <c r="R61" s="2380"/>
      <c r="S61" s="2380"/>
    </row>
    <row r="62" spans="1:34" s="2" customFormat="1" ht="16.5" thickTop="1" thickBot="1">
      <c r="A62" s="830" t="s">
        <v>2981</v>
      </c>
      <c r="B62" s="831"/>
      <c r="C62" s="12"/>
      <c r="D62" s="169"/>
      <c r="E62" s="177"/>
      <c r="F62" s="12"/>
      <c r="G62" s="228"/>
      <c r="H62" s="20"/>
      <c r="I62" s="20"/>
      <c r="J62" s="20"/>
      <c r="K62" s="20"/>
      <c r="L62" s="47"/>
      <c r="M62" s="20"/>
      <c r="N62" s="20"/>
      <c r="O62" s="20"/>
      <c r="P62" s="20"/>
      <c r="Q62" s="20"/>
      <c r="R62" s="20"/>
      <c r="S62" s="20"/>
      <c r="T62"/>
      <c r="U62"/>
      <c r="V62"/>
      <c r="W62"/>
      <c r="X62"/>
      <c r="Y62"/>
      <c r="Z62"/>
      <c r="AA62"/>
      <c r="AB62"/>
      <c r="AC62"/>
      <c r="AD62"/>
      <c r="AE62"/>
      <c r="AF62"/>
      <c r="AG62"/>
      <c r="AH62"/>
    </row>
    <row r="63" spans="1:34" s="2" customFormat="1" ht="15.75" thickTop="1">
      <c r="A63" s="2375"/>
      <c r="B63" s="2406"/>
      <c r="C63" s="2376"/>
      <c r="D63" s="2377"/>
      <c r="E63" s="2378"/>
      <c r="F63" s="2376"/>
      <c r="G63" s="2379"/>
      <c r="H63" s="2380"/>
      <c r="I63" s="2380"/>
      <c r="J63" s="2380"/>
      <c r="K63" s="2380"/>
      <c r="L63" s="2381"/>
      <c r="M63" s="2380"/>
      <c r="N63" s="2380"/>
      <c r="O63" s="2380"/>
      <c r="P63" s="2380"/>
      <c r="Q63" s="2380"/>
      <c r="R63" s="2380"/>
      <c r="S63" s="2380"/>
      <c r="T63"/>
      <c r="U63"/>
      <c r="V63"/>
      <c r="W63"/>
      <c r="X63"/>
      <c r="Y63"/>
      <c r="Z63"/>
      <c r="AA63"/>
      <c r="AB63"/>
      <c r="AC63"/>
      <c r="AD63"/>
      <c r="AE63"/>
      <c r="AF63"/>
      <c r="AG63"/>
      <c r="AH63"/>
    </row>
    <row r="64" spans="1:34" s="2" customFormat="1">
      <c r="A64" s="2375"/>
      <c r="B64" s="2406"/>
      <c r="C64" s="2376"/>
      <c r="D64" s="2377"/>
      <c r="E64" s="2378"/>
      <c r="F64" s="2376"/>
      <c r="G64" s="2379"/>
      <c r="H64" s="2380"/>
      <c r="I64" s="2380"/>
      <c r="J64" s="2380"/>
      <c r="K64" s="2380"/>
      <c r="L64" s="2381"/>
      <c r="M64" s="2380"/>
      <c r="N64" s="2380"/>
      <c r="O64" s="2380"/>
      <c r="P64" s="2380"/>
      <c r="Q64" s="2380"/>
      <c r="R64" s="2380"/>
      <c r="S64" s="2380"/>
      <c r="T64"/>
      <c r="U64"/>
      <c r="V64"/>
      <c r="W64"/>
      <c r="X64"/>
      <c r="Y64"/>
      <c r="Z64"/>
      <c r="AA64"/>
      <c r="AB64"/>
      <c r="AC64"/>
      <c r="AD64"/>
      <c r="AE64"/>
      <c r="AF64"/>
      <c r="AG64"/>
      <c r="AH64"/>
    </row>
    <row r="65" spans="1:34" ht="15.75" thickBot="1">
      <c r="A65" s="2375"/>
      <c r="B65" s="2406"/>
      <c r="C65" s="2376"/>
      <c r="D65" s="2377"/>
      <c r="E65" s="2378"/>
      <c r="F65" s="2376"/>
      <c r="G65" s="2379"/>
      <c r="H65" s="2380"/>
      <c r="I65" s="2380"/>
      <c r="J65" s="2380"/>
      <c r="K65" s="2380"/>
      <c r="L65" s="2381"/>
      <c r="M65" s="2380"/>
      <c r="N65" s="2380"/>
      <c r="O65" s="2380"/>
      <c r="P65" s="2380"/>
      <c r="Q65" s="2380"/>
      <c r="R65" s="2380"/>
      <c r="S65" s="2380"/>
    </row>
    <row r="66" spans="1:34" s="2" customFormat="1" ht="16.5" thickTop="1" thickBot="1">
      <c r="A66" s="830" t="s">
        <v>2982</v>
      </c>
      <c r="B66" s="831"/>
      <c r="C66" s="12"/>
      <c r="D66" s="169"/>
      <c r="E66" s="177"/>
      <c r="F66" s="12"/>
      <c r="G66" s="228"/>
      <c r="H66" s="20"/>
      <c r="I66" s="20"/>
      <c r="J66" s="20"/>
      <c r="K66" s="20"/>
      <c r="L66" s="47"/>
      <c r="M66" s="20"/>
      <c r="N66" s="20"/>
      <c r="O66" s="20"/>
      <c r="P66" s="20"/>
      <c r="Q66" s="20"/>
      <c r="R66" s="20"/>
      <c r="S66" s="20"/>
      <c r="T66"/>
      <c r="U66"/>
      <c r="V66"/>
      <c r="W66"/>
      <c r="X66"/>
      <c r="Y66"/>
      <c r="Z66"/>
      <c r="AA66"/>
      <c r="AB66"/>
      <c r="AC66"/>
      <c r="AD66"/>
      <c r="AE66"/>
      <c r="AF66"/>
      <c r="AG66"/>
      <c r="AH66"/>
    </row>
    <row r="67" spans="1:34" s="2" customFormat="1" ht="15.75" thickTop="1">
      <c r="A67" s="2375"/>
      <c r="B67" s="2406"/>
      <c r="C67" s="2376"/>
      <c r="D67" s="2377"/>
      <c r="E67" s="2378"/>
      <c r="F67" s="2376"/>
      <c r="G67" s="2379"/>
      <c r="H67" s="2380"/>
      <c r="I67" s="2380"/>
      <c r="J67" s="2380"/>
      <c r="K67" s="2380"/>
      <c r="L67" s="2381"/>
      <c r="M67" s="2380"/>
      <c r="N67" s="2380"/>
      <c r="O67" s="2380"/>
      <c r="P67" s="2380"/>
      <c r="Q67" s="2380"/>
      <c r="R67" s="2380"/>
      <c r="S67" s="2380"/>
      <c r="T67"/>
      <c r="U67"/>
      <c r="V67"/>
      <c r="W67"/>
      <c r="X67"/>
      <c r="Y67"/>
      <c r="Z67"/>
      <c r="AA67"/>
      <c r="AB67"/>
      <c r="AC67"/>
      <c r="AD67"/>
      <c r="AE67"/>
      <c r="AF67"/>
      <c r="AG67"/>
      <c r="AH67"/>
    </row>
    <row r="68" spans="1:34" s="2" customFormat="1">
      <c r="A68" s="2382"/>
      <c r="B68" s="2406"/>
      <c r="C68" s="2407"/>
      <c r="D68" s="2408"/>
      <c r="E68" s="2409"/>
      <c r="F68" s="2407"/>
      <c r="G68" s="2383"/>
      <c r="H68" s="2384"/>
      <c r="I68" s="2384"/>
      <c r="J68" s="2384"/>
      <c r="K68" s="2384"/>
      <c r="L68" s="688"/>
      <c r="M68" s="2384"/>
      <c r="N68" s="2384"/>
      <c r="O68" s="2384"/>
      <c r="P68" s="2384"/>
      <c r="Q68" s="2384"/>
      <c r="R68" s="2384"/>
      <c r="S68" s="2384"/>
      <c r="T68"/>
      <c r="U68"/>
      <c r="V68"/>
      <c r="W68"/>
      <c r="X68"/>
      <c r="Y68"/>
      <c r="Z68"/>
      <c r="AA68"/>
      <c r="AB68"/>
      <c r="AC68"/>
      <c r="AD68"/>
      <c r="AE68"/>
      <c r="AF68"/>
      <c r="AG68"/>
      <c r="AH68"/>
    </row>
    <row r="69" spans="1:34" s="2" customFormat="1" ht="15.75" thickBot="1">
      <c r="A69" s="2385"/>
      <c r="B69" s="2386"/>
      <c r="C69" s="2407"/>
      <c r="D69" s="2408"/>
      <c r="E69" s="2409"/>
      <c r="F69" s="2407"/>
      <c r="G69" s="2383"/>
      <c r="H69" s="2387"/>
      <c r="I69" s="2387"/>
      <c r="J69" s="2387"/>
      <c r="K69" s="2387"/>
      <c r="L69" s="689"/>
      <c r="M69" s="2387"/>
      <c r="N69" s="2387"/>
      <c r="O69" s="2387"/>
      <c r="P69" s="2387"/>
      <c r="Q69" s="2387"/>
      <c r="R69" s="2387"/>
      <c r="S69" s="2387"/>
    </row>
    <row r="70" spans="1:34" s="2" customFormat="1" ht="16.5" thickTop="1" thickBot="1">
      <c r="A70" s="830" t="s">
        <v>2983</v>
      </c>
      <c r="B70" s="831"/>
      <c r="C70" s="12"/>
      <c r="D70" s="169"/>
      <c r="E70" s="177"/>
      <c r="F70" s="12"/>
      <c r="G70" s="228"/>
      <c r="H70" s="20"/>
      <c r="I70" s="20"/>
      <c r="J70" s="20"/>
      <c r="K70" s="20"/>
      <c r="L70" s="47"/>
      <c r="M70" s="20"/>
      <c r="N70" s="20"/>
      <c r="O70" s="20"/>
      <c r="P70" s="20"/>
      <c r="Q70" s="20"/>
      <c r="R70" s="20"/>
      <c r="S70" s="20"/>
      <c r="T70"/>
      <c r="U70"/>
      <c r="V70"/>
      <c r="W70"/>
      <c r="X70"/>
      <c r="Y70"/>
      <c r="Z70"/>
      <c r="AA70"/>
      <c r="AB70"/>
      <c r="AC70"/>
      <c r="AD70"/>
      <c r="AE70"/>
      <c r="AF70"/>
      <c r="AG70"/>
      <c r="AH70"/>
    </row>
    <row r="71" spans="1:34" ht="15.75" thickTop="1">
      <c r="A71" s="2388"/>
      <c r="B71" s="2389"/>
      <c r="C71" s="2376"/>
      <c r="D71" s="2377"/>
      <c r="E71" s="2378"/>
      <c r="F71" s="2376"/>
      <c r="G71" s="2379"/>
      <c r="H71" s="2380"/>
      <c r="I71" s="2380"/>
      <c r="J71" s="2380"/>
      <c r="K71" s="2380"/>
      <c r="L71" s="2381"/>
      <c r="M71" s="2380"/>
      <c r="N71" s="2380"/>
      <c r="O71" s="2380"/>
      <c r="P71" s="2380"/>
      <c r="Q71" s="2380"/>
      <c r="R71" s="2380"/>
      <c r="S71" s="2380"/>
      <c r="T71" s="2"/>
      <c r="U71" s="2"/>
      <c r="V71" s="2"/>
      <c r="W71" s="2"/>
      <c r="X71" s="2"/>
      <c r="Y71" s="2"/>
      <c r="Z71" s="2"/>
      <c r="AA71" s="2"/>
      <c r="AB71" s="2"/>
      <c r="AC71" s="2"/>
      <c r="AD71" s="2"/>
      <c r="AE71" s="2"/>
      <c r="AF71" s="2"/>
      <c r="AG71" s="2"/>
      <c r="AH71" s="2"/>
    </row>
    <row r="72" spans="1:34">
      <c r="A72" s="2385"/>
      <c r="B72" s="2386"/>
      <c r="C72" s="2407"/>
      <c r="D72" s="2408"/>
      <c r="E72" s="2409"/>
      <c r="F72" s="2407"/>
      <c r="G72" s="2383"/>
      <c r="H72" s="2390"/>
      <c r="I72" s="2390"/>
      <c r="J72" s="2390"/>
      <c r="K72" s="2390"/>
      <c r="L72" s="690"/>
      <c r="M72" s="2390"/>
      <c r="N72" s="2390"/>
      <c r="O72" s="2390"/>
      <c r="P72" s="2390"/>
      <c r="Q72" s="2390"/>
      <c r="R72" s="2390"/>
      <c r="S72" s="2390"/>
      <c r="T72" s="2"/>
      <c r="U72" s="2"/>
      <c r="V72" s="2"/>
      <c r="W72" s="2"/>
      <c r="X72" s="2"/>
      <c r="Y72" s="2"/>
      <c r="Z72" s="2"/>
      <c r="AA72" s="2"/>
      <c r="AB72" s="2"/>
      <c r="AC72" s="2"/>
      <c r="AD72" s="2"/>
      <c r="AE72" s="2"/>
      <c r="AF72" s="2"/>
      <c r="AG72" s="2"/>
      <c r="AH72" s="2"/>
    </row>
    <row r="73" spans="1:34" ht="15.75" thickBot="1">
      <c r="A73" s="2385"/>
      <c r="B73" s="2386"/>
      <c r="C73" s="2407"/>
      <c r="D73" s="2408"/>
      <c r="E73" s="2409"/>
      <c r="F73" s="2407"/>
      <c r="G73" s="2383"/>
      <c r="H73" s="2390"/>
      <c r="I73" s="2390"/>
      <c r="J73" s="2390"/>
      <c r="K73" s="2390"/>
      <c r="L73" s="690"/>
      <c r="M73" s="2390"/>
      <c r="N73" s="2390"/>
      <c r="O73" s="2390"/>
      <c r="P73" s="2390"/>
      <c r="Q73" s="2390"/>
      <c r="R73" s="2390"/>
      <c r="S73" s="2390"/>
      <c r="T73" s="2"/>
      <c r="U73" s="2"/>
      <c r="V73" s="2"/>
      <c r="W73" s="2"/>
      <c r="X73" s="2"/>
      <c r="Y73" s="2"/>
      <c r="Z73" s="2"/>
      <c r="AA73" s="2"/>
      <c r="AB73" s="2"/>
      <c r="AC73" s="2"/>
      <c r="AD73" s="2"/>
      <c r="AE73" s="2"/>
      <c r="AF73" s="2"/>
      <c r="AG73" s="2"/>
      <c r="AH73" s="2"/>
    </row>
    <row r="74" spans="1:34" ht="16.5" thickTop="1" thickBot="1">
      <c r="A74" s="830" t="s">
        <v>2984</v>
      </c>
      <c r="B74" s="831"/>
      <c r="C74" s="12"/>
      <c r="D74" s="169"/>
      <c r="E74" s="177"/>
      <c r="F74" s="12"/>
      <c r="G74" s="228"/>
      <c r="H74" s="20"/>
      <c r="I74" s="20"/>
      <c r="J74" s="20"/>
      <c r="K74" s="20"/>
      <c r="L74" s="47"/>
      <c r="M74" s="20"/>
      <c r="N74" s="20"/>
      <c r="O74" s="20"/>
      <c r="P74" s="20"/>
      <c r="Q74" s="20"/>
      <c r="R74" s="20"/>
      <c r="S74" s="20"/>
    </row>
    <row r="75" spans="1:34" ht="15.75" thickTop="1">
      <c r="A75" s="2382"/>
      <c r="B75" s="2406" t="s">
        <v>2985</v>
      </c>
      <c r="C75" s="2407"/>
      <c r="D75" s="2408"/>
      <c r="E75" s="2409"/>
      <c r="F75" s="2407"/>
      <c r="G75" s="2383"/>
      <c r="H75" s="2390"/>
      <c r="I75" s="2390"/>
      <c r="J75" s="2390"/>
      <c r="K75" s="2390"/>
      <c r="L75" s="690"/>
      <c r="M75" s="2390"/>
      <c r="N75" s="2390"/>
      <c r="O75" s="2390"/>
      <c r="P75" s="2390"/>
      <c r="Q75" s="2390"/>
      <c r="R75" s="2390"/>
      <c r="S75" s="2390"/>
    </row>
    <row r="76" spans="1:34">
      <c r="A76" s="2382"/>
      <c r="B76" s="2406" t="s">
        <v>2986</v>
      </c>
      <c r="C76" s="2407"/>
      <c r="D76" s="2408"/>
      <c r="E76" s="2409"/>
      <c r="F76" s="2407"/>
      <c r="G76" s="2383"/>
      <c r="H76" s="2390"/>
      <c r="I76" s="2390"/>
      <c r="J76" s="2390"/>
      <c r="K76" s="2390"/>
      <c r="L76" s="690"/>
      <c r="M76" s="2390"/>
      <c r="N76" s="2390"/>
      <c r="O76" s="2390"/>
      <c r="P76" s="2390"/>
      <c r="Q76" s="2390"/>
      <c r="R76" s="2390"/>
      <c r="S76" s="2390"/>
    </row>
    <row r="77" spans="1:34">
      <c r="A77" s="2382"/>
      <c r="B77" s="2406" t="s">
        <v>2987</v>
      </c>
      <c r="C77" s="2407"/>
      <c r="D77" s="2408"/>
      <c r="E77" s="2409"/>
      <c r="F77" s="2407"/>
      <c r="G77" s="2383"/>
      <c r="H77" s="2390"/>
      <c r="I77" s="2390"/>
      <c r="J77" s="2390"/>
      <c r="K77" s="2390"/>
      <c r="L77" s="690"/>
      <c r="M77" s="2390"/>
      <c r="N77" s="2390"/>
      <c r="O77" s="2390"/>
      <c r="P77" s="2390"/>
      <c r="Q77" s="2390"/>
      <c r="R77" s="2390"/>
      <c r="S77" s="2390"/>
    </row>
    <row r="78" spans="1:34">
      <c r="A78" s="2382"/>
      <c r="B78" s="2406" t="s">
        <v>2988</v>
      </c>
      <c r="C78" s="2407"/>
      <c r="D78" s="2408"/>
      <c r="E78" s="2409"/>
      <c r="F78" s="2407"/>
      <c r="G78" s="2383"/>
      <c r="H78" s="2390"/>
      <c r="I78" s="2390"/>
      <c r="J78" s="2390"/>
      <c r="K78" s="2390"/>
      <c r="L78" s="690"/>
      <c r="M78" s="2390"/>
      <c r="N78" s="2390"/>
      <c r="O78" s="2390"/>
      <c r="P78" s="2390"/>
      <c r="Q78" s="2390"/>
      <c r="R78" s="2390"/>
      <c r="S78" s="2390"/>
    </row>
    <row r="79" spans="1:34" ht="15.75" thickBot="1">
      <c r="A79" s="646"/>
      <c r="B79" s="619"/>
      <c r="C79" s="616"/>
      <c r="D79" s="621"/>
      <c r="E79" s="622"/>
      <c r="F79" s="616"/>
      <c r="G79" s="620"/>
      <c r="H79" s="647"/>
      <c r="I79" s="647"/>
      <c r="J79" s="647"/>
      <c r="K79" s="647"/>
      <c r="L79" s="630"/>
      <c r="M79" s="647"/>
      <c r="N79" s="647"/>
      <c r="O79" s="647"/>
      <c r="P79" s="647"/>
      <c r="Q79" s="647"/>
      <c r="R79" s="647"/>
      <c r="S79" s="647"/>
    </row>
    <row r="80" spans="1:34" ht="16.5" thickTop="1" thickBot="1">
      <c r="A80" s="7" t="s">
        <v>2989</v>
      </c>
      <c r="B80" s="8"/>
      <c r="C80" s="12"/>
      <c r="D80" s="169"/>
      <c r="E80" s="177"/>
      <c r="F80" s="12"/>
      <c r="G80" s="228"/>
      <c r="H80" s="20"/>
      <c r="I80" s="20"/>
      <c r="J80" s="20"/>
      <c r="K80" s="20"/>
      <c r="L80" s="47"/>
      <c r="M80" s="20"/>
      <c r="N80" s="20"/>
      <c r="O80" s="20"/>
      <c r="P80" s="20"/>
      <c r="Q80" s="20"/>
      <c r="R80" s="20"/>
      <c r="S80" s="20"/>
    </row>
    <row r="81" spans="1:19" ht="15.75" thickTop="1">
      <c r="A81" s="2375"/>
      <c r="B81" s="2459" t="s">
        <v>2990</v>
      </c>
      <c r="C81" s="2376"/>
      <c r="D81" s="2377"/>
      <c r="E81" s="2378"/>
      <c r="F81" s="2376"/>
      <c r="G81" s="2379"/>
      <c r="H81" s="2460"/>
      <c r="I81" s="2460"/>
      <c r="J81" s="2460"/>
      <c r="K81" s="2460"/>
      <c r="L81" s="2339"/>
      <c r="M81" s="2460"/>
      <c r="N81" s="2460"/>
      <c r="O81" s="2460"/>
      <c r="P81" s="2460"/>
      <c r="Q81" s="2460"/>
      <c r="R81" s="2460"/>
      <c r="S81" s="2460"/>
    </row>
    <row r="82" spans="1:19">
      <c r="A82" s="2382"/>
      <c r="B82" s="2406" t="s">
        <v>2991</v>
      </c>
      <c r="C82" s="2407"/>
      <c r="D82" s="2408"/>
      <c r="E82" s="2409"/>
      <c r="F82" s="2407"/>
      <c r="G82" s="2383"/>
      <c r="H82" s="2391"/>
      <c r="I82" s="2391"/>
      <c r="J82" s="2391"/>
      <c r="K82" s="2391"/>
      <c r="L82" s="691"/>
      <c r="M82" s="2391"/>
      <c r="N82" s="2391"/>
      <c r="O82" s="2391"/>
      <c r="P82" s="2391"/>
      <c r="Q82" s="2391"/>
      <c r="R82" s="2391"/>
      <c r="S82" s="2391"/>
    </row>
    <row r="83" spans="1:19" ht="15.75" thickBot="1">
      <c r="A83" s="2392"/>
      <c r="B83" s="2424" t="s">
        <v>2992</v>
      </c>
      <c r="C83" s="2425"/>
      <c r="D83" s="2393"/>
      <c r="E83" s="2394"/>
      <c r="F83" s="2425"/>
      <c r="G83" s="2395"/>
      <c r="H83" s="2396"/>
      <c r="I83" s="2396"/>
      <c r="J83" s="2396"/>
      <c r="K83" s="2396"/>
      <c r="L83" s="2397"/>
      <c r="M83" s="2396"/>
      <c r="N83" s="2396"/>
      <c r="O83" s="2396"/>
      <c r="P83" s="2396"/>
      <c r="Q83" s="2396"/>
      <c r="R83" s="2396"/>
      <c r="S83" s="2396"/>
    </row>
    <row r="84" spans="1:19" ht="16.5" thickTop="1" thickBot="1"/>
    <row r="85" spans="1:19" ht="16.5" thickTop="1" thickBot="1">
      <c r="A85" s="59" t="s">
        <v>2993</v>
      </c>
      <c r="B85" s="61"/>
    </row>
    <row r="86" spans="1:19" ht="15.75" thickTop="1">
      <c r="A86" s="60" t="s">
        <v>2936</v>
      </c>
      <c r="B86" s="2398"/>
    </row>
    <row r="87" spans="1:19">
      <c r="A87" s="2399" t="s">
        <v>2939</v>
      </c>
      <c r="B87" s="2398"/>
    </row>
    <row r="88" spans="1:19">
      <c r="A88" s="2400" t="s">
        <v>2941</v>
      </c>
      <c r="B88" s="2401"/>
    </row>
    <row r="89" spans="1:19">
      <c r="A89" s="2400" t="s">
        <v>2943</v>
      </c>
      <c r="B89" s="2402"/>
    </row>
    <row r="90" spans="1:19" ht="15.75" thickBot="1">
      <c r="A90" s="2403" t="s">
        <v>2994</v>
      </c>
      <c r="B90" s="2404">
        <f>$M$55</f>
        <v>0</v>
      </c>
    </row>
    <row r="91" spans="1:19" ht="15.75" thickTop="1"/>
    <row r="92" spans="1:19">
      <c r="A92" s="62"/>
      <c r="B92" s="1" t="s">
        <v>2995</v>
      </c>
    </row>
    <row r="93" spans="1:19">
      <c r="A93" s="63"/>
      <c r="B93" s="1" t="s">
        <v>2996</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J11:J18 L11:L18 N11:N18 P11:P18 R11:R18">
    <cfRule type="cellIs" dxfId="233" priority="5" operator="equal">
      <formula>"X"</formula>
    </cfRule>
    <cfRule type="cellIs" dxfId="232" priority="6" operator="equal">
      <formula>"I"</formula>
    </cfRule>
  </conditionalFormatting>
  <conditionalFormatting sqref="H20:H50">
    <cfRule type="cellIs" dxfId="231" priority="1" operator="equal">
      <formula>"X"</formula>
    </cfRule>
    <cfRule type="cellIs" dxfId="230" priority="2" operator="equal">
      <formula>"I"</formula>
    </cfRule>
  </conditionalFormatting>
  <conditionalFormatting sqref="J20:J50 L20:L50 N20:N50 P20:P50 R20:R50">
    <cfRule type="cellIs" dxfId="229" priority="3" operator="equal">
      <formula>"X"</formula>
    </cfRule>
    <cfRule type="cellIs" dxfId="228" priority="4" operator="equal">
      <formula>"I"</formula>
    </cfRule>
  </conditionalFormatting>
  <hyperlinks>
    <hyperlink ref="B4" location="'Cost Summary'!A1" display="BACK TO SUMMARY SHEET" xr:uid="{7C0523DE-8DAA-4AEA-91CE-3025D65284BE}"/>
    <hyperlink ref="L8" r:id="rId1" xr:uid="{912DDB2C-B923-4B84-BD6E-2E5FE283C9E3}"/>
    <hyperlink ref="H8" r:id="rId2" xr:uid="{89A8FC8E-5CD6-4152-96DC-F8AB0CF6D008}"/>
  </hyperlinks>
  <pageMargins left="0.2" right="0.2" top="0.5" bottom="0.75" header="0.3" footer="0.3"/>
  <pageSetup paperSize="3" scale="79" fitToHeight="0" orientation="landscape" horizontalDpi="1200" verticalDpi="1200" r:id="rId3"/>
  <colBreaks count="1" manualBreakCount="1">
    <brk id="11" max="1048575" man="1"/>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D849-AA56-4906-989E-BF22FDBDA60C}">
  <sheetPr>
    <tabColor rgb="FF92D050"/>
    <pageSetUpPr fitToPage="1"/>
  </sheetPr>
  <dimension ref="A1:AJ95"/>
  <sheetViews>
    <sheetView zoomScale="90" zoomScaleNormal="90" workbookViewId="0">
      <pane xSplit="2" ySplit="9" topLeftCell="C36" activePane="bottomRight" state="frozen"/>
      <selection pane="bottomRight" activeCell="E32" sqref="E32"/>
      <selection pane="bottomLeft" activeCell="B4" sqref="B4"/>
      <selection pane="topRight" activeCell="B4" sqref="B4"/>
    </sheetView>
  </sheetViews>
  <sheetFormatPr defaultColWidth="8.85546875" defaultRowHeight="15"/>
  <cols>
    <col min="1" max="1" width="11.85546875" customWidth="1"/>
    <col min="2" max="2" width="70.7109375" style="1" customWidth="1"/>
    <col min="3" max="3" width="15" style="2" customWidth="1"/>
    <col min="4" max="4" width="17" style="165" customWidth="1"/>
    <col min="5" max="5" width="12.140625" style="79" customWidth="1"/>
    <col min="6" max="6" width="16.42578125" style="2" bestFit="1" customWidth="1"/>
    <col min="7" max="7" width="15.28515625" style="2" bestFit="1" customWidth="1"/>
    <col min="8" max="8" width="8.28515625" style="2" customWidth="1"/>
    <col min="9" max="9" width="15.28515625" style="2" customWidth="1"/>
    <col min="10" max="10" width="7.140625" style="2" customWidth="1"/>
    <col min="11" max="11" width="15.28515625" style="2" customWidth="1"/>
    <col min="12" max="12" width="7.42578125" style="2" customWidth="1"/>
    <col min="13" max="13" width="15.28515625" style="2" customWidth="1"/>
    <col min="14" max="14" width="8.42578125" style="2" customWidth="1"/>
    <col min="15" max="15" width="17.140625" style="2" customWidth="1"/>
    <col min="16" max="16" width="8.140625" style="2" customWidth="1"/>
    <col min="17" max="17" width="15.28515625" style="2" customWidth="1"/>
    <col min="18" max="18" width="7.42578125" style="2" bestFit="1" customWidth="1"/>
    <col min="19" max="19" width="14.85546875" style="2" customWidth="1"/>
    <col min="20" max="20" width="7.42578125" style="2" bestFit="1" customWidth="1"/>
    <col min="21" max="21" width="14.85546875" style="2" customWidth="1"/>
  </cols>
  <sheetData>
    <row r="1" spans="1:17">
      <c r="F1" s="178"/>
      <c r="G1" s="56" t="s">
        <v>2928</v>
      </c>
    </row>
    <row r="2" spans="1:17">
      <c r="F2" s="179" t="s">
        <v>2929</v>
      </c>
      <c r="G2" s="56" t="s">
        <v>2930</v>
      </c>
    </row>
    <row r="3" spans="1:17">
      <c r="F3" s="180" t="s">
        <v>2931</v>
      </c>
      <c r="G3" s="56" t="s">
        <v>2932</v>
      </c>
      <c r="N3" s="959" t="s">
        <v>5235</v>
      </c>
      <c r="O3" s="959"/>
    </row>
    <row r="4" spans="1:17" ht="15.75" thickBot="1">
      <c r="B4" s="181" t="s">
        <v>2933</v>
      </c>
      <c r="F4" s="170"/>
      <c r="G4" s="2" t="s">
        <v>2934</v>
      </c>
      <c r="H4" s="968"/>
      <c r="I4" s="968"/>
      <c r="J4" s="79"/>
      <c r="K4" s="79"/>
      <c r="L4" s="968"/>
      <c r="M4" s="968"/>
      <c r="N4" s="968" t="s">
        <v>5236</v>
      </c>
      <c r="O4" s="968"/>
      <c r="P4" s="968" t="s">
        <v>5237</v>
      </c>
      <c r="Q4" s="968"/>
    </row>
    <row r="5" spans="1:17" ht="15.75" customHeight="1" thickTop="1">
      <c r="A5" s="3" t="s">
        <v>2935</v>
      </c>
      <c r="B5" s="4" t="str">
        <f>'Area Calculations'!B4</f>
        <v>Atlantic Fields Club Core / Dock Bar / Spa Pods / Water Features</v>
      </c>
      <c r="C5" s="5"/>
      <c r="D5" s="166"/>
      <c r="E5" s="171"/>
      <c r="F5" s="5"/>
      <c r="G5" s="6" t="s">
        <v>2936</v>
      </c>
      <c r="H5" s="841" t="s">
        <v>5238</v>
      </c>
      <c r="I5" s="969"/>
      <c r="J5" s="841" t="s">
        <v>5239</v>
      </c>
      <c r="K5" s="842"/>
      <c r="L5" s="841" t="s">
        <v>5240</v>
      </c>
      <c r="M5" s="842"/>
      <c r="N5" s="841" t="s">
        <v>5241</v>
      </c>
      <c r="O5" s="842"/>
      <c r="P5" s="841" t="s">
        <v>5242</v>
      </c>
      <c r="Q5" s="842"/>
    </row>
    <row r="6" spans="1:17">
      <c r="A6" s="2405" t="s">
        <v>2938</v>
      </c>
      <c r="B6" s="2406" t="s">
        <v>2572</v>
      </c>
      <c r="C6" s="2407"/>
      <c r="D6" s="2408"/>
      <c r="E6" s="2409"/>
      <c r="F6" s="2407"/>
      <c r="G6" s="657" t="s">
        <v>2939</v>
      </c>
      <c r="H6" s="2410" t="s">
        <v>5243</v>
      </c>
      <c r="I6" s="2461"/>
      <c r="J6" s="2410" t="s">
        <v>5244</v>
      </c>
      <c r="K6" s="843"/>
      <c r="L6" s="2410" t="s">
        <v>5245</v>
      </c>
      <c r="M6" s="843"/>
      <c r="N6" s="2410" t="s">
        <v>5246</v>
      </c>
      <c r="O6" s="843"/>
      <c r="P6" s="2410" t="s">
        <v>5247</v>
      </c>
      <c r="Q6" s="843"/>
    </row>
    <row r="7" spans="1:17">
      <c r="A7" s="2405" t="s">
        <v>2940</v>
      </c>
      <c r="B7" s="2413" t="s">
        <v>2715</v>
      </c>
      <c r="C7" s="2407"/>
      <c r="D7" s="2408"/>
      <c r="E7" s="2409"/>
      <c r="F7" s="2407"/>
      <c r="G7" s="2414" t="s">
        <v>2941</v>
      </c>
      <c r="H7" s="2415" t="s">
        <v>5248</v>
      </c>
      <c r="I7" s="2462"/>
      <c r="J7" s="2415" t="s">
        <v>5249</v>
      </c>
      <c r="K7" s="844"/>
      <c r="L7" s="2415" t="s">
        <v>5250</v>
      </c>
      <c r="M7" s="844"/>
      <c r="N7" s="2415" t="s">
        <v>5251</v>
      </c>
      <c r="O7" s="844"/>
      <c r="P7" s="2415" t="s">
        <v>5252</v>
      </c>
      <c r="Q7" s="844"/>
    </row>
    <row r="8" spans="1:17">
      <c r="A8" s="2405" t="s">
        <v>2942</v>
      </c>
      <c r="B8" s="2418"/>
      <c r="C8" s="2407"/>
      <c r="D8" s="2408"/>
      <c r="E8" s="2409"/>
      <c r="F8" s="2407"/>
      <c r="G8" s="2414" t="s">
        <v>2943</v>
      </c>
      <c r="H8" s="2419" t="s">
        <v>5253</v>
      </c>
      <c r="I8" s="2463"/>
      <c r="J8" s="2420" t="s">
        <v>5254</v>
      </c>
      <c r="K8" s="967"/>
      <c r="L8" s="2419" t="s">
        <v>5255</v>
      </c>
      <c r="M8" s="845"/>
      <c r="N8" s="2419" t="s">
        <v>5256</v>
      </c>
      <c r="O8" s="845"/>
      <c r="P8" s="2420" t="s">
        <v>5257</v>
      </c>
      <c r="Q8" s="967"/>
    </row>
    <row r="9" spans="1:17" ht="15.75" thickBot="1">
      <c r="A9" s="2423"/>
      <c r="B9" s="2424"/>
      <c r="C9" s="616"/>
      <c r="D9" s="621"/>
      <c r="E9" s="622"/>
      <c r="F9" s="2425"/>
      <c r="G9" s="2426" t="s">
        <v>2944</v>
      </c>
      <c r="H9" s="2428">
        <f>I$57</f>
        <v>565992.54</v>
      </c>
      <c r="I9" s="2457"/>
      <c r="J9" s="2428">
        <f>K$57</f>
        <v>626812.96000000008</v>
      </c>
      <c r="K9" s="2457"/>
      <c r="L9" s="2428">
        <f t="shared" ref="L9" si="0">M$57</f>
        <v>725143</v>
      </c>
      <c r="M9" s="2457"/>
      <c r="N9" s="2428">
        <f>O$57</f>
        <v>492143</v>
      </c>
      <c r="O9" s="2457"/>
      <c r="P9" s="2428">
        <f>Q$57</f>
        <v>211461.54</v>
      </c>
      <c r="Q9" s="2457"/>
    </row>
    <row r="10" spans="1:17" s="175" customFormat="1" ht="31.5" thickTop="1" thickBot="1">
      <c r="A10" s="160" t="s">
        <v>2945</v>
      </c>
      <c r="B10" s="172"/>
      <c r="C10" s="173" t="s">
        <v>2946</v>
      </c>
      <c r="D10" s="167" t="s">
        <v>2947</v>
      </c>
      <c r="E10" s="173" t="s">
        <v>2948</v>
      </c>
      <c r="F10" s="173" t="s">
        <v>2949</v>
      </c>
      <c r="G10" s="174" t="s">
        <v>2950</v>
      </c>
      <c r="H10" s="161" t="s">
        <v>2951</v>
      </c>
      <c r="I10" s="161" t="s">
        <v>2952</v>
      </c>
      <c r="J10" s="161"/>
      <c r="K10" s="161"/>
      <c r="L10" s="161" t="s">
        <v>2951</v>
      </c>
      <c r="M10" s="161" t="s">
        <v>2952</v>
      </c>
      <c r="N10" s="161" t="s">
        <v>2951</v>
      </c>
      <c r="O10" s="161" t="s">
        <v>2952</v>
      </c>
      <c r="P10" s="161" t="s">
        <v>2951</v>
      </c>
      <c r="Q10" s="161" t="s">
        <v>2952</v>
      </c>
    </row>
    <row r="11" spans="1:17" ht="16.5" thickTop="1" thickBot="1">
      <c r="A11" s="2464"/>
      <c r="B11" s="1618" t="s">
        <v>2953</v>
      </c>
      <c r="C11" s="659"/>
      <c r="D11" s="2408"/>
      <c r="E11" s="2409"/>
      <c r="F11" s="2407"/>
      <c r="G11" s="660"/>
      <c r="H11" s="2431"/>
      <c r="I11" s="2339"/>
      <c r="J11" s="2339"/>
      <c r="K11" s="2339"/>
      <c r="L11" s="2431"/>
      <c r="M11" s="2339"/>
      <c r="N11" s="2431"/>
      <c r="O11" s="182"/>
      <c r="P11" s="2431"/>
      <c r="Q11" s="2339"/>
    </row>
    <row r="12" spans="1:17">
      <c r="A12" s="2465"/>
      <c r="B12" s="1622" t="s">
        <v>2954</v>
      </c>
      <c r="C12" s="2407"/>
      <c r="D12" s="2408"/>
      <c r="E12" s="2409"/>
      <c r="F12" s="2407"/>
      <c r="G12" s="660"/>
      <c r="H12" s="790" t="s">
        <v>3028</v>
      </c>
      <c r="I12" s="2339"/>
      <c r="J12" s="790" t="s">
        <v>3028</v>
      </c>
      <c r="K12" s="2339"/>
      <c r="L12" s="790" t="s">
        <v>3028</v>
      </c>
      <c r="M12" s="2339"/>
      <c r="N12" s="790" t="s">
        <v>3028</v>
      </c>
      <c r="O12" s="2339"/>
      <c r="P12" s="790" t="s">
        <v>3028</v>
      </c>
      <c r="Q12" s="2339"/>
    </row>
    <row r="13" spans="1:17">
      <c r="A13" s="2432"/>
      <c r="B13" s="2466" t="s">
        <v>2955</v>
      </c>
      <c r="C13" s="2407"/>
      <c r="D13" s="2408"/>
      <c r="E13" s="2409"/>
      <c r="F13" s="2407"/>
      <c r="G13" s="660"/>
      <c r="H13" s="790" t="s">
        <v>3028</v>
      </c>
      <c r="I13" s="2339"/>
      <c r="J13" s="790" t="s">
        <v>3028</v>
      </c>
      <c r="K13" s="2339"/>
      <c r="L13" s="790" t="s">
        <v>3028</v>
      </c>
      <c r="M13" s="2339"/>
      <c r="N13" s="790" t="s">
        <v>3028</v>
      </c>
      <c r="O13" s="2339"/>
      <c r="P13" s="790" t="s">
        <v>3028</v>
      </c>
      <c r="Q13" s="2339"/>
    </row>
    <row r="14" spans="1:17">
      <c r="A14" s="2432"/>
      <c r="B14" s="2467" t="s">
        <v>2956</v>
      </c>
      <c r="C14" s="2407"/>
      <c r="D14" s="2408"/>
      <c r="E14" s="2409"/>
      <c r="F14" s="2407"/>
      <c r="G14" s="660"/>
      <c r="H14" s="790" t="s">
        <v>3807</v>
      </c>
      <c r="I14" s="2339"/>
      <c r="J14" s="790" t="s">
        <v>3807</v>
      </c>
      <c r="K14" s="2339"/>
      <c r="L14" s="790" t="s">
        <v>3807</v>
      </c>
      <c r="M14" s="2339"/>
      <c r="N14" s="790" t="s">
        <v>3807</v>
      </c>
      <c r="O14" s="2339"/>
      <c r="P14" s="790" t="s">
        <v>3807</v>
      </c>
      <c r="Q14" s="2339"/>
    </row>
    <row r="15" spans="1:17">
      <c r="A15" s="2432"/>
      <c r="B15" s="2467" t="s">
        <v>2957</v>
      </c>
      <c r="C15" s="2407"/>
      <c r="D15" s="2408"/>
      <c r="E15" s="2409"/>
      <c r="F15" s="2407"/>
      <c r="G15" s="660"/>
      <c r="H15" s="790" t="s">
        <v>3028</v>
      </c>
      <c r="I15" s="2338"/>
      <c r="J15" s="790" t="s">
        <v>3028</v>
      </c>
      <c r="K15" s="2338"/>
      <c r="L15" s="790" t="s">
        <v>3028</v>
      </c>
      <c r="M15" s="2338"/>
      <c r="N15" s="790" t="s">
        <v>3028</v>
      </c>
      <c r="O15" s="2338"/>
      <c r="P15" s="790" t="s">
        <v>3028</v>
      </c>
      <c r="Q15" s="2338"/>
    </row>
    <row r="16" spans="1:17">
      <c r="A16" s="2432"/>
      <c r="B16" s="2467" t="s">
        <v>2958</v>
      </c>
      <c r="C16" s="2407"/>
      <c r="D16" s="2408"/>
      <c r="E16" s="2409"/>
      <c r="F16" s="2407"/>
      <c r="G16" s="660"/>
      <c r="H16" s="790" t="s">
        <v>3028</v>
      </c>
      <c r="I16" s="2339"/>
      <c r="J16" s="790" t="s">
        <v>3028</v>
      </c>
      <c r="K16" s="2339"/>
      <c r="L16" s="790" t="s">
        <v>3028</v>
      </c>
      <c r="M16" s="2339"/>
      <c r="N16" s="790" t="s">
        <v>3028</v>
      </c>
      <c r="O16" s="2339"/>
      <c r="P16" s="790" t="s">
        <v>3028</v>
      </c>
      <c r="Q16" s="2339"/>
    </row>
    <row r="17" spans="1:17">
      <c r="A17" s="2432"/>
      <c r="B17" s="2467" t="s">
        <v>2959</v>
      </c>
      <c r="C17" s="2407"/>
      <c r="D17" s="2408"/>
      <c r="E17" s="2409"/>
      <c r="F17" s="2407"/>
      <c r="G17" s="660"/>
      <c r="H17" s="790" t="s">
        <v>3028</v>
      </c>
      <c r="I17" s="2339"/>
      <c r="J17" s="790" t="s">
        <v>3807</v>
      </c>
      <c r="K17" s="2339"/>
      <c r="L17" s="790" t="s">
        <v>3028</v>
      </c>
      <c r="M17" s="2339"/>
      <c r="N17" s="790" t="s">
        <v>3028</v>
      </c>
      <c r="O17" s="2339"/>
      <c r="P17" s="790" t="s">
        <v>3028</v>
      </c>
      <c r="Q17" s="2339"/>
    </row>
    <row r="18" spans="1:17">
      <c r="A18" s="2432"/>
      <c r="B18" s="2468" t="s">
        <v>2960</v>
      </c>
      <c r="C18" s="2407"/>
      <c r="D18" s="2408"/>
      <c r="E18" s="2409"/>
      <c r="F18" s="2407"/>
      <c r="G18" s="660"/>
      <c r="H18" s="2431"/>
      <c r="I18" s="2339"/>
      <c r="J18" s="2339"/>
      <c r="K18" s="2339"/>
      <c r="L18" s="2431"/>
      <c r="M18" s="2339"/>
      <c r="N18" s="2431"/>
      <c r="O18" s="2339"/>
      <c r="P18" s="2431"/>
      <c r="Q18" s="2339"/>
    </row>
    <row r="19" spans="1:17">
      <c r="A19" s="2432"/>
      <c r="B19" s="2469" t="s">
        <v>2961</v>
      </c>
      <c r="C19" s="2433"/>
      <c r="D19" s="2434"/>
      <c r="E19" s="2435"/>
      <c r="F19" s="2436"/>
      <c r="G19" s="661"/>
      <c r="H19" s="2437"/>
      <c r="I19" s="2346"/>
      <c r="J19" s="2346"/>
      <c r="K19" s="2346"/>
      <c r="L19" s="2437"/>
      <c r="M19" s="2346"/>
      <c r="N19" s="2437"/>
      <c r="O19" s="2346"/>
      <c r="P19" s="2437"/>
      <c r="Q19" s="2346"/>
    </row>
    <row r="20" spans="1:17">
      <c r="A20" s="2432"/>
      <c r="B20" s="2470"/>
      <c r="C20" s="2407"/>
      <c r="D20" s="2408"/>
      <c r="E20" s="2409"/>
      <c r="F20" s="2438"/>
      <c r="G20" s="660"/>
      <c r="H20" s="2431"/>
      <c r="I20" s="2349"/>
      <c r="J20" s="2349"/>
      <c r="K20" s="2349"/>
      <c r="L20" s="2431"/>
      <c r="M20" s="2349"/>
      <c r="N20" s="2431"/>
      <c r="O20" s="2350"/>
      <c r="P20" s="2431"/>
      <c r="Q20" s="2349"/>
    </row>
    <row r="21" spans="1:17" ht="15.75">
      <c r="A21" s="2432"/>
      <c r="B21" s="2471" t="s">
        <v>5197</v>
      </c>
      <c r="C21" s="2407"/>
      <c r="D21" s="2408"/>
      <c r="E21" s="2409"/>
      <c r="F21" s="2438"/>
      <c r="G21" s="660"/>
      <c r="H21" s="2431"/>
      <c r="I21" s="2349"/>
      <c r="J21" s="2349"/>
      <c r="K21" s="2349"/>
      <c r="L21" s="2431"/>
      <c r="M21" s="2349"/>
      <c r="N21" s="2431"/>
      <c r="O21" s="2350"/>
      <c r="P21" s="2431"/>
      <c r="Q21" s="2349"/>
    </row>
    <row r="22" spans="1:17" ht="15.75">
      <c r="A22" s="2432"/>
      <c r="B22" s="2472" t="s">
        <v>3051</v>
      </c>
      <c r="C22" s="2407"/>
      <c r="D22" s="2408"/>
      <c r="E22" s="2409"/>
      <c r="F22" s="2438"/>
      <c r="G22" s="660"/>
      <c r="H22" s="2431"/>
      <c r="I22" s="2349"/>
      <c r="J22" s="2349"/>
      <c r="K22" s="2349"/>
      <c r="L22" s="2431"/>
      <c r="M22" s="2349"/>
      <c r="N22" s="2431"/>
      <c r="O22" s="2350"/>
      <c r="P22" s="2431"/>
      <c r="Q22" s="2349"/>
    </row>
    <row r="23" spans="1:17">
      <c r="A23" s="2432"/>
      <c r="B23" s="2473" t="s">
        <v>5258</v>
      </c>
      <c r="C23" s="2407"/>
      <c r="D23" s="2408">
        <f>2263-525</f>
        <v>1738</v>
      </c>
      <c r="E23" s="2409" t="s">
        <v>3112</v>
      </c>
      <c r="F23" s="2438">
        <v>40</v>
      </c>
      <c r="G23" s="662">
        <f>F23*D23</f>
        <v>69520</v>
      </c>
      <c r="H23" s="2431" t="s">
        <v>3028</v>
      </c>
      <c r="I23" s="2349">
        <v>299531</v>
      </c>
      <c r="J23" s="2431" t="s">
        <v>3028</v>
      </c>
      <c r="K23" s="2349">
        <v>383506</v>
      </c>
      <c r="L23" s="2431" t="s">
        <v>3028</v>
      </c>
      <c r="M23" s="2474">
        <f>30*15000</f>
        <v>450000</v>
      </c>
      <c r="N23" s="2431" t="s">
        <v>3028</v>
      </c>
      <c r="O23" s="2350">
        <v>217000</v>
      </c>
      <c r="P23" s="2431" t="s">
        <v>3807</v>
      </c>
      <c r="Q23" s="2349"/>
    </row>
    <row r="24" spans="1:17" ht="30">
      <c r="A24" s="2432"/>
      <c r="B24" s="2475" t="s">
        <v>5259</v>
      </c>
      <c r="C24" s="2407"/>
      <c r="D24" s="2408"/>
      <c r="E24" s="2409"/>
      <c r="F24" s="2438"/>
      <c r="G24" s="662"/>
      <c r="H24" s="2431" t="s">
        <v>3028</v>
      </c>
      <c r="I24" s="2349"/>
      <c r="J24" s="2431" t="s">
        <v>3028</v>
      </c>
      <c r="K24" s="2349"/>
      <c r="L24" s="2431" t="s">
        <v>3028</v>
      </c>
      <c r="M24" s="2349"/>
      <c r="N24" s="2431" t="s">
        <v>3028</v>
      </c>
      <c r="O24" s="2350"/>
      <c r="P24" s="2431" t="s">
        <v>3807</v>
      </c>
      <c r="Q24" s="2349"/>
    </row>
    <row r="25" spans="1:17">
      <c r="A25" s="2432"/>
      <c r="B25" s="2470" t="s">
        <v>5260</v>
      </c>
      <c r="C25" s="2407" t="s">
        <v>1754</v>
      </c>
      <c r="D25" s="2408">
        <v>1</v>
      </c>
      <c r="E25" s="2409" t="s">
        <v>5208</v>
      </c>
      <c r="F25" s="2438">
        <v>5000</v>
      </c>
      <c r="G25" s="662">
        <f>F25*D25</f>
        <v>5000</v>
      </c>
      <c r="H25" s="2448" t="s">
        <v>4877</v>
      </c>
      <c r="I25" s="2449">
        <f>G25</f>
        <v>5000</v>
      </c>
      <c r="J25" s="2448" t="s">
        <v>4877</v>
      </c>
      <c r="K25" s="2449">
        <f>$G$25</f>
        <v>5000</v>
      </c>
      <c r="L25" s="2448" t="s">
        <v>4877</v>
      </c>
      <c r="M25" s="2449">
        <f>$G$25</f>
        <v>5000</v>
      </c>
      <c r="N25" s="2448" t="s">
        <v>4877</v>
      </c>
      <c r="O25" s="2449">
        <f>$G$25</f>
        <v>5000</v>
      </c>
      <c r="P25" s="2431" t="s">
        <v>3807</v>
      </c>
      <c r="Q25" s="2349"/>
    </row>
    <row r="26" spans="1:17">
      <c r="A26" s="2432"/>
      <c r="B26" s="2473" t="s">
        <v>5261</v>
      </c>
      <c r="C26" s="2407"/>
      <c r="D26" s="2408">
        <v>15</v>
      </c>
      <c r="E26" s="2409" t="s">
        <v>3112</v>
      </c>
      <c r="F26" s="2438">
        <v>40</v>
      </c>
      <c r="G26" s="662">
        <f>F26*D26</f>
        <v>600</v>
      </c>
      <c r="H26" s="2431" t="s">
        <v>3028</v>
      </c>
      <c r="I26" s="2349"/>
      <c r="J26" s="2431" t="s">
        <v>3028</v>
      </c>
      <c r="K26" s="2349"/>
      <c r="L26" s="2431" t="s">
        <v>3028</v>
      </c>
      <c r="M26" s="2349"/>
      <c r="N26" s="2431" t="s">
        <v>3028</v>
      </c>
      <c r="O26" s="2350"/>
      <c r="P26" s="2431" t="s">
        <v>3807</v>
      </c>
      <c r="Q26" s="2349"/>
    </row>
    <row r="27" spans="1:17">
      <c r="A27" s="2432"/>
      <c r="B27" s="2470" t="s">
        <v>5262</v>
      </c>
      <c r="C27" s="2407"/>
      <c r="D27" s="2408"/>
      <c r="E27" s="2409"/>
      <c r="F27" s="2438"/>
      <c r="G27" s="662"/>
      <c r="H27" s="2431" t="s">
        <v>3028</v>
      </c>
      <c r="I27" s="2349"/>
      <c r="J27" s="2431" t="s">
        <v>3028</v>
      </c>
      <c r="K27" s="2349"/>
      <c r="L27" s="2431" t="s">
        <v>3028</v>
      </c>
      <c r="M27" s="2349"/>
      <c r="N27" s="2431" t="s">
        <v>3028</v>
      </c>
      <c r="O27" s="2350"/>
      <c r="P27" s="2431" t="s">
        <v>3807</v>
      </c>
      <c r="Q27" s="2349"/>
    </row>
    <row r="28" spans="1:17">
      <c r="A28" s="2432"/>
      <c r="B28" s="2473" t="s">
        <v>5263</v>
      </c>
      <c r="C28" s="2407"/>
      <c r="D28" s="2408">
        <v>716</v>
      </c>
      <c r="E28" s="2409" t="s">
        <v>3112</v>
      </c>
      <c r="F28" s="2438">
        <v>40</v>
      </c>
      <c r="G28" s="662">
        <f>F28*D28</f>
        <v>28640</v>
      </c>
      <c r="H28" s="2431" t="s">
        <v>3028</v>
      </c>
      <c r="I28" s="2349"/>
      <c r="J28" s="2431" t="s">
        <v>3028</v>
      </c>
      <c r="K28" s="2349"/>
      <c r="L28" s="2431" t="s">
        <v>3028</v>
      </c>
      <c r="M28" s="2349"/>
      <c r="N28" s="2431" t="s">
        <v>3028</v>
      </c>
      <c r="O28" s="2350"/>
      <c r="P28" s="2431" t="s">
        <v>3807</v>
      </c>
      <c r="Q28" s="2349"/>
    </row>
    <row r="29" spans="1:17">
      <c r="A29" s="2432"/>
      <c r="B29" s="2470" t="s">
        <v>5264</v>
      </c>
      <c r="C29" s="2407"/>
      <c r="D29" s="2408"/>
      <c r="E29" s="2409"/>
      <c r="F29" s="2438"/>
      <c r="G29" s="662"/>
      <c r="H29" s="2431" t="s">
        <v>3028</v>
      </c>
      <c r="I29" s="2349"/>
      <c r="J29" s="2431" t="s">
        <v>3028</v>
      </c>
      <c r="K29" s="2349"/>
      <c r="L29" s="2431" t="s">
        <v>3028</v>
      </c>
      <c r="M29" s="2349"/>
      <c r="N29" s="2431" t="s">
        <v>3028</v>
      </c>
      <c r="O29" s="2350"/>
      <c r="P29" s="2431" t="s">
        <v>3807</v>
      </c>
      <c r="Q29" s="2349"/>
    </row>
    <row r="30" spans="1:17" ht="16.5" customHeight="1">
      <c r="A30" s="2432"/>
      <c r="B30" s="2476" t="s">
        <v>5265</v>
      </c>
      <c r="C30" s="2407"/>
      <c r="D30" s="2408">
        <f>2971-D40</f>
        <v>752</v>
      </c>
      <c r="E30" s="2409" t="s">
        <v>3112</v>
      </c>
      <c r="F30" s="2438">
        <v>40</v>
      </c>
      <c r="G30" s="662">
        <f>F30*D30</f>
        <v>30080</v>
      </c>
      <c r="H30" s="2431" t="s">
        <v>3028</v>
      </c>
      <c r="I30" s="2349"/>
      <c r="J30" s="2431" t="s">
        <v>3028</v>
      </c>
      <c r="K30" s="2349"/>
      <c r="L30" s="2431" t="s">
        <v>3028</v>
      </c>
      <c r="M30" s="2349"/>
      <c r="N30" s="2431" t="s">
        <v>3028</v>
      </c>
      <c r="O30" s="2350"/>
      <c r="P30" s="2431" t="s">
        <v>3807</v>
      </c>
      <c r="Q30" s="2349"/>
    </row>
    <row r="31" spans="1:17" ht="30">
      <c r="A31" s="2432"/>
      <c r="B31" s="2475" t="s">
        <v>5266</v>
      </c>
      <c r="C31" s="2407"/>
      <c r="D31" s="2408"/>
      <c r="E31" s="2409"/>
      <c r="F31" s="2438"/>
      <c r="G31" s="662"/>
      <c r="H31" s="2431" t="s">
        <v>3028</v>
      </c>
      <c r="I31" s="2349"/>
      <c r="J31" s="2431" t="s">
        <v>3028</v>
      </c>
      <c r="K31" s="2349"/>
      <c r="L31" s="2431" t="s">
        <v>3028</v>
      </c>
      <c r="M31" s="2349"/>
      <c r="N31" s="2431" t="s">
        <v>3028</v>
      </c>
      <c r="O31" s="2350"/>
      <c r="P31" s="2431" t="s">
        <v>3807</v>
      </c>
      <c r="Q31" s="2349"/>
    </row>
    <row r="32" spans="1:17">
      <c r="A32" s="2432"/>
      <c r="B32" s="2470" t="s">
        <v>5267</v>
      </c>
      <c r="C32" s="2407"/>
      <c r="D32" s="2408"/>
      <c r="E32" s="2409"/>
      <c r="F32" s="2438"/>
      <c r="G32" s="662"/>
      <c r="H32" s="2431" t="s">
        <v>3028</v>
      </c>
      <c r="I32" s="2349"/>
      <c r="J32" s="2431" t="s">
        <v>3028</v>
      </c>
      <c r="K32" s="2349"/>
      <c r="L32" s="2431" t="s">
        <v>3028</v>
      </c>
      <c r="M32" s="2349"/>
      <c r="N32" s="2431" t="s">
        <v>3028</v>
      </c>
      <c r="O32" s="2350"/>
      <c r="P32" s="2431" t="s">
        <v>3807</v>
      </c>
      <c r="Q32" s="2349"/>
    </row>
    <row r="33" spans="1:17" ht="30">
      <c r="A33" s="2432"/>
      <c r="B33" s="2476" t="s">
        <v>5268</v>
      </c>
      <c r="C33" s="2407"/>
      <c r="D33" s="2408">
        <v>6139</v>
      </c>
      <c r="E33" s="2409" t="s">
        <v>3112</v>
      </c>
      <c r="F33" s="2438">
        <v>40</v>
      </c>
      <c r="G33" s="662">
        <f>F33*D33</f>
        <v>245560</v>
      </c>
      <c r="H33" s="2431" t="s">
        <v>3028</v>
      </c>
      <c r="I33" s="2349"/>
      <c r="J33" s="2431" t="s">
        <v>3028</v>
      </c>
      <c r="K33" s="2349"/>
      <c r="L33" s="2431" t="s">
        <v>3028</v>
      </c>
      <c r="M33" s="2349"/>
      <c r="N33" s="2431" t="s">
        <v>3028</v>
      </c>
      <c r="O33" s="2350"/>
      <c r="P33" s="2431" t="s">
        <v>3807</v>
      </c>
      <c r="Q33" s="2349"/>
    </row>
    <row r="34" spans="1:17" ht="45">
      <c r="A34" s="2432"/>
      <c r="B34" s="2475" t="s">
        <v>5269</v>
      </c>
      <c r="C34" s="2407"/>
      <c r="D34" s="2408"/>
      <c r="E34" s="2409"/>
      <c r="F34" s="2438"/>
      <c r="G34" s="662"/>
      <c r="H34" s="2431" t="s">
        <v>3028</v>
      </c>
      <c r="I34" s="2349"/>
      <c r="J34" s="2431" t="s">
        <v>3028</v>
      </c>
      <c r="K34" s="2349"/>
      <c r="L34" s="2431" t="s">
        <v>3028</v>
      </c>
      <c r="M34" s="2349"/>
      <c r="N34" s="2431" t="s">
        <v>3028</v>
      </c>
      <c r="O34" s="2350"/>
      <c r="P34" s="2431" t="s">
        <v>3807</v>
      </c>
      <c r="Q34" s="2349"/>
    </row>
    <row r="35" spans="1:17" ht="30">
      <c r="A35" s="2432"/>
      <c r="B35" s="2476" t="s">
        <v>5270</v>
      </c>
      <c r="C35" s="2407"/>
      <c r="D35" s="2408">
        <v>1442</v>
      </c>
      <c r="E35" s="2409" t="s">
        <v>3112</v>
      </c>
      <c r="F35" s="2438">
        <v>40</v>
      </c>
      <c r="G35" s="662">
        <f>F35*D35</f>
        <v>57680</v>
      </c>
      <c r="H35" s="2431" t="s">
        <v>3028</v>
      </c>
      <c r="I35" s="2349"/>
      <c r="J35" s="2431" t="s">
        <v>3028</v>
      </c>
      <c r="K35" s="2349"/>
      <c r="L35" s="2431" t="s">
        <v>3028</v>
      </c>
      <c r="M35" s="2349"/>
      <c r="N35" s="2431" t="s">
        <v>3028</v>
      </c>
      <c r="O35" s="2350"/>
      <c r="P35" s="2431" t="s">
        <v>3807</v>
      </c>
      <c r="Q35" s="2349"/>
    </row>
    <row r="36" spans="1:17" ht="45">
      <c r="A36" s="2432"/>
      <c r="B36" s="2475" t="s">
        <v>5271</v>
      </c>
      <c r="C36" s="2407"/>
      <c r="D36" s="2408"/>
      <c r="E36" s="2409"/>
      <c r="F36" s="2438"/>
      <c r="G36" s="662"/>
      <c r="H36" s="2431" t="s">
        <v>3028</v>
      </c>
      <c r="I36" s="2349"/>
      <c r="J36" s="2431" t="s">
        <v>3028</v>
      </c>
      <c r="K36" s="2349"/>
      <c r="L36" s="2431" t="s">
        <v>3028</v>
      </c>
      <c r="M36" s="2349"/>
      <c r="N36" s="2431" t="s">
        <v>3028</v>
      </c>
      <c r="O36" s="2350"/>
      <c r="P36" s="2431" t="s">
        <v>3807</v>
      </c>
      <c r="Q36" s="2349"/>
    </row>
    <row r="37" spans="1:17" ht="15.75">
      <c r="A37" s="2432"/>
      <c r="B37" s="2472" t="s">
        <v>5272</v>
      </c>
      <c r="C37" s="2407"/>
      <c r="D37" s="2408"/>
      <c r="E37" s="2409"/>
      <c r="F37" s="2438"/>
      <c r="G37" s="662"/>
      <c r="H37" s="2431" t="s">
        <v>3028</v>
      </c>
      <c r="I37" s="2349"/>
      <c r="J37" s="2431" t="s">
        <v>3028</v>
      </c>
      <c r="K37" s="2349"/>
      <c r="L37" s="2431" t="s">
        <v>3028</v>
      </c>
      <c r="M37" s="2349"/>
      <c r="N37" s="2431" t="s">
        <v>3028</v>
      </c>
      <c r="O37" s="2350"/>
      <c r="P37" s="2431" t="s">
        <v>3807</v>
      </c>
      <c r="Q37" s="2349"/>
    </row>
    <row r="38" spans="1:17">
      <c r="A38" s="2432"/>
      <c r="B38" s="2473" t="s">
        <v>5258</v>
      </c>
      <c r="C38" s="2407"/>
      <c r="D38" s="2408">
        <v>525</v>
      </c>
      <c r="E38" s="2409" t="s">
        <v>3112</v>
      </c>
      <c r="F38" s="2438">
        <v>40</v>
      </c>
      <c r="G38" s="662">
        <f>F38*D38</f>
        <v>21000</v>
      </c>
      <c r="H38" s="2431" t="s">
        <v>3028</v>
      </c>
      <c r="I38" s="2349"/>
      <c r="J38" s="2431" t="s">
        <v>3028</v>
      </c>
      <c r="K38" s="2349"/>
      <c r="L38" s="2431" t="s">
        <v>3028</v>
      </c>
      <c r="M38" s="2349"/>
      <c r="N38" s="2431" t="s">
        <v>3028</v>
      </c>
      <c r="O38" s="2350"/>
      <c r="P38" s="2431" t="s">
        <v>3807</v>
      </c>
      <c r="Q38" s="2349"/>
    </row>
    <row r="39" spans="1:17">
      <c r="A39" s="2432"/>
      <c r="B39" s="2470" t="s">
        <v>4320</v>
      </c>
      <c r="C39" s="2407"/>
      <c r="D39" s="2408"/>
      <c r="E39" s="2409"/>
      <c r="F39" s="2438"/>
      <c r="G39" s="662"/>
      <c r="H39" s="2431" t="s">
        <v>3028</v>
      </c>
      <c r="I39" s="2349"/>
      <c r="J39" s="2431" t="s">
        <v>3028</v>
      </c>
      <c r="K39" s="2349"/>
      <c r="L39" s="2431" t="s">
        <v>3028</v>
      </c>
      <c r="M39" s="2349"/>
      <c r="N39" s="2431" t="s">
        <v>3028</v>
      </c>
      <c r="O39" s="2350"/>
      <c r="P39" s="2431" t="s">
        <v>3807</v>
      </c>
      <c r="Q39" s="2349"/>
    </row>
    <row r="40" spans="1:17" ht="30">
      <c r="A40" s="2432"/>
      <c r="B40" s="2476" t="s">
        <v>5265</v>
      </c>
      <c r="C40" s="2407"/>
      <c r="D40" s="2408">
        <v>2219</v>
      </c>
      <c r="E40" s="2409" t="s">
        <v>3112</v>
      </c>
      <c r="F40" s="2438">
        <v>40</v>
      </c>
      <c r="G40" s="662">
        <f>F40*D40</f>
        <v>88760</v>
      </c>
      <c r="H40" s="2431" t="s">
        <v>3028</v>
      </c>
      <c r="I40" s="2349"/>
      <c r="J40" s="2431" t="s">
        <v>3028</v>
      </c>
      <c r="K40" s="2349"/>
      <c r="L40" s="2431" t="s">
        <v>3028</v>
      </c>
      <c r="M40" s="2349"/>
      <c r="N40" s="2431" t="s">
        <v>3028</v>
      </c>
      <c r="O40" s="2350"/>
      <c r="P40" s="2431" t="s">
        <v>3807</v>
      </c>
      <c r="Q40" s="2349"/>
    </row>
    <row r="41" spans="1:17">
      <c r="A41" s="2432"/>
      <c r="B41" s="2475" t="s">
        <v>4382</v>
      </c>
      <c r="C41" s="2407"/>
      <c r="D41" s="2408"/>
      <c r="E41" s="2409"/>
      <c r="F41" s="2438"/>
      <c r="G41" s="662"/>
      <c r="H41" s="2431" t="s">
        <v>3028</v>
      </c>
      <c r="I41" s="2349"/>
      <c r="J41" s="2431" t="s">
        <v>3028</v>
      </c>
      <c r="K41" s="2349"/>
      <c r="L41" s="2431" t="s">
        <v>3028</v>
      </c>
      <c r="M41" s="2349"/>
      <c r="N41" s="2431" t="s">
        <v>3028</v>
      </c>
      <c r="O41" s="2350"/>
      <c r="P41" s="2431" t="s">
        <v>3807</v>
      </c>
      <c r="Q41" s="2349"/>
    </row>
    <row r="42" spans="1:17">
      <c r="A42" s="2432"/>
      <c r="B42" s="2470"/>
      <c r="C42" s="2407"/>
      <c r="D42" s="2408"/>
      <c r="E42" s="2409"/>
      <c r="F42" s="2438"/>
      <c r="G42" s="662"/>
      <c r="H42" s="2431" t="s">
        <v>3028</v>
      </c>
      <c r="I42" s="2349"/>
      <c r="J42" s="2431" t="s">
        <v>3028</v>
      </c>
      <c r="K42" s="2349"/>
      <c r="L42" s="2431" t="s">
        <v>3028</v>
      </c>
      <c r="M42" s="2349"/>
      <c r="N42" s="2431" t="s">
        <v>3028</v>
      </c>
      <c r="O42" s="2350"/>
      <c r="P42" s="2431" t="s">
        <v>3807</v>
      </c>
      <c r="Q42" s="2349"/>
    </row>
    <row r="43" spans="1:17" ht="15.75">
      <c r="A43" s="2432"/>
      <c r="B43" s="2472" t="s">
        <v>5273</v>
      </c>
      <c r="C43" s="2407"/>
      <c r="D43" s="2408"/>
      <c r="E43" s="2409"/>
      <c r="F43" s="2438"/>
      <c r="G43" s="662"/>
      <c r="H43" s="2448" t="s">
        <v>4877</v>
      </c>
      <c r="I43" s="2449"/>
      <c r="J43" s="2448" t="s">
        <v>4877</v>
      </c>
      <c r="K43" s="2449"/>
      <c r="L43" s="2431" t="s">
        <v>3028</v>
      </c>
      <c r="M43" s="2349">
        <v>270143</v>
      </c>
      <c r="N43" s="2448" t="s">
        <v>4877</v>
      </c>
      <c r="O43" s="2449">
        <f>M43</f>
        <v>270143</v>
      </c>
      <c r="P43" s="2431" t="s">
        <v>3807</v>
      </c>
      <c r="Q43" s="2349"/>
    </row>
    <row r="44" spans="1:17">
      <c r="A44" s="2432"/>
      <c r="B44" s="2470" t="s">
        <v>5274</v>
      </c>
      <c r="C44" s="2407" t="s">
        <v>1848</v>
      </c>
      <c r="D44" s="2408">
        <v>1</v>
      </c>
      <c r="E44" s="2409" t="s">
        <v>5208</v>
      </c>
      <c r="F44" s="2438">
        <v>100000</v>
      </c>
      <c r="G44" s="662">
        <f>F44*D44</f>
        <v>100000</v>
      </c>
      <c r="H44" s="2448" t="s">
        <v>4877</v>
      </c>
      <c r="I44" s="2449">
        <v>91710</v>
      </c>
      <c r="J44" s="2448" t="s">
        <v>4877</v>
      </c>
      <c r="K44" s="2449">
        <f>I44</f>
        <v>91710</v>
      </c>
      <c r="L44" s="2431" t="s">
        <v>3028</v>
      </c>
      <c r="M44" s="2349"/>
      <c r="N44" s="2448" t="s">
        <v>4877</v>
      </c>
      <c r="O44" s="2350"/>
      <c r="P44" s="2431" t="s">
        <v>3028</v>
      </c>
      <c r="Q44" s="2349">
        <v>91710</v>
      </c>
    </row>
    <row r="45" spans="1:17">
      <c r="A45" s="2432"/>
      <c r="B45" s="2470" t="s">
        <v>5275</v>
      </c>
      <c r="C45" s="2386" t="s">
        <v>5276</v>
      </c>
      <c r="D45" s="2408">
        <v>2</v>
      </c>
      <c r="E45" s="2409" t="s">
        <v>3041</v>
      </c>
      <c r="F45" s="2438">
        <v>7000</v>
      </c>
      <c r="G45" s="662">
        <f>F45*D45</f>
        <v>14000</v>
      </c>
      <c r="H45" s="2448" t="s">
        <v>4877</v>
      </c>
      <c r="I45" s="2449">
        <v>12127</v>
      </c>
      <c r="J45" s="2448" t="s">
        <v>4877</v>
      </c>
      <c r="K45" s="2449">
        <f>I45</f>
        <v>12127</v>
      </c>
      <c r="L45" s="2431" t="s">
        <v>3028</v>
      </c>
      <c r="M45" s="2349"/>
      <c r="N45" s="2448" t="s">
        <v>4877</v>
      </c>
      <c r="O45" s="2350"/>
      <c r="P45" s="2431" t="s">
        <v>3028</v>
      </c>
      <c r="Q45" s="2349">
        <v>12127</v>
      </c>
    </row>
    <row r="46" spans="1:17">
      <c r="A46" s="2432"/>
      <c r="B46" s="2470" t="s">
        <v>5277</v>
      </c>
      <c r="C46" s="2407" t="s">
        <v>1884</v>
      </c>
      <c r="D46" s="2408">
        <v>1</v>
      </c>
      <c r="E46" s="2409" t="s">
        <v>5208</v>
      </c>
      <c r="F46" s="2438">
        <v>20000</v>
      </c>
      <c r="G46" s="662">
        <f>F46*D46</f>
        <v>20000</v>
      </c>
      <c r="H46" s="2448" t="s">
        <v>4877</v>
      </c>
      <c r="I46" s="2449">
        <v>18210.8</v>
      </c>
      <c r="J46" s="2448" t="s">
        <v>4877</v>
      </c>
      <c r="K46" s="2449">
        <f>I46</f>
        <v>18210.8</v>
      </c>
      <c r="L46" s="2431" t="s">
        <v>3028</v>
      </c>
      <c r="M46" s="2349"/>
      <c r="N46" s="2448" t="s">
        <v>4877</v>
      </c>
      <c r="O46" s="2350"/>
      <c r="P46" s="2431" t="s">
        <v>3028</v>
      </c>
      <c r="Q46" s="2349">
        <v>18210.8</v>
      </c>
    </row>
    <row r="47" spans="1:17">
      <c r="A47" s="2432"/>
      <c r="B47" s="2470" t="s">
        <v>5278</v>
      </c>
      <c r="C47" s="2407" t="s">
        <v>1851</v>
      </c>
      <c r="D47" s="2408">
        <v>1</v>
      </c>
      <c r="E47" s="2409" t="s">
        <v>5208</v>
      </c>
      <c r="F47" s="2438">
        <v>100000</v>
      </c>
      <c r="G47" s="662">
        <f>F47*D47</f>
        <v>100000</v>
      </c>
      <c r="H47" s="2448" t="s">
        <v>4877</v>
      </c>
      <c r="I47" s="2449">
        <v>89413.74</v>
      </c>
      <c r="J47" s="2448" t="s">
        <v>4877</v>
      </c>
      <c r="K47" s="2449">
        <f>I47</f>
        <v>89413.74</v>
      </c>
      <c r="L47" s="2431" t="s">
        <v>3028</v>
      </c>
      <c r="M47" s="2349"/>
      <c r="N47" s="2448" t="s">
        <v>4877</v>
      </c>
      <c r="O47" s="2350"/>
      <c r="P47" s="2431" t="s">
        <v>3028</v>
      </c>
      <c r="Q47" s="2349">
        <v>89413.74</v>
      </c>
    </row>
    <row r="48" spans="1:17">
      <c r="A48" s="2432"/>
      <c r="B48" s="2470"/>
      <c r="C48" s="2407"/>
      <c r="D48" s="2408"/>
      <c r="E48" s="2409"/>
      <c r="F48" s="2438"/>
      <c r="G48" s="662"/>
      <c r="H48" s="2431"/>
      <c r="I48" s="2349"/>
      <c r="J48" s="2349"/>
      <c r="K48" s="2349"/>
      <c r="L48" s="2431"/>
      <c r="M48" s="2349"/>
      <c r="N48" s="2431"/>
      <c r="O48" s="2350"/>
      <c r="P48" s="2431"/>
      <c r="Q48" s="2349"/>
    </row>
    <row r="49" spans="1:36">
      <c r="A49" s="2432"/>
      <c r="B49" s="2470" t="s">
        <v>5279</v>
      </c>
      <c r="C49" s="2407"/>
      <c r="D49" s="2408"/>
      <c r="E49" s="2409"/>
      <c r="F49" s="2438"/>
      <c r="G49" s="662"/>
      <c r="H49" s="2448" t="s">
        <v>4877</v>
      </c>
      <c r="I49" s="2449">
        <v>50000</v>
      </c>
      <c r="J49" s="2449" t="s">
        <v>4877</v>
      </c>
      <c r="K49" s="2449">
        <f>K23*0.07</f>
        <v>26845.420000000002</v>
      </c>
      <c r="L49" s="2431"/>
      <c r="M49" s="2349"/>
      <c r="N49" s="2431"/>
      <c r="O49" s="2350"/>
      <c r="P49" s="2431"/>
      <c r="Q49" s="2349"/>
    </row>
    <row r="50" spans="1:36">
      <c r="A50" s="2432"/>
      <c r="B50" s="2477" t="s">
        <v>5280</v>
      </c>
      <c r="C50" s="2407"/>
      <c r="D50" s="2408"/>
      <c r="E50" s="2409"/>
      <c r="F50" s="2438"/>
      <c r="G50" s="662"/>
      <c r="H50" s="2431"/>
      <c r="I50" s="2349"/>
      <c r="J50" s="2349"/>
      <c r="K50" s="2349"/>
      <c r="L50" s="2431"/>
      <c r="M50" s="2349"/>
      <c r="N50" s="2431"/>
      <c r="O50" s="2350"/>
      <c r="P50" s="2431"/>
      <c r="Q50" s="2349"/>
    </row>
    <row r="51" spans="1:36">
      <c r="A51" s="2432"/>
      <c r="B51" s="2477" t="s">
        <v>5281</v>
      </c>
      <c r="C51" s="2407"/>
      <c r="D51" s="2408"/>
      <c r="E51" s="2409"/>
      <c r="F51" s="2438"/>
      <c r="G51" s="662"/>
      <c r="H51" s="2431"/>
      <c r="I51" s="2349"/>
      <c r="J51" s="2349"/>
      <c r="K51" s="2349"/>
      <c r="L51" s="2431"/>
      <c r="M51" s="2349"/>
      <c r="N51" s="2431"/>
      <c r="O51" s="2350"/>
      <c r="P51" s="2431"/>
      <c r="Q51" s="2349"/>
    </row>
    <row r="52" spans="1:36" ht="15.75" thickBot="1">
      <c r="A52" s="2432"/>
      <c r="B52" s="2475"/>
      <c r="C52" s="2407"/>
      <c r="D52" s="2408"/>
      <c r="E52" s="2409"/>
      <c r="F52" s="2438"/>
      <c r="G52" s="662"/>
      <c r="H52" s="2431"/>
      <c r="I52" s="2349"/>
      <c r="J52" s="2349"/>
      <c r="K52" s="2349"/>
      <c r="L52" s="2431"/>
      <c r="M52" s="2349"/>
      <c r="N52" s="2431"/>
      <c r="O52" s="2350"/>
      <c r="P52" s="2431"/>
      <c r="Q52" s="2349"/>
    </row>
    <row r="53" spans="1:36" ht="15.75" thickTop="1">
      <c r="A53" s="13"/>
      <c r="B53" s="226" t="s">
        <v>3265</v>
      </c>
      <c r="C53" s="15"/>
      <c r="D53" s="168"/>
      <c r="E53" s="176"/>
      <c r="F53" s="17"/>
      <c r="G53" s="227">
        <f>SUBTOTAL(9,G23:G52)</f>
        <v>780840</v>
      </c>
      <c r="H53" s="19"/>
      <c r="I53" s="164">
        <f>SUM(I19:I52)</f>
        <v>565992.54</v>
      </c>
      <c r="J53" s="19"/>
      <c r="K53" s="164">
        <f>SUM(K19:K52)</f>
        <v>626812.96000000008</v>
      </c>
      <c r="L53" s="19"/>
      <c r="M53" s="164">
        <f>SUM(M19:M52)</f>
        <v>725143</v>
      </c>
      <c r="N53" s="19"/>
      <c r="O53" s="164">
        <f>SUM(O19:O52)</f>
        <v>492143</v>
      </c>
      <c r="P53" s="19"/>
      <c r="Q53" s="164">
        <f>SUM(Q19:Q52)</f>
        <v>211461.54</v>
      </c>
    </row>
    <row r="54" spans="1:36">
      <c r="A54" s="2358"/>
      <c r="B54" s="2359" t="s">
        <v>2976</v>
      </c>
      <c r="C54" s="2360"/>
      <c r="D54" s="2361"/>
      <c r="E54" s="2362"/>
      <c r="F54" s="2363"/>
      <c r="G54" s="654"/>
      <c r="H54" s="2364">
        <v>0</v>
      </c>
      <c r="I54" s="645"/>
      <c r="J54" s="2364">
        <v>0</v>
      </c>
      <c r="K54" s="645"/>
      <c r="L54" s="2364">
        <v>0</v>
      </c>
      <c r="M54" s="645"/>
      <c r="N54" s="2364">
        <v>0</v>
      </c>
      <c r="O54" s="645"/>
      <c r="P54" s="2364">
        <v>0</v>
      </c>
      <c r="Q54" s="645"/>
    </row>
    <row r="55" spans="1:36">
      <c r="A55" s="2358"/>
      <c r="B55" s="2359" t="s">
        <v>2977</v>
      </c>
      <c r="C55" s="2360"/>
      <c r="D55" s="2361"/>
      <c r="E55" s="2362"/>
      <c r="F55" s="2363"/>
      <c r="G55" s="654">
        <f>F54*G53</f>
        <v>0</v>
      </c>
      <c r="H55" s="2365"/>
      <c r="I55" s="2366">
        <f>H54*I53</f>
        <v>0</v>
      </c>
      <c r="J55" s="2365"/>
      <c r="K55" s="2366">
        <f>J54*K53</f>
        <v>0</v>
      </c>
      <c r="L55" s="2365"/>
      <c r="M55" s="2366">
        <f>L54*M53</f>
        <v>0</v>
      </c>
      <c r="N55" s="2365"/>
      <c r="O55" s="2366">
        <f>N54*O53</f>
        <v>0</v>
      </c>
      <c r="P55" s="2365"/>
      <c r="Q55" s="2366">
        <f>P54*Q53</f>
        <v>0</v>
      </c>
    </row>
    <row r="56" spans="1:36">
      <c r="A56" s="2358"/>
      <c r="B56" s="2359"/>
      <c r="C56" s="2360"/>
      <c r="D56" s="2361"/>
      <c r="E56" s="2362"/>
      <c r="F56" s="2363"/>
      <c r="G56" s="654"/>
      <c r="H56" s="2365"/>
      <c r="I56" s="2366"/>
      <c r="J56" s="2365"/>
      <c r="K56" s="2366"/>
      <c r="L56" s="2365"/>
      <c r="M56" s="2366"/>
      <c r="N56" s="2365"/>
      <c r="O56" s="2366"/>
      <c r="P56" s="2365"/>
      <c r="Q56" s="2366"/>
    </row>
    <row r="57" spans="1:36">
      <c r="A57" s="2358"/>
      <c r="B57" s="2359" t="s">
        <v>2978</v>
      </c>
      <c r="C57" s="2360"/>
      <c r="D57" s="2361"/>
      <c r="E57" s="2362"/>
      <c r="F57" s="2363"/>
      <c r="G57" s="654">
        <f>SUM(G53:G55)</f>
        <v>780840</v>
      </c>
      <c r="H57" s="2367"/>
      <c r="I57" s="2366">
        <f>SUM(I53:I55)</f>
        <v>565992.54</v>
      </c>
      <c r="J57" s="2367"/>
      <c r="K57" s="2366">
        <f>SUM(K53:K55)</f>
        <v>626812.96000000008</v>
      </c>
      <c r="L57" s="2367"/>
      <c r="M57" s="2366">
        <f>SUM(M53:M55)</f>
        <v>725143</v>
      </c>
      <c r="N57" s="2367"/>
      <c r="O57" s="2366">
        <f>SUM(O53:O55)</f>
        <v>492143</v>
      </c>
      <c r="P57" s="2367"/>
      <c r="Q57" s="2366">
        <f>SUM(Q53:Q55)</f>
        <v>211461.54</v>
      </c>
    </row>
    <row r="58" spans="1:36">
      <c r="A58" s="2358"/>
      <c r="B58" s="2368" t="s">
        <v>2979</v>
      </c>
      <c r="C58" s="2360"/>
      <c r="D58" s="2361"/>
      <c r="E58" s="2362"/>
      <c r="F58" s="2368"/>
      <c r="G58" s="655">
        <f>G57/'Area Calculations'!$F$5</f>
        <v>8.8059364850234569</v>
      </c>
      <c r="H58" s="2369"/>
      <c r="I58" s="2370"/>
      <c r="J58" s="2370"/>
      <c r="K58" s="2370"/>
      <c r="L58" s="2371"/>
      <c r="M58" s="2370"/>
      <c r="N58" s="2369"/>
      <c r="O58" s="2370"/>
      <c r="P58" s="2369"/>
      <c r="Q58" s="2370"/>
    </row>
    <row r="59" spans="1:36" ht="15.75" thickBot="1">
      <c r="A59" s="2358"/>
      <c r="B59" s="2372"/>
      <c r="C59" s="2360"/>
      <c r="D59" s="2361"/>
      <c r="E59" s="2362"/>
      <c r="F59" s="2363"/>
      <c r="G59" s="656"/>
      <c r="H59" s="2373"/>
      <c r="I59" s="2373"/>
      <c r="J59" s="2373"/>
      <c r="K59" s="2373"/>
      <c r="L59" s="2373"/>
      <c r="M59" s="2373"/>
      <c r="N59" s="2373"/>
      <c r="O59" s="2373"/>
      <c r="P59" s="2373"/>
      <c r="Q59" s="2373"/>
    </row>
    <row r="60" spans="1:36" ht="16.5" thickTop="1" thickBot="1">
      <c r="A60" s="830" t="s">
        <v>2980</v>
      </c>
      <c r="B60" s="831"/>
      <c r="C60" s="12"/>
      <c r="D60" s="169"/>
      <c r="E60" s="177"/>
      <c r="F60" s="12"/>
      <c r="G60" s="228"/>
      <c r="H60" s="20"/>
      <c r="I60" s="20"/>
      <c r="J60" s="20"/>
      <c r="K60" s="20"/>
      <c r="L60" s="20"/>
      <c r="M60" s="20"/>
      <c r="N60" s="20"/>
      <c r="O60" s="20"/>
      <c r="P60" s="20"/>
      <c r="Q60" s="20"/>
    </row>
    <row r="61" spans="1:36" ht="15.75" thickTop="1">
      <c r="A61" s="2478"/>
      <c r="B61" s="2406"/>
      <c r="C61" s="2479"/>
      <c r="D61" s="2480"/>
      <c r="E61" s="2481"/>
      <c r="F61" s="2479"/>
      <c r="G61" s="2482"/>
      <c r="H61" s="2483"/>
      <c r="I61" s="2483"/>
      <c r="J61" s="2483"/>
      <c r="K61" s="2483"/>
      <c r="L61" s="2483"/>
      <c r="M61" s="2483"/>
      <c r="N61" s="2483"/>
      <c r="O61" s="2483"/>
      <c r="P61" s="2483"/>
      <c r="Q61" s="2483"/>
    </row>
    <row r="62" spans="1:36">
      <c r="A62" s="2478"/>
      <c r="B62" s="2406"/>
      <c r="C62" s="2479"/>
      <c r="D62" s="2480"/>
      <c r="E62" s="2481"/>
      <c r="F62" s="2479"/>
      <c r="G62" s="2482"/>
      <c r="H62" s="2483"/>
      <c r="I62" s="2483"/>
      <c r="J62" s="2483"/>
      <c r="K62" s="2483"/>
      <c r="L62" s="2483"/>
      <c r="M62" s="2483"/>
      <c r="N62" s="2483"/>
      <c r="O62" s="2483"/>
      <c r="P62" s="2483"/>
      <c r="Q62" s="2483"/>
    </row>
    <row r="63" spans="1:36" ht="15.75" thickBot="1">
      <c r="A63" s="2478"/>
      <c r="B63" s="2406"/>
      <c r="C63" s="2479"/>
      <c r="D63" s="2480"/>
      <c r="E63" s="2481"/>
      <c r="F63" s="2479"/>
      <c r="G63" s="2482"/>
      <c r="H63" s="2483"/>
      <c r="I63" s="2483"/>
      <c r="J63" s="2483"/>
      <c r="K63" s="2483"/>
      <c r="L63" s="2483"/>
      <c r="M63" s="2483"/>
      <c r="N63" s="2483"/>
      <c r="O63" s="2483"/>
      <c r="P63" s="2483"/>
      <c r="Q63" s="2483"/>
    </row>
    <row r="64" spans="1:36" s="2" customFormat="1" ht="16.5" thickTop="1" thickBot="1">
      <c r="A64" s="830" t="s">
        <v>2981</v>
      </c>
      <c r="B64" s="831"/>
      <c r="C64" s="12"/>
      <c r="D64" s="169"/>
      <c r="E64" s="177"/>
      <c r="F64" s="12"/>
      <c r="G64" s="228"/>
      <c r="H64" s="20"/>
      <c r="I64" s="20"/>
      <c r="J64" s="20"/>
      <c r="K64" s="20"/>
      <c r="L64" s="20"/>
      <c r="M64" s="20"/>
      <c r="N64" s="20"/>
      <c r="O64" s="20"/>
      <c r="P64" s="20"/>
      <c r="Q64" s="20"/>
      <c r="V64"/>
      <c r="W64"/>
      <c r="X64"/>
      <c r="Y64"/>
      <c r="Z64"/>
      <c r="AA64"/>
      <c r="AB64"/>
      <c r="AC64"/>
      <c r="AD64"/>
      <c r="AE64"/>
      <c r="AF64"/>
      <c r="AG64"/>
      <c r="AH64"/>
      <c r="AI64"/>
      <c r="AJ64"/>
    </row>
    <row r="65" spans="1:36" s="2" customFormat="1" ht="15.75" thickTop="1">
      <c r="A65" s="2478"/>
      <c r="B65" s="2406"/>
      <c r="C65" s="2479"/>
      <c r="D65" s="2480"/>
      <c r="E65" s="2481"/>
      <c r="F65" s="2479"/>
      <c r="G65" s="2482"/>
      <c r="H65" s="2483"/>
      <c r="I65" s="2483"/>
      <c r="J65" s="2483"/>
      <c r="K65" s="2483"/>
      <c r="L65" s="2483"/>
      <c r="M65" s="2483"/>
      <c r="N65" s="2483"/>
      <c r="O65" s="2483"/>
      <c r="P65" s="2483"/>
      <c r="Q65" s="2483"/>
      <c r="V65"/>
      <c r="W65"/>
      <c r="X65"/>
      <c r="Y65"/>
      <c r="Z65"/>
      <c r="AA65"/>
      <c r="AB65"/>
      <c r="AC65"/>
      <c r="AD65"/>
      <c r="AE65"/>
      <c r="AF65"/>
      <c r="AG65"/>
      <c r="AH65"/>
      <c r="AI65"/>
      <c r="AJ65"/>
    </row>
    <row r="66" spans="1:36" s="2" customFormat="1">
      <c r="A66" s="2478"/>
      <c r="B66" s="2406"/>
      <c r="C66" s="2479"/>
      <c r="D66" s="2480"/>
      <c r="E66" s="2481"/>
      <c r="F66" s="2479"/>
      <c r="G66" s="2482"/>
      <c r="H66" s="2483"/>
      <c r="I66" s="2483"/>
      <c r="J66" s="2483"/>
      <c r="K66" s="2483"/>
      <c r="L66" s="2483"/>
      <c r="M66" s="2483"/>
      <c r="N66" s="2483"/>
      <c r="O66" s="2483"/>
      <c r="P66" s="2483"/>
      <c r="Q66" s="2483"/>
      <c r="V66"/>
      <c r="W66"/>
      <c r="X66"/>
      <c r="Y66"/>
      <c r="Z66"/>
      <c r="AA66"/>
      <c r="AB66"/>
      <c r="AC66"/>
      <c r="AD66"/>
      <c r="AE66"/>
      <c r="AF66"/>
      <c r="AG66"/>
      <c r="AH66"/>
      <c r="AI66"/>
      <c r="AJ66"/>
    </row>
    <row r="67" spans="1:36" ht="15.75" thickBot="1">
      <c r="A67" s="2478"/>
      <c r="B67" s="2406"/>
      <c r="C67" s="2479"/>
      <c r="D67" s="2480"/>
      <c r="E67" s="2481"/>
      <c r="F67" s="2479"/>
      <c r="G67" s="2482"/>
      <c r="H67" s="2483"/>
      <c r="I67" s="2483"/>
      <c r="J67" s="2483"/>
      <c r="K67" s="2483"/>
      <c r="L67" s="2483"/>
      <c r="M67" s="2483"/>
      <c r="N67" s="2483"/>
      <c r="O67" s="2483"/>
      <c r="P67" s="2483"/>
      <c r="Q67" s="2483"/>
    </row>
    <row r="68" spans="1:36" s="2" customFormat="1" ht="16.5" thickTop="1" thickBot="1">
      <c r="A68" s="830" t="s">
        <v>2982</v>
      </c>
      <c r="B68" s="831"/>
      <c r="C68" s="12"/>
      <c r="D68" s="169"/>
      <c r="E68" s="177"/>
      <c r="F68" s="12"/>
      <c r="G68" s="228"/>
      <c r="H68" s="20"/>
      <c r="I68" s="20"/>
      <c r="J68" s="20"/>
      <c r="K68" s="20"/>
      <c r="L68" s="20"/>
      <c r="M68" s="20"/>
      <c r="N68" s="20"/>
      <c r="O68" s="20"/>
      <c r="P68" s="20"/>
      <c r="Q68" s="20"/>
      <c r="V68"/>
      <c r="W68"/>
      <c r="X68"/>
      <c r="Y68"/>
      <c r="Z68"/>
      <c r="AA68"/>
      <c r="AB68"/>
      <c r="AC68"/>
      <c r="AD68"/>
      <c r="AE68"/>
      <c r="AF68"/>
      <c r="AG68"/>
      <c r="AH68"/>
      <c r="AI68"/>
      <c r="AJ68"/>
    </row>
    <row r="69" spans="1:36" s="2" customFormat="1" ht="15.75" thickTop="1">
      <c r="A69" s="2478"/>
      <c r="B69" s="2406"/>
      <c r="C69" s="2479"/>
      <c r="D69" s="2480"/>
      <c r="E69" s="2481"/>
      <c r="F69" s="2479"/>
      <c r="G69" s="2482"/>
      <c r="H69" s="2483"/>
      <c r="I69" s="2483"/>
      <c r="J69" s="2483"/>
      <c r="K69" s="2483"/>
      <c r="L69" s="2483"/>
      <c r="M69" s="2483"/>
      <c r="N69" s="2483"/>
      <c r="O69" s="2483"/>
      <c r="P69" s="2483"/>
      <c r="Q69" s="2483"/>
      <c r="V69"/>
      <c r="W69"/>
      <c r="X69"/>
      <c r="Y69"/>
      <c r="Z69"/>
      <c r="AA69"/>
      <c r="AB69"/>
      <c r="AC69"/>
      <c r="AD69"/>
      <c r="AE69"/>
      <c r="AF69"/>
      <c r="AG69"/>
      <c r="AH69"/>
      <c r="AI69"/>
      <c r="AJ69"/>
    </row>
    <row r="70" spans="1:36" s="2" customFormat="1">
      <c r="A70" s="2382"/>
      <c r="B70" s="2406"/>
      <c r="C70" s="2407"/>
      <c r="D70" s="2408"/>
      <c r="E70" s="2409"/>
      <c r="F70" s="2407"/>
      <c r="G70" s="2383"/>
      <c r="H70" s="2384"/>
      <c r="I70" s="2384"/>
      <c r="J70" s="2384"/>
      <c r="K70" s="2384"/>
      <c r="L70" s="2384"/>
      <c r="M70" s="2384"/>
      <c r="N70" s="2384"/>
      <c r="O70" s="2384"/>
      <c r="P70" s="2384"/>
      <c r="Q70" s="2384"/>
      <c r="V70"/>
      <c r="W70"/>
      <c r="X70"/>
      <c r="Y70"/>
      <c r="Z70"/>
      <c r="AA70"/>
      <c r="AB70"/>
      <c r="AC70"/>
      <c r="AD70"/>
      <c r="AE70"/>
      <c r="AF70"/>
      <c r="AG70"/>
      <c r="AH70"/>
      <c r="AI70"/>
      <c r="AJ70"/>
    </row>
    <row r="71" spans="1:36" s="2" customFormat="1" ht="15.75" thickBot="1">
      <c r="A71" s="2385"/>
      <c r="B71" s="2386"/>
      <c r="C71" s="2407"/>
      <c r="D71" s="2408"/>
      <c r="E71" s="2409"/>
      <c r="F71" s="2407"/>
      <c r="G71" s="2383"/>
      <c r="H71" s="2387"/>
      <c r="I71" s="2387"/>
      <c r="J71" s="2387"/>
      <c r="K71" s="2387"/>
      <c r="L71" s="2387"/>
      <c r="M71" s="2387"/>
      <c r="N71" s="2387"/>
      <c r="O71" s="2387"/>
      <c r="P71" s="2387"/>
      <c r="Q71" s="2387"/>
    </row>
    <row r="72" spans="1:36" s="2" customFormat="1" ht="16.5" thickTop="1" thickBot="1">
      <c r="A72" s="830" t="s">
        <v>2983</v>
      </c>
      <c r="B72" s="831"/>
      <c r="C72" s="12"/>
      <c r="D72" s="169"/>
      <c r="E72" s="177"/>
      <c r="F72" s="12"/>
      <c r="G72" s="228"/>
      <c r="H72" s="20"/>
      <c r="I72" s="20"/>
      <c r="J72" s="20"/>
      <c r="K72" s="20"/>
      <c r="L72" s="20"/>
      <c r="M72" s="20"/>
      <c r="N72" s="20"/>
      <c r="O72" s="20"/>
      <c r="P72" s="20"/>
      <c r="Q72" s="20"/>
      <c r="V72"/>
      <c r="W72"/>
      <c r="X72"/>
      <c r="Y72"/>
      <c r="Z72"/>
      <c r="AA72"/>
      <c r="AB72"/>
      <c r="AC72"/>
      <c r="AD72"/>
      <c r="AE72"/>
      <c r="AF72"/>
      <c r="AG72"/>
      <c r="AH72"/>
      <c r="AI72"/>
      <c r="AJ72"/>
    </row>
    <row r="73" spans="1:36" ht="15.75" thickTop="1">
      <c r="A73" s="2484"/>
      <c r="B73" s="2485"/>
      <c r="C73" s="2479"/>
      <c r="D73" s="2480"/>
      <c r="E73" s="2481"/>
      <c r="F73" s="2479"/>
      <c r="G73" s="2482"/>
      <c r="H73" s="2483"/>
      <c r="I73" s="2483"/>
      <c r="J73" s="2483"/>
      <c r="K73" s="2483"/>
      <c r="L73" s="2483"/>
      <c r="M73" s="2483"/>
      <c r="N73" s="2483"/>
      <c r="O73" s="2483"/>
      <c r="P73" s="2483"/>
      <c r="Q73" s="2483"/>
      <c r="V73" s="2"/>
      <c r="W73" s="2"/>
      <c r="X73" s="2"/>
      <c r="Y73" s="2"/>
      <c r="Z73" s="2"/>
      <c r="AA73" s="2"/>
      <c r="AB73" s="2"/>
      <c r="AC73" s="2"/>
      <c r="AD73" s="2"/>
      <c r="AE73" s="2"/>
      <c r="AF73" s="2"/>
      <c r="AG73" s="2"/>
      <c r="AH73" s="2"/>
      <c r="AI73" s="2"/>
      <c r="AJ73" s="2"/>
    </row>
    <row r="74" spans="1:36">
      <c r="A74" s="2385"/>
      <c r="B74" s="2386"/>
      <c r="C74" s="2407"/>
      <c r="D74" s="2408"/>
      <c r="E74" s="2409"/>
      <c r="F74" s="2407"/>
      <c r="G74" s="2383"/>
      <c r="H74" s="2390"/>
      <c r="I74" s="2390"/>
      <c r="J74" s="2390"/>
      <c r="K74" s="2390"/>
      <c r="L74" s="2390"/>
      <c r="M74" s="2390"/>
      <c r="N74" s="2390"/>
      <c r="O74" s="2390"/>
      <c r="P74" s="2390"/>
      <c r="Q74" s="2390"/>
      <c r="V74" s="2"/>
      <c r="W74" s="2"/>
      <c r="X74" s="2"/>
      <c r="Y74" s="2"/>
      <c r="Z74" s="2"/>
      <c r="AA74" s="2"/>
      <c r="AB74" s="2"/>
      <c r="AC74" s="2"/>
      <c r="AD74" s="2"/>
      <c r="AE74" s="2"/>
      <c r="AF74" s="2"/>
      <c r="AG74" s="2"/>
      <c r="AH74" s="2"/>
      <c r="AI74" s="2"/>
      <c r="AJ74" s="2"/>
    </row>
    <row r="75" spans="1:36" ht="15.75" thickBot="1">
      <c r="A75" s="2385"/>
      <c r="B75" s="2386"/>
      <c r="C75" s="2407"/>
      <c r="D75" s="2408"/>
      <c r="E75" s="2409"/>
      <c r="F75" s="2407"/>
      <c r="G75" s="2383"/>
      <c r="H75" s="2390"/>
      <c r="I75" s="2390"/>
      <c r="J75" s="2390"/>
      <c r="K75" s="2390"/>
      <c r="L75" s="2390"/>
      <c r="M75" s="2390"/>
      <c r="N75" s="2390"/>
      <c r="O75" s="2390"/>
      <c r="P75" s="2390"/>
      <c r="Q75" s="2390"/>
      <c r="V75" s="2"/>
      <c r="W75" s="2"/>
      <c r="X75" s="2"/>
      <c r="Y75" s="2"/>
      <c r="Z75" s="2"/>
      <c r="AA75" s="2"/>
      <c r="AB75" s="2"/>
      <c r="AC75" s="2"/>
      <c r="AD75" s="2"/>
      <c r="AE75" s="2"/>
      <c r="AF75" s="2"/>
      <c r="AG75" s="2"/>
      <c r="AH75" s="2"/>
      <c r="AI75" s="2"/>
      <c r="AJ75" s="2"/>
    </row>
    <row r="76" spans="1:36" ht="16.5" thickTop="1" thickBot="1">
      <c r="A76" s="830" t="s">
        <v>2984</v>
      </c>
      <c r="B76" s="831"/>
      <c r="C76" s="12"/>
      <c r="D76" s="169"/>
      <c r="E76" s="177"/>
      <c r="F76" s="12"/>
      <c r="G76" s="228"/>
      <c r="H76" s="20"/>
      <c r="I76" s="20"/>
      <c r="J76" s="20"/>
      <c r="K76" s="20"/>
      <c r="L76" s="20"/>
      <c r="M76" s="20"/>
      <c r="N76" s="20"/>
      <c r="O76" s="20"/>
      <c r="P76" s="20"/>
      <c r="Q76" s="20"/>
    </row>
    <row r="77" spans="1:36" ht="15.75" thickTop="1">
      <c r="A77" s="2382"/>
      <c r="B77" s="2406" t="s">
        <v>2985</v>
      </c>
      <c r="C77" s="2407"/>
      <c r="D77" s="2408"/>
      <c r="E77" s="2409"/>
      <c r="F77" s="2407"/>
      <c r="G77" s="2383"/>
      <c r="H77" s="2390"/>
      <c r="I77" s="2390"/>
      <c r="J77" s="2390"/>
      <c r="K77" s="2390"/>
      <c r="L77" s="2390"/>
      <c r="M77" s="2390"/>
      <c r="N77" s="2390"/>
      <c r="O77" s="2390"/>
      <c r="P77" s="2390"/>
      <c r="Q77" s="2390"/>
    </row>
    <row r="78" spans="1:36">
      <c r="A78" s="2382"/>
      <c r="B78" s="2406" t="s">
        <v>2986</v>
      </c>
      <c r="C78" s="2407"/>
      <c r="D78" s="2408"/>
      <c r="E78" s="2409"/>
      <c r="F78" s="2407"/>
      <c r="G78" s="2383"/>
      <c r="H78" s="2390"/>
      <c r="I78" s="2390"/>
      <c r="J78" s="2390"/>
      <c r="K78" s="2390"/>
      <c r="L78" s="2390"/>
      <c r="M78" s="2390"/>
      <c r="N78" s="2390"/>
      <c r="O78" s="2390"/>
      <c r="P78" s="2390"/>
      <c r="Q78" s="2390"/>
    </row>
    <row r="79" spans="1:36">
      <c r="A79" s="2382"/>
      <c r="B79" s="2406" t="s">
        <v>2987</v>
      </c>
      <c r="C79" s="2407"/>
      <c r="D79" s="2408"/>
      <c r="E79" s="2409"/>
      <c r="F79" s="2407"/>
      <c r="G79" s="2383"/>
      <c r="H79" s="2390"/>
      <c r="I79" s="2390"/>
      <c r="J79" s="2390"/>
      <c r="K79" s="2390"/>
      <c r="L79" s="2390"/>
      <c r="M79" s="2390"/>
      <c r="N79" s="2390"/>
      <c r="O79" s="2390"/>
      <c r="P79" s="2390"/>
      <c r="Q79" s="2390"/>
    </row>
    <row r="80" spans="1:36">
      <c r="A80" s="2382"/>
      <c r="B80" s="2406" t="s">
        <v>2988</v>
      </c>
      <c r="C80" s="2407"/>
      <c r="D80" s="2408"/>
      <c r="E80" s="2409"/>
      <c r="F80" s="2407"/>
      <c r="G80" s="2383"/>
      <c r="H80" s="2390"/>
      <c r="I80" s="2390"/>
      <c r="J80" s="2390"/>
      <c r="K80" s="2390"/>
      <c r="L80" s="2390"/>
      <c r="M80" s="2390"/>
      <c r="N80" s="2390"/>
      <c r="O80" s="2390"/>
      <c r="P80" s="2390"/>
      <c r="Q80" s="2390"/>
    </row>
    <row r="81" spans="1:17" ht="15.75" thickBot="1">
      <c r="A81" s="646"/>
      <c r="B81" s="619"/>
      <c r="C81" s="616"/>
      <c r="D81" s="621"/>
      <c r="E81" s="622"/>
      <c r="F81" s="616"/>
      <c r="G81" s="620"/>
      <c r="H81" s="647"/>
      <c r="I81" s="647"/>
      <c r="J81" s="647"/>
      <c r="K81" s="647"/>
      <c r="L81" s="647"/>
      <c r="M81" s="647"/>
      <c r="N81" s="647"/>
      <c r="O81" s="647"/>
      <c r="P81" s="647"/>
      <c r="Q81" s="647"/>
    </row>
    <row r="82" spans="1:17" ht="16.5" thickTop="1" thickBot="1">
      <c r="A82" s="7" t="s">
        <v>2989</v>
      </c>
      <c r="B82" s="8"/>
      <c r="C82" s="12"/>
      <c r="D82" s="169"/>
      <c r="E82" s="177"/>
      <c r="F82" s="12"/>
      <c r="G82" s="228"/>
      <c r="H82" s="20"/>
      <c r="I82" s="20"/>
      <c r="J82" s="20"/>
      <c r="K82" s="20"/>
      <c r="L82" s="20"/>
      <c r="M82" s="20"/>
      <c r="N82" s="20"/>
      <c r="O82" s="20"/>
      <c r="P82" s="20"/>
      <c r="Q82" s="20"/>
    </row>
    <row r="83" spans="1:17" ht="15.75" thickTop="1">
      <c r="A83" s="2478"/>
      <c r="B83" s="2459" t="s">
        <v>2990</v>
      </c>
      <c r="C83" s="2479"/>
      <c r="D83" s="2480"/>
      <c r="E83" s="2481"/>
      <c r="F83" s="2479"/>
      <c r="G83" s="2482"/>
      <c r="H83" s="2460"/>
      <c r="I83" s="2460"/>
      <c r="J83" s="2460"/>
      <c r="K83" s="2460"/>
      <c r="L83" s="2460"/>
      <c r="M83" s="2460"/>
      <c r="N83" s="2460"/>
      <c r="O83" s="2460"/>
      <c r="P83" s="2460"/>
      <c r="Q83" s="2460"/>
    </row>
    <row r="84" spans="1:17">
      <c r="A84" s="2382"/>
      <c r="B84" s="2406" t="s">
        <v>2991</v>
      </c>
      <c r="C84" s="2407"/>
      <c r="D84" s="2408"/>
      <c r="E84" s="2409"/>
      <c r="F84" s="2407"/>
      <c r="G84" s="2383"/>
      <c r="H84" s="2391"/>
      <c r="I84" s="2391"/>
      <c r="J84" s="2391"/>
      <c r="K84" s="2391"/>
      <c r="L84" s="2391"/>
      <c r="M84" s="2391"/>
      <c r="N84" s="2391"/>
      <c r="O84" s="2391"/>
      <c r="P84" s="2391"/>
      <c r="Q84" s="2391"/>
    </row>
    <row r="85" spans="1:17" ht="15.75" thickBot="1">
      <c r="A85" s="2392"/>
      <c r="B85" s="2424" t="s">
        <v>2992</v>
      </c>
      <c r="C85" s="2425"/>
      <c r="D85" s="2393"/>
      <c r="E85" s="2394"/>
      <c r="F85" s="2425"/>
      <c r="G85" s="2395"/>
      <c r="H85" s="2396"/>
      <c r="I85" s="2396"/>
      <c r="J85" s="2396"/>
      <c r="K85" s="2396"/>
      <c r="L85" s="2396"/>
      <c r="M85" s="2396"/>
      <c r="N85" s="2396"/>
      <c r="O85" s="2396"/>
      <c r="P85" s="2396"/>
      <c r="Q85" s="2396"/>
    </row>
    <row r="86" spans="1:17" ht="16.5" thickTop="1" thickBot="1"/>
    <row r="87" spans="1:17" ht="16.5" thickTop="1" thickBot="1">
      <c r="A87" s="59" t="s">
        <v>2993</v>
      </c>
      <c r="B87" s="61"/>
      <c r="C87" s="299" t="s">
        <v>5197</v>
      </c>
      <c r="D87" s="165" t="s">
        <v>3235</v>
      </c>
      <c r="E87" s="535" t="s">
        <v>5204</v>
      </c>
    </row>
    <row r="88" spans="1:17" ht="15.75" thickTop="1">
      <c r="A88" s="60" t="s">
        <v>2936</v>
      </c>
      <c r="B88" s="2398" t="str">
        <f>H5</f>
        <v>Russo Painting/Hyde Park</v>
      </c>
    </row>
    <row r="89" spans="1:17">
      <c r="A89" s="2399" t="s">
        <v>2939</v>
      </c>
      <c r="B89" s="2398" t="str">
        <f>H6</f>
        <v>Ryan Russo</v>
      </c>
    </row>
    <row r="90" spans="1:17">
      <c r="A90" s="2400" t="s">
        <v>2941</v>
      </c>
      <c r="B90" s="2401" t="str">
        <f>H7</f>
        <v xml:space="preserve">561-585-7506 </v>
      </c>
    </row>
    <row r="91" spans="1:17">
      <c r="A91" s="2400" t="s">
        <v>2943</v>
      </c>
      <c r="B91" s="2402" t="str">
        <f>H8</f>
        <v>&lt;Estimating@russopainting.net&gt;</v>
      </c>
    </row>
    <row r="92" spans="1:17" ht="15.75" thickBot="1">
      <c r="A92" s="2403" t="s">
        <v>2994</v>
      </c>
      <c r="B92" s="2404">
        <f>H9</f>
        <v>565992.54</v>
      </c>
      <c r="C92" s="447">
        <f>SUM(I19:I52)</f>
        <v>565992.54</v>
      </c>
      <c r="D92" s="165">
        <v>0</v>
      </c>
      <c r="E92" s="165">
        <v>0</v>
      </c>
    </row>
    <row r="93" spans="1:17" ht="15.75" thickTop="1"/>
    <row r="94" spans="1:17">
      <c r="A94" s="62"/>
      <c r="B94" s="1" t="s">
        <v>2995</v>
      </c>
    </row>
    <row r="95" spans="1:17">
      <c r="A95" s="63"/>
      <c r="B95" s="1" t="s">
        <v>2996</v>
      </c>
    </row>
  </sheetData>
  <mergeCells count="35">
    <mergeCell ref="J5:K5"/>
    <mergeCell ref="J6:K6"/>
    <mergeCell ref="J7:K7"/>
    <mergeCell ref="J8:K8"/>
    <mergeCell ref="J9:K9"/>
    <mergeCell ref="H4:I4"/>
    <mergeCell ref="H5:I5"/>
    <mergeCell ref="H6:I6"/>
    <mergeCell ref="H7:I7"/>
    <mergeCell ref="H8:I8"/>
    <mergeCell ref="N4:O4"/>
    <mergeCell ref="N3:O3"/>
    <mergeCell ref="L4:M4"/>
    <mergeCell ref="P4:Q4"/>
    <mergeCell ref="N5:O5"/>
    <mergeCell ref="P5:Q5"/>
    <mergeCell ref="L5:M5"/>
    <mergeCell ref="N8:O8"/>
    <mergeCell ref="L8:M8"/>
    <mergeCell ref="N9:O9"/>
    <mergeCell ref="P9:Q9"/>
    <mergeCell ref="P8:Q8"/>
    <mergeCell ref="A72:B72"/>
    <mergeCell ref="A76:B76"/>
    <mergeCell ref="L9:M9"/>
    <mergeCell ref="A60:B60"/>
    <mergeCell ref="A64:B64"/>
    <mergeCell ref="A68:B68"/>
    <mergeCell ref="H9:I9"/>
    <mergeCell ref="L7:M7"/>
    <mergeCell ref="N7:O7"/>
    <mergeCell ref="P7:Q7"/>
    <mergeCell ref="P6:Q6"/>
    <mergeCell ref="N6:O6"/>
    <mergeCell ref="L6:M6"/>
  </mergeCells>
  <conditionalFormatting sqref="H11:H18">
    <cfRule type="cellIs" dxfId="227" priority="7" operator="equal">
      <formula>"X"</formula>
    </cfRule>
    <cfRule type="cellIs" dxfId="226" priority="8" operator="equal">
      <formula>"I"</formula>
    </cfRule>
  </conditionalFormatting>
  <conditionalFormatting sqref="H20:H52">
    <cfRule type="cellIs" dxfId="225" priority="5" operator="equal">
      <formula>"X"</formula>
    </cfRule>
    <cfRule type="cellIs" dxfId="224" priority="6" operator="equal">
      <formula>"I"</formula>
    </cfRule>
  </conditionalFormatting>
  <conditionalFormatting sqref="J12:J17">
    <cfRule type="cellIs" dxfId="223" priority="1" operator="equal">
      <formula>"X"</formula>
    </cfRule>
    <cfRule type="cellIs" dxfId="222" priority="2" operator="equal">
      <formula>"I"</formula>
    </cfRule>
  </conditionalFormatting>
  <conditionalFormatting sqref="J23:J47">
    <cfRule type="cellIs" dxfId="221" priority="3" operator="equal">
      <formula>"X"</formula>
    </cfRule>
    <cfRule type="cellIs" dxfId="220" priority="4" operator="equal">
      <formula>"I"</formula>
    </cfRule>
  </conditionalFormatting>
  <conditionalFormatting sqref="L11:L18">
    <cfRule type="cellIs" dxfId="219" priority="19" operator="equal">
      <formula>"X"</formula>
    </cfRule>
    <cfRule type="cellIs" dxfId="218" priority="20" operator="equal">
      <formula>"I"</formula>
    </cfRule>
  </conditionalFormatting>
  <conditionalFormatting sqref="L20:L52 P20:P52">
    <cfRule type="cellIs" dxfId="217" priority="43" operator="equal">
      <formula>"X"</formula>
    </cfRule>
    <cfRule type="cellIs" dxfId="216" priority="44" operator="equal">
      <formula>"I"</formula>
    </cfRule>
  </conditionalFormatting>
  <conditionalFormatting sqref="N11:N18">
    <cfRule type="cellIs" dxfId="215" priority="15" operator="equal">
      <formula>"X"</formula>
    </cfRule>
    <cfRule type="cellIs" dxfId="214" priority="16" operator="equal">
      <formula>"I"</formula>
    </cfRule>
  </conditionalFormatting>
  <conditionalFormatting sqref="N20:N52">
    <cfRule type="cellIs" dxfId="213" priority="23" operator="equal">
      <formula>"X"</formula>
    </cfRule>
    <cfRule type="cellIs" dxfId="212" priority="24" operator="equal">
      <formula>"I"</formula>
    </cfRule>
  </conditionalFormatting>
  <conditionalFormatting sqref="P11:P18">
    <cfRule type="cellIs" dxfId="211" priority="11" operator="equal">
      <formula>"X"</formula>
    </cfRule>
    <cfRule type="cellIs" dxfId="210" priority="12" operator="equal">
      <formula>"I"</formula>
    </cfRule>
  </conditionalFormatting>
  <hyperlinks>
    <hyperlink ref="B4" location="'Cost Summary'!A1" display="BACK TO SUMMARY SHEET" xr:uid="{389F071F-B65A-4D11-853D-5E19D1B2E599}"/>
    <hyperlink ref="L8:M8" r:id="rId1" display="richard@fraplaster.com" xr:uid="{32F13D0F-88AF-47CB-88C8-549448B32804}"/>
    <hyperlink ref="P8:Q8" r:id="rId2" display="ben@hyde-park.com" xr:uid="{6574AB60-A30C-4E96-B03E-98842A6D4558}"/>
    <hyperlink ref="N8:O8" r:id="rId3" display="estimating@addisondrywall.com" xr:uid="{95B12C34-FE2D-4EB1-A03C-3A9A189E80CF}"/>
    <hyperlink ref="H8:I8" r:id="rId4" display="&lt;Estimating@russopainting.net&gt;" xr:uid="{FB7ABD84-8DDD-4688-95DE-E41041CD257B}"/>
    <hyperlink ref="J8:K8" r:id="rId5" display="artspacenyc@yahoo.com" xr:uid="{B5F06E15-824C-4A4D-93C7-6FE42927FAEA}"/>
  </hyperlinks>
  <pageMargins left="0.2" right="0.2" top="0.5" bottom="0.75" header="0.3" footer="0.3"/>
  <pageSetup paperSize="3" scale="79" fitToHeight="0" orientation="landscape" horizontalDpi="1200" verticalDpi="1200" r:id="rId6"/>
  <legacyDrawing r:id="rId7"/>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rgb="FF92D050"/>
    <pageSetUpPr fitToPage="1"/>
  </sheetPr>
  <dimension ref="A1:AJ245"/>
  <sheetViews>
    <sheetView zoomScale="90" zoomScaleNormal="90" workbookViewId="0">
      <pane ySplit="10" topLeftCell="A11" activePane="bottomLeft" state="frozen"/>
      <selection pane="bottomLeft" activeCell="P8" sqref="P8:Q8"/>
      <selection activeCell="B4" sqref="B4"/>
    </sheetView>
  </sheetViews>
  <sheetFormatPr defaultColWidth="9.140625" defaultRowHeight="15"/>
  <cols>
    <col min="1" max="1" width="11.42578125" style="316" customWidth="1"/>
    <col min="2" max="2" width="64" style="317" customWidth="1"/>
    <col min="3" max="3" width="15" style="318" customWidth="1"/>
    <col min="4" max="4" width="12.140625" style="319" bestFit="1" customWidth="1"/>
    <col min="5" max="5" width="12.28515625" style="320" customWidth="1"/>
    <col min="6" max="6" width="11.28515625" style="318" customWidth="1"/>
    <col min="7" max="7" width="15.42578125" style="318" bestFit="1" customWidth="1"/>
    <col min="8" max="8" width="9.140625" style="318" customWidth="1"/>
    <col min="9" max="9" width="15.42578125" style="318" customWidth="1"/>
    <col min="10" max="10" width="9.7109375" style="318" customWidth="1"/>
    <col min="11" max="11" width="15.42578125" style="318" customWidth="1"/>
    <col min="12" max="12" width="9.85546875" style="318" customWidth="1"/>
    <col min="13" max="13" width="15.42578125" style="318" customWidth="1"/>
    <col min="14" max="14" width="8.42578125" style="318" customWidth="1"/>
    <col min="15" max="15" width="15.42578125" style="318" customWidth="1"/>
    <col min="16" max="16" width="7.42578125" style="318" bestFit="1" customWidth="1"/>
    <col min="17" max="17" width="14.85546875" style="318" customWidth="1"/>
    <col min="18" max="18" width="7.42578125" style="318" hidden="1" customWidth="1"/>
    <col min="19" max="19" width="14.85546875" style="318" hidden="1" customWidth="1"/>
    <col min="20" max="20" width="7.42578125" style="318" bestFit="1" customWidth="1"/>
    <col min="21" max="21" width="14.85546875" style="318" customWidth="1"/>
    <col min="22" max="22" width="9.140625" style="316"/>
    <col min="23" max="23" width="10" style="316" bestFit="1" customWidth="1"/>
    <col min="24" max="24" width="10.140625" style="316" customWidth="1"/>
    <col min="25" max="25" width="11.140625" style="316" bestFit="1" customWidth="1"/>
    <col min="26" max="16384" width="9.140625" style="316"/>
  </cols>
  <sheetData>
    <row r="1" spans="1:19">
      <c r="F1" s="321"/>
      <c r="G1" s="322" t="s">
        <v>2928</v>
      </c>
    </row>
    <row r="2" spans="1:19">
      <c r="F2" s="323" t="s">
        <v>2929</v>
      </c>
      <c r="G2" s="322" t="s">
        <v>2930</v>
      </c>
    </row>
    <row r="3" spans="1:19">
      <c r="F3" s="324" t="s">
        <v>2931</v>
      </c>
      <c r="G3" s="322" t="s">
        <v>2932</v>
      </c>
    </row>
    <row r="4" spans="1:19" ht="15.75" thickBot="1">
      <c r="B4" s="325" t="s">
        <v>2933</v>
      </c>
      <c r="F4" s="326"/>
      <c r="G4" s="318" t="s">
        <v>2934</v>
      </c>
      <c r="J4" s="970" t="s">
        <v>5282</v>
      </c>
      <c r="K4" s="970"/>
      <c r="L4" s="970"/>
      <c r="M4" s="970"/>
      <c r="N4" s="970" t="s">
        <v>5283</v>
      </c>
      <c r="O4" s="970"/>
      <c r="P4" s="970"/>
      <c r="Q4" s="970"/>
      <c r="R4" s="970" t="s">
        <v>5284</v>
      </c>
      <c r="S4" s="970"/>
    </row>
    <row r="5" spans="1:19" ht="16.5" customHeight="1" thickTop="1" thickBot="1">
      <c r="A5" s="327" t="s">
        <v>2935</v>
      </c>
      <c r="B5" s="328" t="str">
        <f>'Area Calculations'!B4</f>
        <v>Atlantic Fields Club Core / Dock Bar / Spa Pods / Water Features</v>
      </c>
      <c r="C5" s="329"/>
      <c r="D5" s="330"/>
      <c r="E5" s="331"/>
      <c r="F5" s="329"/>
      <c r="G5" s="332" t="s">
        <v>2936</v>
      </c>
      <c r="H5" s="976" t="s">
        <v>5285</v>
      </c>
      <c r="I5" s="977"/>
      <c r="J5" s="971" t="s">
        <v>5286</v>
      </c>
      <c r="K5" s="972"/>
      <c r="L5" s="971" t="s">
        <v>5287</v>
      </c>
      <c r="M5" s="972"/>
      <c r="N5" s="971" t="s">
        <v>5288</v>
      </c>
      <c r="O5" s="972"/>
      <c r="P5" s="971" t="s">
        <v>3698</v>
      </c>
      <c r="Q5" s="972"/>
      <c r="R5" s="981" t="s">
        <v>5289</v>
      </c>
      <c r="S5" s="981"/>
    </row>
    <row r="6" spans="1:19">
      <c r="A6" s="2486" t="s">
        <v>2938</v>
      </c>
      <c r="B6" s="2487" t="s">
        <v>2573</v>
      </c>
      <c r="C6" s="2488"/>
      <c r="D6" s="2489"/>
      <c r="E6" s="2490"/>
      <c r="F6" s="2488"/>
      <c r="G6" s="692" t="s">
        <v>2939</v>
      </c>
      <c r="H6" s="2491" t="s">
        <v>5290</v>
      </c>
      <c r="I6" s="2492"/>
      <c r="J6" s="2491" t="s">
        <v>5291</v>
      </c>
      <c r="K6" s="2492"/>
      <c r="L6" s="2491" t="s">
        <v>5292</v>
      </c>
      <c r="M6" s="2492"/>
      <c r="N6" s="2491" t="s">
        <v>5184</v>
      </c>
      <c r="O6" s="2492"/>
      <c r="P6" s="2493" t="s">
        <v>5293</v>
      </c>
      <c r="Q6" s="2492"/>
      <c r="R6" s="2410" t="s">
        <v>5294</v>
      </c>
      <c r="S6" s="2410"/>
    </row>
    <row r="7" spans="1:19">
      <c r="A7" s="2486" t="s">
        <v>2940</v>
      </c>
      <c r="B7" s="2494" t="s">
        <v>5227</v>
      </c>
      <c r="C7" s="2488"/>
      <c r="D7" s="2489"/>
      <c r="E7" s="2490"/>
      <c r="F7" s="2488"/>
      <c r="G7" s="2495" t="s">
        <v>2941</v>
      </c>
      <c r="H7" s="2496" t="s">
        <v>5295</v>
      </c>
      <c r="I7" s="973"/>
      <c r="J7" s="2496" t="s">
        <v>5296</v>
      </c>
      <c r="K7" s="973"/>
      <c r="L7" s="2496" t="s">
        <v>5297</v>
      </c>
      <c r="M7" s="973"/>
      <c r="N7" s="2496" t="s">
        <v>5190</v>
      </c>
      <c r="O7" s="973"/>
      <c r="P7" s="2496" t="s">
        <v>5298</v>
      </c>
      <c r="Q7" s="973"/>
      <c r="R7" s="2415" t="s">
        <v>5299</v>
      </c>
      <c r="S7" s="2415"/>
    </row>
    <row r="8" spans="1:19">
      <c r="A8" s="2486" t="s">
        <v>2942</v>
      </c>
      <c r="B8" s="2497"/>
      <c r="C8" s="2488"/>
      <c r="D8" s="2489"/>
      <c r="E8" s="2490"/>
      <c r="F8" s="2488"/>
      <c r="G8" s="2495" t="s">
        <v>2943</v>
      </c>
      <c r="H8" s="2498" t="s">
        <v>5300</v>
      </c>
      <c r="I8" s="980"/>
      <c r="J8" s="2419" t="s">
        <v>5301</v>
      </c>
      <c r="K8" s="845"/>
      <c r="L8" s="2419" t="s">
        <v>5302</v>
      </c>
      <c r="M8" s="845"/>
      <c r="N8" s="2419" t="s">
        <v>5303</v>
      </c>
      <c r="O8" s="845"/>
      <c r="P8" s="2498" t="s">
        <v>5304</v>
      </c>
      <c r="Q8" s="980"/>
      <c r="R8" s="2419" t="s">
        <v>5305</v>
      </c>
      <c r="S8" s="2419"/>
    </row>
    <row r="9" spans="1:19" ht="15.75" thickBot="1">
      <c r="A9" s="2499"/>
      <c r="B9" s="2500"/>
      <c r="C9" s="632"/>
      <c r="D9" s="633"/>
      <c r="E9" s="634"/>
      <c r="F9" s="2501"/>
      <c r="G9" s="2502" t="s">
        <v>2944</v>
      </c>
      <c r="H9" s="2503">
        <f>I$188</f>
        <v>3198293</v>
      </c>
      <c r="I9" s="2504"/>
      <c r="J9" s="2505">
        <f>K$188</f>
        <v>3135579</v>
      </c>
      <c r="K9" s="2506"/>
      <c r="L9" s="2505">
        <f>M$188</f>
        <v>3345302</v>
      </c>
      <c r="M9" s="2506"/>
      <c r="N9" s="2503">
        <f>O$188</f>
        <v>2846179</v>
      </c>
      <c r="O9" s="2504"/>
      <c r="P9" s="2505">
        <f t="shared" ref="P9" si="0">Q$188</f>
        <v>3691646</v>
      </c>
      <c r="Q9" s="2506"/>
      <c r="R9" s="2505">
        <f t="shared" ref="R9" si="1">S$188</f>
        <v>2351501</v>
      </c>
      <c r="S9" s="2506"/>
    </row>
    <row r="10" spans="1:19" s="339" customFormat="1" ht="31.5" thickTop="1" thickBot="1">
      <c r="A10" s="333" t="s">
        <v>2945</v>
      </c>
      <c r="B10" s="334"/>
      <c r="C10" s="335" t="s">
        <v>2946</v>
      </c>
      <c r="D10" s="336" t="s">
        <v>2947</v>
      </c>
      <c r="E10" s="335" t="s">
        <v>2948</v>
      </c>
      <c r="F10" s="335" t="s">
        <v>2949</v>
      </c>
      <c r="G10" s="337" t="s">
        <v>2950</v>
      </c>
      <c r="H10" s="338" t="s">
        <v>2951</v>
      </c>
      <c r="I10" s="338" t="s">
        <v>2952</v>
      </c>
      <c r="J10" s="338" t="s">
        <v>2951</v>
      </c>
      <c r="K10" s="338" t="s">
        <v>2952</v>
      </c>
      <c r="L10" s="338" t="s">
        <v>2951</v>
      </c>
      <c r="M10" s="338" t="s">
        <v>2952</v>
      </c>
      <c r="N10" s="338"/>
      <c r="O10" s="338"/>
      <c r="P10" s="338" t="s">
        <v>2951</v>
      </c>
      <c r="Q10" s="338" t="s">
        <v>2952</v>
      </c>
      <c r="R10" s="338" t="s">
        <v>2951</v>
      </c>
      <c r="S10" s="338" t="s">
        <v>2952</v>
      </c>
    </row>
    <row r="11" spans="1:19" ht="16.5" thickTop="1" thickBot="1">
      <c r="A11" s="2507"/>
      <c r="B11" s="2508" t="s">
        <v>2953</v>
      </c>
      <c r="C11" s="693"/>
      <c r="D11" s="2489"/>
      <c r="E11" s="2490"/>
      <c r="F11" s="2488"/>
      <c r="G11" s="694"/>
      <c r="H11" s="2509"/>
      <c r="I11" s="2509"/>
      <c r="J11" s="2509"/>
      <c r="K11" s="2510"/>
      <c r="L11" s="2509"/>
      <c r="M11" s="2510"/>
      <c r="N11" s="2509"/>
      <c r="O11" s="2509"/>
      <c r="P11" s="2509"/>
      <c r="Q11" s="2510"/>
      <c r="R11" s="2509"/>
      <c r="S11" s="2510"/>
    </row>
    <row r="12" spans="1:19">
      <c r="A12" s="2511"/>
      <c r="B12" s="2512" t="s">
        <v>2954</v>
      </c>
      <c r="C12" s="2488"/>
      <c r="D12" s="2489"/>
      <c r="E12" s="2490"/>
      <c r="F12" s="2488"/>
      <c r="G12" s="694"/>
      <c r="H12" s="2509" t="s">
        <v>3028</v>
      </c>
      <c r="I12" s="2509"/>
      <c r="J12" s="2509" t="s">
        <v>3028</v>
      </c>
      <c r="K12" s="2510"/>
      <c r="L12" s="2509" t="s">
        <v>3028</v>
      </c>
      <c r="M12" s="2510"/>
      <c r="N12" s="2509" t="s">
        <v>3028</v>
      </c>
      <c r="O12" s="2509"/>
      <c r="P12" s="2509" t="s">
        <v>3028</v>
      </c>
      <c r="Q12" s="2510"/>
      <c r="R12" s="2509" t="s">
        <v>3028</v>
      </c>
      <c r="S12" s="2510"/>
    </row>
    <row r="13" spans="1:19">
      <c r="A13" s="2513"/>
      <c r="B13" s="2514" t="s">
        <v>2955</v>
      </c>
      <c r="C13" s="2488"/>
      <c r="D13" s="2489"/>
      <c r="E13" s="2490"/>
      <c r="F13" s="2488"/>
      <c r="G13" s="694"/>
      <c r="H13" s="2509" t="s">
        <v>3028</v>
      </c>
      <c r="I13" s="2509"/>
      <c r="J13" s="2509" t="s">
        <v>3028</v>
      </c>
      <c r="K13" s="2510"/>
      <c r="L13" s="2509" t="s">
        <v>3028</v>
      </c>
      <c r="M13" s="2510"/>
      <c r="N13" s="2509" t="s">
        <v>3028</v>
      </c>
      <c r="O13" s="2509"/>
      <c r="P13" s="2509" t="s">
        <v>3028</v>
      </c>
      <c r="Q13" s="2510"/>
      <c r="R13" s="2509" t="s">
        <v>3028</v>
      </c>
      <c r="S13" s="2510"/>
    </row>
    <row r="14" spans="1:19">
      <c r="A14" s="2513"/>
      <c r="B14" s="2515" t="s">
        <v>2956</v>
      </c>
      <c r="C14" s="2488"/>
      <c r="D14" s="2489"/>
      <c r="E14" s="2490"/>
      <c r="F14" s="2488"/>
      <c r="G14" s="694"/>
      <c r="H14" s="2509" t="s">
        <v>3807</v>
      </c>
      <c r="I14" s="2509"/>
      <c r="J14" s="2509" t="s">
        <v>3807</v>
      </c>
      <c r="K14" s="2510"/>
      <c r="L14" s="2509" t="s">
        <v>3807</v>
      </c>
      <c r="M14" s="2510"/>
      <c r="N14" s="2509" t="s">
        <v>3807</v>
      </c>
      <c r="O14" s="2509"/>
      <c r="P14" s="2509" t="s">
        <v>3807</v>
      </c>
      <c r="Q14" s="2510"/>
      <c r="R14" s="2509" t="s">
        <v>3807</v>
      </c>
      <c r="S14" s="2510"/>
    </row>
    <row r="15" spans="1:19">
      <c r="A15" s="2513"/>
      <c r="B15" s="2515" t="s">
        <v>2957</v>
      </c>
      <c r="C15" s="2488"/>
      <c r="D15" s="2489"/>
      <c r="E15" s="2490"/>
      <c r="F15" s="2488"/>
      <c r="G15" s="694"/>
      <c r="H15" s="2509" t="s">
        <v>3028</v>
      </c>
      <c r="I15" s="2509"/>
      <c r="J15" s="2509" t="s">
        <v>3028</v>
      </c>
      <c r="K15" s="2516"/>
      <c r="L15" s="2509" t="s">
        <v>3028</v>
      </c>
      <c r="M15" s="2516"/>
      <c r="N15" s="2509" t="s">
        <v>3028</v>
      </c>
      <c r="O15" s="2509"/>
      <c r="P15" s="2509" t="s">
        <v>3028</v>
      </c>
      <c r="Q15" s="2516"/>
      <c r="R15" s="2509" t="s">
        <v>3028</v>
      </c>
      <c r="S15" s="2516"/>
    </row>
    <row r="16" spans="1:19">
      <c r="A16" s="2513"/>
      <c r="B16" s="2515" t="s">
        <v>2958</v>
      </c>
      <c r="C16" s="2488"/>
      <c r="D16" s="2489"/>
      <c r="E16" s="2490"/>
      <c r="F16" s="2488"/>
      <c r="G16" s="694"/>
      <c r="H16" s="2509" t="s">
        <v>3028</v>
      </c>
      <c r="I16" s="2509"/>
      <c r="J16" s="2509" t="s">
        <v>3028</v>
      </c>
      <c r="K16" s="2510"/>
      <c r="L16" s="2509" t="s">
        <v>3028</v>
      </c>
      <c r="M16" s="2510"/>
      <c r="N16" s="2509" t="s">
        <v>3028</v>
      </c>
      <c r="O16" s="2509"/>
      <c r="P16" s="2509" t="s">
        <v>3028</v>
      </c>
      <c r="Q16" s="2510"/>
      <c r="R16" s="2509" t="s">
        <v>3028</v>
      </c>
      <c r="S16" s="2510"/>
    </row>
    <row r="17" spans="1:19">
      <c r="A17" s="2513"/>
      <c r="B17" s="2515" t="s">
        <v>2959</v>
      </c>
      <c r="C17" s="2488"/>
      <c r="D17" s="2489"/>
      <c r="E17" s="2490"/>
      <c r="F17" s="2488"/>
      <c r="G17" s="694"/>
      <c r="H17" s="2509" t="s">
        <v>3028</v>
      </c>
      <c r="I17" s="2509"/>
      <c r="J17" s="2509" t="s">
        <v>3028</v>
      </c>
      <c r="K17" s="2510"/>
      <c r="L17" s="2509" t="s">
        <v>3028</v>
      </c>
      <c r="M17" s="2510"/>
      <c r="N17" s="2509" t="s">
        <v>3028</v>
      </c>
      <c r="O17" s="2509"/>
      <c r="P17" s="2509" t="s">
        <v>3028</v>
      </c>
      <c r="Q17" s="2510"/>
      <c r="R17" s="2509" t="s">
        <v>3028</v>
      </c>
      <c r="S17" s="2510"/>
    </row>
    <row r="18" spans="1:19">
      <c r="A18" s="2513"/>
      <c r="B18" s="2517" t="s">
        <v>2960</v>
      </c>
      <c r="C18" s="2488"/>
      <c r="D18" s="2489"/>
      <c r="E18" s="2490"/>
      <c r="F18" s="2488"/>
      <c r="G18" s="694"/>
      <c r="H18" s="2509"/>
      <c r="I18" s="2509"/>
      <c r="J18" s="2509"/>
      <c r="K18" s="2510"/>
      <c r="L18" s="2509"/>
      <c r="M18" s="2510"/>
      <c r="N18" s="2509"/>
      <c r="O18" s="2509"/>
      <c r="P18" s="2509"/>
      <c r="Q18" s="2510"/>
      <c r="R18" s="2509"/>
      <c r="S18" s="2510"/>
    </row>
    <row r="19" spans="1:19">
      <c r="A19" s="2513"/>
      <c r="B19" s="2518" t="s">
        <v>2961</v>
      </c>
      <c r="C19" s="2519"/>
      <c r="D19" s="2520"/>
      <c r="E19" s="2521"/>
      <c r="F19" s="2522"/>
      <c r="G19" s="695"/>
      <c r="H19" s="2523"/>
      <c r="I19" s="978"/>
      <c r="J19" s="2524"/>
      <c r="K19" s="2525"/>
      <c r="L19" s="2524"/>
      <c r="M19" s="2525"/>
      <c r="N19" s="2526"/>
      <c r="O19" s="979"/>
      <c r="P19" s="2524"/>
      <c r="Q19" s="2525"/>
      <c r="R19" s="2524"/>
      <c r="S19" s="2525"/>
    </row>
    <row r="20" spans="1:19">
      <c r="A20" s="2513"/>
      <c r="B20" s="2527"/>
      <c r="C20" s="2488"/>
      <c r="D20" s="2489"/>
      <c r="E20" s="2490"/>
      <c r="F20" s="2528"/>
      <c r="G20" s="2529"/>
      <c r="H20" s="2509"/>
      <c r="I20" s="2529"/>
      <c r="J20" s="2509"/>
      <c r="K20" s="2529"/>
      <c r="L20" s="2509"/>
      <c r="M20" s="2529"/>
      <c r="N20" s="2509"/>
      <c r="O20" s="2529"/>
      <c r="P20" s="2509"/>
      <c r="Q20" s="2530"/>
      <c r="R20" s="2509"/>
      <c r="S20" s="2529"/>
    </row>
    <row r="21" spans="1:19">
      <c r="A21" s="2513"/>
      <c r="B21" s="2531" t="s">
        <v>5306</v>
      </c>
      <c r="C21" s="2488"/>
      <c r="D21" s="2489"/>
      <c r="E21" s="2490"/>
      <c r="F21" s="2528"/>
      <c r="G21" s="2529"/>
      <c r="H21" s="2509"/>
      <c r="I21" s="2529"/>
      <c r="J21" s="2509"/>
      <c r="K21" s="2529"/>
      <c r="L21" s="2509"/>
      <c r="M21" s="2529"/>
      <c r="N21" s="2509"/>
      <c r="O21" s="2529"/>
      <c r="P21" s="2509"/>
      <c r="Q21" s="2530"/>
      <c r="R21" s="2509"/>
      <c r="S21" s="2529"/>
    </row>
    <row r="22" spans="1:19" ht="29.25" customHeight="1">
      <c r="A22" s="2513"/>
      <c r="B22" s="2532" t="s">
        <v>5307</v>
      </c>
      <c r="C22" s="2488"/>
      <c r="D22" s="2489"/>
      <c r="E22" s="2490"/>
      <c r="F22" s="2528"/>
      <c r="G22" s="694"/>
      <c r="H22" s="2509" t="s">
        <v>3028</v>
      </c>
      <c r="I22" s="2529"/>
      <c r="J22" s="2509" t="s">
        <v>3028</v>
      </c>
      <c r="K22" s="2529"/>
      <c r="L22" s="2509" t="s">
        <v>3028</v>
      </c>
      <c r="M22" s="2529"/>
      <c r="N22" s="2509" t="s">
        <v>3028</v>
      </c>
      <c r="O22" s="2529"/>
      <c r="P22" s="2509" t="s">
        <v>3028</v>
      </c>
      <c r="Q22" s="2530"/>
      <c r="R22" s="2509" t="s">
        <v>3028</v>
      </c>
      <c r="S22" s="2529"/>
    </row>
    <row r="23" spans="1:19">
      <c r="A23" s="2513"/>
      <c r="B23" s="2532" t="s">
        <v>5308</v>
      </c>
      <c r="C23" s="2488"/>
      <c r="D23" s="2489"/>
      <c r="E23" s="2490"/>
      <c r="F23" s="2528"/>
      <c r="G23" s="694"/>
      <c r="H23" s="2509" t="s">
        <v>3028</v>
      </c>
      <c r="I23" s="2529"/>
      <c r="J23" s="2509" t="s">
        <v>3028</v>
      </c>
      <c r="K23" s="2529"/>
      <c r="L23" s="2509" t="s">
        <v>3028</v>
      </c>
      <c r="M23" s="2529"/>
      <c r="N23" s="2509" t="s">
        <v>3028</v>
      </c>
      <c r="O23" s="2529"/>
      <c r="P23" s="2509" t="s">
        <v>3028</v>
      </c>
      <c r="Q23" s="2530"/>
      <c r="R23" s="2509" t="s">
        <v>3028</v>
      </c>
      <c r="S23" s="2529"/>
    </row>
    <row r="24" spans="1:19">
      <c r="A24" s="2513"/>
      <c r="B24" s="2532" t="s">
        <v>5309</v>
      </c>
      <c r="C24" s="2488"/>
      <c r="D24" s="2489"/>
      <c r="E24" s="2490"/>
      <c r="F24" s="2528"/>
      <c r="G24" s="694"/>
      <c r="H24" s="2509" t="s">
        <v>3028</v>
      </c>
      <c r="I24" s="2529"/>
      <c r="J24" s="2509" t="s">
        <v>3028</v>
      </c>
      <c r="K24" s="2529"/>
      <c r="L24" s="2509" t="s">
        <v>3028</v>
      </c>
      <c r="M24" s="2529"/>
      <c r="N24" s="2509" t="s">
        <v>3028</v>
      </c>
      <c r="O24" s="2529"/>
      <c r="P24" s="2509" t="s">
        <v>3028</v>
      </c>
      <c r="Q24" s="2530"/>
      <c r="R24" s="2509" t="s">
        <v>3028</v>
      </c>
      <c r="S24" s="2529"/>
    </row>
    <row r="25" spans="1:19" ht="30.75" customHeight="1">
      <c r="A25" s="2513"/>
      <c r="B25" s="2532" t="s">
        <v>5310</v>
      </c>
      <c r="C25" s="2488"/>
      <c r="D25" s="2489"/>
      <c r="E25" s="2490"/>
      <c r="F25" s="2528"/>
      <c r="G25" s="694"/>
      <c r="H25" s="2509" t="s">
        <v>3028</v>
      </c>
      <c r="I25" s="2529"/>
      <c r="J25" s="2509" t="s">
        <v>3028</v>
      </c>
      <c r="K25" s="2529"/>
      <c r="L25" s="2509" t="s">
        <v>3028</v>
      </c>
      <c r="M25" s="2529"/>
      <c r="N25" s="2509" t="s">
        <v>3028</v>
      </c>
      <c r="O25" s="2529"/>
      <c r="P25" s="2509" t="s">
        <v>3028</v>
      </c>
      <c r="Q25" s="2530"/>
      <c r="R25" s="2509" t="s">
        <v>3028</v>
      </c>
      <c r="S25" s="2529"/>
    </row>
    <row r="26" spans="1:19">
      <c r="A26" s="2513"/>
      <c r="B26" s="2532" t="s">
        <v>5311</v>
      </c>
      <c r="C26" s="2488"/>
      <c r="D26" s="2489"/>
      <c r="E26" s="2490"/>
      <c r="F26" s="2528"/>
      <c r="G26" s="694"/>
      <c r="H26" s="2509" t="s">
        <v>3028</v>
      </c>
      <c r="I26" s="2529"/>
      <c r="J26" s="2509" t="s">
        <v>3028</v>
      </c>
      <c r="K26" s="2529"/>
      <c r="L26" s="2509" t="s">
        <v>3028</v>
      </c>
      <c r="M26" s="2529"/>
      <c r="N26" s="2509" t="s">
        <v>3028</v>
      </c>
      <c r="O26" s="2529"/>
      <c r="P26" s="2509" t="s">
        <v>3028</v>
      </c>
      <c r="Q26" s="2530"/>
      <c r="R26" s="2509" t="s">
        <v>3028</v>
      </c>
      <c r="S26" s="2529"/>
    </row>
    <row r="27" spans="1:19" ht="34.5" customHeight="1">
      <c r="A27" s="2513"/>
      <c r="B27" s="2532" t="s">
        <v>5312</v>
      </c>
      <c r="C27" s="2488"/>
      <c r="D27" s="2489"/>
      <c r="E27" s="2490"/>
      <c r="F27" s="2528"/>
      <c r="G27" s="694"/>
      <c r="H27" s="2509" t="s">
        <v>3028</v>
      </c>
      <c r="I27" s="2529"/>
      <c r="J27" s="2509" t="s">
        <v>3028</v>
      </c>
      <c r="K27" s="2529"/>
      <c r="L27" s="2509" t="s">
        <v>3028</v>
      </c>
      <c r="M27" s="2529"/>
      <c r="N27" s="2509" t="s">
        <v>3028</v>
      </c>
      <c r="O27" s="2529"/>
      <c r="P27" s="2509" t="s">
        <v>3028</v>
      </c>
      <c r="Q27" s="2530"/>
      <c r="R27" s="2509" t="s">
        <v>3028</v>
      </c>
      <c r="S27" s="2529"/>
    </row>
    <row r="28" spans="1:19">
      <c r="A28" s="2513"/>
      <c r="B28" s="2532" t="s">
        <v>5313</v>
      </c>
      <c r="C28" s="2488"/>
      <c r="D28" s="2489"/>
      <c r="E28" s="2490"/>
      <c r="F28" s="2528"/>
      <c r="G28" s="694"/>
      <c r="H28" s="2509" t="s">
        <v>3028</v>
      </c>
      <c r="I28" s="2529"/>
      <c r="J28" s="2509" t="s">
        <v>3028</v>
      </c>
      <c r="K28" s="2529"/>
      <c r="L28" s="2509" t="s">
        <v>3028</v>
      </c>
      <c r="M28" s="2529"/>
      <c r="N28" s="2509" t="s">
        <v>3028</v>
      </c>
      <c r="O28" s="2529"/>
      <c r="P28" s="2509" t="s">
        <v>3028</v>
      </c>
      <c r="Q28" s="2530"/>
      <c r="R28" s="2509" t="s">
        <v>3028</v>
      </c>
      <c r="S28" s="2529"/>
    </row>
    <row r="29" spans="1:19">
      <c r="A29" s="2513"/>
      <c r="B29" s="2532" t="s">
        <v>5314</v>
      </c>
      <c r="C29" s="2488"/>
      <c r="D29" s="2489"/>
      <c r="E29" s="2490"/>
      <c r="F29" s="2528"/>
      <c r="G29" s="694"/>
      <c r="H29" s="2509" t="s">
        <v>3028</v>
      </c>
      <c r="I29" s="2529"/>
      <c r="J29" s="2509" t="s">
        <v>3028</v>
      </c>
      <c r="K29" s="2529"/>
      <c r="L29" s="2509" t="s">
        <v>3028</v>
      </c>
      <c r="M29" s="2529"/>
      <c r="N29" s="2509" t="s">
        <v>3028</v>
      </c>
      <c r="O29" s="2529"/>
      <c r="P29" s="2509" t="s">
        <v>3028</v>
      </c>
      <c r="Q29" s="2530"/>
      <c r="R29" s="2509" t="s">
        <v>3028</v>
      </c>
      <c r="S29" s="2529"/>
    </row>
    <row r="30" spans="1:19">
      <c r="A30" s="2513"/>
      <c r="B30" s="2532"/>
      <c r="C30" s="2488"/>
      <c r="D30" s="2489"/>
      <c r="E30" s="2490"/>
      <c r="F30" s="2528"/>
      <c r="G30" s="2529"/>
      <c r="H30" s="2509"/>
      <c r="I30" s="2529"/>
      <c r="J30" s="2509"/>
      <c r="K30" s="2529"/>
      <c r="L30" s="2509"/>
      <c r="M30" s="2529"/>
      <c r="N30" s="2509"/>
      <c r="O30" s="2529"/>
      <c r="P30" s="2509"/>
      <c r="Q30" s="2530"/>
      <c r="R30" s="2509"/>
      <c r="S30" s="2529"/>
    </row>
    <row r="31" spans="1:19" ht="16.5" customHeight="1">
      <c r="A31" s="2513"/>
      <c r="B31" s="2473" t="s">
        <v>5315</v>
      </c>
      <c r="C31" s="2488"/>
      <c r="D31" s="2489"/>
      <c r="E31" s="2490"/>
      <c r="F31" s="2528"/>
      <c r="G31" s="2529"/>
      <c r="H31" s="2509"/>
      <c r="I31" s="2529"/>
      <c r="J31" s="2509"/>
      <c r="K31" s="2529"/>
      <c r="L31" s="2509"/>
      <c r="M31" s="2529"/>
      <c r="N31" s="2509"/>
      <c r="O31" s="2529"/>
      <c r="P31" s="2509"/>
      <c r="Q31" s="2530"/>
      <c r="R31" s="2509"/>
      <c r="S31" s="2529"/>
    </row>
    <row r="32" spans="1:19" ht="16.5" customHeight="1">
      <c r="A32" s="2513"/>
      <c r="B32" s="2473" t="s">
        <v>5316</v>
      </c>
      <c r="C32" s="2488"/>
      <c r="D32" s="2489"/>
      <c r="E32" s="2490"/>
      <c r="F32" s="2528"/>
      <c r="G32" s="2529"/>
      <c r="H32" s="2509"/>
      <c r="I32" s="2529"/>
      <c r="J32" s="2509"/>
      <c r="K32" s="2529"/>
      <c r="L32" s="2509"/>
      <c r="M32" s="2529"/>
      <c r="N32" s="2509"/>
      <c r="O32" s="2529"/>
      <c r="P32" s="2509"/>
      <c r="Q32" s="2530"/>
      <c r="R32" s="2509"/>
      <c r="S32" s="2529"/>
    </row>
    <row r="33" spans="1:19">
      <c r="A33" s="2513"/>
      <c r="B33" s="2477" t="s">
        <v>5317</v>
      </c>
      <c r="C33" s="2488"/>
      <c r="D33" s="2489"/>
      <c r="E33" s="2490"/>
      <c r="F33" s="2528"/>
      <c r="G33" s="694"/>
      <c r="H33" s="2509" t="s">
        <v>3028</v>
      </c>
      <c r="I33" s="2533">
        <f>616084+225664+1211840+215556+295369+121081</f>
        <v>2685594</v>
      </c>
      <c r="J33" s="2509" t="s">
        <v>3028</v>
      </c>
      <c r="K33" s="2529">
        <f>2194328+12056</f>
        <v>2206384</v>
      </c>
      <c r="L33" s="2509" t="s">
        <v>3028</v>
      </c>
      <c r="M33" s="2529">
        <v>2388194</v>
      </c>
      <c r="N33" s="2509" t="s">
        <v>3028</v>
      </c>
      <c r="O33" s="2534">
        <f>602850+198722+26722+192285+55297+4200+732121+275988+25281</f>
        <v>2113466</v>
      </c>
      <c r="P33" s="2509" t="s">
        <v>3028</v>
      </c>
      <c r="Q33" s="2534">
        <v>2396000</v>
      </c>
      <c r="R33" s="2509" t="s">
        <v>3028</v>
      </c>
      <c r="S33" s="2529">
        <v>1478938</v>
      </c>
    </row>
    <row r="34" spans="1:19" ht="30" hidden="1">
      <c r="A34" s="2535" t="s">
        <v>5318</v>
      </c>
      <c r="B34" s="2532" t="s">
        <v>5319</v>
      </c>
      <c r="C34" s="2488"/>
      <c r="D34" s="2489">
        <v>1108</v>
      </c>
      <c r="E34" s="2490" t="s">
        <v>48</v>
      </c>
      <c r="F34" s="2528"/>
      <c r="G34" s="694"/>
      <c r="H34" s="2509"/>
      <c r="I34" s="2529"/>
      <c r="J34" s="2509"/>
      <c r="K34" s="2529"/>
      <c r="L34" s="2509"/>
      <c r="M34" s="2529"/>
      <c r="N34" s="2529"/>
      <c r="O34" s="2529"/>
      <c r="P34" s="2529"/>
      <c r="Q34" s="2530"/>
      <c r="R34" s="2509"/>
      <c r="S34" s="2529"/>
    </row>
    <row r="35" spans="1:19" ht="30" hidden="1">
      <c r="A35" s="2513" t="s">
        <v>5320</v>
      </c>
      <c r="B35" s="2532" t="s">
        <v>5321</v>
      </c>
      <c r="C35" s="2488"/>
      <c r="D35" s="2489">
        <v>229</v>
      </c>
      <c r="E35" s="2490" t="s">
        <v>48</v>
      </c>
      <c r="F35" s="2528"/>
      <c r="G35" s="694"/>
      <c r="H35" s="2509"/>
      <c r="I35" s="2529"/>
      <c r="J35" s="2509"/>
      <c r="K35" s="2529"/>
      <c r="L35" s="2509"/>
      <c r="M35" s="2529"/>
      <c r="N35" s="2529"/>
      <c r="O35" s="2529"/>
      <c r="P35" s="2529"/>
      <c r="Q35" s="2530"/>
      <c r="R35" s="2509"/>
      <c r="S35" s="2529"/>
    </row>
    <row r="36" spans="1:19" ht="30" hidden="1">
      <c r="A36" s="2513" t="s">
        <v>5322</v>
      </c>
      <c r="B36" s="2532" t="s">
        <v>5323</v>
      </c>
      <c r="C36" s="2488"/>
      <c r="D36" s="2489">
        <v>118</v>
      </c>
      <c r="E36" s="2490" t="s">
        <v>48</v>
      </c>
      <c r="F36" s="2528"/>
      <c r="G36" s="694"/>
      <c r="H36" s="2509"/>
      <c r="I36" s="2529"/>
      <c r="J36" s="2509"/>
      <c r="K36" s="2529"/>
      <c r="L36" s="2509"/>
      <c r="M36" s="2529"/>
      <c r="N36" s="2529"/>
      <c r="O36" s="2529"/>
      <c r="P36" s="2529"/>
      <c r="Q36" s="2530"/>
      <c r="R36" s="2509"/>
      <c r="S36" s="2529"/>
    </row>
    <row r="37" spans="1:19" ht="30" hidden="1">
      <c r="A37" s="2513" t="s">
        <v>5324</v>
      </c>
      <c r="B37" s="2532" t="s">
        <v>5325</v>
      </c>
      <c r="C37" s="2488"/>
      <c r="D37" s="2489">
        <v>63</v>
      </c>
      <c r="E37" s="2490" t="s">
        <v>48</v>
      </c>
      <c r="F37" s="2528"/>
      <c r="G37" s="694"/>
      <c r="H37" s="2509"/>
      <c r="I37" s="2529"/>
      <c r="J37" s="2509"/>
      <c r="K37" s="2529"/>
      <c r="L37" s="2509"/>
      <c r="M37" s="2529"/>
      <c r="N37" s="2529"/>
      <c r="O37" s="2529"/>
      <c r="P37" s="2529"/>
      <c r="Q37" s="2530"/>
      <c r="R37" s="2509"/>
      <c r="S37" s="2529"/>
    </row>
    <row r="38" spans="1:19" ht="30" hidden="1">
      <c r="A38" s="2513" t="s">
        <v>5326</v>
      </c>
      <c r="B38" s="2532" t="s">
        <v>5327</v>
      </c>
      <c r="C38" s="2488"/>
      <c r="D38" s="2489">
        <v>79</v>
      </c>
      <c r="E38" s="2490" t="s">
        <v>48</v>
      </c>
      <c r="F38" s="2528"/>
      <c r="G38" s="694"/>
      <c r="H38" s="2509"/>
      <c r="I38" s="2529"/>
      <c r="J38" s="2509"/>
      <c r="K38" s="2529"/>
      <c r="L38" s="2509"/>
      <c r="M38" s="2529"/>
      <c r="N38" s="2529"/>
      <c r="O38" s="2529"/>
      <c r="P38" s="2529"/>
      <c r="Q38" s="2530"/>
      <c r="R38" s="2509"/>
      <c r="S38" s="2529"/>
    </row>
    <row r="39" spans="1:19" ht="30" hidden="1">
      <c r="A39" s="2513" t="s">
        <v>5328</v>
      </c>
      <c r="B39" s="2532" t="s">
        <v>5329</v>
      </c>
      <c r="C39" s="2488"/>
      <c r="D39" s="2489">
        <v>167</v>
      </c>
      <c r="E39" s="2490" t="s">
        <v>48</v>
      </c>
      <c r="F39" s="2528"/>
      <c r="G39" s="694"/>
      <c r="H39" s="2509"/>
      <c r="I39" s="2529"/>
      <c r="J39" s="2509"/>
      <c r="K39" s="2529"/>
      <c r="L39" s="2509"/>
      <c r="M39" s="2529"/>
      <c r="N39" s="2529"/>
      <c r="O39" s="2529"/>
      <c r="P39" s="2529"/>
      <c r="Q39" s="2530"/>
      <c r="R39" s="2509"/>
      <c r="S39" s="2529"/>
    </row>
    <row r="40" spans="1:19" ht="30" hidden="1">
      <c r="A40" s="2513" t="s">
        <v>5330</v>
      </c>
      <c r="B40" s="2532" t="s">
        <v>5331</v>
      </c>
      <c r="C40" s="2488"/>
      <c r="D40" s="2489">
        <v>9</v>
      </c>
      <c r="E40" s="2490" t="s">
        <v>48</v>
      </c>
      <c r="F40" s="2528"/>
      <c r="G40" s="694"/>
      <c r="H40" s="2509"/>
      <c r="I40" s="2529"/>
      <c r="J40" s="2509"/>
      <c r="K40" s="2529"/>
      <c r="L40" s="2509"/>
      <c r="M40" s="2529"/>
      <c r="N40" s="2529"/>
      <c r="O40" s="2529"/>
      <c r="P40" s="2529"/>
      <c r="Q40" s="2530"/>
      <c r="R40" s="2509"/>
      <c r="S40" s="2529"/>
    </row>
    <row r="41" spans="1:19" ht="30" hidden="1">
      <c r="A41" s="2513" t="s">
        <v>5332</v>
      </c>
      <c r="B41" s="2532" t="s">
        <v>5333</v>
      </c>
      <c r="C41" s="2488"/>
      <c r="D41" s="2489">
        <v>14</v>
      </c>
      <c r="E41" s="2490" t="s">
        <v>48</v>
      </c>
      <c r="F41" s="2528"/>
      <c r="G41" s="694"/>
      <c r="H41" s="2509"/>
      <c r="I41" s="2529"/>
      <c r="J41" s="2509"/>
      <c r="K41" s="2529"/>
      <c r="L41" s="2509"/>
      <c r="M41" s="2529"/>
      <c r="N41" s="2529"/>
      <c r="O41" s="2529"/>
      <c r="P41" s="2529"/>
      <c r="Q41" s="2530"/>
      <c r="R41" s="2509"/>
      <c r="S41" s="2529"/>
    </row>
    <row r="42" spans="1:19" ht="30" hidden="1">
      <c r="A42" s="2513" t="s">
        <v>5334</v>
      </c>
      <c r="B42" s="2532" t="s">
        <v>5335</v>
      </c>
      <c r="C42" s="2488"/>
      <c r="D42" s="2489">
        <v>986</v>
      </c>
      <c r="E42" s="2490" t="s">
        <v>48</v>
      </c>
      <c r="F42" s="2528"/>
      <c r="G42" s="696">
        <f t="shared" ref="G42:G105" si="2">ROUND(D42*F42,0)</f>
        <v>0</v>
      </c>
      <c r="H42" s="2509"/>
      <c r="I42" s="2529"/>
      <c r="J42" s="2509"/>
      <c r="K42" s="2529"/>
      <c r="L42" s="2509"/>
      <c r="M42" s="2529"/>
      <c r="N42" s="2529"/>
      <c r="O42" s="2529"/>
      <c r="P42" s="2529"/>
      <c r="Q42" s="2530"/>
      <c r="R42" s="2509"/>
      <c r="S42" s="2529"/>
    </row>
    <row r="43" spans="1:19" ht="30" hidden="1">
      <c r="A43" s="2513" t="s">
        <v>5336</v>
      </c>
      <c r="B43" s="2532" t="s">
        <v>5337</v>
      </c>
      <c r="C43" s="2488"/>
      <c r="D43" s="2489">
        <v>57</v>
      </c>
      <c r="E43" s="2490" t="s">
        <v>48</v>
      </c>
      <c r="F43" s="2528"/>
      <c r="G43" s="696"/>
      <c r="H43" s="2509"/>
      <c r="I43" s="2529"/>
      <c r="J43" s="2509"/>
      <c r="K43" s="2529"/>
      <c r="L43" s="2509"/>
      <c r="M43" s="2529"/>
      <c r="N43" s="2529"/>
      <c r="O43" s="2529"/>
      <c r="P43" s="2529"/>
      <c r="Q43" s="2530"/>
      <c r="R43" s="2509"/>
      <c r="S43" s="2529"/>
    </row>
    <row r="44" spans="1:19" ht="30" hidden="1">
      <c r="A44" s="2513" t="s">
        <v>5338</v>
      </c>
      <c r="B44" s="2532" t="s">
        <v>5339</v>
      </c>
      <c r="C44" s="2488"/>
      <c r="D44" s="2489">
        <v>142</v>
      </c>
      <c r="E44" s="2490" t="s">
        <v>48</v>
      </c>
      <c r="F44" s="2528"/>
      <c r="G44" s="696"/>
      <c r="H44" s="2509"/>
      <c r="I44" s="2529"/>
      <c r="J44" s="2509"/>
      <c r="K44" s="2529"/>
      <c r="L44" s="2509"/>
      <c r="M44" s="2529"/>
      <c r="N44" s="2529"/>
      <c r="O44" s="2529"/>
      <c r="P44" s="2529"/>
      <c r="Q44" s="2530"/>
      <c r="R44" s="2509"/>
      <c r="S44" s="2529"/>
    </row>
    <row r="45" spans="1:19" ht="30" hidden="1">
      <c r="A45" s="2513" t="s">
        <v>5340</v>
      </c>
      <c r="B45" s="2532" t="s">
        <v>5341</v>
      </c>
      <c r="C45" s="2488"/>
      <c r="D45" s="2489">
        <v>169</v>
      </c>
      <c r="E45" s="2490" t="s">
        <v>48</v>
      </c>
      <c r="F45" s="2528"/>
      <c r="G45" s="696"/>
      <c r="H45" s="2509"/>
      <c r="I45" s="2529"/>
      <c r="J45" s="2509"/>
      <c r="K45" s="2529"/>
      <c r="L45" s="2509"/>
      <c r="M45" s="2529"/>
      <c r="N45" s="2529"/>
      <c r="O45" s="2529"/>
      <c r="P45" s="2529"/>
      <c r="Q45" s="2530"/>
      <c r="R45" s="2509"/>
      <c r="S45" s="2529"/>
    </row>
    <row r="46" spans="1:19" ht="30" hidden="1">
      <c r="A46" s="2513" t="s">
        <v>5342</v>
      </c>
      <c r="B46" s="2532" t="s">
        <v>5343</v>
      </c>
      <c r="C46" s="2488"/>
      <c r="D46" s="2489">
        <v>125</v>
      </c>
      <c r="E46" s="2490" t="s">
        <v>48</v>
      </c>
      <c r="F46" s="2528"/>
      <c r="G46" s="696"/>
      <c r="H46" s="2509"/>
      <c r="I46" s="2529"/>
      <c r="J46" s="2509"/>
      <c r="K46" s="2529"/>
      <c r="L46" s="2509"/>
      <c r="M46" s="2529"/>
      <c r="N46" s="2529"/>
      <c r="O46" s="2529"/>
      <c r="P46" s="2529"/>
      <c r="Q46" s="2530"/>
      <c r="R46" s="2509"/>
      <c r="S46" s="2529"/>
    </row>
    <row r="47" spans="1:19" ht="30" hidden="1">
      <c r="A47" s="2513" t="s">
        <v>5344</v>
      </c>
      <c r="B47" s="2532" t="s">
        <v>5345</v>
      </c>
      <c r="C47" s="2488"/>
      <c r="D47" s="2489">
        <v>75</v>
      </c>
      <c r="E47" s="2490" t="s">
        <v>48</v>
      </c>
      <c r="F47" s="2528"/>
      <c r="G47" s="696"/>
      <c r="H47" s="2509"/>
      <c r="I47" s="2529"/>
      <c r="J47" s="2509"/>
      <c r="K47" s="2529"/>
      <c r="L47" s="2509"/>
      <c r="M47" s="2529"/>
      <c r="N47" s="2529"/>
      <c r="O47" s="2529"/>
      <c r="P47" s="2529"/>
      <c r="Q47" s="2530"/>
      <c r="R47" s="2509"/>
      <c r="S47" s="2529"/>
    </row>
    <row r="48" spans="1:19" ht="30" hidden="1">
      <c r="A48" s="2513" t="s">
        <v>5346</v>
      </c>
      <c r="B48" s="2532" t="s">
        <v>5347</v>
      </c>
      <c r="C48" s="2488"/>
      <c r="D48" s="2489">
        <v>105</v>
      </c>
      <c r="E48" s="2490" t="s">
        <v>48</v>
      </c>
      <c r="F48" s="2528"/>
      <c r="G48" s="696"/>
      <c r="H48" s="2509"/>
      <c r="I48" s="2529"/>
      <c r="J48" s="2509"/>
      <c r="K48" s="2529"/>
      <c r="L48" s="2509"/>
      <c r="M48" s="2529"/>
      <c r="N48" s="2529"/>
      <c r="O48" s="2529"/>
      <c r="P48" s="2529"/>
      <c r="Q48" s="2530"/>
      <c r="R48" s="2509"/>
      <c r="S48" s="2529"/>
    </row>
    <row r="49" spans="1:19" ht="30" hidden="1">
      <c r="A49" s="2513" t="s">
        <v>5348</v>
      </c>
      <c r="B49" s="2532" t="s">
        <v>5349</v>
      </c>
      <c r="C49" s="2488"/>
      <c r="D49" s="2489">
        <v>46</v>
      </c>
      <c r="E49" s="2490" t="s">
        <v>48</v>
      </c>
      <c r="F49" s="2528"/>
      <c r="G49" s="696"/>
      <c r="H49" s="2509"/>
      <c r="I49" s="2529"/>
      <c r="J49" s="2509"/>
      <c r="K49" s="2529"/>
      <c r="L49" s="2509"/>
      <c r="M49" s="2529"/>
      <c r="N49" s="2529"/>
      <c r="O49" s="2529"/>
      <c r="P49" s="2529"/>
      <c r="Q49" s="2530"/>
      <c r="R49" s="2509"/>
      <c r="S49" s="2529"/>
    </row>
    <row r="50" spans="1:19" ht="30" hidden="1">
      <c r="A50" s="2513" t="s">
        <v>5350</v>
      </c>
      <c r="B50" s="2532" t="s">
        <v>5351</v>
      </c>
      <c r="C50" s="2488"/>
      <c r="D50" s="2489">
        <v>40</v>
      </c>
      <c r="E50" s="2490" t="s">
        <v>48</v>
      </c>
      <c r="F50" s="2528"/>
      <c r="G50" s="696"/>
      <c r="H50" s="2509"/>
      <c r="I50" s="2529"/>
      <c r="J50" s="2509"/>
      <c r="K50" s="2529"/>
      <c r="L50" s="2509"/>
      <c r="M50" s="2529"/>
      <c r="N50" s="2529"/>
      <c r="O50" s="2529"/>
      <c r="P50" s="2529"/>
      <c r="Q50" s="2530"/>
      <c r="R50" s="2509"/>
      <c r="S50" s="2529"/>
    </row>
    <row r="51" spans="1:19" ht="30" hidden="1">
      <c r="A51" s="2536" t="s">
        <v>5352</v>
      </c>
      <c r="B51" s="2537" t="s">
        <v>5353</v>
      </c>
      <c r="C51" s="2488"/>
      <c r="D51" s="2489">
        <v>16</v>
      </c>
      <c r="E51" s="2490" t="s">
        <v>48</v>
      </c>
      <c r="F51" s="2528"/>
      <c r="G51" s="696"/>
      <c r="H51" s="2509"/>
      <c r="I51" s="2529"/>
      <c r="J51" s="2509"/>
      <c r="K51" s="2529"/>
      <c r="L51" s="2509"/>
      <c r="M51" s="2529"/>
      <c r="N51" s="2529"/>
      <c r="O51" s="2529"/>
      <c r="P51" s="2529"/>
      <c r="Q51" s="2530"/>
      <c r="R51" s="2509"/>
      <c r="S51" s="2529"/>
    </row>
    <row r="52" spans="1:19" ht="30" hidden="1">
      <c r="A52" s="2538" t="s">
        <v>5354</v>
      </c>
      <c r="B52" s="2532" t="s">
        <v>5355</v>
      </c>
      <c r="C52" s="2488"/>
      <c r="D52" s="2489">
        <v>13</v>
      </c>
      <c r="E52" s="2490" t="s">
        <v>48</v>
      </c>
      <c r="F52" s="2528"/>
      <c r="G52" s="696"/>
      <c r="H52" s="2509"/>
      <c r="I52" s="2529"/>
      <c r="J52" s="2509"/>
      <c r="K52" s="2529"/>
      <c r="L52" s="2509"/>
      <c r="M52" s="2529"/>
      <c r="N52" s="2529"/>
      <c r="O52" s="2529"/>
      <c r="P52" s="2529"/>
      <c r="Q52" s="2530"/>
      <c r="R52" s="2509"/>
      <c r="S52" s="2529"/>
    </row>
    <row r="53" spans="1:19" ht="30" hidden="1">
      <c r="A53" s="2513" t="s">
        <v>5356</v>
      </c>
      <c r="B53" s="2532" t="s">
        <v>5357</v>
      </c>
      <c r="C53" s="2488"/>
      <c r="D53" s="2489">
        <v>100</v>
      </c>
      <c r="E53" s="2490" t="s">
        <v>48</v>
      </c>
      <c r="F53" s="2528"/>
      <c r="G53" s="696"/>
      <c r="H53" s="2509"/>
      <c r="I53" s="2529"/>
      <c r="J53" s="2509"/>
      <c r="K53" s="2529"/>
      <c r="L53" s="2509"/>
      <c r="M53" s="2529"/>
      <c r="N53" s="2529"/>
      <c r="O53" s="2529"/>
      <c r="P53" s="2529"/>
      <c r="Q53" s="2530"/>
      <c r="R53" s="2509"/>
      <c r="S53" s="2529"/>
    </row>
    <row r="54" spans="1:19" ht="30" hidden="1">
      <c r="A54" s="2513" t="s">
        <v>5358</v>
      </c>
      <c r="B54" s="2532" t="s">
        <v>5359</v>
      </c>
      <c r="C54" s="2488"/>
      <c r="D54" s="2489">
        <v>40</v>
      </c>
      <c r="E54" s="2490" t="s">
        <v>48</v>
      </c>
      <c r="F54" s="2528"/>
      <c r="G54" s="696"/>
      <c r="H54" s="2509"/>
      <c r="I54" s="2529"/>
      <c r="J54" s="2509"/>
      <c r="K54" s="2529"/>
      <c r="L54" s="2509"/>
      <c r="M54" s="2529"/>
      <c r="N54" s="2529"/>
      <c r="O54" s="2529"/>
      <c r="P54" s="2529"/>
      <c r="Q54" s="2530"/>
      <c r="R54" s="2509"/>
      <c r="S54" s="2529"/>
    </row>
    <row r="55" spans="1:19" ht="30" hidden="1">
      <c r="A55" s="2513" t="s">
        <v>5360</v>
      </c>
      <c r="B55" s="2532" t="s">
        <v>5361</v>
      </c>
      <c r="C55" s="2488"/>
      <c r="D55" s="2489">
        <v>4</v>
      </c>
      <c r="E55" s="2490" t="s">
        <v>48</v>
      </c>
      <c r="F55" s="2528"/>
      <c r="G55" s="696"/>
      <c r="H55" s="2509"/>
      <c r="I55" s="2529"/>
      <c r="J55" s="2509"/>
      <c r="K55" s="2529"/>
      <c r="L55" s="2509"/>
      <c r="M55" s="2529"/>
      <c r="N55" s="2529"/>
      <c r="O55" s="2529"/>
      <c r="P55" s="2529"/>
      <c r="Q55" s="2530"/>
      <c r="R55" s="2509"/>
      <c r="S55" s="2529"/>
    </row>
    <row r="56" spans="1:19" ht="30" hidden="1">
      <c r="A56" s="2513" t="s">
        <v>5362</v>
      </c>
      <c r="B56" s="2532" t="s">
        <v>5363</v>
      </c>
      <c r="C56" s="2488"/>
      <c r="D56" s="2489">
        <v>41</v>
      </c>
      <c r="E56" s="2490" t="s">
        <v>48</v>
      </c>
      <c r="F56" s="2528"/>
      <c r="G56" s="696"/>
      <c r="H56" s="2509"/>
      <c r="I56" s="2529"/>
      <c r="J56" s="2509"/>
      <c r="K56" s="2529"/>
      <c r="L56" s="2509"/>
      <c r="M56" s="2529"/>
      <c r="N56" s="2529"/>
      <c r="O56" s="2529"/>
      <c r="P56" s="2529"/>
      <c r="Q56" s="2530"/>
      <c r="R56" s="2509"/>
      <c r="S56" s="2529"/>
    </row>
    <row r="57" spans="1:19" ht="30" hidden="1">
      <c r="A57" s="2513" t="s">
        <v>5364</v>
      </c>
      <c r="B57" s="2532" t="s">
        <v>5365</v>
      </c>
      <c r="C57" s="2488"/>
      <c r="D57" s="2489">
        <v>92</v>
      </c>
      <c r="E57" s="2490" t="s">
        <v>48</v>
      </c>
      <c r="F57" s="2528"/>
      <c r="G57" s="696">
        <f t="shared" si="2"/>
        <v>0</v>
      </c>
      <c r="H57" s="2509"/>
      <c r="I57" s="2529"/>
      <c r="J57" s="2509"/>
      <c r="K57" s="2529"/>
      <c r="L57" s="2509"/>
      <c r="M57" s="2529"/>
      <c r="N57" s="2529"/>
      <c r="O57" s="2529"/>
      <c r="P57" s="2529"/>
      <c r="Q57" s="2530"/>
      <c r="R57" s="2509"/>
      <c r="S57" s="2529"/>
    </row>
    <row r="58" spans="1:19" ht="30" hidden="1">
      <c r="A58" s="2513" t="s">
        <v>5366</v>
      </c>
      <c r="B58" s="2532" t="s">
        <v>5367</v>
      </c>
      <c r="C58" s="2488"/>
      <c r="D58" s="2489">
        <v>16</v>
      </c>
      <c r="E58" s="2490" t="s">
        <v>48</v>
      </c>
      <c r="F58" s="2528"/>
      <c r="G58" s="696"/>
      <c r="H58" s="2509"/>
      <c r="I58" s="2529"/>
      <c r="J58" s="2509"/>
      <c r="K58" s="2529"/>
      <c r="L58" s="2509"/>
      <c r="M58" s="2529"/>
      <c r="N58" s="2529"/>
      <c r="O58" s="2529"/>
      <c r="P58" s="2529"/>
      <c r="Q58" s="2530"/>
      <c r="R58" s="2509"/>
      <c r="S58" s="2529"/>
    </row>
    <row r="59" spans="1:19" ht="30" hidden="1">
      <c r="A59" s="2513" t="s">
        <v>5368</v>
      </c>
      <c r="B59" s="2532" t="s">
        <v>5369</v>
      </c>
      <c r="C59" s="2488"/>
      <c r="D59" s="2489">
        <v>129</v>
      </c>
      <c r="E59" s="2490" t="s">
        <v>48</v>
      </c>
      <c r="F59" s="2528"/>
      <c r="G59" s="696"/>
      <c r="H59" s="2509"/>
      <c r="I59" s="2529"/>
      <c r="J59" s="2509"/>
      <c r="K59" s="2529"/>
      <c r="L59" s="2509"/>
      <c r="M59" s="2529"/>
      <c r="N59" s="2529"/>
      <c r="O59" s="2529"/>
      <c r="P59" s="2529"/>
      <c r="Q59" s="2530"/>
      <c r="R59" s="2509"/>
      <c r="S59" s="2529"/>
    </row>
    <row r="60" spans="1:19" ht="30" hidden="1">
      <c r="A60" s="2513" t="s">
        <v>5370</v>
      </c>
      <c r="B60" s="2532" t="s">
        <v>5371</v>
      </c>
      <c r="C60" s="2488"/>
      <c r="D60" s="2489">
        <v>53</v>
      </c>
      <c r="E60" s="2490" t="s">
        <v>48</v>
      </c>
      <c r="F60" s="2528"/>
      <c r="G60" s="696"/>
      <c r="H60" s="2509"/>
      <c r="I60" s="2529"/>
      <c r="J60" s="2509"/>
      <c r="K60" s="2529"/>
      <c r="L60" s="2509"/>
      <c r="M60" s="2529"/>
      <c r="N60" s="2529"/>
      <c r="O60" s="2529"/>
      <c r="P60" s="2529"/>
      <c r="Q60" s="2530"/>
      <c r="R60" s="2509"/>
      <c r="S60" s="2529"/>
    </row>
    <row r="61" spans="1:19" ht="30" hidden="1">
      <c r="A61" s="2513" t="s">
        <v>5372</v>
      </c>
      <c r="B61" s="2532" t="s">
        <v>5373</v>
      </c>
      <c r="C61" s="2488"/>
      <c r="D61" s="2489">
        <v>50</v>
      </c>
      <c r="E61" s="2490" t="s">
        <v>48</v>
      </c>
      <c r="F61" s="2528"/>
      <c r="G61" s="696"/>
      <c r="H61" s="2509"/>
      <c r="I61" s="2529"/>
      <c r="J61" s="2509"/>
      <c r="K61" s="2529"/>
      <c r="L61" s="2509"/>
      <c r="M61" s="2529"/>
      <c r="N61" s="2529"/>
      <c r="O61" s="2529"/>
      <c r="P61" s="2529"/>
      <c r="Q61" s="2530"/>
      <c r="R61" s="2509"/>
      <c r="S61" s="2529"/>
    </row>
    <row r="62" spans="1:19" ht="30" hidden="1">
      <c r="A62" s="2513" t="s">
        <v>5374</v>
      </c>
      <c r="B62" s="2532" t="s">
        <v>5375</v>
      </c>
      <c r="C62" s="2488"/>
      <c r="D62" s="2489">
        <v>225</v>
      </c>
      <c r="E62" s="2490" t="s">
        <v>48</v>
      </c>
      <c r="F62" s="2528"/>
      <c r="G62" s="696"/>
      <c r="H62" s="2509"/>
      <c r="I62" s="2529"/>
      <c r="J62" s="2509"/>
      <c r="K62" s="2529"/>
      <c r="L62" s="2509"/>
      <c r="M62" s="2529"/>
      <c r="N62" s="2529"/>
      <c r="O62" s="2529"/>
      <c r="P62" s="2529"/>
      <c r="Q62" s="2530"/>
      <c r="R62" s="2509"/>
      <c r="S62" s="2529"/>
    </row>
    <row r="63" spans="1:19" ht="30" hidden="1">
      <c r="A63" s="2513" t="s">
        <v>5376</v>
      </c>
      <c r="B63" s="2532" t="s">
        <v>5377</v>
      </c>
      <c r="C63" s="2488"/>
      <c r="D63" s="2489">
        <v>350</v>
      </c>
      <c r="E63" s="2490" t="s">
        <v>48</v>
      </c>
      <c r="F63" s="2528"/>
      <c r="G63" s="696"/>
      <c r="H63" s="2509"/>
      <c r="I63" s="2529"/>
      <c r="J63" s="2509"/>
      <c r="K63" s="2529"/>
      <c r="L63" s="2509"/>
      <c r="M63" s="2529"/>
      <c r="N63" s="2529"/>
      <c r="O63" s="2529"/>
      <c r="P63" s="2529"/>
      <c r="Q63" s="2530"/>
      <c r="R63" s="2509"/>
      <c r="S63" s="2529"/>
    </row>
    <row r="64" spans="1:19" ht="30" hidden="1">
      <c r="A64" s="2513" t="s">
        <v>5378</v>
      </c>
      <c r="B64" s="2532" t="s">
        <v>5379</v>
      </c>
      <c r="C64" s="2488"/>
      <c r="D64" s="2489">
        <v>67</v>
      </c>
      <c r="E64" s="2490" t="s">
        <v>48</v>
      </c>
      <c r="F64" s="2528"/>
      <c r="G64" s="696"/>
      <c r="H64" s="2509"/>
      <c r="I64" s="2529"/>
      <c r="J64" s="2509"/>
      <c r="K64" s="2529"/>
      <c r="L64" s="2509"/>
      <c r="M64" s="2529"/>
      <c r="N64" s="2529"/>
      <c r="O64" s="2529"/>
      <c r="P64" s="2529"/>
      <c r="Q64" s="2530"/>
      <c r="R64" s="2509"/>
      <c r="S64" s="2529"/>
    </row>
    <row r="65" spans="1:19" ht="30" hidden="1">
      <c r="A65" s="2513" t="s">
        <v>5380</v>
      </c>
      <c r="B65" s="2532" t="s">
        <v>5381</v>
      </c>
      <c r="C65" s="2488"/>
      <c r="D65" s="2489">
        <v>121</v>
      </c>
      <c r="E65" s="2490" t="s">
        <v>48</v>
      </c>
      <c r="F65" s="2528"/>
      <c r="G65" s="696"/>
      <c r="H65" s="2509"/>
      <c r="I65" s="2529"/>
      <c r="J65" s="2509"/>
      <c r="K65" s="2529"/>
      <c r="L65" s="2509"/>
      <c r="M65" s="2529"/>
      <c r="N65" s="2529"/>
      <c r="O65" s="2529"/>
      <c r="P65" s="2529"/>
      <c r="Q65" s="2530"/>
      <c r="R65" s="2509"/>
      <c r="S65" s="2529"/>
    </row>
    <row r="66" spans="1:19" ht="30" hidden="1">
      <c r="A66" s="2513" t="s">
        <v>5382</v>
      </c>
      <c r="B66" s="2532" t="s">
        <v>5383</v>
      </c>
      <c r="C66" s="2488"/>
      <c r="D66" s="2489">
        <v>51</v>
      </c>
      <c r="E66" s="2490" t="s">
        <v>48</v>
      </c>
      <c r="F66" s="2528"/>
      <c r="G66" s="696"/>
      <c r="H66" s="2509"/>
      <c r="I66" s="2529"/>
      <c r="J66" s="2509"/>
      <c r="K66" s="2529"/>
      <c r="L66" s="2509"/>
      <c r="M66" s="2529"/>
      <c r="N66" s="2529"/>
      <c r="O66" s="2529"/>
      <c r="P66" s="2529"/>
      <c r="Q66" s="2530"/>
      <c r="R66" s="2509"/>
      <c r="S66" s="2529"/>
    </row>
    <row r="67" spans="1:19" ht="30" hidden="1">
      <c r="A67" s="2513" t="s">
        <v>5384</v>
      </c>
      <c r="B67" s="2532" t="s">
        <v>5385</v>
      </c>
      <c r="C67" s="2488"/>
      <c r="D67" s="2489">
        <v>70</v>
      </c>
      <c r="E67" s="2490" t="s">
        <v>48</v>
      </c>
      <c r="F67" s="2528"/>
      <c r="G67" s="696"/>
      <c r="H67" s="2509"/>
      <c r="I67" s="2529"/>
      <c r="J67" s="2509"/>
      <c r="K67" s="2529"/>
      <c r="L67" s="2509"/>
      <c r="M67" s="2529"/>
      <c r="N67" s="2529"/>
      <c r="O67" s="2529"/>
      <c r="P67" s="2529"/>
      <c r="Q67" s="2530"/>
      <c r="R67" s="2509"/>
      <c r="S67" s="2529"/>
    </row>
    <row r="68" spans="1:19" ht="30" hidden="1">
      <c r="A68" s="2513" t="s">
        <v>5386</v>
      </c>
      <c r="B68" s="2532" t="s">
        <v>5387</v>
      </c>
      <c r="C68" s="2488"/>
      <c r="D68" s="2489">
        <v>270</v>
      </c>
      <c r="E68" s="2490" t="s">
        <v>48</v>
      </c>
      <c r="F68" s="2528"/>
      <c r="G68" s="696"/>
      <c r="H68" s="2509"/>
      <c r="I68" s="2529"/>
      <c r="J68" s="2509"/>
      <c r="K68" s="2529"/>
      <c r="L68" s="2509"/>
      <c r="M68" s="2529"/>
      <c r="N68" s="2529"/>
      <c r="O68" s="2529"/>
      <c r="P68" s="2529"/>
      <c r="Q68" s="2530"/>
      <c r="R68" s="2509"/>
      <c r="S68" s="2529"/>
    </row>
    <row r="69" spans="1:19" ht="30" hidden="1">
      <c r="A69" s="2513" t="s">
        <v>5388</v>
      </c>
      <c r="B69" s="2532" t="s">
        <v>5389</v>
      </c>
      <c r="C69" s="2488"/>
      <c r="D69" s="2489">
        <v>89</v>
      </c>
      <c r="E69" s="2490" t="s">
        <v>48</v>
      </c>
      <c r="F69" s="2528"/>
      <c r="G69" s="696"/>
      <c r="H69" s="2509"/>
      <c r="I69" s="2529"/>
      <c r="J69" s="2509"/>
      <c r="K69" s="2529"/>
      <c r="L69" s="2509"/>
      <c r="M69" s="2529"/>
      <c r="N69" s="2529"/>
      <c r="O69" s="2529"/>
      <c r="P69" s="2529"/>
      <c r="Q69" s="2530"/>
      <c r="R69" s="2509"/>
      <c r="S69" s="2529"/>
    </row>
    <row r="70" spans="1:19" ht="30" hidden="1">
      <c r="A70" s="2513" t="s">
        <v>5390</v>
      </c>
      <c r="B70" s="2532" t="s">
        <v>5391</v>
      </c>
      <c r="C70" s="2488"/>
      <c r="D70" s="2489">
        <v>239</v>
      </c>
      <c r="E70" s="2490" t="s">
        <v>48</v>
      </c>
      <c r="F70" s="2528"/>
      <c r="G70" s="696"/>
      <c r="H70" s="2509"/>
      <c r="I70" s="2529"/>
      <c r="J70" s="2509"/>
      <c r="K70" s="2529"/>
      <c r="L70" s="2509"/>
      <c r="M70" s="2529"/>
      <c r="N70" s="2529"/>
      <c r="O70" s="2529"/>
      <c r="P70" s="2529"/>
      <c r="Q70" s="2530"/>
      <c r="R70" s="2509"/>
      <c r="S70" s="2529"/>
    </row>
    <row r="71" spans="1:19" ht="30" hidden="1">
      <c r="A71" s="2513" t="s">
        <v>5392</v>
      </c>
      <c r="B71" s="2532" t="s">
        <v>5393</v>
      </c>
      <c r="C71" s="2488"/>
      <c r="D71" s="2489">
        <v>40</v>
      </c>
      <c r="E71" s="2490" t="s">
        <v>48</v>
      </c>
      <c r="F71" s="2528"/>
      <c r="G71" s="696"/>
      <c r="H71" s="2509"/>
      <c r="I71" s="2529"/>
      <c r="J71" s="2509"/>
      <c r="K71" s="2529"/>
      <c r="L71" s="2509"/>
      <c r="M71" s="2529"/>
      <c r="N71" s="2529"/>
      <c r="O71" s="2529"/>
      <c r="P71" s="2529"/>
      <c r="Q71" s="2530"/>
      <c r="R71" s="2509"/>
      <c r="S71" s="2529"/>
    </row>
    <row r="72" spans="1:19" ht="30" hidden="1">
      <c r="A72" s="2513" t="s">
        <v>5394</v>
      </c>
      <c r="B72" s="2532" t="s">
        <v>5395</v>
      </c>
      <c r="C72" s="2488"/>
      <c r="D72" s="2489">
        <v>205</v>
      </c>
      <c r="E72" s="2490" t="s">
        <v>48</v>
      </c>
      <c r="F72" s="2528"/>
      <c r="G72" s="696"/>
      <c r="H72" s="2509"/>
      <c r="I72" s="2529"/>
      <c r="J72" s="2509"/>
      <c r="K72" s="2529"/>
      <c r="L72" s="2509"/>
      <c r="M72" s="2529"/>
      <c r="N72" s="2529"/>
      <c r="O72" s="2529"/>
      <c r="P72" s="2529"/>
      <c r="Q72" s="2530"/>
      <c r="R72" s="2509"/>
      <c r="S72" s="2529"/>
    </row>
    <row r="73" spans="1:19" ht="45" hidden="1">
      <c r="A73" s="2513" t="s">
        <v>5396</v>
      </c>
      <c r="B73" s="2532" t="s">
        <v>5397</v>
      </c>
      <c r="C73" s="2488"/>
      <c r="D73" s="2489">
        <v>67</v>
      </c>
      <c r="E73" s="2490" t="s">
        <v>48</v>
      </c>
      <c r="F73" s="2528"/>
      <c r="G73" s="696"/>
      <c r="H73" s="2509"/>
      <c r="I73" s="2529"/>
      <c r="J73" s="2509"/>
      <c r="K73" s="2529"/>
      <c r="L73" s="2509"/>
      <c r="M73" s="2529"/>
      <c r="N73" s="2529"/>
      <c r="O73" s="2529"/>
      <c r="P73" s="2529"/>
      <c r="Q73" s="2530"/>
      <c r="R73" s="2509"/>
      <c r="S73" s="2529"/>
    </row>
    <row r="74" spans="1:19" ht="45" hidden="1">
      <c r="A74" s="2513" t="s">
        <v>5398</v>
      </c>
      <c r="B74" s="2532" t="s">
        <v>5399</v>
      </c>
      <c r="C74" s="2488"/>
      <c r="D74" s="2489">
        <v>73</v>
      </c>
      <c r="E74" s="2490" t="s">
        <v>48</v>
      </c>
      <c r="F74" s="2528"/>
      <c r="G74" s="696"/>
      <c r="H74" s="2509"/>
      <c r="I74" s="2529"/>
      <c r="J74" s="2509"/>
      <c r="K74" s="2529"/>
      <c r="L74" s="2509"/>
      <c r="M74" s="2529"/>
      <c r="N74" s="2529"/>
      <c r="O74" s="2529"/>
      <c r="P74" s="2529"/>
      <c r="Q74" s="2530"/>
      <c r="R74" s="2509"/>
      <c r="S74" s="2529"/>
    </row>
    <row r="75" spans="1:19" ht="45" hidden="1">
      <c r="A75" s="2513" t="s">
        <v>5400</v>
      </c>
      <c r="B75" s="2532" t="s">
        <v>5401</v>
      </c>
      <c r="C75" s="2488"/>
      <c r="D75" s="2489">
        <v>28</v>
      </c>
      <c r="E75" s="2490" t="s">
        <v>48</v>
      </c>
      <c r="F75" s="2528"/>
      <c r="G75" s="696"/>
      <c r="H75" s="2509"/>
      <c r="I75" s="2529"/>
      <c r="J75" s="2509"/>
      <c r="K75" s="2529"/>
      <c r="L75" s="2509"/>
      <c r="M75" s="2529"/>
      <c r="N75" s="2529"/>
      <c r="O75" s="2529"/>
      <c r="P75" s="2529"/>
      <c r="Q75" s="2530"/>
      <c r="R75" s="2509"/>
      <c r="S75" s="2529"/>
    </row>
    <row r="76" spans="1:19" ht="34.5" hidden="1" customHeight="1">
      <c r="A76" s="2513" t="s">
        <v>5402</v>
      </c>
      <c r="B76" s="2532" t="s">
        <v>5403</v>
      </c>
      <c r="C76" s="2488"/>
      <c r="D76" s="2489">
        <v>222</v>
      </c>
      <c r="E76" s="2490" t="s">
        <v>48</v>
      </c>
      <c r="F76" s="2528"/>
      <c r="G76" s="696"/>
      <c r="H76" s="2509"/>
      <c r="I76" s="2529"/>
      <c r="J76" s="2509"/>
      <c r="K76" s="2529"/>
      <c r="L76" s="2509"/>
      <c r="M76" s="2529"/>
      <c r="N76" s="2529"/>
      <c r="O76" s="2529"/>
      <c r="P76" s="2529"/>
      <c r="Q76" s="2530"/>
      <c r="R76" s="2509"/>
      <c r="S76" s="2529"/>
    </row>
    <row r="77" spans="1:19" ht="45" hidden="1">
      <c r="A77" s="2513" t="s">
        <v>5404</v>
      </c>
      <c r="B77" s="2532" t="s">
        <v>5405</v>
      </c>
      <c r="C77" s="2488"/>
      <c r="D77" s="2489">
        <v>57</v>
      </c>
      <c r="E77" s="2490" t="s">
        <v>48</v>
      </c>
      <c r="F77" s="2528"/>
      <c r="G77" s="696"/>
      <c r="H77" s="2509"/>
      <c r="I77" s="2529"/>
      <c r="J77" s="2509"/>
      <c r="K77" s="2529"/>
      <c r="L77" s="2509"/>
      <c r="M77" s="2529"/>
      <c r="N77" s="2529"/>
      <c r="O77" s="2529"/>
      <c r="P77" s="2529"/>
      <c r="Q77" s="2530"/>
      <c r="R77" s="2509"/>
      <c r="S77" s="2529"/>
    </row>
    <row r="78" spans="1:19" ht="30" hidden="1">
      <c r="A78" s="2513" t="s">
        <v>5406</v>
      </c>
      <c r="B78" s="2532" t="s">
        <v>5407</v>
      </c>
      <c r="C78" s="2488"/>
      <c r="D78" s="2489">
        <v>62</v>
      </c>
      <c r="E78" s="2490" t="s">
        <v>48</v>
      </c>
      <c r="F78" s="2528"/>
      <c r="G78" s="696"/>
      <c r="H78" s="2509"/>
      <c r="I78" s="2529"/>
      <c r="J78" s="2509"/>
      <c r="K78" s="2529"/>
      <c r="L78" s="2509"/>
      <c r="M78" s="2529"/>
      <c r="N78" s="2529"/>
      <c r="O78" s="2529"/>
      <c r="P78" s="2529"/>
      <c r="Q78" s="2530"/>
      <c r="R78" s="2509"/>
      <c r="S78" s="2529"/>
    </row>
    <row r="79" spans="1:19" ht="30" hidden="1">
      <c r="A79" s="2513" t="s">
        <v>5408</v>
      </c>
      <c r="B79" s="2532" t="s">
        <v>5409</v>
      </c>
      <c r="C79" s="2488"/>
      <c r="D79" s="2489">
        <v>12</v>
      </c>
      <c r="E79" s="2490" t="s">
        <v>48</v>
      </c>
      <c r="F79" s="2528"/>
      <c r="G79" s="696"/>
      <c r="H79" s="2509"/>
      <c r="I79" s="2529"/>
      <c r="J79" s="2509"/>
      <c r="K79" s="2529"/>
      <c r="L79" s="2509"/>
      <c r="M79" s="2529"/>
      <c r="N79" s="2529"/>
      <c r="O79" s="2529"/>
      <c r="P79" s="2529"/>
      <c r="Q79" s="2530"/>
      <c r="R79" s="2509"/>
      <c r="S79" s="2529"/>
    </row>
    <row r="80" spans="1:19" ht="30" hidden="1">
      <c r="A80" s="2513" t="s">
        <v>5410</v>
      </c>
      <c r="B80" s="2532" t="s">
        <v>5411</v>
      </c>
      <c r="C80" s="2488"/>
      <c r="D80" s="2489">
        <v>290</v>
      </c>
      <c r="E80" s="2490" t="s">
        <v>48</v>
      </c>
      <c r="F80" s="2528"/>
      <c r="G80" s="696"/>
      <c r="H80" s="2509"/>
      <c r="I80" s="2529"/>
      <c r="J80" s="2509"/>
      <c r="K80" s="2529"/>
      <c r="L80" s="2509"/>
      <c r="M80" s="2529"/>
      <c r="N80" s="2529"/>
      <c r="O80" s="2529"/>
      <c r="P80" s="2529"/>
      <c r="Q80" s="2530"/>
      <c r="R80" s="2509"/>
      <c r="S80" s="2529"/>
    </row>
    <row r="81" spans="1:19" ht="30" hidden="1">
      <c r="A81" s="2513" t="s">
        <v>5412</v>
      </c>
      <c r="B81" s="2532" t="s">
        <v>5413</v>
      </c>
      <c r="C81" s="2488"/>
      <c r="D81" s="2489">
        <v>44</v>
      </c>
      <c r="E81" s="2490" t="s">
        <v>48</v>
      </c>
      <c r="F81" s="2528"/>
      <c r="G81" s="696"/>
      <c r="H81" s="2509"/>
      <c r="I81" s="2529"/>
      <c r="J81" s="2509"/>
      <c r="K81" s="2529"/>
      <c r="L81" s="2509"/>
      <c r="M81" s="2529"/>
      <c r="N81" s="2529"/>
      <c r="O81" s="2529"/>
      <c r="P81" s="2529"/>
      <c r="Q81" s="2530"/>
      <c r="R81" s="2509"/>
      <c r="S81" s="2529"/>
    </row>
    <row r="82" spans="1:19" ht="30" hidden="1">
      <c r="A82" s="2513" t="s">
        <v>5414</v>
      </c>
      <c r="B82" s="2532" t="s">
        <v>5415</v>
      </c>
      <c r="C82" s="2488"/>
      <c r="D82" s="2489">
        <v>59</v>
      </c>
      <c r="E82" s="2490" t="s">
        <v>48</v>
      </c>
      <c r="F82" s="2528"/>
      <c r="G82" s="696"/>
      <c r="H82" s="2509"/>
      <c r="I82" s="2529"/>
      <c r="J82" s="2509"/>
      <c r="K82" s="2529"/>
      <c r="L82" s="2509"/>
      <c r="M82" s="2529"/>
      <c r="N82" s="2529"/>
      <c r="O82" s="2529"/>
      <c r="P82" s="2529"/>
      <c r="Q82" s="2530"/>
      <c r="R82" s="2509"/>
      <c r="S82" s="2529"/>
    </row>
    <row r="83" spans="1:19" ht="30" hidden="1">
      <c r="A83" s="2513" t="s">
        <v>5416</v>
      </c>
      <c r="B83" s="2532" t="s">
        <v>5417</v>
      </c>
      <c r="C83" s="2488"/>
      <c r="D83" s="2489">
        <v>20</v>
      </c>
      <c r="E83" s="2490" t="s">
        <v>48</v>
      </c>
      <c r="F83" s="2528"/>
      <c r="G83" s="696"/>
      <c r="H83" s="2509"/>
      <c r="I83" s="2529"/>
      <c r="J83" s="2509"/>
      <c r="K83" s="2529"/>
      <c r="L83" s="2509"/>
      <c r="M83" s="2529"/>
      <c r="N83" s="2529"/>
      <c r="O83" s="2529"/>
      <c r="P83" s="2529"/>
      <c r="Q83" s="2530"/>
      <c r="R83" s="2509"/>
      <c r="S83" s="2529"/>
    </row>
    <row r="84" spans="1:19" ht="30" hidden="1">
      <c r="A84" s="2513" t="s">
        <v>5418</v>
      </c>
      <c r="B84" s="2532" t="s">
        <v>5419</v>
      </c>
      <c r="C84" s="2488"/>
      <c r="D84" s="2489">
        <v>25</v>
      </c>
      <c r="E84" s="2490" t="s">
        <v>48</v>
      </c>
      <c r="F84" s="2528"/>
      <c r="G84" s="696"/>
      <c r="H84" s="2509"/>
      <c r="I84" s="2529"/>
      <c r="J84" s="2509"/>
      <c r="K84" s="2529"/>
      <c r="L84" s="2509"/>
      <c r="M84" s="2529"/>
      <c r="N84" s="2529"/>
      <c r="O84" s="2529"/>
      <c r="P84" s="2529"/>
      <c r="Q84" s="2530"/>
      <c r="R84" s="2509"/>
      <c r="S84" s="2529"/>
    </row>
    <row r="85" spans="1:19" ht="30" hidden="1">
      <c r="A85" s="2513" t="s">
        <v>5420</v>
      </c>
      <c r="B85" s="2532" t="s">
        <v>5421</v>
      </c>
      <c r="C85" s="2488"/>
      <c r="D85" s="2489">
        <v>33</v>
      </c>
      <c r="E85" s="2490" t="s">
        <v>48</v>
      </c>
      <c r="F85" s="2528"/>
      <c r="G85" s="696"/>
      <c r="H85" s="2509"/>
      <c r="I85" s="2529"/>
      <c r="J85" s="2509"/>
      <c r="K85" s="2529"/>
      <c r="L85" s="2509"/>
      <c r="M85" s="2529"/>
      <c r="N85" s="2529"/>
      <c r="O85" s="2529"/>
      <c r="P85" s="2529"/>
      <c r="Q85" s="2530"/>
      <c r="R85" s="2509"/>
      <c r="S85" s="2529"/>
    </row>
    <row r="86" spans="1:19" ht="30" hidden="1">
      <c r="A86" s="2513" t="s">
        <v>5422</v>
      </c>
      <c r="B86" s="2532" t="s">
        <v>5423</v>
      </c>
      <c r="C86" s="2488"/>
      <c r="D86" s="2489">
        <v>5</v>
      </c>
      <c r="E86" s="2490" t="s">
        <v>48</v>
      </c>
      <c r="F86" s="2528"/>
      <c r="G86" s="696"/>
      <c r="H86" s="2509"/>
      <c r="I86" s="2529"/>
      <c r="J86" s="2509"/>
      <c r="K86" s="2529"/>
      <c r="L86" s="2509"/>
      <c r="M86" s="2529"/>
      <c r="N86" s="2529"/>
      <c r="O86" s="2529"/>
      <c r="P86" s="2529"/>
      <c r="Q86" s="2530"/>
      <c r="R86" s="2509"/>
      <c r="S86" s="2529"/>
    </row>
    <row r="87" spans="1:19" ht="30.75" hidden="1" customHeight="1">
      <c r="A87" s="2513" t="s">
        <v>5424</v>
      </c>
      <c r="B87" s="2532" t="s">
        <v>5425</v>
      </c>
      <c r="C87" s="2488"/>
      <c r="D87" s="2489">
        <v>15</v>
      </c>
      <c r="E87" s="2490" t="s">
        <v>48</v>
      </c>
      <c r="F87" s="2528"/>
      <c r="G87" s="696"/>
      <c r="H87" s="2509"/>
      <c r="I87" s="2529"/>
      <c r="J87" s="2509"/>
      <c r="K87" s="2529"/>
      <c r="L87" s="2509"/>
      <c r="M87" s="2529"/>
      <c r="N87" s="2529"/>
      <c r="O87" s="2529"/>
      <c r="P87" s="2529"/>
      <c r="Q87" s="2530"/>
      <c r="R87" s="2509"/>
      <c r="S87" s="2529"/>
    </row>
    <row r="88" spans="1:19" ht="45" hidden="1">
      <c r="A88" s="2513" t="s">
        <v>5426</v>
      </c>
      <c r="B88" s="2532" t="s">
        <v>5427</v>
      </c>
      <c r="C88" s="2488"/>
      <c r="D88" s="2489">
        <v>95</v>
      </c>
      <c r="E88" s="2490" t="s">
        <v>48</v>
      </c>
      <c r="F88" s="2528"/>
      <c r="G88" s="696"/>
      <c r="H88" s="2509"/>
      <c r="I88" s="2529"/>
      <c r="J88" s="2509"/>
      <c r="K88" s="2529"/>
      <c r="L88" s="2509"/>
      <c r="M88" s="2529"/>
      <c r="N88" s="2529"/>
      <c r="O88" s="2529"/>
      <c r="P88" s="2529"/>
      <c r="Q88" s="2530"/>
      <c r="R88" s="2509"/>
      <c r="S88" s="2529"/>
    </row>
    <row r="89" spans="1:19" ht="45" hidden="1">
      <c r="A89" s="2513" t="s">
        <v>5428</v>
      </c>
      <c r="B89" s="2532" t="s">
        <v>5429</v>
      </c>
      <c r="C89" s="2488"/>
      <c r="D89" s="2489">
        <v>38</v>
      </c>
      <c r="E89" s="2490" t="s">
        <v>48</v>
      </c>
      <c r="F89" s="2528"/>
      <c r="G89" s="696"/>
      <c r="H89" s="2509"/>
      <c r="I89" s="2529"/>
      <c r="J89" s="2509"/>
      <c r="K89" s="2529"/>
      <c r="L89" s="2509"/>
      <c r="M89" s="2529"/>
      <c r="N89" s="2529"/>
      <c r="O89" s="2529"/>
      <c r="P89" s="2529"/>
      <c r="Q89" s="2530"/>
      <c r="R89" s="2509"/>
      <c r="S89" s="2529"/>
    </row>
    <row r="90" spans="1:19" ht="45" hidden="1">
      <c r="A90" s="2513" t="s">
        <v>5430</v>
      </c>
      <c r="B90" s="2532" t="s">
        <v>5431</v>
      </c>
      <c r="C90" s="2488"/>
      <c r="D90" s="2489">
        <v>19</v>
      </c>
      <c r="E90" s="2490" t="s">
        <v>48</v>
      </c>
      <c r="F90" s="2528"/>
      <c r="G90" s="696"/>
      <c r="H90" s="2509"/>
      <c r="I90" s="2529"/>
      <c r="J90" s="2509"/>
      <c r="K90" s="2529"/>
      <c r="L90" s="2509"/>
      <c r="M90" s="2529"/>
      <c r="N90" s="2529"/>
      <c r="O90" s="2529"/>
      <c r="P90" s="2529"/>
      <c r="Q90" s="2530"/>
      <c r="R90" s="2509"/>
      <c r="S90" s="2529"/>
    </row>
    <row r="91" spans="1:19" ht="45" hidden="1">
      <c r="A91" s="2513" t="s">
        <v>5432</v>
      </c>
      <c r="B91" s="2532" t="s">
        <v>5433</v>
      </c>
      <c r="C91" s="2488"/>
      <c r="D91" s="2489">
        <v>23</v>
      </c>
      <c r="E91" s="2490" t="s">
        <v>48</v>
      </c>
      <c r="F91" s="2528"/>
      <c r="G91" s="696"/>
      <c r="H91" s="2509"/>
      <c r="I91" s="2529"/>
      <c r="J91" s="2509"/>
      <c r="K91" s="2529"/>
      <c r="L91" s="2509"/>
      <c r="M91" s="2529"/>
      <c r="N91" s="2529"/>
      <c r="O91" s="2529"/>
      <c r="P91" s="2529"/>
      <c r="Q91" s="2530"/>
      <c r="R91" s="2509"/>
      <c r="S91" s="2529"/>
    </row>
    <row r="92" spans="1:19" ht="30" hidden="1">
      <c r="A92" s="2513" t="s">
        <v>5434</v>
      </c>
      <c r="B92" s="2532" t="s">
        <v>5435</v>
      </c>
      <c r="C92" s="2488"/>
      <c r="D92" s="2489">
        <v>18</v>
      </c>
      <c r="E92" s="2490" t="s">
        <v>48</v>
      </c>
      <c r="F92" s="2528"/>
      <c r="G92" s="696"/>
      <c r="H92" s="2509"/>
      <c r="I92" s="2529"/>
      <c r="J92" s="2509"/>
      <c r="K92" s="2529"/>
      <c r="L92" s="2509"/>
      <c r="M92" s="2529"/>
      <c r="N92" s="2529"/>
      <c r="O92" s="2529"/>
      <c r="P92" s="2529"/>
      <c r="Q92" s="2530"/>
      <c r="R92" s="2509"/>
      <c r="S92" s="2529"/>
    </row>
    <row r="93" spans="1:19">
      <c r="A93" s="2513"/>
      <c r="B93" s="2539" t="s">
        <v>5436</v>
      </c>
      <c r="C93" s="2488"/>
      <c r="D93" s="2489">
        <f>SUM(D34:D92)</f>
        <v>7018</v>
      </c>
      <c r="E93" s="2490" t="s">
        <v>48</v>
      </c>
      <c r="F93" s="2528">
        <v>50</v>
      </c>
      <c r="G93" s="696">
        <f>F93*D93</f>
        <v>350900</v>
      </c>
      <c r="H93" s="2509" t="s">
        <v>3028</v>
      </c>
      <c r="I93" s="2529"/>
      <c r="J93" s="2509" t="s">
        <v>3028</v>
      </c>
      <c r="K93" s="2529"/>
      <c r="L93" s="2509" t="s">
        <v>3028</v>
      </c>
      <c r="M93" s="2529"/>
      <c r="N93" s="2509" t="s">
        <v>3028</v>
      </c>
      <c r="O93" s="2529"/>
      <c r="P93" s="2509" t="s">
        <v>3028</v>
      </c>
      <c r="Q93" s="2530"/>
      <c r="R93" s="2509" t="s">
        <v>3028</v>
      </c>
      <c r="S93" s="2529"/>
    </row>
    <row r="94" spans="1:19">
      <c r="A94" s="2513"/>
      <c r="B94" s="2532" t="s">
        <v>5437</v>
      </c>
      <c r="C94" s="2488"/>
      <c r="D94" s="2489"/>
      <c r="E94" s="2490"/>
      <c r="F94" s="2528"/>
      <c r="G94" s="696"/>
      <c r="H94" s="2509" t="s">
        <v>3028</v>
      </c>
      <c r="I94" s="2529">
        <v>23680</v>
      </c>
      <c r="J94" s="2509" t="s">
        <v>3028</v>
      </c>
      <c r="K94" s="2529"/>
      <c r="L94" s="2509" t="s">
        <v>3028</v>
      </c>
      <c r="M94" s="2529"/>
      <c r="N94" s="2509" t="s">
        <v>3028</v>
      </c>
      <c r="O94" s="2529"/>
      <c r="P94" s="2509" t="s">
        <v>3028</v>
      </c>
      <c r="Q94" s="2530" t="s">
        <v>5438</v>
      </c>
      <c r="R94" s="2509" t="s">
        <v>3028</v>
      </c>
      <c r="S94" s="2529" t="s">
        <v>5439</v>
      </c>
    </row>
    <row r="95" spans="1:19">
      <c r="A95" s="2513"/>
      <c r="B95" s="2527" t="s">
        <v>5440</v>
      </c>
      <c r="C95" s="2488"/>
      <c r="D95" s="2489">
        <v>1</v>
      </c>
      <c r="E95" s="2490" t="s">
        <v>5208</v>
      </c>
      <c r="F95" s="2528">
        <v>10000</v>
      </c>
      <c r="G95" s="697">
        <f>F95</f>
        <v>10000</v>
      </c>
      <c r="H95" s="2509" t="s">
        <v>3028</v>
      </c>
      <c r="I95" s="2529"/>
      <c r="J95" s="2509" t="s">
        <v>3028</v>
      </c>
      <c r="K95" s="2529"/>
      <c r="L95" s="2509" t="s">
        <v>3028</v>
      </c>
      <c r="M95" s="2529"/>
      <c r="N95" s="2540" t="s">
        <v>4877</v>
      </c>
      <c r="O95" s="2541">
        <f>G95</f>
        <v>10000</v>
      </c>
      <c r="P95" s="2509" t="s">
        <v>3028</v>
      </c>
      <c r="Q95" s="2530"/>
      <c r="R95" s="2540" t="s">
        <v>4877</v>
      </c>
      <c r="S95" s="2541">
        <f>O95</f>
        <v>10000</v>
      </c>
    </row>
    <row r="96" spans="1:19">
      <c r="A96" s="2513"/>
      <c r="B96" s="2539" t="s">
        <v>5441</v>
      </c>
      <c r="C96" s="2488"/>
      <c r="D96" s="2489">
        <f>SUM(D34:D58)*15+SUM(D59:D92)*2*15</f>
        <v>152730</v>
      </c>
      <c r="E96" s="2490" t="s">
        <v>3112</v>
      </c>
      <c r="F96" s="2528">
        <v>4</v>
      </c>
      <c r="G96" s="696">
        <f t="shared" si="2"/>
        <v>610920</v>
      </c>
      <c r="H96" s="2509" t="s">
        <v>3028</v>
      </c>
      <c r="I96" s="2529"/>
      <c r="J96" s="2509" t="s">
        <v>3028</v>
      </c>
      <c r="K96" s="2529"/>
      <c r="L96" s="2509" t="s">
        <v>3028</v>
      </c>
      <c r="M96" s="2529"/>
      <c r="N96" s="2509" t="s">
        <v>3028</v>
      </c>
      <c r="O96" s="2529"/>
      <c r="P96" s="2509" t="s">
        <v>3028</v>
      </c>
      <c r="Q96" s="2530"/>
      <c r="R96" s="2509" t="s">
        <v>3028</v>
      </c>
      <c r="S96" s="2529"/>
    </row>
    <row r="97" spans="1:19">
      <c r="A97" s="2513"/>
      <c r="B97" s="2527" t="s">
        <v>5442</v>
      </c>
      <c r="C97" s="2488"/>
      <c r="D97" s="2489"/>
      <c r="E97" s="2490"/>
      <c r="F97" s="2528"/>
      <c r="G97" s="696"/>
      <c r="H97" s="2509" t="s">
        <v>3028</v>
      </c>
      <c r="I97" s="2529"/>
      <c r="J97" s="2509" t="s">
        <v>3028</v>
      </c>
      <c r="K97" s="2529"/>
      <c r="L97" s="2509" t="s">
        <v>3028</v>
      </c>
      <c r="M97" s="2529"/>
      <c r="N97" s="2509" t="s">
        <v>3028</v>
      </c>
      <c r="O97" s="2529"/>
      <c r="P97" s="2509" t="s">
        <v>3028</v>
      </c>
      <c r="Q97" s="2530"/>
      <c r="R97" s="2509" t="s">
        <v>3028</v>
      </c>
      <c r="S97" s="2529"/>
    </row>
    <row r="98" spans="1:19">
      <c r="A98" s="2513"/>
      <c r="B98" s="2527" t="s">
        <v>5443</v>
      </c>
      <c r="C98" s="2488"/>
      <c r="D98" s="2489"/>
      <c r="E98" s="2490"/>
      <c r="F98" s="2528"/>
      <c r="G98" s="696"/>
      <c r="H98" s="2509" t="s">
        <v>3028</v>
      </c>
      <c r="I98" s="2529"/>
      <c r="J98" s="2509" t="s">
        <v>3028</v>
      </c>
      <c r="K98" s="2529"/>
      <c r="L98" s="2509" t="s">
        <v>3028</v>
      </c>
      <c r="M98" s="2529"/>
      <c r="N98" s="2509" t="s">
        <v>3028</v>
      </c>
      <c r="O98" s="2529"/>
      <c r="P98" s="2509" t="s">
        <v>3028</v>
      </c>
      <c r="Q98" s="2530"/>
      <c r="R98" s="2509" t="s">
        <v>3028</v>
      </c>
      <c r="S98" s="2529"/>
    </row>
    <row r="99" spans="1:19">
      <c r="A99" s="2513"/>
      <c r="B99" s="2527" t="s">
        <v>5444</v>
      </c>
      <c r="C99" s="2488"/>
      <c r="D99" s="2489">
        <v>15400</v>
      </c>
      <c r="E99" s="2490" t="s">
        <v>3112</v>
      </c>
      <c r="F99" s="2528">
        <v>10</v>
      </c>
      <c r="G99" s="696">
        <f>D99*F99</f>
        <v>154000</v>
      </c>
      <c r="H99" s="2509" t="s">
        <v>3028</v>
      </c>
      <c r="I99" s="2529"/>
      <c r="J99" s="2509" t="s">
        <v>3028</v>
      </c>
      <c r="K99" s="2529"/>
      <c r="L99" s="2509" t="s">
        <v>3028</v>
      </c>
      <c r="M99" s="2529"/>
      <c r="N99" s="2540" t="s">
        <v>4877</v>
      </c>
      <c r="O99" s="2542">
        <f>G99</f>
        <v>154000</v>
      </c>
      <c r="P99" s="2509" t="s">
        <v>3028</v>
      </c>
      <c r="Q99" s="2530"/>
      <c r="R99" s="2509" t="s">
        <v>3028</v>
      </c>
      <c r="S99" s="2529"/>
    </row>
    <row r="100" spans="1:19">
      <c r="A100" s="2513"/>
      <c r="B100" s="2527" t="s">
        <v>5445</v>
      </c>
      <c r="C100" s="2488"/>
      <c r="D100" s="2489"/>
      <c r="E100" s="2490"/>
      <c r="F100" s="2528"/>
      <c r="G100" s="696"/>
      <c r="H100" s="2509" t="s">
        <v>3028</v>
      </c>
      <c r="I100" s="2543">
        <v>36144</v>
      </c>
      <c r="J100" s="2509" t="s">
        <v>3028</v>
      </c>
      <c r="K100" s="2529"/>
      <c r="L100" s="2509" t="s">
        <v>3028</v>
      </c>
      <c r="M100" s="2529"/>
      <c r="N100" s="2509" t="s">
        <v>3028</v>
      </c>
      <c r="O100" s="2529"/>
      <c r="P100" s="2509" t="s">
        <v>3028</v>
      </c>
      <c r="Q100" s="2530"/>
      <c r="R100" s="2540" t="s">
        <v>4877</v>
      </c>
      <c r="S100" s="2542">
        <f>I100</f>
        <v>36144</v>
      </c>
    </row>
    <row r="101" spans="1:19">
      <c r="A101" s="2513"/>
      <c r="B101" s="2527" t="s">
        <v>5446</v>
      </c>
      <c r="C101" s="2488"/>
      <c r="D101" s="2489"/>
      <c r="E101" s="2490"/>
      <c r="F101" s="2528"/>
      <c r="G101" s="696"/>
      <c r="H101" s="2509" t="s">
        <v>3028</v>
      </c>
      <c r="I101" s="2529"/>
      <c r="J101" s="2509" t="s">
        <v>3028</v>
      </c>
      <c r="K101" s="2529"/>
      <c r="L101" s="2509" t="s">
        <v>3028</v>
      </c>
      <c r="M101" s="2529"/>
      <c r="N101" s="2509" t="s">
        <v>3028</v>
      </c>
      <c r="O101" s="2529"/>
      <c r="P101" s="2509" t="s">
        <v>3028</v>
      </c>
      <c r="Q101" s="2530"/>
      <c r="R101" s="2509" t="s">
        <v>3028</v>
      </c>
      <c r="S101" s="2529"/>
    </row>
    <row r="102" spans="1:19">
      <c r="A102" s="2513"/>
      <c r="B102" s="2527" t="s">
        <v>5447</v>
      </c>
      <c r="C102" s="2488"/>
      <c r="D102" s="2489"/>
      <c r="E102" s="2490"/>
      <c r="F102" s="2528"/>
      <c r="G102" s="696"/>
      <c r="H102" s="2509" t="s">
        <v>3028</v>
      </c>
      <c r="I102" s="2529"/>
      <c r="J102" s="2509" t="s">
        <v>3028</v>
      </c>
      <c r="K102" s="2529"/>
      <c r="L102" s="2509" t="s">
        <v>3028</v>
      </c>
      <c r="M102" s="2529"/>
      <c r="N102" s="2509" t="s">
        <v>3028</v>
      </c>
      <c r="O102" s="2529"/>
      <c r="P102" s="2509" t="s">
        <v>3028</v>
      </c>
      <c r="Q102" s="2530"/>
      <c r="R102" s="2509" t="s">
        <v>3028</v>
      </c>
      <c r="S102" s="2529"/>
    </row>
    <row r="103" spans="1:19">
      <c r="A103" s="2513"/>
      <c r="B103" s="2527" t="s">
        <v>5448</v>
      </c>
      <c r="C103" s="2544" t="s">
        <v>5449</v>
      </c>
      <c r="D103" s="2489">
        <v>14000</v>
      </c>
      <c r="E103" s="2490" t="s">
        <v>3112</v>
      </c>
      <c r="F103" s="2528">
        <v>1.6</v>
      </c>
      <c r="G103" s="696">
        <f>ROUND(D103*F103,0)</f>
        <v>22400</v>
      </c>
      <c r="H103" s="2509" t="s">
        <v>3028</v>
      </c>
      <c r="I103" s="2529">
        <v>21400</v>
      </c>
      <c r="J103" s="2509" t="s">
        <v>3028</v>
      </c>
      <c r="K103" s="2529"/>
      <c r="L103" s="2509" t="s">
        <v>3028</v>
      </c>
      <c r="M103" s="2529"/>
      <c r="N103" s="2509" t="s">
        <v>3028</v>
      </c>
      <c r="O103" s="2529"/>
      <c r="P103" s="2509" t="s">
        <v>3028</v>
      </c>
      <c r="Q103" s="2530"/>
      <c r="R103" s="2509" t="s">
        <v>3028</v>
      </c>
      <c r="S103" s="2529"/>
    </row>
    <row r="104" spans="1:19">
      <c r="A104" s="2513"/>
      <c r="B104" s="2527" t="s">
        <v>5450</v>
      </c>
      <c r="C104" s="2544" t="s">
        <v>5451</v>
      </c>
      <c r="D104" s="2489">
        <v>35000</v>
      </c>
      <c r="E104" s="2490" t="s">
        <v>3112</v>
      </c>
      <c r="F104" s="2528">
        <v>1.6</v>
      </c>
      <c r="G104" s="696">
        <f>ROUND(D104*F104,0)</f>
        <v>56000</v>
      </c>
      <c r="H104" s="2540" t="s">
        <v>4877</v>
      </c>
      <c r="I104" s="2542">
        <f>G104</f>
        <v>56000</v>
      </c>
      <c r="J104" s="2509" t="s">
        <v>3028</v>
      </c>
      <c r="K104" s="2529"/>
      <c r="L104" s="2509" t="s">
        <v>3028</v>
      </c>
      <c r="M104" s="2529"/>
      <c r="N104" s="2540" t="s">
        <v>4877</v>
      </c>
      <c r="O104" s="2542">
        <f>I104</f>
        <v>56000</v>
      </c>
      <c r="P104" s="2509" t="s">
        <v>3028</v>
      </c>
      <c r="Q104" s="2530"/>
      <c r="R104" s="2509" t="s">
        <v>3028</v>
      </c>
      <c r="S104" s="2529"/>
    </row>
    <row r="105" spans="1:19">
      <c r="A105" s="2513"/>
      <c r="B105" s="2539" t="s">
        <v>2708</v>
      </c>
      <c r="C105" s="2488"/>
      <c r="D105" s="2489">
        <f>SUM(D34:D92)*15</f>
        <v>105270</v>
      </c>
      <c r="E105" s="2490" t="s">
        <v>3112</v>
      </c>
      <c r="F105" s="2528">
        <v>1</v>
      </c>
      <c r="G105" s="696">
        <f t="shared" si="2"/>
        <v>105270</v>
      </c>
      <c r="H105" s="2509" t="s">
        <v>3028</v>
      </c>
      <c r="I105" s="2529"/>
      <c r="J105" s="2509" t="s">
        <v>3028</v>
      </c>
      <c r="K105" s="2529"/>
      <c r="L105" s="2509" t="s">
        <v>3028</v>
      </c>
      <c r="M105" s="2529"/>
      <c r="N105" s="2509" t="s">
        <v>3028</v>
      </c>
      <c r="O105" s="2529"/>
      <c r="P105" s="2509" t="s">
        <v>3028</v>
      </c>
      <c r="Q105" s="2530"/>
      <c r="R105" s="2509" t="s">
        <v>3028</v>
      </c>
      <c r="S105" s="2529"/>
    </row>
    <row r="106" spans="1:19">
      <c r="A106" s="2513"/>
      <c r="B106" s="2527" t="s">
        <v>5452</v>
      </c>
      <c r="C106" s="2488"/>
      <c r="D106" s="2489"/>
      <c r="E106" s="2490"/>
      <c r="F106" s="2528"/>
      <c r="G106" s="696"/>
      <c r="H106" s="2509" t="s">
        <v>3028</v>
      </c>
      <c r="I106" s="2529"/>
      <c r="J106" s="2509" t="s">
        <v>3028</v>
      </c>
      <c r="K106" s="2529">
        <f>149774+76374</f>
        <v>226148</v>
      </c>
      <c r="L106" s="2509" t="s">
        <v>3028</v>
      </c>
      <c r="M106" s="2529">
        <f>160348+142086</f>
        <v>302434</v>
      </c>
      <c r="N106" s="2509" t="s">
        <v>3028</v>
      </c>
      <c r="O106" s="2529"/>
      <c r="P106" s="2509" t="s">
        <v>3028</v>
      </c>
      <c r="Q106" s="2530"/>
      <c r="R106" s="2509" t="s">
        <v>3028</v>
      </c>
      <c r="S106" s="2529"/>
    </row>
    <row r="107" spans="1:19">
      <c r="A107" s="2513"/>
      <c r="B107" s="2539" t="s">
        <v>5453</v>
      </c>
      <c r="C107" s="2488"/>
      <c r="D107" s="2489">
        <v>1</v>
      </c>
      <c r="E107" s="2490" t="s">
        <v>5208</v>
      </c>
      <c r="F107" s="2528">
        <v>10000</v>
      </c>
      <c r="G107" s="696">
        <f>ROUND(D107*F107,0)</f>
        <v>10000</v>
      </c>
      <c r="H107" s="2509" t="s">
        <v>3028</v>
      </c>
      <c r="I107" s="2529"/>
      <c r="J107" s="2509" t="s">
        <v>3028</v>
      </c>
      <c r="K107" s="2529"/>
      <c r="L107" s="2509" t="s">
        <v>3028</v>
      </c>
      <c r="M107" s="2529"/>
      <c r="N107" s="2509" t="s">
        <v>3028</v>
      </c>
      <c r="O107" s="2529"/>
      <c r="P107" s="2509" t="s">
        <v>3028</v>
      </c>
      <c r="Q107" s="2530"/>
      <c r="R107" s="2509" t="s">
        <v>3028</v>
      </c>
      <c r="S107" s="2529"/>
    </row>
    <row r="108" spans="1:19">
      <c r="A108" s="2513"/>
      <c r="B108" s="2527" t="s">
        <v>5454</v>
      </c>
      <c r="C108" s="2545" t="s">
        <v>5455</v>
      </c>
      <c r="D108" s="2489"/>
      <c r="E108" s="2490"/>
      <c r="F108" s="2528"/>
      <c r="G108" s="696"/>
      <c r="H108" s="2509" t="s">
        <v>3028</v>
      </c>
      <c r="I108" s="2529"/>
      <c r="J108" s="2509" t="s">
        <v>3028</v>
      </c>
      <c r="K108" s="2529"/>
      <c r="L108" s="2509" t="s">
        <v>3028</v>
      </c>
      <c r="M108" s="2529"/>
      <c r="N108" s="2509" t="s">
        <v>3028</v>
      </c>
      <c r="O108" s="2529"/>
      <c r="P108" s="2509" t="s">
        <v>3028</v>
      </c>
      <c r="Q108" s="2530"/>
      <c r="R108" s="2509" t="s">
        <v>3028</v>
      </c>
      <c r="S108" s="2529"/>
    </row>
    <row r="109" spans="1:19">
      <c r="A109" s="2513"/>
      <c r="B109" s="2546" t="s">
        <v>5456</v>
      </c>
      <c r="C109" s="2488"/>
      <c r="D109" s="2489"/>
      <c r="E109" s="2490"/>
      <c r="F109" s="2528"/>
      <c r="G109" s="696"/>
      <c r="H109" s="2509" t="s">
        <v>3028</v>
      </c>
      <c r="I109" s="2529"/>
      <c r="J109" s="2509" t="s">
        <v>3028</v>
      </c>
      <c r="K109" s="2529"/>
      <c r="L109" s="2509" t="s">
        <v>3028</v>
      </c>
      <c r="M109" s="2529"/>
      <c r="N109" s="2509" t="s">
        <v>3028</v>
      </c>
      <c r="O109" s="2529"/>
      <c r="P109" s="2509" t="s">
        <v>3028</v>
      </c>
      <c r="Q109" s="2530"/>
      <c r="R109" s="2509" t="s">
        <v>3028</v>
      </c>
      <c r="S109" s="2529"/>
    </row>
    <row r="110" spans="1:19">
      <c r="A110" s="2513"/>
      <c r="B110" s="2527" t="s">
        <v>5457</v>
      </c>
      <c r="C110" s="2488"/>
      <c r="D110" s="2489">
        <f>860+704</f>
        <v>1564</v>
      </c>
      <c r="E110" s="2490" t="s">
        <v>3112</v>
      </c>
      <c r="F110" s="2528">
        <v>10</v>
      </c>
      <c r="G110" s="696">
        <f>ROUND(D110*F110,0)</f>
        <v>15640</v>
      </c>
      <c r="H110" s="2509" t="s">
        <v>3028</v>
      </c>
      <c r="I110" s="2529"/>
      <c r="J110" s="2509" t="s">
        <v>3028</v>
      </c>
      <c r="K110" s="2529"/>
      <c r="L110" s="2509" t="s">
        <v>3028</v>
      </c>
      <c r="M110" s="2529"/>
      <c r="N110" s="2509" t="s">
        <v>3028</v>
      </c>
      <c r="O110" s="2529"/>
      <c r="P110" s="2509" t="s">
        <v>3028</v>
      </c>
      <c r="Q110" s="2530"/>
      <c r="R110" s="2509" t="s">
        <v>3028</v>
      </c>
      <c r="S110" s="2529"/>
    </row>
    <row r="111" spans="1:19">
      <c r="A111" s="2513"/>
      <c r="B111" s="2532" t="s">
        <v>5458</v>
      </c>
      <c r="C111" s="2488"/>
      <c r="D111" s="2489">
        <f>18000-933</f>
        <v>17067</v>
      </c>
      <c r="E111" s="2490" t="s">
        <v>3112</v>
      </c>
      <c r="F111" s="2528">
        <v>10</v>
      </c>
      <c r="G111" s="696">
        <f>ROUND(D111*F111,0)</f>
        <v>170670</v>
      </c>
      <c r="H111" s="2509" t="s">
        <v>3028</v>
      </c>
      <c r="I111" s="2529"/>
      <c r="J111" s="2509" t="s">
        <v>3028</v>
      </c>
      <c r="K111" s="2529"/>
      <c r="L111" s="2509" t="s">
        <v>3028</v>
      </c>
      <c r="M111" s="2529"/>
      <c r="N111" s="2540" t="s">
        <v>4877</v>
      </c>
      <c r="O111" s="2542">
        <f>G111</f>
        <v>170670</v>
      </c>
      <c r="P111" s="2509" t="s">
        <v>3028</v>
      </c>
      <c r="Q111" s="2530"/>
      <c r="R111" s="2540" t="s">
        <v>4877</v>
      </c>
      <c r="S111" s="2542">
        <f>O111</f>
        <v>170670</v>
      </c>
    </row>
    <row r="112" spans="1:19">
      <c r="A112" s="2513"/>
      <c r="B112" s="2547" t="s">
        <v>5459</v>
      </c>
      <c r="C112" s="2548" t="s">
        <v>5460</v>
      </c>
      <c r="D112" s="2489">
        <v>1</v>
      </c>
      <c r="E112" s="2490" t="s">
        <v>5208</v>
      </c>
      <c r="F112" s="2528">
        <v>15000</v>
      </c>
      <c r="G112" s="696"/>
      <c r="H112" s="2509" t="s">
        <v>3028</v>
      </c>
      <c r="I112" s="2529"/>
      <c r="J112" s="2509" t="s">
        <v>3028</v>
      </c>
      <c r="K112" s="2529"/>
      <c r="L112" s="2509" t="s">
        <v>3028</v>
      </c>
      <c r="M112" s="2529"/>
      <c r="N112" s="2540" t="s">
        <v>4877</v>
      </c>
      <c r="O112" s="2541">
        <f>F112</f>
        <v>15000</v>
      </c>
      <c r="P112" s="2509" t="s">
        <v>3028</v>
      </c>
      <c r="Q112" s="2530"/>
      <c r="R112" s="2540" t="s">
        <v>4877</v>
      </c>
      <c r="S112" s="2541">
        <f>O112</f>
        <v>15000</v>
      </c>
    </row>
    <row r="113" spans="1:19">
      <c r="A113" s="2513"/>
      <c r="B113" s="2549" t="s">
        <v>5461</v>
      </c>
      <c r="C113" s="2488" t="s">
        <v>5462</v>
      </c>
      <c r="D113" s="2550">
        <v>38</v>
      </c>
      <c r="E113" s="2490" t="s">
        <v>3041</v>
      </c>
      <c r="F113" s="2528">
        <v>250</v>
      </c>
      <c r="G113" s="696">
        <f>ROUND(D113*F113,0)</f>
        <v>9500</v>
      </c>
      <c r="H113" s="2551" t="s">
        <v>3028</v>
      </c>
      <c r="I113" s="2543">
        <f>350*D113</f>
        <v>13300</v>
      </c>
      <c r="J113" s="2540" t="s">
        <v>4877</v>
      </c>
      <c r="K113" s="2542">
        <f>O113</f>
        <v>9500</v>
      </c>
      <c r="L113" s="2509" t="s">
        <v>3028</v>
      </c>
      <c r="M113" s="2529"/>
      <c r="N113" s="2540" t="s">
        <v>4877</v>
      </c>
      <c r="O113" s="2542">
        <f>G113</f>
        <v>9500</v>
      </c>
      <c r="P113" s="2540" t="s">
        <v>4877</v>
      </c>
      <c r="Q113" s="2552">
        <f>O113</f>
        <v>9500</v>
      </c>
      <c r="R113" s="2540" t="s">
        <v>4877</v>
      </c>
      <c r="S113" s="2542">
        <f>O113</f>
        <v>9500</v>
      </c>
    </row>
    <row r="114" spans="1:19">
      <c r="A114" s="2513"/>
      <c r="B114" s="2553" t="s">
        <v>5463</v>
      </c>
      <c r="C114" s="2545" t="s">
        <v>1846</v>
      </c>
      <c r="D114" s="2489">
        <v>1</v>
      </c>
      <c r="E114" s="2490" t="s">
        <v>5208</v>
      </c>
      <c r="F114" s="2528">
        <v>10000</v>
      </c>
      <c r="G114" s="2528">
        <f>F114*D114</f>
        <v>10000</v>
      </c>
      <c r="H114" s="2509" t="s">
        <v>3028</v>
      </c>
      <c r="I114" s="2529"/>
      <c r="J114" s="2509" t="s">
        <v>3028</v>
      </c>
      <c r="K114" s="2529"/>
      <c r="L114" s="2509" t="s">
        <v>3028</v>
      </c>
      <c r="M114" s="2529"/>
      <c r="N114" s="2509" t="s">
        <v>3028</v>
      </c>
      <c r="O114" s="2529"/>
      <c r="P114" s="2509" t="s">
        <v>3028</v>
      </c>
      <c r="Q114" s="2530"/>
      <c r="R114" s="2540" t="s">
        <v>4877</v>
      </c>
      <c r="S114" s="2541">
        <f>G114</f>
        <v>10000</v>
      </c>
    </row>
    <row r="115" spans="1:19">
      <c r="A115" s="2513"/>
      <c r="B115" s="2546" t="s">
        <v>5464</v>
      </c>
      <c r="C115" s="2488"/>
      <c r="D115" s="2489"/>
      <c r="E115" s="2490"/>
      <c r="F115" s="2528"/>
      <c r="G115" s="696"/>
      <c r="H115" s="2509" t="s">
        <v>3028</v>
      </c>
      <c r="I115" s="2529"/>
      <c r="J115" s="2509" t="s">
        <v>3028</v>
      </c>
      <c r="K115" s="2529"/>
      <c r="L115" s="2509" t="s">
        <v>3028</v>
      </c>
      <c r="M115" s="2529">
        <v>462230</v>
      </c>
      <c r="N115" s="2509" t="s">
        <v>3028</v>
      </c>
      <c r="O115" s="2529"/>
      <c r="P115" s="2509" t="s">
        <v>3028</v>
      </c>
      <c r="Q115" s="2530">
        <f>379000+257000+138000</f>
        <v>774000</v>
      </c>
      <c r="R115" s="2540" t="s">
        <v>4877</v>
      </c>
      <c r="S115" s="2529"/>
    </row>
    <row r="116" spans="1:19">
      <c r="A116" s="2513"/>
      <c r="B116" s="2547" t="s">
        <v>5465</v>
      </c>
      <c r="C116" s="2488" t="s">
        <v>3636</v>
      </c>
      <c r="D116" s="2489"/>
      <c r="E116" s="2490"/>
      <c r="F116" s="2528"/>
      <c r="G116" s="696"/>
      <c r="H116" s="2509" t="s">
        <v>3028</v>
      </c>
      <c r="I116" s="2529">
        <v>14825</v>
      </c>
      <c r="J116" s="2509" t="s">
        <v>3028</v>
      </c>
      <c r="K116" s="2529"/>
      <c r="L116" s="2509" t="s">
        <v>3028</v>
      </c>
      <c r="M116" s="2529"/>
      <c r="N116" s="2509" t="s">
        <v>3028</v>
      </c>
      <c r="O116" s="2529"/>
      <c r="P116" s="2509" t="s">
        <v>3028</v>
      </c>
      <c r="Q116" s="2530"/>
      <c r="R116" s="2540" t="s">
        <v>4877</v>
      </c>
      <c r="S116" s="2529"/>
    </row>
    <row r="117" spans="1:19">
      <c r="A117" s="2513"/>
      <c r="B117" s="2554" t="s">
        <v>5466</v>
      </c>
      <c r="C117" s="2488" t="s">
        <v>170</v>
      </c>
      <c r="D117" s="2489">
        <f>58*3</f>
        <v>174</v>
      </c>
      <c r="E117" s="2490" t="s">
        <v>3112</v>
      </c>
      <c r="F117" s="2528">
        <v>8</v>
      </c>
      <c r="G117" s="696">
        <f>ROUND(D117*F117,0)</f>
        <v>1392</v>
      </c>
      <c r="H117" s="2509" t="s">
        <v>3028</v>
      </c>
      <c r="I117" s="2529"/>
      <c r="J117" s="2540" t="s">
        <v>4877</v>
      </c>
      <c r="K117" s="2542">
        <f>G117</f>
        <v>1392</v>
      </c>
      <c r="L117" s="2509" t="s">
        <v>3028</v>
      </c>
      <c r="M117" s="2529"/>
      <c r="N117" s="2509" t="s">
        <v>3028</v>
      </c>
      <c r="O117" s="2529"/>
      <c r="P117" s="2509" t="s">
        <v>3028</v>
      </c>
      <c r="Q117" s="2530"/>
      <c r="R117" s="2540" t="s">
        <v>4877</v>
      </c>
      <c r="S117" s="2529"/>
    </row>
    <row r="118" spans="1:19">
      <c r="A118" s="2513"/>
      <c r="B118" s="2532" t="s">
        <v>5467</v>
      </c>
      <c r="C118" s="2488" t="s">
        <v>5468</v>
      </c>
      <c r="D118" s="2489">
        <f>2508+2994+12087</f>
        <v>17589</v>
      </c>
      <c r="E118" s="2490" t="s">
        <v>3112</v>
      </c>
      <c r="F118" s="2528">
        <v>10</v>
      </c>
      <c r="G118" s="696">
        <f>ROUND(D118*F118,0)</f>
        <v>175890</v>
      </c>
      <c r="H118" s="2509" t="s">
        <v>3028</v>
      </c>
      <c r="I118" s="2529"/>
      <c r="J118" s="2509" t="s">
        <v>3028</v>
      </c>
      <c r="K118" s="2534">
        <f>256172+126194</f>
        <v>382366</v>
      </c>
      <c r="L118" s="2509" t="s">
        <v>3028</v>
      </c>
      <c r="M118" s="2529"/>
      <c r="N118" s="2509" t="s">
        <v>3028</v>
      </c>
      <c r="O118" s="2529"/>
      <c r="P118" s="2509" t="s">
        <v>3028</v>
      </c>
      <c r="Q118" s="2530"/>
      <c r="R118" s="2540" t="s">
        <v>4877</v>
      </c>
      <c r="S118" s="2542">
        <f>K118</f>
        <v>382366</v>
      </c>
    </row>
    <row r="119" spans="1:19">
      <c r="A119" s="2513"/>
      <c r="B119" s="2554" t="s">
        <v>5469</v>
      </c>
      <c r="C119" s="2488"/>
      <c r="D119" s="2489">
        <v>3134</v>
      </c>
      <c r="E119" s="2490" t="s">
        <v>3112</v>
      </c>
      <c r="F119" s="2528">
        <v>10</v>
      </c>
      <c r="G119" s="696">
        <f>ROUND(D119*F119,0)</f>
        <v>31340</v>
      </c>
      <c r="H119" s="2540" t="s">
        <v>4877</v>
      </c>
      <c r="I119" s="2542">
        <f>O119</f>
        <v>53098</v>
      </c>
      <c r="J119" s="2540" t="s">
        <v>4877</v>
      </c>
      <c r="K119" s="2542">
        <f>O119</f>
        <v>53098</v>
      </c>
      <c r="L119" s="2509" t="s">
        <v>3028</v>
      </c>
      <c r="M119" s="2529"/>
      <c r="N119" s="2509" t="s">
        <v>3028</v>
      </c>
      <c r="O119" s="2529">
        <v>53098</v>
      </c>
      <c r="P119" s="2509" t="s">
        <v>3028</v>
      </c>
      <c r="Q119" s="2530">
        <f>102000</f>
        <v>102000</v>
      </c>
      <c r="R119" s="2540" t="s">
        <v>4877</v>
      </c>
      <c r="S119" s="2542">
        <f>K119</f>
        <v>53098</v>
      </c>
    </row>
    <row r="120" spans="1:19">
      <c r="A120" s="2513"/>
      <c r="B120" s="2527" t="s">
        <v>5470</v>
      </c>
      <c r="C120" s="2489"/>
      <c r="D120" s="2489">
        <v>1</v>
      </c>
      <c r="E120" s="2490" t="s">
        <v>5208</v>
      </c>
      <c r="F120" s="2528">
        <v>20000</v>
      </c>
      <c r="G120" s="2528">
        <f>F120*D120</f>
        <v>20000</v>
      </c>
      <c r="H120" s="2509" t="s">
        <v>3028</v>
      </c>
      <c r="I120" s="2543">
        <f>7200+6400+4800</f>
        <v>18400</v>
      </c>
      <c r="J120" s="2540" t="s">
        <v>4877</v>
      </c>
      <c r="K120" s="2542">
        <f>I120</f>
        <v>18400</v>
      </c>
      <c r="L120" s="2509" t="s">
        <v>3028</v>
      </c>
      <c r="M120" s="2529"/>
      <c r="N120" s="2540" t="s">
        <v>4877</v>
      </c>
      <c r="O120" s="2542">
        <f>I120</f>
        <v>18400</v>
      </c>
      <c r="P120" s="2509" t="s">
        <v>3028</v>
      </c>
      <c r="Q120" s="2530"/>
      <c r="R120" s="2540" t="s">
        <v>4877</v>
      </c>
      <c r="S120" s="2542">
        <f>O120</f>
        <v>18400</v>
      </c>
    </row>
    <row r="121" spans="1:19">
      <c r="A121" s="2513"/>
      <c r="B121" s="2555" t="s">
        <v>5206</v>
      </c>
      <c r="C121" s="2545"/>
      <c r="D121" s="2489"/>
      <c r="E121" s="2490"/>
      <c r="F121" s="2528"/>
      <c r="G121" s="696"/>
      <c r="H121" s="2509" t="s">
        <v>3028</v>
      </c>
      <c r="I121" s="2529"/>
      <c r="J121" s="2509" t="s">
        <v>3028</v>
      </c>
      <c r="K121" s="2529"/>
      <c r="L121" s="2509" t="s">
        <v>3028</v>
      </c>
      <c r="M121" s="2529"/>
      <c r="N121" s="2509" t="s">
        <v>3028</v>
      </c>
      <c r="O121" s="2529"/>
      <c r="P121" s="2509" t="s">
        <v>3028</v>
      </c>
      <c r="Q121" s="2530"/>
      <c r="R121" s="2509" t="s">
        <v>3028</v>
      </c>
      <c r="S121" s="2529"/>
    </row>
    <row r="122" spans="1:19">
      <c r="A122" s="2513"/>
      <c r="B122" s="2532" t="s">
        <v>5471</v>
      </c>
      <c r="C122" s="478" t="s">
        <v>5472</v>
      </c>
      <c r="D122" s="2489">
        <v>1</v>
      </c>
      <c r="E122" s="2490" t="s">
        <v>5208</v>
      </c>
      <c r="F122" s="2528">
        <v>10000</v>
      </c>
      <c r="G122" s="2528">
        <f t="shared" ref="G122:G125" si="3">F122*D122</f>
        <v>10000</v>
      </c>
      <c r="H122" s="2509" t="s">
        <v>3028</v>
      </c>
      <c r="I122" s="2529"/>
      <c r="J122" s="2509" t="s">
        <v>3028</v>
      </c>
      <c r="K122" s="2529"/>
      <c r="L122" s="2509" t="s">
        <v>3028</v>
      </c>
      <c r="M122" s="2529"/>
      <c r="N122" s="2509" t="s">
        <v>3028</v>
      </c>
      <c r="O122" s="2529"/>
      <c r="P122" s="2509" t="s">
        <v>3028</v>
      </c>
      <c r="Q122" s="2530"/>
      <c r="R122" s="2509" t="s">
        <v>3028</v>
      </c>
      <c r="S122" s="2529"/>
    </row>
    <row r="123" spans="1:19">
      <c r="A123" s="2513"/>
      <c r="B123" s="2527" t="s">
        <v>5473</v>
      </c>
      <c r="C123" s="2489"/>
      <c r="D123" s="2489">
        <v>192</v>
      </c>
      <c r="E123" s="2490" t="s">
        <v>3041</v>
      </c>
      <c r="F123" s="2528">
        <v>300</v>
      </c>
      <c r="G123" s="2528">
        <f>F123*D123</f>
        <v>57600</v>
      </c>
      <c r="H123" s="2509" t="s">
        <v>3028</v>
      </c>
      <c r="I123" s="2529"/>
      <c r="J123" s="2509" t="s">
        <v>3028</v>
      </c>
      <c r="K123" s="2529"/>
      <c r="L123" s="2509" t="s">
        <v>3028</v>
      </c>
      <c r="M123" s="2529"/>
      <c r="N123" s="2509" t="s">
        <v>3028</v>
      </c>
      <c r="O123" s="2529"/>
      <c r="P123" s="2509" t="s">
        <v>3028</v>
      </c>
      <c r="Q123" s="2530"/>
      <c r="R123" s="2509" t="s">
        <v>3028</v>
      </c>
      <c r="S123" s="2529"/>
    </row>
    <row r="124" spans="1:19" ht="34.5">
      <c r="A124" s="2513"/>
      <c r="B124" s="2532" t="s">
        <v>5474</v>
      </c>
      <c r="C124" s="2556" t="s">
        <v>5475</v>
      </c>
      <c r="D124" s="2489">
        <f>140+172</f>
        <v>312</v>
      </c>
      <c r="E124" s="2490" t="s">
        <v>3112</v>
      </c>
      <c r="F124" s="2528">
        <v>10</v>
      </c>
      <c r="G124" s="2528">
        <f t="shared" si="3"/>
        <v>3120</v>
      </c>
      <c r="H124" s="2509" t="s">
        <v>3028</v>
      </c>
      <c r="I124" s="2529">
        <v>2646</v>
      </c>
      <c r="J124" s="2540" t="s">
        <v>4877</v>
      </c>
      <c r="K124" s="2542">
        <f>I124</f>
        <v>2646</v>
      </c>
      <c r="L124" s="2540" t="s">
        <v>4877</v>
      </c>
      <c r="M124" s="2542">
        <f>Q124</f>
        <v>2646</v>
      </c>
      <c r="N124" s="2540" t="s">
        <v>4877</v>
      </c>
      <c r="O124" s="2542">
        <f>I124</f>
        <v>2646</v>
      </c>
      <c r="P124" s="2540" t="s">
        <v>4877</v>
      </c>
      <c r="Q124" s="2552">
        <f>K124</f>
        <v>2646</v>
      </c>
      <c r="R124" s="2540" t="s">
        <v>4877</v>
      </c>
      <c r="S124" s="2542">
        <f>O124</f>
        <v>2646</v>
      </c>
    </row>
    <row r="125" spans="1:19">
      <c r="A125" s="2513"/>
      <c r="B125" s="2527" t="s">
        <v>5476</v>
      </c>
      <c r="C125" s="2489"/>
      <c r="D125" s="2489">
        <v>1</v>
      </c>
      <c r="E125" s="2490" t="s">
        <v>5208</v>
      </c>
      <c r="F125" s="2528">
        <v>16000</v>
      </c>
      <c r="G125" s="2528">
        <f t="shared" si="3"/>
        <v>16000</v>
      </c>
      <c r="H125" s="2540" t="s">
        <v>4877</v>
      </c>
      <c r="I125" s="2541">
        <f>$G$125</f>
        <v>16000</v>
      </c>
      <c r="J125" s="2509" t="s">
        <v>3028</v>
      </c>
      <c r="K125" s="2529"/>
      <c r="L125" s="2540" t="s">
        <v>4877</v>
      </c>
      <c r="M125" s="2541">
        <f>O125</f>
        <v>16000</v>
      </c>
      <c r="N125" s="2540" t="s">
        <v>4877</v>
      </c>
      <c r="O125" s="2541">
        <f>G125</f>
        <v>16000</v>
      </c>
      <c r="P125" s="2540" t="str">
        <f>H125</f>
        <v>P</v>
      </c>
      <c r="Q125" s="2541">
        <f>I125</f>
        <v>16000</v>
      </c>
      <c r="R125" s="2540" t="s">
        <v>4877</v>
      </c>
      <c r="S125" s="2541">
        <f>O125</f>
        <v>16000</v>
      </c>
    </row>
    <row r="126" spans="1:19">
      <c r="A126" s="2513" t="s">
        <v>5477</v>
      </c>
      <c r="B126" s="2554" t="s">
        <v>5478</v>
      </c>
      <c r="C126" s="2488" t="s">
        <v>5479</v>
      </c>
      <c r="D126" s="2489">
        <v>6577</v>
      </c>
      <c r="E126" s="2490" t="s">
        <v>3112</v>
      </c>
      <c r="F126" s="2528">
        <v>3</v>
      </c>
      <c r="G126" s="2528">
        <f>F126*D126</f>
        <v>19731</v>
      </c>
      <c r="H126" s="2509" t="s">
        <v>3028</v>
      </c>
      <c r="I126" s="2529">
        <v>19200</v>
      </c>
      <c r="J126" s="2509" t="s">
        <v>3807</v>
      </c>
      <c r="K126" s="2529"/>
      <c r="L126" s="2540" t="s">
        <v>4877</v>
      </c>
      <c r="M126" s="2542">
        <f>I126</f>
        <v>19200</v>
      </c>
      <c r="N126" s="2540" t="s">
        <v>4877</v>
      </c>
      <c r="O126" s="2529">
        <f>I126</f>
        <v>19200</v>
      </c>
      <c r="P126" s="2509" t="s">
        <v>3028</v>
      </c>
      <c r="Q126" s="2530">
        <v>42000</v>
      </c>
      <c r="R126" s="2540" t="s">
        <v>4877</v>
      </c>
      <c r="S126" s="2542">
        <f>I126</f>
        <v>19200</v>
      </c>
    </row>
    <row r="127" spans="1:19">
      <c r="A127" s="2513"/>
      <c r="B127" s="2554" t="s">
        <v>5480</v>
      </c>
      <c r="C127" s="2488" t="s">
        <v>830</v>
      </c>
      <c r="D127" s="2489">
        <v>1</v>
      </c>
      <c r="E127" s="2490" t="s">
        <v>5208</v>
      </c>
      <c r="F127" s="2528">
        <v>10000</v>
      </c>
      <c r="G127" s="696">
        <f>F127*D127</f>
        <v>10000</v>
      </c>
      <c r="H127" s="2509" t="s">
        <v>3028</v>
      </c>
      <c r="I127" s="2529"/>
      <c r="J127" s="2509" t="s">
        <v>3807</v>
      </c>
      <c r="K127" s="2529"/>
      <c r="L127" s="2509" t="s">
        <v>3028</v>
      </c>
      <c r="M127" s="2529"/>
      <c r="N127" s="2540" t="s">
        <v>4877</v>
      </c>
      <c r="O127" s="2542">
        <f>G127</f>
        <v>10000</v>
      </c>
      <c r="P127" s="2509" t="s">
        <v>3807</v>
      </c>
      <c r="Q127" s="2530"/>
      <c r="R127" s="2540" t="s">
        <v>4877</v>
      </c>
      <c r="S127" s="2542">
        <f>G127</f>
        <v>10000</v>
      </c>
    </row>
    <row r="128" spans="1:19">
      <c r="A128" s="2513"/>
      <c r="B128" s="2554" t="s">
        <v>5481</v>
      </c>
      <c r="C128" s="2488" t="s">
        <v>5482</v>
      </c>
      <c r="D128" s="2489">
        <v>1</v>
      </c>
      <c r="E128" s="2490" t="s">
        <v>5208</v>
      </c>
      <c r="F128" s="2528">
        <v>2000</v>
      </c>
      <c r="G128" s="696">
        <f>F128*D128</f>
        <v>2000</v>
      </c>
      <c r="H128" s="2509" t="s">
        <v>3028</v>
      </c>
      <c r="I128" s="2529"/>
      <c r="J128" s="2509" t="s">
        <v>3028</v>
      </c>
      <c r="K128" s="2529"/>
      <c r="L128" s="2509" t="s">
        <v>3028</v>
      </c>
      <c r="M128" s="2529"/>
      <c r="N128" s="2509" t="s">
        <v>3028</v>
      </c>
      <c r="O128" s="2529"/>
      <c r="P128" s="2509" t="s">
        <v>3028</v>
      </c>
      <c r="Q128" s="2530"/>
      <c r="R128" s="2509" t="s">
        <v>3028</v>
      </c>
      <c r="S128" s="2529"/>
    </row>
    <row r="129" spans="1:19">
      <c r="A129" s="2513"/>
      <c r="B129" s="2554" t="s">
        <v>5483</v>
      </c>
      <c r="C129" s="2488" t="s">
        <v>5484</v>
      </c>
      <c r="D129" s="2489">
        <v>1</v>
      </c>
      <c r="E129" s="2490" t="s">
        <v>5208</v>
      </c>
      <c r="F129" s="2528">
        <v>2000</v>
      </c>
      <c r="G129" s="696">
        <f>F129*D129</f>
        <v>2000</v>
      </c>
      <c r="H129" s="2509" t="s">
        <v>3028</v>
      </c>
      <c r="I129" s="2529"/>
      <c r="J129" s="2509" t="s">
        <v>3028</v>
      </c>
      <c r="K129" s="2529"/>
      <c r="L129" s="2509" t="s">
        <v>3028</v>
      </c>
      <c r="M129" s="2529"/>
      <c r="N129" s="2509" t="s">
        <v>3028</v>
      </c>
      <c r="O129" s="2529"/>
      <c r="P129" s="2509" t="s">
        <v>3028</v>
      </c>
      <c r="Q129" s="2530"/>
      <c r="R129" s="2509" t="s">
        <v>3028</v>
      </c>
      <c r="S129" s="2529"/>
    </row>
    <row r="130" spans="1:19">
      <c r="A130" s="2513"/>
      <c r="B130" s="2554" t="s">
        <v>5485</v>
      </c>
      <c r="C130" s="2488" t="s">
        <v>638</v>
      </c>
      <c r="D130" s="2489"/>
      <c r="E130" s="2490"/>
      <c r="F130" s="2528"/>
      <c r="G130" s="696"/>
      <c r="H130" s="2509" t="s">
        <v>3028</v>
      </c>
      <c r="I130" s="2529"/>
      <c r="J130" s="2509" t="s">
        <v>3028</v>
      </c>
      <c r="K130" s="2529"/>
      <c r="L130" s="2509" t="s">
        <v>3028</v>
      </c>
      <c r="M130" s="2529"/>
      <c r="N130" s="2509" t="s">
        <v>3028</v>
      </c>
      <c r="O130" s="2529"/>
      <c r="P130" s="2509" t="s">
        <v>3028</v>
      </c>
      <c r="Q130" s="2530"/>
      <c r="R130" s="2509" t="s">
        <v>3028</v>
      </c>
      <c r="S130" s="2529"/>
    </row>
    <row r="131" spans="1:19">
      <c r="A131" s="2513"/>
      <c r="B131" s="2554" t="s">
        <v>5486</v>
      </c>
      <c r="C131" s="2488"/>
      <c r="D131" s="2489">
        <v>25</v>
      </c>
      <c r="E131" s="2490" t="s">
        <v>3041</v>
      </c>
      <c r="F131" s="2528">
        <v>500</v>
      </c>
      <c r="G131" s="696">
        <f>F131*D131</f>
        <v>12500</v>
      </c>
      <c r="H131" s="2540" t="s">
        <v>4877</v>
      </c>
      <c r="I131" s="2542">
        <f>O131</f>
        <v>12500</v>
      </c>
      <c r="J131" s="2540" t="s">
        <v>4877</v>
      </c>
      <c r="K131" s="2542">
        <f>G131</f>
        <v>12500</v>
      </c>
      <c r="L131" s="2509" t="s">
        <v>3028</v>
      </c>
      <c r="M131" s="2529">
        <f>925*25</f>
        <v>23125</v>
      </c>
      <c r="N131" s="2540" t="s">
        <v>4877</v>
      </c>
      <c r="O131" s="2542">
        <f>G131</f>
        <v>12500</v>
      </c>
      <c r="P131" s="2540" t="s">
        <v>4877</v>
      </c>
      <c r="Q131" s="2542">
        <f>O131</f>
        <v>12500</v>
      </c>
      <c r="R131" s="2540" t="s">
        <v>4877</v>
      </c>
      <c r="S131" s="2542">
        <f>G131</f>
        <v>12500</v>
      </c>
    </row>
    <row r="132" spans="1:19" ht="15.75">
      <c r="A132" s="2513"/>
      <c r="B132" s="2557" t="s">
        <v>3235</v>
      </c>
      <c r="C132" s="2488"/>
      <c r="D132" s="2489"/>
      <c r="E132" s="2490"/>
      <c r="F132" s="2528"/>
      <c r="G132" s="696"/>
      <c r="H132" s="2509" t="s">
        <v>3028</v>
      </c>
      <c r="I132" s="2543">
        <f>41190</f>
        <v>41190</v>
      </c>
      <c r="J132" s="2509" t="s">
        <v>3028</v>
      </c>
      <c r="K132" s="2529">
        <v>28988</v>
      </c>
      <c r="L132" s="2509" t="s">
        <v>3028</v>
      </c>
      <c r="M132" s="2529">
        <v>33227</v>
      </c>
      <c r="N132" s="2509" t="s">
        <v>3028</v>
      </c>
      <c r="O132" s="2529">
        <f>22358+4000</f>
        <v>26358</v>
      </c>
      <c r="P132" s="2509" t="s">
        <v>3028</v>
      </c>
      <c r="Q132" s="2530">
        <v>40200</v>
      </c>
      <c r="R132" s="2509" t="s">
        <v>3028</v>
      </c>
      <c r="S132" s="2529"/>
    </row>
    <row r="133" spans="1:19" ht="30" hidden="1">
      <c r="A133" s="2513" t="s">
        <v>5487</v>
      </c>
      <c r="B133" s="2532" t="s">
        <v>5488</v>
      </c>
      <c r="C133" s="2488"/>
      <c r="D133" s="2489">
        <v>8</v>
      </c>
      <c r="E133" s="2490" t="s">
        <v>48</v>
      </c>
      <c r="F133" s="2528"/>
      <c r="G133" s="696"/>
      <c r="H133" s="2509"/>
      <c r="I133" s="2529"/>
      <c r="J133" s="2509"/>
      <c r="K133" s="2529"/>
      <c r="L133" s="2509"/>
      <c r="M133" s="2529"/>
      <c r="N133" s="2529"/>
      <c r="O133" s="2529"/>
      <c r="P133" s="2529"/>
      <c r="Q133" s="2530"/>
      <c r="R133" s="2509" t="s">
        <v>3028</v>
      </c>
      <c r="S133" s="2529"/>
    </row>
    <row r="134" spans="1:19" ht="30" hidden="1">
      <c r="A134" s="2513" t="s">
        <v>5489</v>
      </c>
      <c r="B134" s="2532" t="s">
        <v>5490</v>
      </c>
      <c r="C134" s="2488"/>
      <c r="D134" s="2489">
        <v>61</v>
      </c>
      <c r="E134" s="2490" t="s">
        <v>48</v>
      </c>
      <c r="F134" s="2528"/>
      <c r="G134" s="696"/>
      <c r="H134" s="2509"/>
      <c r="I134" s="2529"/>
      <c r="J134" s="2509"/>
      <c r="K134" s="2529"/>
      <c r="L134" s="2509"/>
      <c r="M134" s="2529"/>
      <c r="N134" s="2529"/>
      <c r="O134" s="2529"/>
      <c r="P134" s="2529"/>
      <c r="Q134" s="2530"/>
      <c r="R134" s="2509" t="s">
        <v>3028</v>
      </c>
      <c r="S134" s="2529"/>
    </row>
    <row r="135" spans="1:19" ht="30" hidden="1">
      <c r="A135" s="2513" t="s">
        <v>5491</v>
      </c>
      <c r="B135" s="2532" t="s">
        <v>5323</v>
      </c>
      <c r="C135" s="2488"/>
      <c r="D135" s="2489">
        <v>19</v>
      </c>
      <c r="E135" s="2490" t="s">
        <v>48</v>
      </c>
      <c r="F135" s="2528"/>
      <c r="G135" s="696"/>
      <c r="H135" s="2509"/>
      <c r="I135" s="2529"/>
      <c r="J135" s="2509"/>
      <c r="K135" s="2529"/>
      <c r="L135" s="2509"/>
      <c r="M135" s="2529"/>
      <c r="N135" s="2529"/>
      <c r="O135" s="2529"/>
      <c r="P135" s="2529"/>
      <c r="Q135" s="2530"/>
      <c r="R135" s="2509" t="s">
        <v>3028</v>
      </c>
      <c r="S135" s="2529"/>
    </row>
    <row r="136" spans="1:19" ht="30" hidden="1">
      <c r="A136" s="2513" t="s">
        <v>5376</v>
      </c>
      <c r="B136" s="2532" t="s">
        <v>5492</v>
      </c>
      <c r="C136" s="2488"/>
      <c r="D136" s="2489">
        <v>21</v>
      </c>
      <c r="E136" s="2490" t="s">
        <v>48</v>
      </c>
      <c r="F136" s="2528"/>
      <c r="G136" s="696"/>
      <c r="H136" s="2509"/>
      <c r="I136" s="2529"/>
      <c r="J136" s="2509"/>
      <c r="K136" s="2529"/>
      <c r="L136" s="2509"/>
      <c r="M136" s="2529"/>
      <c r="N136" s="2529"/>
      <c r="O136" s="2529"/>
      <c r="P136" s="2529"/>
      <c r="Q136" s="2530"/>
      <c r="R136" s="2509" t="s">
        <v>3028</v>
      </c>
      <c r="S136" s="2529"/>
    </row>
    <row r="137" spans="1:19" ht="30" hidden="1">
      <c r="A137" s="2513" t="s">
        <v>5386</v>
      </c>
      <c r="B137" s="2532" t="s">
        <v>5493</v>
      </c>
      <c r="C137" s="2488"/>
      <c r="D137" s="2489">
        <v>11</v>
      </c>
      <c r="E137" s="2490" t="s">
        <v>48</v>
      </c>
      <c r="F137" s="2528"/>
      <c r="G137" s="696"/>
      <c r="H137" s="2509"/>
      <c r="I137" s="2529"/>
      <c r="J137" s="2509"/>
      <c r="K137" s="2529"/>
      <c r="L137" s="2509"/>
      <c r="M137" s="2529"/>
      <c r="N137" s="2529"/>
      <c r="O137" s="2529"/>
      <c r="P137" s="2529"/>
      <c r="Q137" s="2530"/>
      <c r="R137" s="2509" t="s">
        <v>3028</v>
      </c>
      <c r="S137" s="2529"/>
    </row>
    <row r="138" spans="1:19" ht="30" hidden="1">
      <c r="A138" s="2513" t="s">
        <v>5396</v>
      </c>
      <c r="B138" s="2532" t="s">
        <v>5494</v>
      </c>
      <c r="C138" s="2488"/>
      <c r="D138" s="2489">
        <v>34</v>
      </c>
      <c r="E138" s="2490" t="s">
        <v>48</v>
      </c>
      <c r="F138" s="2528"/>
      <c r="G138" s="696"/>
      <c r="H138" s="2509"/>
      <c r="I138" s="2529"/>
      <c r="J138" s="2509"/>
      <c r="K138" s="2529"/>
      <c r="L138" s="2509"/>
      <c r="M138" s="2529"/>
      <c r="N138" s="2529"/>
      <c r="O138" s="2529"/>
      <c r="P138" s="2529"/>
      <c r="Q138" s="2530"/>
      <c r="R138" s="2509" t="s">
        <v>3028</v>
      </c>
      <c r="S138" s="2529"/>
    </row>
    <row r="139" spans="1:19">
      <c r="A139" s="2513"/>
      <c r="B139" s="2539" t="s">
        <v>5436</v>
      </c>
      <c r="C139" s="2488"/>
      <c r="D139" s="2489">
        <f>SUM(D133:D138)</f>
        <v>154</v>
      </c>
      <c r="E139" s="2490" t="s">
        <v>48</v>
      </c>
      <c r="F139" s="2528">
        <v>50</v>
      </c>
      <c r="G139" s="696">
        <f>F139*D139</f>
        <v>7700</v>
      </c>
      <c r="H139" s="2509" t="s">
        <v>3028</v>
      </c>
      <c r="I139" s="2529"/>
      <c r="J139" s="2509" t="s">
        <v>3028</v>
      </c>
      <c r="K139" s="2529"/>
      <c r="L139" s="2509" t="s">
        <v>3028</v>
      </c>
      <c r="M139" s="2529"/>
      <c r="N139" s="2509" t="s">
        <v>3028</v>
      </c>
      <c r="O139" s="2529"/>
      <c r="P139" s="2509" t="s">
        <v>3028</v>
      </c>
      <c r="Q139" s="2530"/>
      <c r="R139" s="2509" t="s">
        <v>3028</v>
      </c>
      <c r="S139" s="2529"/>
    </row>
    <row r="140" spans="1:19">
      <c r="A140" s="2513"/>
      <c r="B140" s="2532" t="s">
        <v>5495</v>
      </c>
      <c r="C140" s="2488"/>
      <c r="D140" s="2489"/>
      <c r="E140" s="2490"/>
      <c r="F140" s="2528"/>
      <c r="G140" s="696"/>
      <c r="H140" s="2509" t="s">
        <v>3028</v>
      </c>
      <c r="I140" s="2529"/>
      <c r="J140" s="2509" t="s">
        <v>3028</v>
      </c>
      <c r="K140" s="2529"/>
      <c r="L140" s="2509" t="s">
        <v>3028</v>
      </c>
      <c r="M140" s="2529"/>
      <c r="N140" s="2509" t="s">
        <v>3028</v>
      </c>
      <c r="O140" s="2529"/>
      <c r="P140" s="2509" t="s">
        <v>3028</v>
      </c>
      <c r="Q140" s="2530"/>
      <c r="R140" s="2509" t="s">
        <v>3028</v>
      </c>
      <c r="S140" s="2529"/>
    </row>
    <row r="141" spans="1:19">
      <c r="A141" s="2513"/>
      <c r="B141" s="2539" t="s">
        <v>5441</v>
      </c>
      <c r="C141" s="2488"/>
      <c r="D141" s="2489">
        <f>(SUM(D133:D135)*34)+(SUM(D136:D138)*34*2)</f>
        <v>7480</v>
      </c>
      <c r="E141" s="2490" t="s">
        <v>3112</v>
      </c>
      <c r="F141" s="2528">
        <v>4</v>
      </c>
      <c r="G141" s="696">
        <f>F141*D141</f>
        <v>29920</v>
      </c>
      <c r="H141" s="2509" t="s">
        <v>3028</v>
      </c>
      <c r="I141" s="2529"/>
      <c r="J141" s="2509" t="s">
        <v>3028</v>
      </c>
      <c r="K141" s="2529"/>
      <c r="L141" s="2509" t="s">
        <v>3028</v>
      </c>
      <c r="M141" s="2529"/>
      <c r="N141" s="2509" t="s">
        <v>3028</v>
      </c>
      <c r="O141" s="2529"/>
      <c r="P141" s="2509" t="s">
        <v>3028</v>
      </c>
      <c r="Q141" s="2530"/>
      <c r="R141" s="2509" t="s">
        <v>3028</v>
      </c>
      <c r="S141" s="2529"/>
    </row>
    <row r="142" spans="1:19">
      <c r="A142" s="2513"/>
      <c r="B142" s="2527" t="s">
        <v>5496</v>
      </c>
      <c r="C142" s="2488"/>
      <c r="D142" s="2489"/>
      <c r="E142" s="2490"/>
      <c r="F142" s="2528"/>
      <c r="G142" s="696"/>
      <c r="H142" s="2509" t="s">
        <v>3028</v>
      </c>
      <c r="I142" s="2529"/>
      <c r="J142" s="2509" t="s">
        <v>3028</v>
      </c>
      <c r="K142" s="2529"/>
      <c r="L142" s="2509" t="s">
        <v>3028</v>
      </c>
      <c r="M142" s="2529"/>
      <c r="N142" s="2509" t="s">
        <v>3028</v>
      </c>
      <c r="O142" s="2529"/>
      <c r="P142" s="2509" t="s">
        <v>3028</v>
      </c>
      <c r="Q142" s="2530"/>
      <c r="R142" s="2509" t="s">
        <v>3028</v>
      </c>
      <c r="S142" s="2529"/>
    </row>
    <row r="143" spans="1:19">
      <c r="A143" s="2513"/>
      <c r="B143" s="2527" t="s">
        <v>5497</v>
      </c>
      <c r="C143" s="2488"/>
      <c r="D143" s="2489"/>
      <c r="E143" s="2490"/>
      <c r="F143" s="2528"/>
      <c r="G143" s="696"/>
      <c r="H143" s="2509" t="s">
        <v>3028</v>
      </c>
      <c r="I143" s="2529"/>
      <c r="J143" s="2509" t="s">
        <v>3028</v>
      </c>
      <c r="K143" s="2529"/>
      <c r="L143" s="2509" t="s">
        <v>3028</v>
      </c>
      <c r="M143" s="2529"/>
      <c r="N143" s="2509" t="s">
        <v>3028</v>
      </c>
      <c r="O143" s="2529"/>
      <c r="P143" s="2509" t="s">
        <v>3028</v>
      </c>
      <c r="Q143" s="2530"/>
      <c r="R143" s="2509" t="s">
        <v>3028</v>
      </c>
      <c r="S143" s="2529"/>
    </row>
    <row r="144" spans="1:19">
      <c r="A144" s="2513"/>
      <c r="B144" s="2527" t="s">
        <v>5498</v>
      </c>
      <c r="C144" s="2488"/>
      <c r="D144" s="2489"/>
      <c r="E144" s="2490"/>
      <c r="F144" s="2528"/>
      <c r="G144" s="696"/>
      <c r="H144" s="2509" t="s">
        <v>3028</v>
      </c>
      <c r="I144" s="2543">
        <v>4680</v>
      </c>
      <c r="J144" s="2509" t="s">
        <v>3028</v>
      </c>
      <c r="K144" s="2529"/>
      <c r="L144" s="2509" t="s">
        <v>3028</v>
      </c>
      <c r="M144" s="2529"/>
      <c r="N144" s="2509" t="s">
        <v>3028</v>
      </c>
      <c r="O144" s="2529"/>
      <c r="P144" s="2509" t="s">
        <v>3028</v>
      </c>
      <c r="Q144" s="2530"/>
      <c r="R144" s="2540" t="s">
        <v>4877</v>
      </c>
      <c r="S144" s="2542">
        <f>I144</f>
        <v>4680</v>
      </c>
    </row>
    <row r="145" spans="1:19" ht="15.75" customHeight="1">
      <c r="A145" s="2513"/>
      <c r="B145" s="2554" t="s">
        <v>5499</v>
      </c>
      <c r="C145" s="2488"/>
      <c r="D145" s="2489"/>
      <c r="E145" s="2490"/>
      <c r="F145" s="2528"/>
      <c r="G145" s="696"/>
      <c r="H145" s="2509" t="s">
        <v>3028</v>
      </c>
      <c r="I145" s="2529"/>
      <c r="J145" s="2509" t="s">
        <v>3028</v>
      </c>
      <c r="K145" s="2534" t="s">
        <v>5500</v>
      </c>
      <c r="L145" s="2509" t="s">
        <v>3028</v>
      </c>
      <c r="M145" s="2529"/>
      <c r="N145" s="2509" t="s">
        <v>3028</v>
      </c>
      <c r="O145" s="2529"/>
      <c r="P145" s="2509" t="s">
        <v>3028</v>
      </c>
      <c r="Q145" s="2530"/>
      <c r="R145" s="2509" t="s">
        <v>3028</v>
      </c>
      <c r="S145" s="2529"/>
    </row>
    <row r="146" spans="1:19">
      <c r="A146" s="2513"/>
      <c r="B146" s="2539" t="s">
        <v>2708</v>
      </c>
      <c r="C146" s="2488"/>
      <c r="D146" s="2489">
        <f>D139*34</f>
        <v>5236</v>
      </c>
      <c r="E146" s="2490" t="s">
        <v>3112</v>
      </c>
      <c r="F146" s="2528">
        <v>2.5</v>
      </c>
      <c r="G146" s="696">
        <f>F146*D146</f>
        <v>13090</v>
      </c>
      <c r="H146" s="2509" t="s">
        <v>3028</v>
      </c>
      <c r="I146" s="2529"/>
      <c r="J146" s="2509" t="s">
        <v>3028</v>
      </c>
      <c r="K146" s="2529"/>
      <c r="L146" s="2509" t="s">
        <v>3028</v>
      </c>
      <c r="M146" s="2529"/>
      <c r="N146" s="2509" t="s">
        <v>3028</v>
      </c>
      <c r="O146" s="2529"/>
      <c r="P146" s="2509" t="s">
        <v>3028</v>
      </c>
      <c r="Q146" s="2530"/>
      <c r="R146" s="2509" t="s">
        <v>3028</v>
      </c>
      <c r="S146" s="2529"/>
    </row>
    <row r="147" spans="1:19">
      <c r="A147" s="2513"/>
      <c r="B147" s="2527" t="s">
        <v>5501</v>
      </c>
      <c r="C147" s="2488"/>
      <c r="D147" s="2489"/>
      <c r="E147" s="2490"/>
      <c r="F147" s="2528"/>
      <c r="G147" s="696"/>
      <c r="H147" s="2509" t="s">
        <v>3028</v>
      </c>
      <c r="I147" s="2529"/>
      <c r="J147" s="2509" t="s">
        <v>3028</v>
      </c>
      <c r="K147" s="2529">
        <f>3932+1057</f>
        <v>4989</v>
      </c>
      <c r="L147" s="2509" t="s">
        <v>3028</v>
      </c>
      <c r="M147" s="2529"/>
      <c r="N147" s="2509" t="s">
        <v>3028</v>
      </c>
      <c r="O147" s="2529"/>
      <c r="P147" s="2509" t="s">
        <v>3028</v>
      </c>
      <c r="Q147" s="2530"/>
      <c r="R147" s="2509" t="s">
        <v>3028</v>
      </c>
      <c r="S147" s="2529"/>
    </row>
    <row r="148" spans="1:19">
      <c r="A148" s="2513"/>
      <c r="B148" s="2546" t="s">
        <v>5456</v>
      </c>
      <c r="C148" s="2488"/>
      <c r="D148" s="2489"/>
      <c r="E148" s="2490"/>
      <c r="F148" s="2528"/>
      <c r="G148" s="696"/>
      <c r="H148" s="2509" t="s">
        <v>3028</v>
      </c>
      <c r="I148" s="2529"/>
      <c r="J148" s="2509" t="s">
        <v>3028</v>
      </c>
      <c r="K148" s="2529"/>
      <c r="L148" s="2509" t="s">
        <v>3028</v>
      </c>
      <c r="M148" s="2529"/>
      <c r="N148" s="2509" t="s">
        <v>3028</v>
      </c>
      <c r="O148" s="2529"/>
      <c r="P148" s="2509" t="s">
        <v>3028</v>
      </c>
      <c r="Q148" s="2530"/>
      <c r="R148" s="2509" t="s">
        <v>3028</v>
      </c>
      <c r="S148" s="2529"/>
    </row>
    <row r="149" spans="1:19">
      <c r="A149" s="2513"/>
      <c r="B149" s="2527" t="s">
        <v>5502</v>
      </c>
      <c r="C149" s="2488"/>
      <c r="D149" s="2489">
        <v>432</v>
      </c>
      <c r="E149" s="2490" t="s">
        <v>3112</v>
      </c>
      <c r="F149" s="2528">
        <v>6</v>
      </c>
      <c r="G149" s="696">
        <f>F149*D149</f>
        <v>2592</v>
      </c>
      <c r="H149" s="2509" t="s">
        <v>3028</v>
      </c>
      <c r="I149" s="2529"/>
      <c r="J149" s="2509" t="s">
        <v>3028</v>
      </c>
      <c r="K149" s="2529"/>
      <c r="L149" s="2509" t="s">
        <v>3028</v>
      </c>
      <c r="M149" s="2529"/>
      <c r="N149" s="2509" t="s">
        <v>3028</v>
      </c>
      <c r="O149" s="2529"/>
      <c r="P149" s="2509" t="s">
        <v>3028</v>
      </c>
      <c r="Q149" s="2530"/>
      <c r="R149" s="2509" t="s">
        <v>3028</v>
      </c>
      <c r="S149" s="2529"/>
    </row>
    <row r="150" spans="1:19">
      <c r="A150" s="2513"/>
      <c r="B150" s="2546" t="s">
        <v>5503</v>
      </c>
      <c r="C150" s="2488"/>
      <c r="D150" s="2489"/>
      <c r="E150" s="2490"/>
      <c r="F150" s="2528"/>
      <c r="G150" s="696"/>
      <c r="H150" s="2509" t="s">
        <v>3028</v>
      </c>
      <c r="I150" s="2529">
        <v>28676</v>
      </c>
      <c r="J150" s="2540" t="s">
        <v>4877</v>
      </c>
      <c r="K150" s="2529">
        <v>28676</v>
      </c>
      <c r="L150" s="2509" t="s">
        <v>3028</v>
      </c>
      <c r="M150" s="2529"/>
      <c r="N150" s="2540" t="s">
        <v>4877</v>
      </c>
      <c r="O150" s="2542">
        <f>I150</f>
        <v>28676</v>
      </c>
      <c r="P150" s="2540" t="s">
        <v>3028</v>
      </c>
      <c r="Q150" s="2543">
        <f>119000</f>
        <v>119000</v>
      </c>
      <c r="R150" s="2540" t="s">
        <v>4877</v>
      </c>
      <c r="S150" s="2542">
        <f>I150</f>
        <v>28676</v>
      </c>
    </row>
    <row r="151" spans="1:19">
      <c r="A151" s="2513"/>
      <c r="B151" s="2532" t="s">
        <v>5504</v>
      </c>
      <c r="C151" s="2488"/>
      <c r="D151" s="2550">
        <v>2830</v>
      </c>
      <c r="E151" s="2490" t="s">
        <v>3112</v>
      </c>
      <c r="F151" s="2528">
        <v>10</v>
      </c>
      <c r="G151" s="696">
        <f>F151*D151</f>
        <v>28300</v>
      </c>
      <c r="H151" s="2551" t="s">
        <v>3028</v>
      </c>
      <c r="I151" s="2543"/>
      <c r="J151" s="2540" t="s">
        <v>4877</v>
      </c>
      <c r="K151" s="2543"/>
      <c r="L151" s="2509" t="s">
        <v>3028</v>
      </c>
      <c r="M151" s="2543"/>
      <c r="N151" s="2551" t="s">
        <v>3028</v>
      </c>
      <c r="O151" s="2543"/>
      <c r="P151" s="2551" t="s">
        <v>3028</v>
      </c>
      <c r="Q151" s="2558"/>
      <c r="R151" s="2540" t="s">
        <v>4877</v>
      </c>
      <c r="S151" s="2543"/>
    </row>
    <row r="152" spans="1:19">
      <c r="A152" s="2513"/>
      <c r="B152" s="2555" t="s">
        <v>5206</v>
      </c>
      <c r="C152" s="2488"/>
      <c r="D152" s="2489"/>
      <c r="E152" s="2490"/>
      <c r="F152" s="2528"/>
      <c r="G152" s="696"/>
      <c r="H152" s="2509" t="s">
        <v>3028</v>
      </c>
      <c r="I152" s="2529"/>
      <c r="J152" s="2509" t="s">
        <v>3028</v>
      </c>
      <c r="K152" s="2529"/>
      <c r="L152" s="2509" t="s">
        <v>3028</v>
      </c>
      <c r="M152" s="2529"/>
      <c r="N152" s="2509" t="s">
        <v>3028</v>
      </c>
      <c r="O152" s="2529"/>
      <c r="P152" s="2540" t="s">
        <v>4877</v>
      </c>
      <c r="Q152" s="2530"/>
      <c r="R152" s="2540" t="s">
        <v>4877</v>
      </c>
      <c r="S152" s="2529"/>
    </row>
    <row r="153" spans="1:19">
      <c r="A153" s="2513"/>
      <c r="B153" s="2527" t="s">
        <v>5476</v>
      </c>
      <c r="C153" s="2488"/>
      <c r="D153" s="2489">
        <v>1</v>
      </c>
      <c r="E153" s="2490" t="s">
        <v>5208</v>
      </c>
      <c r="F153" s="2528">
        <v>2000</v>
      </c>
      <c r="G153" s="696">
        <f>F153*D153</f>
        <v>2000</v>
      </c>
      <c r="H153" s="2540" t="s">
        <v>4877</v>
      </c>
      <c r="I153" s="2542">
        <f>G153</f>
        <v>2000</v>
      </c>
      <c r="J153" s="2509" t="s">
        <v>3028</v>
      </c>
      <c r="K153" s="2529"/>
      <c r="L153" s="2509" t="s">
        <v>3028</v>
      </c>
      <c r="M153" s="2529"/>
      <c r="N153" s="2540" t="s">
        <v>4877</v>
      </c>
      <c r="O153" s="2542">
        <f>G153</f>
        <v>2000</v>
      </c>
      <c r="P153" s="2540" t="s">
        <v>4877</v>
      </c>
      <c r="Q153" s="2542">
        <f>I153</f>
        <v>2000</v>
      </c>
      <c r="R153" s="2540" t="s">
        <v>4877</v>
      </c>
      <c r="S153" s="2542">
        <f>I153</f>
        <v>2000</v>
      </c>
    </row>
    <row r="154" spans="1:19" ht="15.75">
      <c r="A154" s="2513"/>
      <c r="B154" s="2557" t="s">
        <v>5505</v>
      </c>
      <c r="C154" s="2488"/>
      <c r="D154" s="2489"/>
      <c r="E154" s="2490"/>
      <c r="F154" s="2528"/>
      <c r="G154" s="696"/>
      <c r="H154" s="2509" t="s">
        <v>3028</v>
      </c>
      <c r="I154" s="2543">
        <v>102917</v>
      </c>
      <c r="J154" s="2509" t="s">
        <v>3028</v>
      </c>
      <c r="K154" s="2529">
        <v>79033</v>
      </c>
      <c r="L154" s="2509" t="s">
        <v>3028</v>
      </c>
      <c r="M154" s="2529">
        <v>86936</v>
      </c>
      <c r="N154" s="2509" t="s">
        <v>3028</v>
      </c>
      <c r="O154" s="2529">
        <f>57382</f>
        <v>57382</v>
      </c>
      <c r="P154" s="2509" t="s">
        <v>3028</v>
      </c>
      <c r="Q154" s="2530">
        <v>109800</v>
      </c>
      <c r="R154" s="2509" t="s">
        <v>3028</v>
      </c>
      <c r="S154" s="2529"/>
    </row>
    <row r="155" spans="1:19" ht="30" hidden="1">
      <c r="A155" s="2513" t="s">
        <v>5487</v>
      </c>
      <c r="B155" s="2532" t="s">
        <v>5488</v>
      </c>
      <c r="C155" s="2488"/>
      <c r="D155" s="2489">
        <v>184</v>
      </c>
      <c r="E155" s="2490" t="s">
        <v>48</v>
      </c>
      <c r="F155" s="2528"/>
      <c r="G155" s="696"/>
      <c r="H155" s="2509"/>
      <c r="I155" s="2529"/>
      <c r="J155" s="2509"/>
      <c r="K155" s="2529"/>
      <c r="L155" s="2509"/>
      <c r="M155" s="2529"/>
      <c r="N155" s="2529"/>
      <c r="O155" s="2529"/>
      <c r="P155" s="2529"/>
      <c r="Q155" s="2530"/>
      <c r="R155" s="2509" t="s">
        <v>3028</v>
      </c>
      <c r="S155" s="2529"/>
    </row>
    <row r="156" spans="1:19" ht="30" hidden="1">
      <c r="A156" s="2513" t="s">
        <v>5489</v>
      </c>
      <c r="B156" s="2532" t="s">
        <v>5490</v>
      </c>
      <c r="C156" s="2488"/>
      <c r="D156" s="2489">
        <v>160</v>
      </c>
      <c r="E156" s="2490" t="s">
        <v>48</v>
      </c>
      <c r="F156" s="2528"/>
      <c r="G156" s="696"/>
      <c r="H156" s="2509"/>
      <c r="I156" s="2529"/>
      <c r="J156" s="2509"/>
      <c r="K156" s="2529"/>
      <c r="L156" s="2509"/>
      <c r="M156" s="2529"/>
      <c r="N156" s="2529"/>
      <c r="O156" s="2529"/>
      <c r="P156" s="2529"/>
      <c r="Q156" s="2530"/>
      <c r="R156" s="2509" t="s">
        <v>3028</v>
      </c>
      <c r="S156" s="2529"/>
    </row>
    <row r="157" spans="1:19" ht="30" hidden="1">
      <c r="A157" s="2513" t="s">
        <v>5346</v>
      </c>
      <c r="B157" s="2532" t="s">
        <v>5347</v>
      </c>
      <c r="C157" s="2488"/>
      <c r="D157" s="2489">
        <v>28</v>
      </c>
      <c r="E157" s="2490" t="s">
        <v>48</v>
      </c>
      <c r="F157" s="2528"/>
      <c r="G157" s="696"/>
      <c r="H157" s="2509"/>
      <c r="I157" s="2529"/>
      <c r="J157" s="2509"/>
      <c r="K157" s="2529"/>
      <c r="L157" s="2509"/>
      <c r="M157" s="2529"/>
      <c r="N157" s="2529"/>
      <c r="O157" s="2529"/>
      <c r="P157" s="2529"/>
      <c r="Q157" s="2530"/>
      <c r="R157" s="2509" t="s">
        <v>3028</v>
      </c>
      <c r="S157" s="2529"/>
    </row>
    <row r="158" spans="1:19" ht="30" hidden="1">
      <c r="A158" s="2513" t="s">
        <v>5348</v>
      </c>
      <c r="B158" s="2532" t="s">
        <v>5349</v>
      </c>
      <c r="C158" s="2488"/>
      <c r="D158" s="2489">
        <v>4</v>
      </c>
      <c r="E158" s="2490" t="s">
        <v>48</v>
      </c>
      <c r="F158" s="2528"/>
      <c r="G158" s="696"/>
      <c r="H158" s="2509"/>
      <c r="I158" s="2529"/>
      <c r="J158" s="2509"/>
      <c r="K158" s="2529"/>
      <c r="L158" s="2509"/>
      <c r="M158" s="2529"/>
      <c r="N158" s="2529"/>
      <c r="O158" s="2529"/>
      <c r="P158" s="2529"/>
      <c r="Q158" s="2530"/>
      <c r="R158" s="2509" t="s">
        <v>3028</v>
      </c>
      <c r="S158" s="2529"/>
    </row>
    <row r="159" spans="1:19" ht="30" hidden="1">
      <c r="A159" s="2513" t="s">
        <v>5356</v>
      </c>
      <c r="B159" s="2532" t="s">
        <v>5506</v>
      </c>
      <c r="C159" s="2488"/>
      <c r="D159" s="2489">
        <v>1</v>
      </c>
      <c r="E159" s="2490" t="s">
        <v>48</v>
      </c>
      <c r="F159" s="2528"/>
      <c r="G159" s="696"/>
      <c r="H159" s="2509"/>
      <c r="I159" s="2529"/>
      <c r="J159" s="2509"/>
      <c r="K159" s="2529"/>
      <c r="L159" s="2509"/>
      <c r="M159" s="2529"/>
      <c r="N159" s="2529"/>
      <c r="O159" s="2529"/>
      <c r="P159" s="2529"/>
      <c r="Q159" s="2530"/>
      <c r="R159" s="2509" t="s">
        <v>3028</v>
      </c>
      <c r="S159" s="2529"/>
    </row>
    <row r="160" spans="1:19" ht="30" hidden="1">
      <c r="A160" s="2513" t="s">
        <v>5358</v>
      </c>
      <c r="B160" s="2532" t="s">
        <v>5359</v>
      </c>
      <c r="C160" s="2488"/>
      <c r="D160" s="2489">
        <v>1</v>
      </c>
      <c r="E160" s="2490" t="s">
        <v>48</v>
      </c>
      <c r="F160" s="2528"/>
      <c r="G160" s="696"/>
      <c r="H160" s="2509"/>
      <c r="I160" s="2529"/>
      <c r="J160" s="2509"/>
      <c r="K160" s="2529"/>
      <c r="L160" s="2509"/>
      <c r="M160" s="2529"/>
      <c r="N160" s="2529"/>
      <c r="O160" s="2529"/>
      <c r="P160" s="2529"/>
      <c r="Q160" s="2530"/>
      <c r="R160" s="2509" t="s">
        <v>3028</v>
      </c>
      <c r="S160" s="2529"/>
    </row>
    <row r="161" spans="1:19" ht="30" hidden="1">
      <c r="A161" s="2513" t="s">
        <v>5374</v>
      </c>
      <c r="B161" s="2532" t="s">
        <v>5507</v>
      </c>
      <c r="C161" s="2488"/>
      <c r="D161" s="2489">
        <v>12</v>
      </c>
      <c r="E161" s="2490" t="s">
        <v>48</v>
      </c>
      <c r="F161" s="2528"/>
      <c r="G161" s="696"/>
      <c r="H161" s="2509"/>
      <c r="I161" s="2529"/>
      <c r="J161" s="2509"/>
      <c r="K161" s="2529"/>
      <c r="L161" s="2509"/>
      <c r="M161" s="2529"/>
      <c r="N161" s="2529"/>
      <c r="O161" s="2529"/>
      <c r="P161" s="2529"/>
      <c r="Q161" s="2530"/>
      <c r="R161" s="2509" t="s">
        <v>3028</v>
      </c>
      <c r="S161" s="2529"/>
    </row>
    <row r="162" spans="1:19" ht="30" hidden="1">
      <c r="A162" s="2513" t="s">
        <v>5376</v>
      </c>
      <c r="B162" s="2532" t="s">
        <v>5508</v>
      </c>
      <c r="C162" s="2488"/>
      <c r="D162" s="2489">
        <v>16</v>
      </c>
      <c r="E162" s="2490" t="s">
        <v>48</v>
      </c>
      <c r="F162" s="2528"/>
      <c r="G162" s="696"/>
      <c r="H162" s="2509"/>
      <c r="I162" s="2529"/>
      <c r="J162" s="2509"/>
      <c r="K162" s="2529"/>
      <c r="L162" s="2509"/>
      <c r="M162" s="2529"/>
      <c r="N162" s="2529"/>
      <c r="O162" s="2529"/>
      <c r="P162" s="2529"/>
      <c r="Q162" s="2530"/>
      <c r="R162" s="2509" t="s">
        <v>3028</v>
      </c>
      <c r="S162" s="2529"/>
    </row>
    <row r="163" spans="1:19" ht="30" hidden="1">
      <c r="A163" s="2513" t="s">
        <v>5386</v>
      </c>
      <c r="B163" s="2532" t="s">
        <v>5509</v>
      </c>
      <c r="C163" s="2488"/>
      <c r="D163" s="2489">
        <v>20</v>
      </c>
      <c r="E163" s="2490" t="s">
        <v>48</v>
      </c>
      <c r="F163" s="2528"/>
      <c r="G163" s="696"/>
      <c r="H163" s="2509"/>
      <c r="I163" s="2529"/>
      <c r="J163" s="2509"/>
      <c r="K163" s="2529"/>
      <c r="L163" s="2509"/>
      <c r="M163" s="2529"/>
      <c r="N163" s="2529"/>
      <c r="O163" s="2529"/>
      <c r="P163" s="2529"/>
      <c r="Q163" s="2530"/>
      <c r="R163" s="2509" t="s">
        <v>3028</v>
      </c>
      <c r="S163" s="2529"/>
    </row>
    <row r="164" spans="1:19">
      <c r="A164" s="2513"/>
      <c r="B164" s="2539" t="s">
        <v>5436</v>
      </c>
      <c r="C164" s="2488"/>
      <c r="D164" s="2489">
        <f>SUM(D155:D163)</f>
        <v>426</v>
      </c>
      <c r="E164" s="2490" t="s">
        <v>48</v>
      </c>
      <c r="F164" s="2528">
        <v>50</v>
      </c>
      <c r="G164" s="696">
        <f>F164*D164</f>
        <v>21300</v>
      </c>
      <c r="H164" s="2509" t="s">
        <v>3028</v>
      </c>
      <c r="I164" s="2529"/>
      <c r="J164" s="2509" t="s">
        <v>3028</v>
      </c>
      <c r="K164" s="2529"/>
      <c r="L164" s="2509" t="s">
        <v>3028</v>
      </c>
      <c r="M164" s="2529"/>
      <c r="N164" s="2509" t="s">
        <v>3028</v>
      </c>
      <c r="O164" s="2529"/>
      <c r="P164" s="2509" t="s">
        <v>3028</v>
      </c>
      <c r="Q164" s="2530"/>
      <c r="R164" s="2509" t="s">
        <v>3028</v>
      </c>
      <c r="S164" s="2529"/>
    </row>
    <row r="165" spans="1:19">
      <c r="A165" s="2513"/>
      <c r="B165" s="2532" t="s">
        <v>5510</v>
      </c>
      <c r="C165" s="2488"/>
      <c r="D165" s="2489"/>
      <c r="E165" s="2490"/>
      <c r="F165" s="2528"/>
      <c r="G165" s="696"/>
      <c r="H165" s="2509" t="s">
        <v>3028</v>
      </c>
      <c r="I165" s="2529"/>
      <c r="J165" s="2509" t="s">
        <v>3028</v>
      </c>
      <c r="K165" s="2529"/>
      <c r="L165" s="2509" t="s">
        <v>3028</v>
      </c>
      <c r="M165" s="2529"/>
      <c r="N165" s="2509" t="s">
        <v>3028</v>
      </c>
      <c r="O165" s="2529"/>
      <c r="P165" s="2509" t="s">
        <v>3028</v>
      </c>
      <c r="Q165" s="2530"/>
      <c r="R165" s="2509" t="s">
        <v>3028</v>
      </c>
      <c r="S165" s="2529"/>
    </row>
    <row r="166" spans="1:19">
      <c r="A166" s="2513"/>
      <c r="B166" s="2539" t="s">
        <v>5441</v>
      </c>
      <c r="C166" s="2488"/>
      <c r="D166" s="2489" cm="1">
        <f t="array" ref="D166">(SUM(D155:D160)*12)+(SUM(D161:D163*2*12))</f>
        <v>5688</v>
      </c>
      <c r="E166" s="2490" t="s">
        <v>3112</v>
      </c>
      <c r="F166" s="2528">
        <v>4</v>
      </c>
      <c r="G166" s="696">
        <f>F166*D166</f>
        <v>22752</v>
      </c>
      <c r="H166" s="2509" t="s">
        <v>3028</v>
      </c>
      <c r="I166" s="2529"/>
      <c r="J166" s="2509" t="s">
        <v>3028</v>
      </c>
      <c r="K166" s="2529"/>
      <c r="L166" s="2509" t="s">
        <v>3028</v>
      </c>
      <c r="M166" s="2529"/>
      <c r="N166" s="2509" t="s">
        <v>3028</v>
      </c>
      <c r="O166" s="2529"/>
      <c r="P166" s="2509" t="s">
        <v>3028</v>
      </c>
      <c r="Q166" s="2530"/>
      <c r="R166" s="2509" t="s">
        <v>3028</v>
      </c>
      <c r="S166" s="2529"/>
    </row>
    <row r="167" spans="1:19">
      <c r="A167" s="2513"/>
      <c r="B167" s="2527" t="s">
        <v>5496</v>
      </c>
      <c r="C167" s="2488"/>
      <c r="D167" s="2489"/>
      <c r="E167" s="2490"/>
      <c r="F167" s="2528"/>
      <c r="G167" s="696"/>
      <c r="H167" s="2509" t="s">
        <v>3028</v>
      </c>
      <c r="I167" s="2529"/>
      <c r="J167" s="2509" t="s">
        <v>3028</v>
      </c>
      <c r="K167" s="2529"/>
      <c r="L167" s="2509" t="s">
        <v>3028</v>
      </c>
      <c r="M167" s="2529"/>
      <c r="N167" s="2509" t="s">
        <v>3028</v>
      </c>
      <c r="O167" s="2529"/>
      <c r="P167" s="2509" t="s">
        <v>3028</v>
      </c>
      <c r="Q167" s="2530"/>
      <c r="R167" s="2509" t="s">
        <v>3028</v>
      </c>
      <c r="S167" s="2529"/>
    </row>
    <row r="168" spans="1:19">
      <c r="A168" s="2513"/>
      <c r="B168" s="2527" t="s">
        <v>5497</v>
      </c>
      <c r="C168" s="2488"/>
      <c r="D168" s="2489"/>
      <c r="E168" s="2490"/>
      <c r="F168" s="2528"/>
      <c r="G168" s="696"/>
      <c r="H168" s="2509" t="s">
        <v>3028</v>
      </c>
      <c r="I168" s="2529"/>
      <c r="J168" s="2509" t="s">
        <v>3028</v>
      </c>
      <c r="K168" s="2529"/>
      <c r="L168" s="2509" t="s">
        <v>3028</v>
      </c>
      <c r="M168" s="2529"/>
      <c r="N168" s="2509" t="s">
        <v>3028</v>
      </c>
      <c r="O168" s="2529"/>
      <c r="P168" s="2509" t="s">
        <v>3028</v>
      </c>
      <c r="Q168" s="2530"/>
      <c r="R168" s="2509" t="s">
        <v>3028</v>
      </c>
      <c r="S168" s="2529"/>
    </row>
    <row r="169" spans="1:19">
      <c r="A169" s="2513"/>
      <c r="B169" s="2539" t="s">
        <v>2708</v>
      </c>
      <c r="C169" s="2488"/>
      <c r="D169" s="2489">
        <f>D164*12</f>
        <v>5112</v>
      </c>
      <c r="E169" s="2490" t="s">
        <v>3112</v>
      </c>
      <c r="F169" s="2528">
        <v>2.5</v>
      </c>
      <c r="G169" s="696">
        <f>F169*D169</f>
        <v>12780</v>
      </c>
      <c r="H169" s="2509" t="s">
        <v>3028</v>
      </c>
      <c r="I169" s="2529"/>
      <c r="J169" s="2509" t="s">
        <v>3028</v>
      </c>
      <c r="K169" s="2529"/>
      <c r="L169" s="2509" t="s">
        <v>3028</v>
      </c>
      <c r="M169" s="2529"/>
      <c r="N169" s="2509" t="s">
        <v>3028</v>
      </c>
      <c r="O169" s="2529"/>
      <c r="P169" s="2509" t="s">
        <v>3028</v>
      </c>
      <c r="Q169" s="2530"/>
      <c r="R169" s="2509" t="s">
        <v>3028</v>
      </c>
      <c r="S169" s="2529"/>
    </row>
    <row r="170" spans="1:19">
      <c r="A170" s="2513"/>
      <c r="B170" s="2527" t="s">
        <v>5501</v>
      </c>
      <c r="C170" s="2488"/>
      <c r="D170" s="2489"/>
      <c r="E170" s="2490"/>
      <c r="F170" s="2528"/>
      <c r="G170" s="696"/>
      <c r="H170" s="2509" t="s">
        <v>3028</v>
      </c>
      <c r="I170" s="2529"/>
      <c r="J170" s="2509" t="s">
        <v>3028</v>
      </c>
      <c r="K170" s="2529">
        <f>10050+1554</f>
        <v>11604</v>
      </c>
      <c r="L170" s="2509" t="s">
        <v>3028</v>
      </c>
      <c r="M170" s="2529"/>
      <c r="N170" s="2509" t="s">
        <v>3028</v>
      </c>
      <c r="O170" s="2529"/>
      <c r="P170" s="2509" t="s">
        <v>3028</v>
      </c>
      <c r="Q170" s="2530"/>
      <c r="R170" s="2509" t="s">
        <v>3028</v>
      </c>
      <c r="S170" s="2529"/>
    </row>
    <row r="171" spans="1:19">
      <c r="A171" s="2513"/>
      <c r="B171" s="2539" t="s">
        <v>5453</v>
      </c>
      <c r="C171" s="2488"/>
      <c r="D171" s="2489">
        <v>1</v>
      </c>
      <c r="E171" s="2490" t="s">
        <v>5208</v>
      </c>
      <c r="F171" s="2528"/>
      <c r="G171" s="696"/>
      <c r="H171" s="2509" t="s">
        <v>3028</v>
      </c>
      <c r="I171" s="2529"/>
      <c r="J171" s="2509" t="s">
        <v>3028</v>
      </c>
      <c r="K171" s="2529"/>
      <c r="L171" s="2509" t="s">
        <v>3028</v>
      </c>
      <c r="M171" s="2529"/>
      <c r="N171" s="2509" t="s">
        <v>3028</v>
      </c>
      <c r="O171" s="2529"/>
      <c r="P171" s="2509" t="s">
        <v>3028</v>
      </c>
      <c r="Q171" s="2530"/>
      <c r="R171" s="2509" t="s">
        <v>3028</v>
      </c>
      <c r="S171" s="2529"/>
    </row>
    <row r="172" spans="1:19">
      <c r="A172" s="2513"/>
      <c r="B172" s="2527" t="s">
        <v>5511</v>
      </c>
      <c r="C172" s="2488"/>
      <c r="D172" s="2489"/>
      <c r="E172" s="2490"/>
      <c r="F172" s="2528"/>
      <c r="G172" s="696"/>
      <c r="H172" s="2509" t="s">
        <v>3028</v>
      </c>
      <c r="I172" s="2529"/>
      <c r="J172" s="2509" t="s">
        <v>3028</v>
      </c>
      <c r="K172" s="2529"/>
      <c r="L172" s="2509" t="s">
        <v>3028</v>
      </c>
      <c r="M172" s="2529"/>
      <c r="N172" s="2509" t="s">
        <v>3028</v>
      </c>
      <c r="O172" s="2529"/>
      <c r="P172" s="2509" t="s">
        <v>3028</v>
      </c>
      <c r="Q172" s="2530"/>
      <c r="R172" s="2509" t="s">
        <v>3028</v>
      </c>
      <c r="S172" s="2529"/>
    </row>
    <row r="173" spans="1:19">
      <c r="A173" s="2513"/>
      <c r="B173" s="2546" t="s">
        <v>5456</v>
      </c>
      <c r="C173" s="2488"/>
      <c r="D173" s="2489"/>
      <c r="E173" s="2490"/>
      <c r="F173" s="2528"/>
      <c r="G173" s="696"/>
      <c r="H173" s="2509" t="s">
        <v>3028</v>
      </c>
      <c r="I173" s="2529"/>
      <c r="J173" s="2509" t="s">
        <v>3028</v>
      </c>
      <c r="K173" s="2529"/>
      <c r="L173" s="2509" t="s">
        <v>3028</v>
      </c>
      <c r="M173" s="2529"/>
      <c r="N173" s="2509" t="s">
        <v>3028</v>
      </c>
      <c r="O173" s="2529"/>
      <c r="P173" s="2509" t="s">
        <v>3028</v>
      </c>
      <c r="Q173" s="2530"/>
      <c r="R173" s="2509" t="s">
        <v>3028</v>
      </c>
      <c r="S173" s="2529"/>
    </row>
    <row r="174" spans="1:19">
      <c r="A174" s="2513"/>
      <c r="B174" s="2527" t="s">
        <v>5457</v>
      </c>
      <c r="C174" s="2488"/>
      <c r="D174" s="2489"/>
      <c r="E174" s="2490" t="s">
        <v>3112</v>
      </c>
      <c r="F174" s="2528">
        <v>6</v>
      </c>
      <c r="G174" s="696"/>
      <c r="H174" s="2509" t="s">
        <v>3028</v>
      </c>
      <c r="I174" s="2529"/>
      <c r="J174" s="2509" t="s">
        <v>3028</v>
      </c>
      <c r="K174" s="2529"/>
      <c r="L174" s="2509" t="s">
        <v>3028</v>
      </c>
      <c r="M174" s="2529"/>
      <c r="N174" s="2509" t="s">
        <v>3028</v>
      </c>
      <c r="O174" s="2529"/>
      <c r="P174" s="2509" t="s">
        <v>3028</v>
      </c>
      <c r="Q174" s="2530"/>
      <c r="R174" s="2509" t="s">
        <v>3028</v>
      </c>
      <c r="S174" s="2529"/>
    </row>
    <row r="175" spans="1:19">
      <c r="A175" s="2513"/>
      <c r="B175" s="2532" t="s">
        <v>5512</v>
      </c>
      <c r="C175" s="2488"/>
      <c r="D175" s="2489">
        <v>933</v>
      </c>
      <c r="E175" s="2490" t="s">
        <v>3112</v>
      </c>
      <c r="F175" s="2528">
        <v>10</v>
      </c>
      <c r="G175" s="696">
        <f>F175*D175</f>
        <v>9330</v>
      </c>
      <c r="H175" s="2509" t="s">
        <v>3028</v>
      </c>
      <c r="I175" s="2529"/>
      <c r="J175" s="2509" t="s">
        <v>3028</v>
      </c>
      <c r="K175" s="2529"/>
      <c r="L175" s="2509" t="s">
        <v>3028</v>
      </c>
      <c r="M175" s="2529"/>
      <c r="N175" s="2540" t="s">
        <v>4877</v>
      </c>
      <c r="O175" s="2542">
        <f>G175</f>
        <v>9330</v>
      </c>
      <c r="P175" s="2509" t="s">
        <v>3028</v>
      </c>
      <c r="Q175" s="2530"/>
      <c r="R175" s="2540" t="s">
        <v>4877</v>
      </c>
      <c r="S175" s="2542">
        <f>G175</f>
        <v>9330</v>
      </c>
    </row>
    <row r="176" spans="1:19">
      <c r="A176" s="2513"/>
      <c r="B176" s="2547" t="s">
        <v>5459</v>
      </c>
      <c r="C176" s="2488" t="s">
        <v>949</v>
      </c>
      <c r="D176" s="2489">
        <v>1</v>
      </c>
      <c r="E176" s="2490" t="s">
        <v>5208</v>
      </c>
      <c r="F176" s="2528">
        <v>5000</v>
      </c>
      <c r="G176" s="696">
        <f>F176*D176</f>
        <v>5000</v>
      </c>
      <c r="H176" s="2509" t="s">
        <v>3028</v>
      </c>
      <c r="I176" s="2529"/>
      <c r="J176" s="2540" t="s">
        <v>4877</v>
      </c>
      <c r="K176" s="2542">
        <f>O176</f>
        <v>5000</v>
      </c>
      <c r="L176" s="2509" t="s">
        <v>3028</v>
      </c>
      <c r="M176" s="2529"/>
      <c r="N176" s="2540" t="s">
        <v>4877</v>
      </c>
      <c r="O176" s="2542">
        <f>G176</f>
        <v>5000</v>
      </c>
      <c r="P176" s="2540" t="s">
        <v>4877</v>
      </c>
      <c r="Q176" s="2552">
        <f>O176</f>
        <v>5000</v>
      </c>
      <c r="R176" s="2540" t="s">
        <v>4877</v>
      </c>
      <c r="S176" s="2542">
        <f>G176</f>
        <v>5000</v>
      </c>
    </row>
    <row r="177" spans="1:21">
      <c r="A177" s="2513"/>
      <c r="B177" s="2554" t="s">
        <v>5461</v>
      </c>
      <c r="C177" s="2488" t="s">
        <v>565</v>
      </c>
      <c r="D177" s="2489">
        <v>4</v>
      </c>
      <c r="E177" s="2490" t="s">
        <v>3041</v>
      </c>
      <c r="F177" s="2528">
        <v>250</v>
      </c>
      <c r="G177" s="696">
        <f>F177*D177</f>
        <v>1000</v>
      </c>
      <c r="H177" s="2509" t="s">
        <v>3028</v>
      </c>
      <c r="I177" s="2529">
        <f>350*D177</f>
        <v>1400</v>
      </c>
      <c r="J177" s="2540" t="s">
        <v>4877</v>
      </c>
      <c r="K177" s="2542">
        <f>G177</f>
        <v>1000</v>
      </c>
      <c r="L177" s="2509" t="s">
        <v>3028</v>
      </c>
      <c r="M177" s="2529"/>
      <c r="N177" s="2540" t="s">
        <v>4877</v>
      </c>
      <c r="O177" s="2542">
        <f>G177</f>
        <v>1000</v>
      </c>
      <c r="P177" s="2540" t="s">
        <v>4877</v>
      </c>
      <c r="Q177" s="2552">
        <f>G177</f>
        <v>1000</v>
      </c>
      <c r="R177" s="2540" t="s">
        <v>4877</v>
      </c>
      <c r="S177" s="2542">
        <f>I177</f>
        <v>1400</v>
      </c>
    </row>
    <row r="178" spans="1:21">
      <c r="A178" s="2513"/>
      <c r="B178" s="2546" t="s">
        <v>5464</v>
      </c>
      <c r="C178" s="2488"/>
      <c r="D178" s="2489"/>
      <c r="E178" s="2490"/>
      <c r="F178" s="2528"/>
      <c r="G178" s="696"/>
      <c r="H178" s="2509" t="s">
        <v>3028</v>
      </c>
      <c r="I178" s="2529"/>
      <c r="J178" s="2509" t="s">
        <v>3028</v>
      </c>
      <c r="K178" s="2529"/>
      <c r="L178" s="2509" t="s">
        <v>3028</v>
      </c>
      <c r="M178" s="2529"/>
      <c r="N178" s="2509" t="s">
        <v>3028</v>
      </c>
      <c r="O178" s="2529"/>
      <c r="P178" s="2509" t="s">
        <v>3028</v>
      </c>
      <c r="Q178" s="2530">
        <f>59000</f>
        <v>59000</v>
      </c>
      <c r="R178" s="2540" t="s">
        <v>4877</v>
      </c>
      <c r="S178" s="2529"/>
    </row>
    <row r="179" spans="1:21">
      <c r="A179" s="2513"/>
      <c r="B179" s="2532" t="s">
        <v>5504</v>
      </c>
      <c r="C179" s="2488"/>
      <c r="D179" s="2489">
        <v>4300</v>
      </c>
      <c r="E179" s="2490" t="s">
        <v>3112</v>
      </c>
      <c r="F179" s="2528">
        <v>10</v>
      </c>
      <c r="G179" s="696">
        <f>F179*D179</f>
        <v>43000</v>
      </c>
      <c r="H179" s="2540" t="s">
        <v>3028</v>
      </c>
      <c r="I179" s="2529">
        <v>43643</v>
      </c>
      <c r="J179" s="2509" t="s">
        <v>3028</v>
      </c>
      <c r="K179" s="2534">
        <v>52545</v>
      </c>
      <c r="L179" s="2509" t="s">
        <v>3028</v>
      </c>
      <c r="M179" s="2529"/>
      <c r="N179" s="2540" t="s">
        <v>4877</v>
      </c>
      <c r="O179" s="2542">
        <f>I179</f>
        <v>43643</v>
      </c>
      <c r="P179" s="2509" t="s">
        <v>3028</v>
      </c>
      <c r="Q179" s="2530"/>
      <c r="R179" s="2540" t="s">
        <v>4877</v>
      </c>
      <c r="S179" s="2540">
        <f>I179</f>
        <v>43643</v>
      </c>
    </row>
    <row r="180" spans="1:21">
      <c r="A180" s="2513"/>
      <c r="B180" s="2554" t="s">
        <v>5513</v>
      </c>
      <c r="C180" s="2488" t="s">
        <v>2456</v>
      </c>
      <c r="D180" s="476">
        <v>1740</v>
      </c>
      <c r="E180" s="2490" t="s">
        <v>3112</v>
      </c>
      <c r="F180" s="2528">
        <v>6.5</v>
      </c>
      <c r="G180" s="696">
        <f>F180*D180</f>
        <v>11310</v>
      </c>
      <c r="H180" s="2509" t="s">
        <v>3028</v>
      </c>
      <c r="I180" s="2529"/>
      <c r="J180" s="2540" t="s">
        <v>4877</v>
      </c>
      <c r="K180" s="2542">
        <f>O180</f>
        <v>11310</v>
      </c>
      <c r="L180" s="2540" t="s">
        <v>4877</v>
      </c>
      <c r="M180" s="2542">
        <f>K180</f>
        <v>11310</v>
      </c>
      <c r="N180" s="2540" t="s">
        <v>4877</v>
      </c>
      <c r="O180" s="2542">
        <f>G180</f>
        <v>11310</v>
      </c>
      <c r="P180" s="2509" t="s">
        <v>3028</v>
      </c>
      <c r="Q180" s="2530"/>
      <c r="R180" s="2540" t="s">
        <v>4877</v>
      </c>
      <c r="S180" s="2542">
        <f>G180</f>
        <v>11310</v>
      </c>
    </row>
    <row r="181" spans="1:21">
      <c r="A181" s="2513"/>
      <c r="B181" s="2555" t="s">
        <v>5206</v>
      </c>
      <c r="C181" s="2488"/>
      <c r="D181" s="2489"/>
      <c r="E181" s="2490"/>
      <c r="F181" s="2528"/>
      <c r="G181" s="696"/>
      <c r="H181" s="2509" t="s">
        <v>3028</v>
      </c>
      <c r="I181" s="2529"/>
      <c r="J181" s="2509" t="s">
        <v>3028</v>
      </c>
      <c r="K181" s="2529"/>
      <c r="L181" s="2509" t="s">
        <v>3028</v>
      </c>
      <c r="M181" s="2529"/>
      <c r="N181" s="2509" t="s">
        <v>3028</v>
      </c>
      <c r="O181" s="2529"/>
      <c r="P181" s="2509" t="s">
        <v>3028</v>
      </c>
      <c r="Q181" s="2530"/>
      <c r="R181" s="2509" t="s">
        <v>3028</v>
      </c>
      <c r="S181" s="2529"/>
    </row>
    <row r="182" spans="1:21">
      <c r="A182" s="2513"/>
      <c r="B182" s="2527" t="s">
        <v>5476</v>
      </c>
      <c r="C182" s="2488"/>
      <c r="D182" s="2489">
        <v>1</v>
      </c>
      <c r="E182" s="2490" t="s">
        <v>5208</v>
      </c>
      <c r="F182" s="2528">
        <v>1000</v>
      </c>
      <c r="G182" s="696">
        <f>F182*D182</f>
        <v>1000</v>
      </c>
      <c r="H182" s="2540" t="s">
        <v>4877</v>
      </c>
      <c r="I182" s="2542">
        <f>G182</f>
        <v>1000</v>
      </c>
      <c r="J182" s="2509" t="s">
        <v>3028</v>
      </c>
      <c r="K182" s="2529"/>
      <c r="L182" s="2509" t="s">
        <v>3028</v>
      </c>
      <c r="M182" s="2529"/>
      <c r="N182" s="2540" t="s">
        <v>4877</v>
      </c>
      <c r="O182" s="2542">
        <f>I182</f>
        <v>1000</v>
      </c>
      <c r="P182" s="2540" t="s">
        <v>4877</v>
      </c>
      <c r="Q182" s="2542">
        <f>O182</f>
        <v>1000</v>
      </c>
      <c r="R182" s="2540" t="s">
        <v>4877</v>
      </c>
      <c r="S182" s="2542">
        <f>O182</f>
        <v>1000</v>
      </c>
    </row>
    <row r="183" spans="1:21" ht="15.75" thickBot="1">
      <c r="A183" s="2513"/>
      <c r="B183" s="2553" t="s">
        <v>5463</v>
      </c>
      <c r="C183" s="2545" t="s">
        <v>5514</v>
      </c>
      <c r="D183" s="2489"/>
      <c r="E183" s="2490"/>
      <c r="F183" s="2528"/>
      <c r="G183" s="696"/>
      <c r="H183" s="2509" t="s">
        <v>3028</v>
      </c>
      <c r="I183" s="2529"/>
      <c r="J183" s="2509" t="s">
        <v>3028</v>
      </c>
      <c r="K183" s="2529"/>
      <c r="L183" s="2509" t="s">
        <v>3028</v>
      </c>
      <c r="M183" s="2529"/>
      <c r="N183" s="2509" t="s">
        <v>3028</v>
      </c>
      <c r="O183" s="2529"/>
      <c r="P183" s="2509" t="s">
        <v>3028</v>
      </c>
      <c r="Q183" s="2530"/>
      <c r="R183" s="2509" t="s">
        <v>3028</v>
      </c>
      <c r="S183" s="2529"/>
    </row>
    <row r="184" spans="1:21" ht="15.75" thickTop="1">
      <c r="A184" s="340"/>
      <c r="B184" s="341" t="s">
        <v>3265</v>
      </c>
      <c r="C184" s="342"/>
      <c r="D184" s="343"/>
      <c r="E184" s="344"/>
      <c r="F184" s="345"/>
      <c r="G184" s="346">
        <f>SUBTOTAL(9,G42:G183)</f>
        <v>2097947</v>
      </c>
      <c r="H184" s="347"/>
      <c r="I184" s="348">
        <f>SUM(I19:I183)</f>
        <v>3198293</v>
      </c>
      <c r="J184" s="347"/>
      <c r="K184" s="348">
        <f>SUM(K19:K183)</f>
        <v>3135579</v>
      </c>
      <c r="L184" s="347"/>
      <c r="M184" s="348">
        <f>SUM(M19:M183)</f>
        <v>3345302</v>
      </c>
      <c r="N184" s="347"/>
      <c r="O184" s="348">
        <f>SUM(O19:O183)</f>
        <v>2846179</v>
      </c>
      <c r="P184" s="347"/>
      <c r="Q184" s="348">
        <f>SUM(Q19:Q183)</f>
        <v>3691646</v>
      </c>
      <c r="R184" s="347"/>
      <c r="S184" s="348">
        <f>SUM(S19:S183)</f>
        <v>2351501</v>
      </c>
    </row>
    <row r="185" spans="1:21">
      <c r="A185" s="2559"/>
      <c r="B185" s="2560" t="s">
        <v>2976</v>
      </c>
      <c r="C185" s="2561"/>
      <c r="D185" s="2562"/>
      <c r="E185" s="2563"/>
      <c r="F185" s="2564"/>
      <c r="G185" s="698"/>
      <c r="H185" s="2565">
        <v>0</v>
      </c>
      <c r="I185" s="791"/>
      <c r="J185" s="2565">
        <v>0</v>
      </c>
      <c r="K185" s="791"/>
      <c r="L185" s="2565">
        <v>0</v>
      </c>
      <c r="M185" s="791"/>
      <c r="N185" s="2565">
        <v>0</v>
      </c>
      <c r="O185" s="791"/>
      <c r="P185" s="2565">
        <v>0</v>
      </c>
      <c r="Q185" s="791"/>
      <c r="R185" s="2565">
        <v>0</v>
      </c>
      <c r="S185" s="791"/>
    </row>
    <row r="186" spans="1:21">
      <c r="A186" s="2559"/>
      <c r="B186" s="2560" t="s">
        <v>2977</v>
      </c>
      <c r="C186" s="2561"/>
      <c r="D186" s="2562"/>
      <c r="E186" s="2563"/>
      <c r="F186" s="2564"/>
      <c r="G186" s="698">
        <f>F185*G184</f>
        <v>0</v>
      </c>
      <c r="H186" s="2566"/>
      <c r="I186" s="2567">
        <f>H185*I184</f>
        <v>0</v>
      </c>
      <c r="J186" s="2566"/>
      <c r="K186" s="2567">
        <f>J185*K184</f>
        <v>0</v>
      </c>
      <c r="L186" s="2566"/>
      <c r="M186" s="2567">
        <f>L185*M184</f>
        <v>0</v>
      </c>
      <c r="N186" s="2566"/>
      <c r="O186" s="2567">
        <f>N185*O184</f>
        <v>0</v>
      </c>
      <c r="P186" s="2566"/>
      <c r="Q186" s="2567">
        <f>P185*Q184</f>
        <v>0</v>
      </c>
      <c r="R186" s="2566"/>
      <c r="S186" s="2567">
        <f>R185*S184</f>
        <v>0</v>
      </c>
    </row>
    <row r="187" spans="1:21">
      <c r="A187" s="2559"/>
      <c r="B187" s="2560"/>
      <c r="C187" s="2561"/>
      <c r="D187" s="2562"/>
      <c r="E187" s="2563"/>
      <c r="F187" s="2564"/>
      <c r="G187" s="698"/>
      <c r="H187" s="2566"/>
      <c r="I187" s="2567"/>
      <c r="J187" s="2566"/>
      <c r="K187" s="2567"/>
      <c r="L187" s="2566"/>
      <c r="M187" s="2567"/>
      <c r="N187" s="2566"/>
      <c r="O187" s="2567"/>
      <c r="P187" s="2566"/>
      <c r="Q187" s="2567"/>
      <c r="R187" s="2566"/>
      <c r="S187" s="2567"/>
    </row>
    <row r="188" spans="1:21">
      <c r="A188" s="2559"/>
      <c r="B188" s="2560" t="s">
        <v>2978</v>
      </c>
      <c r="C188" s="2561"/>
      <c r="D188" s="2562"/>
      <c r="E188" s="2563"/>
      <c r="F188" s="2564"/>
      <c r="G188" s="698">
        <f>SUM(G184:G186)</f>
        <v>2097947</v>
      </c>
      <c r="H188" s="2568"/>
      <c r="I188" s="2567">
        <f>SUM(I184:I186)</f>
        <v>3198293</v>
      </c>
      <c r="J188" s="2568"/>
      <c r="K188" s="2567">
        <f>SUM(K184:K186)</f>
        <v>3135579</v>
      </c>
      <c r="L188" s="2568"/>
      <c r="M188" s="2567">
        <f>SUM(M184:M186)</f>
        <v>3345302</v>
      </c>
      <c r="N188" s="2568"/>
      <c r="O188" s="2567">
        <f>SUM(O184:O186)</f>
        <v>2846179</v>
      </c>
      <c r="P188" s="2568"/>
      <c r="Q188" s="2567">
        <f>SUM(Q184:Q186)</f>
        <v>3691646</v>
      </c>
      <c r="R188" s="2568"/>
      <c r="S188" s="2567">
        <f>SUM(S184:S186)</f>
        <v>2351501</v>
      </c>
    </row>
    <row r="189" spans="1:21">
      <c r="A189" s="2559"/>
      <c r="B189" s="2569" t="s">
        <v>2979</v>
      </c>
      <c r="C189" s="2561"/>
      <c r="D189" s="2562"/>
      <c r="E189" s="2563"/>
      <c r="F189" s="2569"/>
      <c r="G189" s="699">
        <f>G188/'Area Calculations'!$F$5</f>
        <v>23.659633255142548</v>
      </c>
      <c r="H189" s="2570"/>
      <c r="I189" s="2571">
        <f>I188/'Area Calculations'!$F$5</f>
        <v>36.068804132082278</v>
      </c>
      <c r="J189" s="2570"/>
      <c r="K189" s="2571">
        <f>K188/'Area Calculations'!$F$5</f>
        <v>35.3615459220498</v>
      </c>
      <c r="L189" s="2572"/>
      <c r="M189" s="2571">
        <f>M188/'Area Calculations'!$F$5</f>
        <v>37.726700649584984</v>
      </c>
      <c r="N189" s="2570"/>
      <c r="O189" s="2571">
        <f>O188/'Area Calculations'!$F$5</f>
        <v>32.097832461205343</v>
      </c>
      <c r="P189" s="2570"/>
      <c r="Q189" s="2571">
        <f>Q188/'Area Calculations'!$F$5</f>
        <v>41.632601046553589</v>
      </c>
      <c r="R189" s="2570"/>
      <c r="S189" s="2571">
        <f>S188/'Area Calculations'!$F$5</f>
        <v>26.519092836521111</v>
      </c>
    </row>
    <row r="190" spans="1:21" ht="15.75" thickBot="1">
      <c r="A190" s="2559"/>
      <c r="B190" s="2573"/>
      <c r="C190" s="2561"/>
      <c r="D190" s="2562"/>
      <c r="E190" s="2563"/>
      <c r="F190" s="2564"/>
      <c r="G190" s="700"/>
      <c r="H190" s="2574"/>
      <c r="I190" s="2575"/>
      <c r="J190" s="2574"/>
      <c r="K190" s="2574"/>
      <c r="L190" s="2574"/>
      <c r="M190" s="2574"/>
      <c r="N190" s="2574"/>
      <c r="O190" s="2575"/>
      <c r="P190" s="2574"/>
      <c r="Q190" s="2574"/>
      <c r="R190" s="2574"/>
      <c r="S190" s="2574"/>
    </row>
    <row r="191" spans="1:21" ht="16.5" thickTop="1" thickBot="1">
      <c r="A191" s="974" t="s">
        <v>2980</v>
      </c>
      <c r="B191" s="975"/>
      <c r="C191" s="349"/>
      <c r="D191" s="350"/>
      <c r="E191" s="351"/>
      <c r="F191" s="349"/>
      <c r="G191" s="352"/>
      <c r="H191" s="354"/>
      <c r="I191" s="353"/>
      <c r="J191" s="353"/>
      <c r="K191" s="353"/>
      <c r="L191" s="353"/>
      <c r="M191" s="353"/>
      <c r="N191" s="353"/>
      <c r="O191" s="353"/>
      <c r="P191" s="353"/>
      <c r="Q191" s="353"/>
      <c r="R191" s="353"/>
      <c r="S191" s="353"/>
      <c r="T191" s="316"/>
      <c r="U191" s="316"/>
    </row>
    <row r="192" spans="1:21" ht="15.75" thickTop="1">
      <c r="A192" s="2576"/>
      <c r="B192" s="2487" t="s">
        <v>75</v>
      </c>
      <c r="C192" s="2577"/>
      <c r="D192" s="2578"/>
      <c r="E192" s="2579"/>
      <c r="F192" s="2577"/>
      <c r="G192" s="2580"/>
      <c r="H192" s="2581"/>
      <c r="I192" s="2582"/>
      <c r="J192" s="2582"/>
      <c r="K192" s="2582"/>
      <c r="L192" s="2582"/>
      <c r="M192" s="2582"/>
      <c r="N192" s="2582"/>
      <c r="O192" s="2582"/>
      <c r="P192" s="2582"/>
      <c r="Q192" s="2582"/>
      <c r="R192" s="2582"/>
      <c r="S192" s="2582"/>
      <c r="T192" s="316"/>
      <c r="U192" s="316"/>
    </row>
    <row r="193" spans="1:36" ht="30">
      <c r="A193" s="2576"/>
      <c r="B193" s="2487" t="s">
        <v>76</v>
      </c>
      <c r="C193" s="2577"/>
      <c r="D193" s="2578"/>
      <c r="E193" s="2579"/>
      <c r="F193" s="2577"/>
      <c r="G193" s="2580"/>
      <c r="H193" s="2581"/>
      <c r="I193" s="2582"/>
      <c r="J193" s="2582"/>
      <c r="K193" s="2582"/>
      <c r="L193" s="2582"/>
      <c r="M193" s="2582"/>
      <c r="N193" s="2582"/>
      <c r="O193" s="2582"/>
      <c r="P193" s="2582"/>
      <c r="Q193" s="2582"/>
      <c r="R193" s="2582"/>
      <c r="S193" s="2582"/>
      <c r="T193" s="316"/>
      <c r="U193" s="316"/>
    </row>
    <row r="194" spans="1:36" ht="30">
      <c r="A194" s="2576"/>
      <c r="B194" s="2487" t="s">
        <v>77</v>
      </c>
      <c r="C194" s="2577"/>
      <c r="D194" s="2578"/>
      <c r="E194" s="2579"/>
      <c r="F194" s="2577"/>
      <c r="G194" s="2580"/>
      <c r="H194" s="2581"/>
      <c r="I194" s="2582"/>
      <c r="J194" s="2582"/>
      <c r="K194" s="2582"/>
      <c r="L194" s="2582"/>
      <c r="M194" s="2582"/>
      <c r="N194" s="2582"/>
      <c r="O194" s="2582"/>
      <c r="P194" s="2582"/>
      <c r="Q194" s="2582"/>
      <c r="R194" s="2582"/>
      <c r="S194" s="2582"/>
      <c r="T194" s="316"/>
      <c r="U194" s="316"/>
    </row>
    <row r="195" spans="1:36" ht="30">
      <c r="A195" s="2576"/>
      <c r="B195" s="2487" t="s">
        <v>78</v>
      </c>
      <c r="C195" s="2577"/>
      <c r="D195" s="2578"/>
      <c r="E195" s="2579"/>
      <c r="F195" s="2577"/>
      <c r="G195" s="2580"/>
      <c r="H195" s="2581"/>
      <c r="I195" s="2582"/>
      <c r="J195" s="2582"/>
      <c r="K195" s="2582"/>
      <c r="L195" s="2582"/>
      <c r="M195" s="2582"/>
      <c r="N195" s="2582"/>
      <c r="O195" s="2582"/>
      <c r="P195" s="2582"/>
      <c r="Q195" s="2582"/>
      <c r="R195" s="2582"/>
      <c r="S195" s="2582"/>
      <c r="T195" s="316"/>
      <c r="U195" s="316"/>
    </row>
    <row r="196" spans="1:36" ht="30">
      <c r="A196" s="2576"/>
      <c r="B196" s="2487" t="s">
        <v>79</v>
      </c>
      <c r="C196" s="2577"/>
      <c r="D196" s="2578"/>
      <c r="E196" s="2579"/>
      <c r="F196" s="2577"/>
      <c r="G196" s="2580"/>
      <c r="H196" s="2581"/>
      <c r="I196" s="2582"/>
      <c r="J196" s="2582"/>
      <c r="K196" s="2582"/>
      <c r="L196" s="2582"/>
      <c r="M196" s="2582"/>
      <c r="N196" s="2582"/>
      <c r="O196" s="2582"/>
      <c r="P196" s="2582"/>
      <c r="Q196" s="2582"/>
      <c r="R196" s="2582"/>
      <c r="S196" s="2582"/>
      <c r="T196" s="316"/>
      <c r="U196" s="316"/>
    </row>
    <row r="197" spans="1:36" ht="30">
      <c r="A197" s="2576"/>
      <c r="B197" s="2487" t="s">
        <v>80</v>
      </c>
      <c r="C197" s="2577"/>
      <c r="D197" s="2578"/>
      <c r="E197" s="2579"/>
      <c r="F197" s="2577"/>
      <c r="G197" s="2580"/>
      <c r="H197" s="2581"/>
      <c r="I197" s="2582"/>
      <c r="J197" s="2582"/>
      <c r="K197" s="2582"/>
      <c r="L197" s="2582"/>
      <c r="M197" s="2582"/>
      <c r="N197" s="2582"/>
      <c r="O197" s="2582"/>
      <c r="P197" s="2582"/>
      <c r="Q197" s="2582"/>
      <c r="R197" s="2582"/>
      <c r="S197" s="2582"/>
      <c r="T197" s="316"/>
      <c r="U197" s="316"/>
    </row>
    <row r="198" spans="1:36" ht="45">
      <c r="A198" s="2576"/>
      <c r="B198" s="2487" t="s">
        <v>81</v>
      </c>
      <c r="C198" s="2577"/>
      <c r="D198" s="2578"/>
      <c r="E198" s="2579"/>
      <c r="F198" s="2577"/>
      <c r="G198" s="2580"/>
      <c r="H198" s="2581"/>
      <c r="I198" s="2582"/>
      <c r="J198" s="2582"/>
      <c r="K198" s="2582"/>
      <c r="L198" s="2582"/>
      <c r="M198" s="2582"/>
      <c r="N198" s="2582"/>
      <c r="O198" s="2582"/>
      <c r="P198" s="2582"/>
      <c r="Q198" s="2582"/>
      <c r="R198" s="2582"/>
      <c r="S198" s="2582"/>
      <c r="T198" s="316"/>
      <c r="U198" s="316"/>
    </row>
    <row r="199" spans="1:36" ht="30">
      <c r="A199" s="2576"/>
      <c r="B199" s="2487" t="s">
        <v>82</v>
      </c>
      <c r="C199" s="2577"/>
      <c r="D199" s="2578"/>
      <c r="E199" s="2579"/>
      <c r="F199" s="2577"/>
      <c r="G199" s="2580"/>
      <c r="H199" s="2581"/>
      <c r="I199" s="2582"/>
      <c r="J199" s="2582"/>
      <c r="K199" s="2582"/>
      <c r="L199" s="2582"/>
      <c r="M199" s="2582"/>
      <c r="N199" s="2582"/>
      <c r="O199" s="2582"/>
      <c r="P199" s="2582"/>
      <c r="Q199" s="2582"/>
      <c r="R199" s="2582"/>
      <c r="S199" s="2582"/>
      <c r="T199" s="316"/>
      <c r="U199" s="316"/>
    </row>
    <row r="200" spans="1:36" ht="30">
      <c r="A200" s="2576"/>
      <c r="B200" s="2487" t="s">
        <v>83</v>
      </c>
      <c r="C200" s="2577"/>
      <c r="D200" s="2578"/>
      <c r="E200" s="2579"/>
      <c r="F200" s="2577"/>
      <c r="G200" s="2580"/>
      <c r="H200" s="2581"/>
      <c r="I200" s="2582"/>
      <c r="J200" s="2582"/>
      <c r="K200" s="2582"/>
      <c r="L200" s="2582"/>
      <c r="M200" s="2582"/>
      <c r="N200" s="2582"/>
      <c r="O200" s="2582"/>
      <c r="P200" s="2582"/>
      <c r="Q200" s="2582"/>
      <c r="R200" s="2582"/>
      <c r="S200" s="2582"/>
      <c r="T200" s="316"/>
      <c r="U200" s="316"/>
    </row>
    <row r="201" spans="1:36" ht="15.75" thickBot="1">
      <c r="A201" s="2576"/>
      <c r="B201" s="2487"/>
      <c r="C201" s="2577"/>
      <c r="D201" s="2578"/>
      <c r="E201" s="2579"/>
      <c r="F201" s="2577"/>
      <c r="G201" s="2580"/>
      <c r="H201" s="2581"/>
      <c r="I201" s="2582"/>
      <c r="J201" s="2582"/>
      <c r="K201" s="2582"/>
      <c r="L201" s="2582"/>
      <c r="M201" s="2582"/>
      <c r="N201" s="2582"/>
      <c r="O201" s="2582"/>
      <c r="P201" s="2582"/>
      <c r="Q201" s="2582"/>
      <c r="R201" s="2582"/>
      <c r="S201" s="2582"/>
      <c r="T201" s="316"/>
      <c r="U201" s="316"/>
    </row>
    <row r="202" spans="1:36" ht="16.5" thickTop="1" thickBot="1">
      <c r="A202" s="974" t="s">
        <v>2983</v>
      </c>
      <c r="B202" s="975"/>
      <c r="C202" s="349"/>
      <c r="D202" s="350"/>
      <c r="E202" s="351"/>
      <c r="F202" s="349"/>
      <c r="G202" s="352"/>
      <c r="H202" s="354"/>
      <c r="I202" s="353"/>
      <c r="J202" s="353"/>
      <c r="K202" s="353"/>
      <c r="L202" s="353"/>
      <c r="M202" s="353"/>
      <c r="N202" s="353"/>
      <c r="O202" s="353"/>
      <c r="P202" s="353"/>
      <c r="Q202" s="353"/>
      <c r="R202" s="353"/>
      <c r="S202" s="353"/>
      <c r="T202" s="316"/>
      <c r="U202" s="316"/>
    </row>
    <row r="203" spans="1:36" ht="15.75" thickTop="1">
      <c r="A203" s="2576"/>
      <c r="B203" s="2487" t="s">
        <v>5515</v>
      </c>
      <c r="C203" s="2577"/>
      <c r="D203" s="2578"/>
      <c r="E203" s="2579"/>
      <c r="F203" s="2577"/>
      <c r="G203" s="2580"/>
      <c r="H203" s="2581"/>
      <c r="I203" s="2582">
        <v>-23680</v>
      </c>
      <c r="J203" s="2582"/>
      <c r="K203" s="2582">
        <f>-11131-644-281</f>
        <v>-12056</v>
      </c>
      <c r="L203" s="2582"/>
      <c r="M203" s="2582"/>
      <c r="N203" s="2582"/>
      <c r="O203" s="2582"/>
      <c r="P203" s="2582"/>
      <c r="Q203" s="2582"/>
      <c r="R203" s="2582"/>
      <c r="S203" s="2582"/>
      <c r="T203" s="316"/>
      <c r="U203" s="316"/>
    </row>
    <row r="204" spans="1:36" s="318" customFormat="1">
      <c r="A204" s="2576"/>
      <c r="B204" s="2487" t="s">
        <v>5516</v>
      </c>
      <c r="C204" s="2577"/>
      <c r="D204" s="2578"/>
      <c r="E204" s="2579"/>
      <c r="F204" s="2577"/>
      <c r="G204" s="2580"/>
      <c r="H204" s="2581"/>
      <c r="I204" s="2582">
        <f>-I103-I104</f>
        <v>-77400</v>
      </c>
      <c r="J204" s="2582"/>
      <c r="K204" s="2582"/>
      <c r="L204" s="2582"/>
      <c r="M204" s="2582"/>
      <c r="N204" s="2582"/>
      <c r="O204" s="2582"/>
      <c r="P204" s="2582"/>
      <c r="Q204" s="2582"/>
      <c r="R204" s="2582"/>
      <c r="S204" s="2582"/>
      <c r="V204" s="316"/>
      <c r="W204" s="316"/>
      <c r="X204" s="316"/>
      <c r="Y204" s="316"/>
      <c r="Z204" s="316"/>
      <c r="AA204" s="316"/>
      <c r="AB204" s="316"/>
      <c r="AC204" s="316"/>
      <c r="AD204" s="316"/>
      <c r="AE204" s="316"/>
      <c r="AF204" s="316"/>
      <c r="AG204" s="316"/>
      <c r="AH204" s="316"/>
      <c r="AI204" s="316"/>
      <c r="AJ204" s="316"/>
    </row>
    <row r="205" spans="1:36" s="318" customFormat="1">
      <c r="A205" s="2576"/>
      <c r="B205" s="2487" t="s">
        <v>5517</v>
      </c>
      <c r="C205" s="2577"/>
      <c r="D205" s="2578"/>
      <c r="E205" s="2579"/>
      <c r="F205" s="2577"/>
      <c r="G205" s="2580"/>
      <c r="H205" s="2581"/>
      <c r="I205" s="2582">
        <v>-19200</v>
      </c>
      <c r="J205" s="2582"/>
      <c r="K205" s="2582"/>
      <c r="L205" s="2582"/>
      <c r="M205" s="2582"/>
      <c r="N205" s="2582"/>
      <c r="O205" s="2582"/>
      <c r="P205" s="2582"/>
      <c r="Q205" s="2582"/>
      <c r="R205" s="2582"/>
      <c r="S205" s="2582"/>
      <c r="V205" s="316"/>
      <c r="W205" s="316"/>
      <c r="X205" s="316"/>
      <c r="Y205" s="316"/>
      <c r="Z205" s="316"/>
      <c r="AA205" s="316"/>
      <c r="AB205" s="316"/>
      <c r="AC205" s="316"/>
      <c r="AD205" s="316"/>
      <c r="AE205" s="316"/>
      <c r="AF205" s="316"/>
      <c r="AG205" s="316"/>
      <c r="AH205" s="316"/>
      <c r="AI205" s="316"/>
      <c r="AJ205" s="316"/>
    </row>
    <row r="206" spans="1:36" s="318" customFormat="1" ht="30">
      <c r="A206" s="2576"/>
      <c r="B206" s="2487" t="s">
        <v>5518</v>
      </c>
      <c r="C206" s="2577"/>
      <c r="D206" s="2578"/>
      <c r="E206" s="2579"/>
      <c r="F206" s="2577"/>
      <c r="G206" s="2580"/>
      <c r="H206" s="2581"/>
      <c r="I206" s="2582"/>
      <c r="J206" s="2582"/>
      <c r="K206" s="2582">
        <f>-(149774-59074)</f>
        <v>-90700</v>
      </c>
      <c r="L206" s="2582"/>
      <c r="M206" s="2582">
        <f>-(160348-89852)</f>
        <v>-70496</v>
      </c>
      <c r="N206" s="2582"/>
      <c r="O206" s="2582"/>
      <c r="P206" s="2582"/>
      <c r="Q206" s="2582"/>
      <c r="R206" s="2582"/>
      <c r="S206" s="2582"/>
      <c r="V206" s="316"/>
      <c r="W206" s="316"/>
      <c r="X206" s="316"/>
      <c r="Y206" s="316"/>
      <c r="Z206" s="316"/>
      <c r="AA206" s="316"/>
      <c r="AB206" s="316"/>
      <c r="AC206" s="316"/>
      <c r="AD206" s="316"/>
      <c r="AE206" s="316"/>
      <c r="AF206" s="316"/>
      <c r="AG206" s="316"/>
      <c r="AH206" s="316"/>
      <c r="AI206" s="316"/>
      <c r="AJ206" s="316"/>
    </row>
    <row r="207" spans="1:36" s="318" customFormat="1" ht="30">
      <c r="A207" s="2576"/>
      <c r="B207" s="2487" t="s">
        <v>5519</v>
      </c>
      <c r="C207" s="2577"/>
      <c r="D207" s="2578"/>
      <c r="E207" s="2579"/>
      <c r="F207" s="2577"/>
      <c r="G207" s="2580"/>
      <c r="H207" s="2581"/>
      <c r="I207" s="2582"/>
      <c r="J207" s="2582"/>
      <c r="K207" s="2582">
        <f>-3932+1514</f>
        <v>-2418</v>
      </c>
      <c r="L207" s="2582"/>
      <c r="M207" s="2582" t="s">
        <v>5520</v>
      </c>
      <c r="N207" s="2582"/>
      <c r="O207" s="2582"/>
      <c r="P207" s="2582"/>
      <c r="Q207" s="2582"/>
      <c r="R207" s="2582"/>
      <c r="S207" s="2582"/>
      <c r="V207" s="316"/>
      <c r="W207" s="316"/>
      <c r="X207" s="316"/>
      <c r="Y207" s="316"/>
      <c r="Z207" s="316"/>
      <c r="AA207" s="316"/>
      <c r="AB207" s="316"/>
      <c r="AC207" s="316"/>
      <c r="AD207" s="316"/>
      <c r="AE207" s="316"/>
      <c r="AF207" s="316"/>
      <c r="AG207" s="316"/>
      <c r="AH207" s="316"/>
      <c r="AI207" s="316"/>
      <c r="AJ207" s="316"/>
    </row>
    <row r="208" spans="1:36" s="318" customFormat="1" ht="30">
      <c r="A208" s="2576"/>
      <c r="B208" s="2487" t="s">
        <v>5521</v>
      </c>
      <c r="C208" s="2577"/>
      <c r="D208" s="2578"/>
      <c r="E208" s="2579"/>
      <c r="F208" s="2577"/>
      <c r="G208" s="2580"/>
      <c r="H208" s="2581"/>
      <c r="I208" s="2582"/>
      <c r="J208" s="2582"/>
      <c r="K208" s="2582">
        <f>-(10050-3869)</f>
        <v>-6181</v>
      </c>
      <c r="L208" s="2582"/>
      <c r="M208" s="2582" t="s">
        <v>5520</v>
      </c>
      <c r="N208" s="2582"/>
      <c r="O208" s="2582"/>
      <c r="P208" s="2582"/>
      <c r="Q208" s="2582"/>
      <c r="R208" s="2582"/>
      <c r="S208" s="2582"/>
      <c r="V208" s="316"/>
      <c r="W208" s="316"/>
      <c r="X208" s="316"/>
      <c r="Y208" s="316"/>
      <c r="Z208" s="316"/>
      <c r="AA208" s="316"/>
      <c r="AB208" s="316"/>
      <c r="AC208" s="316"/>
      <c r="AD208" s="316"/>
      <c r="AE208" s="316"/>
      <c r="AF208" s="316"/>
      <c r="AG208" s="316"/>
      <c r="AH208" s="316"/>
      <c r="AI208" s="316"/>
      <c r="AJ208" s="316"/>
    </row>
    <row r="209" spans="1:36">
      <c r="A209" s="2576"/>
      <c r="B209" s="2487" t="s">
        <v>5522</v>
      </c>
      <c r="C209" s="2577"/>
      <c r="D209" s="2578"/>
      <c r="E209" s="2579"/>
      <c r="F209" s="2577"/>
      <c r="G209" s="2580"/>
      <c r="H209" s="2581"/>
      <c r="I209" s="2582"/>
      <c r="J209" s="2582"/>
      <c r="K209" s="2582">
        <f>(119296-76374)</f>
        <v>42922</v>
      </c>
      <c r="L209" s="2582"/>
      <c r="M209" s="2582"/>
      <c r="N209" s="2582"/>
      <c r="O209" s="2582"/>
      <c r="P209" s="2582"/>
      <c r="Q209" s="2582"/>
      <c r="R209" s="2582"/>
      <c r="S209" s="2582"/>
      <c r="T209" s="316"/>
      <c r="U209" s="316"/>
    </row>
    <row r="210" spans="1:36">
      <c r="A210" s="2576"/>
      <c r="B210" s="2487" t="s">
        <v>5522</v>
      </c>
      <c r="C210" s="2577"/>
      <c r="D210" s="2578"/>
      <c r="E210" s="2579"/>
      <c r="F210" s="2577"/>
      <c r="G210" s="2580"/>
      <c r="H210" s="2581"/>
      <c r="I210" s="2582"/>
      <c r="J210" s="2582"/>
      <c r="K210" s="2582">
        <f>(1557-1057)</f>
        <v>500</v>
      </c>
      <c r="L210" s="2582"/>
      <c r="M210" s="2582"/>
      <c r="N210" s="2582"/>
      <c r="O210" s="2582"/>
      <c r="P210" s="2582"/>
      <c r="Q210" s="2582"/>
      <c r="R210" s="2582"/>
      <c r="S210" s="2582"/>
      <c r="T210" s="316"/>
      <c r="U210" s="316"/>
    </row>
    <row r="211" spans="1:36">
      <c r="A211" s="2576"/>
      <c r="B211" s="2487" t="s">
        <v>5522</v>
      </c>
      <c r="C211" s="2577"/>
      <c r="D211" s="2578"/>
      <c r="E211" s="2579"/>
      <c r="F211" s="2577"/>
      <c r="G211" s="2580"/>
      <c r="H211" s="2581"/>
      <c r="I211" s="2582"/>
      <c r="J211" s="2582"/>
      <c r="K211" s="2582">
        <f>(2289-1554)</f>
        <v>735</v>
      </c>
      <c r="L211" s="2582"/>
      <c r="M211" s="2582"/>
      <c r="N211" s="2582"/>
      <c r="O211" s="2582"/>
      <c r="P211" s="2582"/>
      <c r="Q211" s="2582"/>
      <c r="R211" s="2582"/>
      <c r="S211" s="2582"/>
      <c r="T211" s="316"/>
      <c r="U211" s="316"/>
    </row>
    <row r="212" spans="1:36">
      <c r="A212" s="2576"/>
      <c r="B212" s="2487"/>
      <c r="C212" s="2577"/>
      <c r="D212" s="2578"/>
      <c r="E212" s="2579"/>
      <c r="F212" s="2577"/>
      <c r="G212" s="2580"/>
      <c r="H212" s="2581"/>
      <c r="I212" s="2582"/>
      <c r="J212" s="2582"/>
      <c r="K212" s="2582"/>
      <c r="L212" s="2582"/>
      <c r="M212" s="2582"/>
      <c r="N212" s="2582"/>
      <c r="O212" s="2582"/>
      <c r="P212" s="2582"/>
      <c r="Q212" s="2582"/>
      <c r="R212" s="2582"/>
      <c r="S212" s="2582"/>
      <c r="T212" s="316"/>
      <c r="U212" s="316"/>
    </row>
    <row r="213" spans="1:36">
      <c r="A213" s="2576"/>
      <c r="B213" s="2583" t="s">
        <v>5503</v>
      </c>
      <c r="C213" s="2577"/>
      <c r="D213" s="2578"/>
      <c r="E213" s="2579"/>
      <c r="F213" s="2577"/>
      <c r="G213" s="2580"/>
      <c r="H213" s="2581"/>
      <c r="I213" s="2582">
        <f>225664+7200+215556+6400+121081</f>
        <v>575901</v>
      </c>
      <c r="J213" s="2582"/>
      <c r="K213" s="2582">
        <f>256172+126194+52545+K150+K119</f>
        <v>516685</v>
      </c>
      <c r="L213" s="2582"/>
      <c r="M213" s="2582">
        <f>M115</f>
        <v>462230</v>
      </c>
      <c r="N213" s="2582"/>
      <c r="O213" s="2582">
        <f>198722+55297+25281+53098+O179+O150</f>
        <v>404717</v>
      </c>
      <c r="P213" s="2582"/>
      <c r="Q213" s="2582">
        <f>1054000</f>
        <v>1054000</v>
      </c>
      <c r="R213" s="2582"/>
      <c r="S213" s="2582">
        <v>0</v>
      </c>
      <c r="T213" s="316"/>
      <c r="U213" s="316"/>
    </row>
    <row r="214" spans="1:36">
      <c r="A214" s="2576"/>
      <c r="B214" s="2583" t="s">
        <v>5523</v>
      </c>
      <c r="C214" s="2577"/>
      <c r="D214" s="2578"/>
      <c r="E214" s="2579"/>
      <c r="F214" s="2577"/>
      <c r="G214" s="2580"/>
      <c r="H214" s="2581"/>
      <c r="I214" s="2582">
        <f>I188-I213</f>
        <v>2622392</v>
      </c>
      <c r="J214" s="2582"/>
      <c r="K214" s="2582">
        <f>K188-K213</f>
        <v>2618894</v>
      </c>
      <c r="L214" s="2582"/>
      <c r="M214" s="2582">
        <f>M188-M213</f>
        <v>2883072</v>
      </c>
      <c r="N214" s="2582"/>
      <c r="O214" s="2582">
        <f>O188-O213</f>
        <v>2441462</v>
      </c>
      <c r="P214" s="2582"/>
      <c r="Q214" s="2582">
        <f>Q188-Q213</f>
        <v>2637646</v>
      </c>
      <c r="R214" s="2582"/>
      <c r="S214" s="2582">
        <f>S188</f>
        <v>2351501</v>
      </c>
      <c r="T214" s="316"/>
      <c r="U214" s="316"/>
    </row>
    <row r="215" spans="1:36" ht="15.75" thickBot="1">
      <c r="A215" s="2576"/>
      <c r="B215" s="2487"/>
      <c r="C215" s="2577"/>
      <c r="D215" s="2578"/>
      <c r="E215" s="2579"/>
      <c r="F215" s="2577"/>
      <c r="G215" s="2580"/>
      <c r="H215" s="2581"/>
      <c r="I215" s="2582"/>
      <c r="J215" s="2582"/>
      <c r="K215" s="2582"/>
      <c r="L215" s="2582"/>
      <c r="M215" s="2582"/>
      <c r="N215" s="2582"/>
      <c r="O215" s="2582"/>
      <c r="P215" s="2582"/>
      <c r="Q215" s="2582"/>
      <c r="R215" s="2582"/>
      <c r="S215" s="2582"/>
      <c r="T215" s="316"/>
      <c r="U215" s="316"/>
    </row>
    <row r="216" spans="1:36" s="318" customFormat="1" ht="16.5" thickTop="1" thickBot="1">
      <c r="A216" s="974" t="s">
        <v>2982</v>
      </c>
      <c r="B216" s="975"/>
      <c r="C216" s="349"/>
      <c r="D216" s="350"/>
      <c r="E216" s="351"/>
      <c r="F216" s="349"/>
      <c r="G216" s="352"/>
      <c r="H216" s="354"/>
      <c r="I216" s="353"/>
      <c r="J216" s="353"/>
      <c r="K216" s="353"/>
      <c r="L216" s="353"/>
      <c r="M216" s="353"/>
      <c r="N216" s="353"/>
      <c r="O216" s="353"/>
      <c r="P216" s="353"/>
      <c r="Q216" s="353"/>
      <c r="R216" s="353"/>
      <c r="S216" s="353"/>
      <c r="V216" s="316"/>
      <c r="W216" s="316"/>
      <c r="X216" s="316"/>
      <c r="Y216" s="316"/>
      <c r="Z216" s="316"/>
      <c r="AA216" s="316"/>
      <c r="AB216" s="316"/>
      <c r="AC216" s="316"/>
      <c r="AD216" s="316"/>
      <c r="AE216" s="316"/>
      <c r="AF216" s="316"/>
      <c r="AG216" s="316"/>
      <c r="AH216" s="316"/>
      <c r="AI216" s="316"/>
      <c r="AJ216" s="316"/>
    </row>
    <row r="217" spans="1:36" s="318" customFormat="1" ht="15.75" thickTop="1">
      <c r="A217" s="2576"/>
      <c r="B217" s="2487"/>
      <c r="C217" s="2577"/>
      <c r="D217" s="2578"/>
      <c r="E217" s="2579"/>
      <c r="F217" s="2577"/>
      <c r="G217" s="2580"/>
      <c r="H217" s="2581"/>
      <c r="I217" s="2582"/>
      <c r="J217" s="2582"/>
      <c r="K217" s="2582"/>
      <c r="L217" s="2582"/>
      <c r="M217" s="2582"/>
      <c r="N217" s="2582"/>
      <c r="O217" s="2582"/>
      <c r="P217" s="2582"/>
      <c r="Q217" s="2582"/>
      <c r="R217" s="2582"/>
      <c r="S217" s="2582"/>
      <c r="V217" s="316"/>
      <c r="W217" s="316"/>
      <c r="X217" s="316"/>
      <c r="Y217" s="316"/>
      <c r="Z217" s="316"/>
      <c r="AA217" s="316"/>
      <c r="AB217" s="316"/>
      <c r="AC217" s="316"/>
      <c r="AD217" s="316"/>
      <c r="AE217" s="316"/>
      <c r="AF217" s="316"/>
      <c r="AG217" s="316"/>
      <c r="AH217" s="316"/>
      <c r="AI217" s="316"/>
      <c r="AJ217" s="316"/>
    </row>
    <row r="218" spans="1:36" s="318" customFormat="1">
      <c r="A218" s="2584"/>
      <c r="B218" s="2487"/>
      <c r="C218" s="2488"/>
      <c r="D218" s="2489"/>
      <c r="E218" s="2490"/>
      <c r="F218" s="2488"/>
      <c r="G218" s="2585"/>
      <c r="H218" s="701"/>
      <c r="I218" s="2586"/>
      <c r="J218" s="2586"/>
      <c r="K218" s="2586"/>
      <c r="L218" s="2586"/>
      <c r="M218" s="2586"/>
      <c r="N218" s="2586"/>
      <c r="O218" s="2586"/>
      <c r="P218" s="2586"/>
      <c r="Q218" s="2586"/>
      <c r="R218" s="2586"/>
      <c r="S218" s="2586"/>
      <c r="V218" s="316"/>
      <c r="W218" s="316"/>
      <c r="X218" s="316"/>
      <c r="Y218" s="316"/>
      <c r="Z218" s="316"/>
      <c r="AA218" s="316"/>
      <c r="AB218" s="316"/>
      <c r="AC218" s="316"/>
      <c r="AD218" s="316"/>
      <c r="AE218" s="316"/>
      <c r="AF218" s="316"/>
      <c r="AG218" s="316"/>
      <c r="AH218" s="316"/>
      <c r="AI218" s="316"/>
      <c r="AJ218" s="316"/>
    </row>
    <row r="219" spans="1:36" s="318" customFormat="1">
      <c r="A219" s="2587"/>
      <c r="B219" s="2545"/>
      <c r="C219" s="2488"/>
      <c r="D219" s="2489"/>
      <c r="E219" s="2490"/>
      <c r="F219" s="2488"/>
      <c r="G219" s="2585"/>
      <c r="H219" s="702"/>
      <c r="I219" s="2588"/>
      <c r="J219" s="2588"/>
      <c r="K219" s="2588"/>
      <c r="L219" s="2588"/>
      <c r="M219" s="2588"/>
      <c r="N219" s="2588"/>
      <c r="O219" s="2588"/>
      <c r="P219" s="2588"/>
      <c r="Q219" s="2588"/>
      <c r="R219" s="2588"/>
      <c r="S219" s="2588"/>
    </row>
    <row r="220" spans="1:36">
      <c r="A220" s="2589"/>
      <c r="B220" s="2590"/>
      <c r="C220" s="2577"/>
      <c r="D220" s="2578"/>
      <c r="E220" s="2579"/>
      <c r="F220" s="2577"/>
      <c r="G220" s="2580"/>
      <c r="H220" s="2581"/>
      <c r="I220" s="2582"/>
      <c r="J220" s="2582"/>
      <c r="K220" s="2582"/>
      <c r="L220" s="2582"/>
      <c r="M220" s="2582"/>
      <c r="N220" s="2582"/>
      <c r="O220" s="2582"/>
      <c r="P220" s="2582"/>
      <c r="Q220" s="2582"/>
      <c r="R220" s="2582"/>
      <c r="S220" s="2582"/>
      <c r="T220" s="316"/>
      <c r="U220" s="316"/>
      <c r="V220" s="318"/>
      <c r="W220" s="318"/>
      <c r="X220" s="318"/>
      <c r="Y220" s="318"/>
      <c r="Z220" s="318"/>
      <c r="AA220" s="318"/>
      <c r="AB220" s="318"/>
      <c r="AC220" s="318"/>
      <c r="AD220" s="318"/>
      <c r="AE220" s="318"/>
      <c r="AF220" s="318"/>
      <c r="AG220" s="318"/>
      <c r="AH220" s="318"/>
      <c r="AI220" s="318"/>
      <c r="AJ220" s="318"/>
    </row>
    <row r="221" spans="1:36">
      <c r="A221" s="2587"/>
      <c r="B221" s="2545"/>
      <c r="C221" s="2488"/>
      <c r="D221" s="2489"/>
      <c r="E221" s="2490"/>
      <c r="F221" s="2488"/>
      <c r="G221" s="2585"/>
      <c r="H221" s="703"/>
      <c r="I221" s="2591"/>
      <c r="J221" s="2591"/>
      <c r="K221" s="2591"/>
      <c r="L221" s="2591"/>
      <c r="M221" s="2591"/>
      <c r="N221" s="2591"/>
      <c r="O221" s="2591"/>
      <c r="P221" s="2591"/>
      <c r="Q221" s="2591"/>
      <c r="R221" s="2591"/>
      <c r="S221" s="2591"/>
      <c r="T221" s="316"/>
      <c r="U221" s="316"/>
      <c r="V221" s="318"/>
      <c r="W221" s="318"/>
      <c r="X221" s="318"/>
      <c r="Y221" s="318"/>
      <c r="Z221" s="318"/>
      <c r="AA221" s="318"/>
      <c r="AB221" s="318"/>
      <c r="AC221" s="318"/>
      <c r="AD221" s="318"/>
      <c r="AE221" s="318"/>
      <c r="AF221" s="318"/>
      <c r="AG221" s="318"/>
      <c r="AH221" s="318"/>
      <c r="AI221" s="318"/>
      <c r="AJ221" s="318"/>
    </row>
    <row r="222" spans="1:36" ht="15.75" thickBot="1">
      <c r="A222" s="2587"/>
      <c r="B222" s="2545"/>
      <c r="C222" s="2488"/>
      <c r="D222" s="2489"/>
      <c r="E222" s="2490"/>
      <c r="F222" s="2488"/>
      <c r="G222" s="2585"/>
      <c r="H222" s="703"/>
      <c r="I222" s="2591"/>
      <c r="J222" s="2591"/>
      <c r="K222" s="2591"/>
      <c r="L222" s="2591"/>
      <c r="M222" s="2591"/>
      <c r="N222" s="2591"/>
      <c r="O222" s="2591"/>
      <c r="P222" s="2591"/>
      <c r="Q222" s="2591"/>
      <c r="R222" s="2591"/>
      <c r="S222" s="2591"/>
      <c r="T222" s="316"/>
      <c r="U222" s="316"/>
      <c r="V222" s="318"/>
      <c r="W222" s="318"/>
      <c r="X222" s="318"/>
      <c r="Y222" s="318"/>
      <c r="Z222" s="318"/>
      <c r="AA222" s="318"/>
      <c r="AB222" s="318"/>
      <c r="AC222" s="318"/>
      <c r="AD222" s="318"/>
      <c r="AE222" s="318"/>
      <c r="AF222" s="318"/>
      <c r="AG222" s="318"/>
      <c r="AH222" s="318"/>
      <c r="AI222" s="318"/>
      <c r="AJ222" s="318"/>
    </row>
    <row r="223" spans="1:36" ht="16.5" thickTop="1" thickBot="1">
      <c r="A223" s="974" t="s">
        <v>2984</v>
      </c>
      <c r="B223" s="975"/>
      <c r="C223" s="349"/>
      <c r="D223" s="350"/>
      <c r="E223" s="351"/>
      <c r="F223" s="349"/>
      <c r="G223" s="352"/>
      <c r="H223" s="354"/>
      <c r="I223" s="353"/>
      <c r="J223" s="353"/>
      <c r="K223" s="353"/>
      <c r="L223" s="353"/>
      <c r="M223" s="353"/>
      <c r="N223" s="353"/>
      <c r="O223" s="353"/>
      <c r="P223" s="353"/>
      <c r="Q223" s="353"/>
      <c r="R223" s="353"/>
      <c r="S223" s="353"/>
      <c r="T223" s="316"/>
      <c r="U223" s="316"/>
    </row>
    <row r="224" spans="1:36" ht="15.75" thickTop="1">
      <c r="A224" s="2584"/>
      <c r="B224" s="2487" t="s">
        <v>2985</v>
      </c>
      <c r="C224" s="2488"/>
      <c r="D224" s="2489"/>
      <c r="E224" s="2490"/>
      <c r="F224" s="2488"/>
      <c r="G224" s="2585"/>
      <c r="H224" s="703"/>
      <c r="I224" s="2591"/>
      <c r="J224" s="2591"/>
      <c r="K224" s="2591"/>
      <c r="L224" s="2591"/>
      <c r="M224" s="2591"/>
      <c r="N224" s="2591"/>
      <c r="O224" s="2591"/>
      <c r="P224" s="2591"/>
      <c r="Q224" s="2591"/>
      <c r="R224" s="2591"/>
      <c r="S224" s="2591"/>
      <c r="T224" s="316"/>
      <c r="U224" s="316"/>
    </row>
    <row r="225" spans="1:21">
      <c r="A225" s="2584"/>
      <c r="B225" s="2487" t="s">
        <v>2986</v>
      </c>
      <c r="C225" s="2488"/>
      <c r="D225" s="2489"/>
      <c r="E225" s="2490"/>
      <c r="F225" s="2488"/>
      <c r="G225" s="2585"/>
      <c r="H225" s="703"/>
      <c r="I225" s="2591"/>
      <c r="J225" s="2591"/>
      <c r="K225" s="2591"/>
      <c r="L225" s="2591"/>
      <c r="M225" s="2591"/>
      <c r="N225" s="2591"/>
      <c r="O225" s="2591"/>
      <c r="P225" s="2591"/>
      <c r="Q225" s="2591"/>
      <c r="R225" s="2591"/>
      <c r="S225" s="2591"/>
      <c r="T225" s="316"/>
      <c r="U225" s="316"/>
    </row>
    <row r="226" spans="1:21">
      <c r="A226" s="2584"/>
      <c r="B226" s="2487" t="s">
        <v>2987</v>
      </c>
      <c r="C226" s="2488"/>
      <c r="D226" s="2489"/>
      <c r="E226" s="2490"/>
      <c r="F226" s="2488"/>
      <c r="G226" s="2585"/>
      <c r="H226" s="703"/>
      <c r="I226" s="2591"/>
      <c r="J226" s="2591"/>
      <c r="K226" s="2591"/>
      <c r="L226" s="2591"/>
      <c r="M226" s="2591"/>
      <c r="N226" s="2591"/>
      <c r="O226" s="2591"/>
      <c r="P226" s="2591"/>
      <c r="Q226" s="2591"/>
      <c r="R226" s="2591"/>
      <c r="S226" s="2591"/>
      <c r="T226" s="316"/>
      <c r="U226" s="316"/>
    </row>
    <row r="227" spans="1:21">
      <c r="A227" s="2584"/>
      <c r="B227" s="2487" t="s">
        <v>2988</v>
      </c>
      <c r="C227" s="2488"/>
      <c r="D227" s="2489"/>
      <c r="E227" s="2490"/>
      <c r="F227" s="2488"/>
      <c r="G227" s="2585"/>
      <c r="H227" s="703"/>
      <c r="I227" s="2591"/>
      <c r="J227" s="2591"/>
      <c r="K227" s="2591"/>
      <c r="L227" s="2591"/>
      <c r="M227" s="2591"/>
      <c r="N227" s="2591"/>
      <c r="O227" s="2591"/>
      <c r="P227" s="2591"/>
      <c r="Q227" s="2591"/>
      <c r="R227" s="2591"/>
      <c r="S227" s="2591"/>
      <c r="T227" s="316"/>
      <c r="U227" s="316"/>
    </row>
    <row r="228" spans="1:21" ht="15.75" thickBot="1">
      <c r="A228" s="792"/>
      <c r="B228" s="635"/>
      <c r="C228" s="632"/>
      <c r="D228" s="633"/>
      <c r="E228" s="634"/>
      <c r="F228" s="632"/>
      <c r="G228" s="636"/>
      <c r="H228" s="637"/>
      <c r="I228" s="793"/>
      <c r="J228" s="793"/>
      <c r="K228" s="793"/>
      <c r="L228" s="793"/>
      <c r="M228" s="793"/>
      <c r="N228" s="793"/>
      <c r="O228" s="793"/>
      <c r="P228" s="793"/>
      <c r="Q228" s="793"/>
      <c r="R228" s="793"/>
      <c r="S228" s="793"/>
      <c r="T228" s="316"/>
      <c r="U228" s="316"/>
    </row>
    <row r="229" spans="1:21" ht="16.5" thickTop="1" thickBot="1">
      <c r="A229" s="355" t="s">
        <v>2989</v>
      </c>
      <c r="B229" s="356"/>
      <c r="C229" s="349"/>
      <c r="D229" s="350"/>
      <c r="E229" s="351"/>
      <c r="F229" s="349"/>
      <c r="G229" s="352"/>
      <c r="H229" s="354"/>
      <c r="I229" s="353"/>
      <c r="J229" s="353"/>
      <c r="K229" s="353"/>
      <c r="L229" s="353"/>
      <c r="M229" s="353"/>
      <c r="N229" s="353"/>
      <c r="O229" s="353"/>
      <c r="P229" s="353"/>
      <c r="Q229" s="353"/>
      <c r="R229" s="353"/>
      <c r="S229" s="353"/>
      <c r="T229" s="316"/>
      <c r="U229" s="316"/>
    </row>
    <row r="230" spans="1:21" ht="15.75" thickTop="1">
      <c r="A230" s="2576"/>
      <c r="B230" s="2592" t="s">
        <v>2990</v>
      </c>
      <c r="C230" s="2577"/>
      <c r="D230" s="2578"/>
      <c r="E230" s="2579"/>
      <c r="F230" s="2577"/>
      <c r="G230" s="2580"/>
      <c r="H230" s="2510"/>
      <c r="I230" s="2593"/>
      <c r="J230" s="2593"/>
      <c r="K230" s="2593"/>
      <c r="L230" s="2593"/>
      <c r="M230" s="2593"/>
      <c r="N230" s="2593"/>
      <c r="O230" s="2593"/>
      <c r="P230" s="2593"/>
      <c r="Q230" s="2593"/>
      <c r="R230" s="2593"/>
      <c r="S230" s="2593"/>
      <c r="T230" s="316"/>
      <c r="U230" s="316"/>
    </row>
    <row r="231" spans="1:21">
      <c r="A231" s="2584"/>
      <c r="B231" s="2487" t="s">
        <v>2991</v>
      </c>
      <c r="C231" s="2488"/>
      <c r="D231" s="2489"/>
      <c r="E231" s="2490"/>
      <c r="F231" s="2488"/>
      <c r="G231" s="2585"/>
      <c r="H231" s="704"/>
      <c r="I231" s="2594"/>
      <c r="J231" s="2594"/>
      <c r="K231" s="2594"/>
      <c r="L231" s="2594"/>
      <c r="M231" s="2594"/>
      <c r="N231" s="2594"/>
      <c r="O231" s="2594"/>
      <c r="P231" s="2594"/>
      <c r="Q231" s="2594"/>
      <c r="R231" s="2594"/>
      <c r="S231" s="2594"/>
      <c r="T231" s="316"/>
      <c r="U231" s="316"/>
    </row>
    <row r="232" spans="1:21" ht="15.75" thickBot="1">
      <c r="A232" s="2595"/>
      <c r="B232" s="2500" t="s">
        <v>2992</v>
      </c>
      <c r="C232" s="2501"/>
      <c r="D232" s="2596"/>
      <c r="E232" s="2597"/>
      <c r="F232" s="2501"/>
      <c r="G232" s="2598"/>
      <c r="H232" s="2599"/>
      <c r="I232" s="2600"/>
      <c r="J232" s="2600"/>
      <c r="K232" s="2600"/>
      <c r="L232" s="2600"/>
      <c r="M232" s="2600"/>
      <c r="N232" s="2600"/>
      <c r="O232" s="2600"/>
      <c r="P232" s="2600"/>
      <c r="Q232" s="2600"/>
      <c r="R232" s="2600"/>
      <c r="S232" s="2600"/>
      <c r="T232" s="316"/>
      <c r="U232" s="316"/>
    </row>
    <row r="233" spans="1:21" ht="16.5" thickTop="1" thickBot="1"/>
    <row r="234" spans="1:21" ht="16.5" thickTop="1" thickBot="1">
      <c r="A234" s="357" t="s">
        <v>2993</v>
      </c>
      <c r="B234" s="358"/>
      <c r="C234" s="299" t="s">
        <v>5197</v>
      </c>
      <c r="D234" s="165" t="s">
        <v>3235</v>
      </c>
      <c r="E234" s="535" t="s">
        <v>5204</v>
      </c>
      <c r="T234" s="316"/>
      <c r="U234" s="316"/>
    </row>
    <row r="235" spans="1:21" ht="15.75" thickTop="1">
      <c r="A235" s="359" t="s">
        <v>2936</v>
      </c>
      <c r="B235" s="2601" t="str">
        <f>H5</f>
        <v>Tony Rodrigues Metal Framing, Inc.</v>
      </c>
      <c r="T235" s="316"/>
      <c r="U235" s="316"/>
    </row>
    <row r="236" spans="1:21">
      <c r="A236" s="2602" t="s">
        <v>2939</v>
      </c>
      <c r="B236" s="2601" t="str">
        <f>H6</f>
        <v>Tony Rodriguez</v>
      </c>
      <c r="T236" s="316"/>
      <c r="U236" s="316"/>
    </row>
    <row r="237" spans="1:21">
      <c r="A237" s="2603" t="s">
        <v>2941</v>
      </c>
      <c r="B237" s="2604" t="str">
        <f>H7</f>
        <v>561-252-4230</v>
      </c>
      <c r="T237" s="316"/>
      <c r="U237" s="316"/>
    </row>
    <row r="238" spans="1:21">
      <c r="A238" s="2603" t="s">
        <v>2943</v>
      </c>
      <c r="B238" s="2605" t="str">
        <f>H8</f>
        <v>tony@rodriguesmetalframing.com</v>
      </c>
      <c r="T238" s="316"/>
      <c r="U238" s="316"/>
    </row>
    <row r="239" spans="1:21" ht="15.75" thickBot="1">
      <c r="A239" s="2606" t="s">
        <v>2994</v>
      </c>
      <c r="B239" s="2607">
        <f>H9</f>
        <v>3198293</v>
      </c>
      <c r="C239" s="537">
        <f>SUM(I33:I131)</f>
        <v>2972787</v>
      </c>
      <c r="D239" s="319">
        <f>SUM(I132:I153)</f>
        <v>76546</v>
      </c>
      <c r="E239" s="538">
        <f>SUM(I154:I183)</f>
        <v>148960</v>
      </c>
      <c r="T239" s="316"/>
      <c r="U239" s="316"/>
    </row>
    <row r="240" spans="1:21" ht="15.75" thickTop="1">
      <c r="T240" s="316"/>
      <c r="U240" s="316"/>
    </row>
    <row r="241" spans="1:21">
      <c r="A241" s="360"/>
      <c r="B241" s="317" t="s">
        <v>2995</v>
      </c>
      <c r="T241" s="316"/>
      <c r="U241" s="316"/>
    </row>
    <row r="242" spans="1:21">
      <c r="A242" s="361"/>
      <c r="B242" s="317" t="s">
        <v>2996</v>
      </c>
      <c r="T242" s="316"/>
      <c r="U242" s="316"/>
    </row>
    <row r="243" spans="1:21">
      <c r="T243" s="316"/>
      <c r="U243" s="316"/>
    </row>
    <row r="244" spans="1:21">
      <c r="T244" s="316"/>
      <c r="U244" s="316"/>
    </row>
    <row r="245" spans="1:21">
      <c r="T245" s="316"/>
      <c r="U245" s="316"/>
    </row>
  </sheetData>
  <mergeCells count="41">
    <mergeCell ref="R9:S9"/>
    <mergeCell ref="R5:S5"/>
    <mergeCell ref="R6:S6"/>
    <mergeCell ref="R7:S7"/>
    <mergeCell ref="R8:S8"/>
    <mergeCell ref="L4:M4"/>
    <mergeCell ref="J4:K4"/>
    <mergeCell ref="P4:Q4"/>
    <mergeCell ref="H19:I19"/>
    <mergeCell ref="N19:O19"/>
    <mergeCell ref="L9:M9"/>
    <mergeCell ref="L5:M5"/>
    <mergeCell ref="L6:M6"/>
    <mergeCell ref="L7:M7"/>
    <mergeCell ref="L8:M8"/>
    <mergeCell ref="H7:I7"/>
    <mergeCell ref="P9:Q9"/>
    <mergeCell ref="J9:K9"/>
    <mergeCell ref="N9:O9"/>
    <mergeCell ref="P8:Q8"/>
    <mergeCell ref="H8:I8"/>
    <mergeCell ref="A223:B223"/>
    <mergeCell ref="A191:B191"/>
    <mergeCell ref="A216:B216"/>
    <mergeCell ref="J5:K5"/>
    <mergeCell ref="J6:K6"/>
    <mergeCell ref="J7:K7"/>
    <mergeCell ref="J8:K8"/>
    <mergeCell ref="H9:I9"/>
    <mergeCell ref="H5:I5"/>
    <mergeCell ref="H6:I6"/>
    <mergeCell ref="A202:B202"/>
    <mergeCell ref="R4:S4"/>
    <mergeCell ref="N8:O8"/>
    <mergeCell ref="P5:Q5"/>
    <mergeCell ref="P6:Q6"/>
    <mergeCell ref="P7:Q7"/>
    <mergeCell ref="N5:O5"/>
    <mergeCell ref="N6:O6"/>
    <mergeCell ref="N7:O7"/>
    <mergeCell ref="N4:O4"/>
  </mergeCells>
  <conditionalFormatting sqref="H20:H183 N93:N132 P93:P132 N139:N154 P139:P154 N164:N183 P164:P183">
    <cfRule type="cellIs" dxfId="209" priority="75" operator="equal">
      <formula>"X"</formula>
    </cfRule>
    <cfRule type="cellIs" dxfId="208" priority="76" operator="equal">
      <formula>"I"</formula>
    </cfRule>
  </conditionalFormatting>
  <conditionalFormatting sqref="H11:P18">
    <cfRule type="cellIs" dxfId="207" priority="9" operator="equal">
      <formula>"X"</formula>
    </cfRule>
    <cfRule type="cellIs" dxfId="206" priority="10" operator="equal">
      <formula>"I"</formula>
    </cfRule>
  </conditionalFormatting>
  <conditionalFormatting sqref="J20:J183">
    <cfRule type="cellIs" dxfId="205" priority="31" operator="equal">
      <formula>"X"</formula>
    </cfRule>
    <cfRule type="cellIs" dxfId="204" priority="32" operator="equal">
      <formula>"I"</formula>
    </cfRule>
  </conditionalFormatting>
  <conditionalFormatting sqref="L20:L183">
    <cfRule type="cellIs" dxfId="203" priority="5" operator="equal">
      <formula>"X"</formula>
    </cfRule>
    <cfRule type="cellIs" dxfId="202" priority="6" operator="equal">
      <formula>"I"</formula>
    </cfRule>
  </conditionalFormatting>
  <conditionalFormatting sqref="N20:N33">
    <cfRule type="cellIs" dxfId="201" priority="1" operator="equal">
      <formula>"X"</formula>
    </cfRule>
    <cfRule type="cellIs" dxfId="200" priority="2" operator="equal">
      <formula>"I"</formula>
    </cfRule>
  </conditionalFormatting>
  <conditionalFormatting sqref="P20:P33">
    <cfRule type="cellIs" dxfId="199" priority="71" operator="equal">
      <formula>"X"</formula>
    </cfRule>
    <cfRule type="cellIs" dxfId="198" priority="72" operator="equal">
      <formula>"I"</formula>
    </cfRule>
  </conditionalFormatting>
  <conditionalFormatting sqref="R11:R18">
    <cfRule type="cellIs" dxfId="197" priority="13" operator="equal">
      <formula>"X"</formula>
    </cfRule>
    <cfRule type="cellIs" dxfId="196" priority="14" operator="equal">
      <formula>"I"</formula>
    </cfRule>
  </conditionalFormatting>
  <conditionalFormatting sqref="R20:R183">
    <cfRule type="cellIs" dxfId="195" priority="15" operator="equal">
      <formula>"X"</formula>
    </cfRule>
    <cfRule type="cellIs" dxfId="194" priority="16" operator="equal">
      <formula>"I"</formula>
    </cfRule>
  </conditionalFormatting>
  <conditionalFormatting sqref="S179">
    <cfRule type="cellIs" dxfId="193" priority="7" operator="equal">
      <formula>"X"</formula>
    </cfRule>
    <cfRule type="cellIs" dxfId="192" priority="8" operator="equal">
      <formula>"I"</formula>
    </cfRule>
  </conditionalFormatting>
  <hyperlinks>
    <hyperlink ref="B4" location="'Cost Summary'!A1" display="BACK TO SUMMARY SHEET" xr:uid="{F407A31A-FE0A-49E1-9B75-9ABB259778CF}"/>
    <hyperlink ref="H8:I8" r:id="rId1" display="tony@rodriguesmetalframing.com" xr:uid="{A286E052-4D59-4F93-8576-7C2364AC95A3}"/>
    <hyperlink ref="J8:K8" r:id="rId2" display="moliver@oceansidedrywall.com" xr:uid="{0702E3C3-D4BC-4BAA-8621-5616C5675658}"/>
    <hyperlink ref="N8:O8" r:id="rId3" display="James@doradodrywall.com" xr:uid="{EB1B5045-4360-45A1-9B2F-A4425F1E118A}"/>
    <hyperlink ref="R8:S8" r:id="rId4" display="frank@atlanticinteriorservices.com" xr:uid="{88CE5DB3-E95B-4CAD-91F3-5FD324177BBB}"/>
    <hyperlink ref="L8" r:id="rId5" xr:uid="{DA027596-9568-424E-8C17-25636A4C52C6}"/>
  </hyperlinks>
  <pageMargins left="0.2" right="0.2" top="0.5" bottom="0.75" header="0.3" footer="0.3"/>
  <pageSetup paperSize="3" scale="79" fitToHeight="0" orientation="landscape" horizontalDpi="1200" verticalDpi="1200" r:id="rId6"/>
  <legacyDrawing r:id="rId7"/>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467A1-1B32-4495-B2D8-2E98E790E619}">
  <sheetPr>
    <tabColor rgb="FF92D050"/>
    <pageSetUpPr fitToPage="1"/>
  </sheetPr>
  <dimension ref="A1:AD256"/>
  <sheetViews>
    <sheetView zoomScale="90" zoomScaleNormal="90" workbookViewId="0">
      <pane ySplit="10" topLeftCell="A106" activePane="bottomLeft" state="frozen"/>
      <selection pane="bottomLeft" activeCell="B114" sqref="B114"/>
      <selection activeCell="B4" sqref="B4"/>
    </sheetView>
  </sheetViews>
  <sheetFormatPr defaultColWidth="8.85546875" defaultRowHeight="15"/>
  <cols>
    <col min="1" max="1" width="13" customWidth="1"/>
    <col min="2" max="2" width="70.7109375" style="1" customWidth="1"/>
    <col min="3" max="3" width="15.42578125" style="2" customWidth="1"/>
    <col min="4" max="4" width="12.85546875" style="165" customWidth="1"/>
    <col min="5" max="5" width="12.42578125" style="79" customWidth="1"/>
    <col min="6" max="6" width="16.42578125" style="2" bestFit="1" customWidth="1"/>
    <col min="7" max="7" width="15.28515625" style="2" bestFit="1" customWidth="1"/>
    <col min="8" max="8" width="7.42578125" style="2" bestFit="1" customWidth="1"/>
    <col min="9" max="9" width="14.85546875" style="2" customWidth="1"/>
    <col min="10" max="10" width="7.85546875" style="2" customWidth="1"/>
    <col min="11" max="11" width="14.85546875" style="2" customWidth="1"/>
    <col min="12" max="12" width="7.42578125" style="2" customWidth="1"/>
    <col min="13" max="13" width="14.85546875" style="2" customWidth="1"/>
    <col min="14" max="14" width="7.42578125" style="2" customWidth="1"/>
    <col min="15" max="15" width="14.85546875" style="2" customWidth="1"/>
    <col min="16" max="16" width="7.42578125" style="2" bestFit="1" customWidth="1"/>
    <col min="17" max="17" width="14.85546875" style="2" customWidth="1"/>
    <col min="18" max="18" width="8.42578125" customWidth="1"/>
    <col min="19" max="19" width="18.85546875" customWidth="1"/>
    <col min="21" max="21" width="17" customWidth="1"/>
  </cols>
  <sheetData>
    <row r="1" spans="1:19">
      <c r="F1" s="178"/>
      <c r="G1" s="56" t="s">
        <v>2928</v>
      </c>
      <c r="R1" s="2"/>
      <c r="S1" s="2"/>
    </row>
    <row r="2" spans="1:19">
      <c r="F2" s="179" t="s">
        <v>2929</v>
      </c>
      <c r="G2" s="56" t="s">
        <v>2930</v>
      </c>
      <c r="I2" s="447"/>
      <c r="R2" s="2"/>
      <c r="S2" s="2"/>
    </row>
    <row r="3" spans="1:19">
      <c r="F3" s="180" t="s">
        <v>2931</v>
      </c>
      <c r="G3" s="56" t="s">
        <v>2932</v>
      </c>
      <c r="I3" s="447"/>
      <c r="R3" s="2"/>
      <c r="S3" s="2"/>
    </row>
    <row r="4" spans="1:19" ht="15.75" thickBot="1">
      <c r="B4" s="181" t="s">
        <v>2933</v>
      </c>
      <c r="F4" s="170"/>
      <c r="G4" s="2" t="s">
        <v>2934</v>
      </c>
      <c r="I4" s="447"/>
      <c r="P4" s="968"/>
      <c r="Q4" s="968"/>
      <c r="R4" s="968" t="s">
        <v>5524</v>
      </c>
      <c r="S4" s="968"/>
    </row>
    <row r="5" spans="1:19" ht="15.75" thickTop="1">
      <c r="A5" s="3" t="s">
        <v>2935</v>
      </c>
      <c r="B5" s="4" t="str">
        <f>'Area Calculations'!B4</f>
        <v>Atlantic Fields Club Core / Dock Bar / Spa Pods / Water Features</v>
      </c>
      <c r="C5" s="5"/>
      <c r="D5" s="166"/>
      <c r="E5" s="171"/>
      <c r="F5" s="5"/>
      <c r="G5" s="6" t="s">
        <v>2936</v>
      </c>
      <c r="H5" s="982" t="s">
        <v>5525</v>
      </c>
      <c r="I5" s="983"/>
      <c r="J5" s="841" t="s">
        <v>5526</v>
      </c>
      <c r="K5" s="842"/>
      <c r="L5" s="841" t="s">
        <v>5527</v>
      </c>
      <c r="M5" s="842"/>
      <c r="N5" s="841" t="s">
        <v>5528</v>
      </c>
      <c r="O5" s="842"/>
      <c r="P5" s="841" t="s">
        <v>5529</v>
      </c>
      <c r="Q5" s="842"/>
      <c r="R5" s="841" t="s">
        <v>5530</v>
      </c>
      <c r="S5" s="842"/>
    </row>
    <row r="6" spans="1:19">
      <c r="A6" s="2405" t="s">
        <v>2938</v>
      </c>
      <c r="B6" s="2406" t="s">
        <v>5531</v>
      </c>
      <c r="C6" s="2407"/>
      <c r="D6" s="2408"/>
      <c r="E6" s="2409"/>
      <c r="F6" s="2407"/>
      <c r="G6" s="657" t="s">
        <v>2939</v>
      </c>
      <c r="H6" s="2410" t="s">
        <v>5532</v>
      </c>
      <c r="I6" s="843"/>
      <c r="J6" s="2410" t="s">
        <v>5533</v>
      </c>
      <c r="K6" s="843"/>
      <c r="L6" s="2410" t="s">
        <v>5534</v>
      </c>
      <c r="M6" s="843"/>
      <c r="N6" s="2410" t="s">
        <v>5535</v>
      </c>
      <c r="O6" s="843"/>
      <c r="P6" s="2410" t="s">
        <v>5529</v>
      </c>
      <c r="Q6" s="843"/>
      <c r="R6" s="2410" t="s">
        <v>5536</v>
      </c>
      <c r="S6" s="843"/>
    </row>
    <row r="7" spans="1:19">
      <c r="A7" s="2405" t="s">
        <v>2940</v>
      </c>
      <c r="B7" s="2413" t="s">
        <v>2717</v>
      </c>
      <c r="C7" s="2407"/>
      <c r="D7" s="2408"/>
      <c r="E7" s="2409"/>
      <c r="F7" s="2407"/>
      <c r="G7" s="2414" t="s">
        <v>2941</v>
      </c>
      <c r="H7" s="2415" t="s">
        <v>5537</v>
      </c>
      <c r="I7" s="844"/>
      <c r="J7" s="2608" t="s">
        <v>5538</v>
      </c>
      <c r="K7" s="844"/>
      <c r="L7" s="2415" t="s">
        <v>5539</v>
      </c>
      <c r="M7" s="844"/>
      <c r="N7" s="2415" t="s">
        <v>5540</v>
      </c>
      <c r="O7" s="844"/>
      <c r="P7" s="2415" t="s">
        <v>3796</v>
      </c>
      <c r="Q7" s="844"/>
      <c r="R7" s="2415" t="s">
        <v>5541</v>
      </c>
      <c r="S7" s="844"/>
    </row>
    <row r="8" spans="1:19">
      <c r="A8" s="2405" t="s">
        <v>2942</v>
      </c>
      <c r="B8" s="2418"/>
      <c r="C8" s="2407"/>
      <c r="D8" s="2408"/>
      <c r="E8" s="2409"/>
      <c r="F8" s="2407"/>
      <c r="G8" s="2414" t="s">
        <v>2943</v>
      </c>
      <c r="H8" s="2419" t="s">
        <v>5542</v>
      </c>
      <c r="I8" s="845"/>
      <c r="J8" s="2419" t="s">
        <v>5543</v>
      </c>
      <c r="K8" s="845"/>
      <c r="L8" s="2419" t="s">
        <v>5544</v>
      </c>
      <c r="M8" s="845"/>
      <c r="N8" s="2419" t="s">
        <v>5545</v>
      </c>
      <c r="O8" s="845"/>
      <c r="P8" s="2419" t="s">
        <v>3804</v>
      </c>
      <c r="Q8" s="845"/>
      <c r="R8" s="2419" t="s">
        <v>5546</v>
      </c>
      <c r="S8" s="845"/>
    </row>
    <row r="9" spans="1:19" ht="15.75" thickBot="1">
      <c r="A9" s="2423"/>
      <c r="B9" s="2424"/>
      <c r="C9" s="616"/>
      <c r="D9" s="621"/>
      <c r="E9" s="622"/>
      <c r="F9" s="2425"/>
      <c r="G9" s="2426" t="s">
        <v>2944</v>
      </c>
      <c r="H9" s="2427">
        <f>I$219</f>
        <v>2893685.65</v>
      </c>
      <c r="I9" s="2458"/>
      <c r="J9" s="2427">
        <f>K$219</f>
        <v>1186875.2</v>
      </c>
      <c r="K9" s="2458"/>
      <c r="L9" s="2428">
        <f>M$219</f>
        <v>2517183.96</v>
      </c>
      <c r="M9" s="2457"/>
      <c r="N9" s="2428">
        <f>O$219</f>
        <v>0</v>
      </c>
      <c r="O9" s="2457"/>
      <c r="P9" s="2428">
        <f t="shared" ref="P9" si="0">Q$219</f>
        <v>0</v>
      </c>
      <c r="Q9" s="2457"/>
      <c r="R9" s="2428">
        <f>S$219</f>
        <v>0</v>
      </c>
      <c r="S9" s="2457"/>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09"/>
      <c r="B11" s="1618" t="s">
        <v>2953</v>
      </c>
      <c r="C11" s="659"/>
      <c r="D11" s="2408"/>
      <c r="E11" s="2409"/>
      <c r="F11" s="2407"/>
      <c r="G11" s="660"/>
      <c r="H11" s="2431"/>
      <c r="I11" s="2338"/>
      <c r="J11" s="2431"/>
      <c r="K11" s="182"/>
      <c r="L11" s="2431"/>
      <c r="M11" s="2339"/>
      <c r="N11" s="2431"/>
      <c r="O11" s="2339"/>
      <c r="P11" s="2431"/>
      <c r="Q11" s="2339"/>
      <c r="R11" s="2431"/>
      <c r="S11" s="2339"/>
    </row>
    <row r="12" spans="1:19">
      <c r="A12" s="2610"/>
      <c r="B12" s="1622" t="s">
        <v>2954</v>
      </c>
      <c r="C12" s="2407"/>
      <c r="D12" s="2408"/>
      <c r="E12" s="2409"/>
      <c r="F12" s="2407"/>
      <c r="G12" s="660"/>
      <c r="H12" s="790" t="s">
        <v>3028</v>
      </c>
      <c r="I12" s="2338"/>
      <c r="J12" s="790" t="s">
        <v>3028</v>
      </c>
      <c r="K12" s="2339"/>
      <c r="L12" s="790" t="s">
        <v>3028</v>
      </c>
      <c r="M12" s="2339"/>
      <c r="N12" s="2431"/>
      <c r="O12" s="2339"/>
      <c r="P12" s="2431"/>
      <c r="Q12" s="2339"/>
      <c r="R12" s="2431"/>
      <c r="S12" s="2339"/>
    </row>
    <row r="13" spans="1:19">
      <c r="A13" s="2432"/>
      <c r="B13" s="2611" t="s">
        <v>2955</v>
      </c>
      <c r="C13" s="2407"/>
      <c r="D13" s="2408"/>
      <c r="E13" s="2409"/>
      <c r="F13" s="2407"/>
      <c r="G13" s="660"/>
      <c r="H13" s="790" t="s">
        <v>3028</v>
      </c>
      <c r="I13" s="2338"/>
      <c r="J13" s="790" t="s">
        <v>3028</v>
      </c>
      <c r="K13" s="2339"/>
      <c r="L13" s="790" t="s">
        <v>3028</v>
      </c>
      <c r="M13" s="2339"/>
      <c r="N13" s="2431"/>
      <c r="O13" s="2339"/>
      <c r="P13" s="2431"/>
      <c r="Q13" s="2339"/>
      <c r="R13" s="2431"/>
      <c r="S13" s="2339"/>
    </row>
    <row r="14" spans="1:19">
      <c r="A14" s="2432"/>
      <c r="B14" s="2612" t="s">
        <v>2956</v>
      </c>
      <c r="C14" s="2407"/>
      <c r="D14" s="2408"/>
      <c r="E14" s="2409"/>
      <c r="F14" s="2407"/>
      <c r="G14" s="660"/>
      <c r="H14" s="790" t="s">
        <v>3807</v>
      </c>
      <c r="I14" s="2338"/>
      <c r="J14" s="790" t="s">
        <v>3807</v>
      </c>
      <c r="K14" s="2339"/>
      <c r="L14" s="790" t="s">
        <v>3807</v>
      </c>
      <c r="M14" s="2339"/>
      <c r="N14" s="2431"/>
      <c r="O14" s="2339"/>
      <c r="P14" s="2431"/>
      <c r="Q14" s="2339"/>
      <c r="R14" s="2431"/>
      <c r="S14" s="2339"/>
    </row>
    <row r="15" spans="1:19">
      <c r="A15" s="2432"/>
      <c r="B15" s="2612" t="s">
        <v>2957</v>
      </c>
      <c r="C15" s="2407"/>
      <c r="D15" s="2408"/>
      <c r="E15" s="2409"/>
      <c r="F15" s="2407"/>
      <c r="G15" s="660"/>
      <c r="H15" s="790" t="s">
        <v>3028</v>
      </c>
      <c r="I15" s="2338"/>
      <c r="J15" s="790" t="s">
        <v>3028</v>
      </c>
      <c r="K15" s="2338"/>
      <c r="L15" s="790" t="s">
        <v>3028</v>
      </c>
      <c r="M15" s="2338"/>
      <c r="N15" s="2431"/>
      <c r="O15" s="2338"/>
      <c r="P15" s="2431"/>
      <c r="Q15" s="2338"/>
      <c r="R15" s="2431"/>
      <c r="S15" s="2338"/>
    </row>
    <row r="16" spans="1:19">
      <c r="A16" s="2432"/>
      <c r="B16" s="2612" t="s">
        <v>2958</v>
      </c>
      <c r="C16" s="2407"/>
      <c r="D16" s="2408"/>
      <c r="E16" s="2409"/>
      <c r="F16" s="2407"/>
      <c r="G16" s="660"/>
      <c r="H16" s="790" t="s">
        <v>3028</v>
      </c>
      <c r="I16" s="2338"/>
      <c r="J16" s="790" t="s">
        <v>3028</v>
      </c>
      <c r="K16" s="2339"/>
      <c r="L16" s="790" t="s">
        <v>3028</v>
      </c>
      <c r="M16" s="2339"/>
      <c r="N16" s="2431"/>
      <c r="O16" s="2339"/>
      <c r="P16" s="2431"/>
      <c r="Q16" s="2339"/>
      <c r="R16" s="2431"/>
      <c r="S16" s="2339"/>
    </row>
    <row r="17" spans="1:19">
      <c r="A17" s="2432"/>
      <c r="B17" s="2612" t="s">
        <v>2959</v>
      </c>
      <c r="C17" s="2407"/>
      <c r="D17" s="2408"/>
      <c r="E17" s="2409"/>
      <c r="F17" s="2407"/>
      <c r="G17" s="660"/>
      <c r="H17" s="790" t="s">
        <v>3028</v>
      </c>
      <c r="I17" s="2338"/>
      <c r="J17" s="790" t="s">
        <v>3028</v>
      </c>
      <c r="K17" s="2339"/>
      <c r="L17" s="790" t="s">
        <v>3028</v>
      </c>
      <c r="M17" s="2339"/>
      <c r="N17" s="2431"/>
      <c r="O17" s="2339"/>
      <c r="P17" s="2431"/>
      <c r="Q17" s="2339"/>
      <c r="R17" s="2431"/>
      <c r="S17" s="2339"/>
    </row>
    <row r="18" spans="1:19">
      <c r="A18" s="2432"/>
      <c r="B18" s="2613" t="s">
        <v>2960</v>
      </c>
      <c r="C18" s="2407"/>
      <c r="D18" s="2408"/>
      <c r="E18" s="2409"/>
      <c r="F18" s="2407"/>
      <c r="G18" s="660"/>
      <c r="H18" s="2431"/>
      <c r="I18" s="2338"/>
      <c r="J18" s="2431"/>
      <c r="K18" s="2339"/>
      <c r="L18" s="2431"/>
      <c r="M18" s="2339"/>
      <c r="N18" s="2431"/>
      <c r="O18" s="2339"/>
      <c r="P18" s="2431"/>
      <c r="Q18" s="2339"/>
      <c r="R18" s="2431"/>
      <c r="S18" s="2339"/>
    </row>
    <row r="19" spans="1:19">
      <c r="A19" s="2432"/>
      <c r="B19" s="2614" t="s">
        <v>2961</v>
      </c>
      <c r="C19" s="2433"/>
      <c r="D19" s="2434"/>
      <c r="E19" s="2435"/>
      <c r="F19" s="2436"/>
      <c r="G19" s="661"/>
      <c r="H19" s="2437"/>
      <c r="I19" s="2347"/>
      <c r="J19" s="2437"/>
      <c r="K19" s="2346"/>
      <c r="L19" s="2437"/>
      <c r="M19" s="2346"/>
      <c r="N19" s="2437"/>
      <c r="O19" s="2346"/>
      <c r="P19" s="2437"/>
      <c r="Q19" s="2346"/>
      <c r="R19" s="2437"/>
      <c r="S19" s="2346"/>
    </row>
    <row r="20" spans="1:19">
      <c r="A20" s="2432"/>
      <c r="B20" s="2615"/>
      <c r="C20" s="2407"/>
      <c r="D20" s="2408"/>
      <c r="E20" s="2409"/>
      <c r="F20" s="2438"/>
      <c r="G20" s="660"/>
      <c r="H20" s="2431"/>
      <c r="I20" s="2349"/>
      <c r="J20" s="2431"/>
      <c r="K20" s="2350"/>
      <c r="L20" s="2431"/>
      <c r="M20" s="2349"/>
      <c r="N20" s="2431"/>
      <c r="O20" s="2349"/>
      <c r="P20" s="2431"/>
      <c r="Q20" s="2349"/>
      <c r="R20" s="2431"/>
      <c r="S20" s="2349"/>
    </row>
    <row r="21" spans="1:19">
      <c r="A21" s="2432"/>
      <c r="B21" s="2616" t="s">
        <v>5547</v>
      </c>
      <c r="C21" s="2407"/>
      <c r="D21" s="2408"/>
      <c r="E21" s="2409"/>
      <c r="F21" s="2438"/>
      <c r="G21" s="660"/>
      <c r="H21" s="2431"/>
      <c r="I21" s="2349"/>
      <c r="J21" s="2431"/>
      <c r="K21" s="2350"/>
      <c r="L21" s="2431"/>
      <c r="M21" s="2349"/>
      <c r="N21" s="2431"/>
      <c r="O21" s="2349"/>
      <c r="P21" s="2431"/>
      <c r="Q21" s="2349"/>
      <c r="R21" s="2431"/>
      <c r="S21" s="2349"/>
    </row>
    <row r="22" spans="1:19">
      <c r="A22" s="2432"/>
      <c r="B22" s="2615"/>
      <c r="C22" s="2407"/>
      <c r="D22" s="2408"/>
      <c r="E22" s="2409"/>
      <c r="F22" s="2438"/>
      <c r="G22" s="660"/>
      <c r="H22" s="2431"/>
      <c r="I22" s="2349"/>
      <c r="J22" s="2431"/>
      <c r="K22" s="2350"/>
      <c r="L22" s="2431"/>
      <c r="M22" s="2349"/>
      <c r="N22" s="2431"/>
      <c r="O22" s="2349"/>
      <c r="P22" s="2431"/>
      <c r="Q22" s="2349"/>
      <c r="R22" s="2431"/>
      <c r="S22" s="2349"/>
    </row>
    <row r="23" spans="1:19">
      <c r="A23" s="2432"/>
      <c r="B23" s="2617" t="s">
        <v>5548</v>
      </c>
      <c r="C23" s="2407"/>
      <c r="D23" s="2408"/>
      <c r="E23" s="2409"/>
      <c r="F23" s="2438"/>
      <c r="G23" s="662"/>
      <c r="H23" s="2431"/>
      <c r="I23" s="2451">
        <f>107598.83+460057.6+9675</f>
        <v>577331.42999999993</v>
      </c>
      <c r="J23" s="2431"/>
      <c r="K23" s="2350">
        <v>254800</v>
      </c>
      <c r="L23" s="2431"/>
      <c r="M23" s="2349">
        <v>2411012.63</v>
      </c>
      <c r="N23" s="2431"/>
      <c r="O23" s="2349"/>
      <c r="P23" s="2431"/>
      <c r="Q23" s="2349"/>
      <c r="R23" s="2431"/>
      <c r="S23" s="2349"/>
    </row>
    <row r="24" spans="1:19">
      <c r="A24" s="2432"/>
      <c r="B24" s="2618" t="s">
        <v>2577</v>
      </c>
      <c r="C24" s="2407"/>
      <c r="D24" s="2408"/>
      <c r="E24" s="2409"/>
      <c r="F24" s="2438"/>
      <c r="G24" s="662"/>
      <c r="H24" s="2431"/>
      <c r="I24" s="2350"/>
      <c r="J24" s="2431"/>
      <c r="K24" s="2350"/>
      <c r="L24" s="2431"/>
      <c r="M24" s="2349"/>
      <c r="N24" s="2431"/>
      <c r="O24" s="2349"/>
      <c r="P24" s="2431"/>
      <c r="Q24" s="2349"/>
      <c r="R24" s="2431"/>
      <c r="S24" s="2349"/>
    </row>
    <row r="25" spans="1:19" ht="30">
      <c r="A25" s="2432"/>
      <c r="B25" s="2619" t="s">
        <v>5549</v>
      </c>
      <c r="C25" s="2407"/>
      <c r="D25" s="2441">
        <v>139</v>
      </c>
      <c r="E25" s="2409" t="s">
        <v>3112</v>
      </c>
      <c r="F25" s="2438">
        <v>50</v>
      </c>
      <c r="G25" s="669">
        <f>D25*F25</f>
        <v>6950</v>
      </c>
      <c r="H25" s="2442" t="s">
        <v>3028</v>
      </c>
      <c r="I25" s="2444"/>
      <c r="J25" s="2442" t="s">
        <v>3028</v>
      </c>
      <c r="K25" s="2444"/>
      <c r="L25" s="2442" t="s">
        <v>3028</v>
      </c>
      <c r="M25" s="2349"/>
      <c r="N25" s="2431"/>
      <c r="O25" s="2349"/>
      <c r="P25" s="2442"/>
      <c r="Q25" s="2443"/>
      <c r="R25" s="2431"/>
      <c r="S25" s="2349"/>
    </row>
    <row r="26" spans="1:19">
      <c r="A26" s="2432"/>
      <c r="B26" s="2615" t="s">
        <v>5550</v>
      </c>
      <c r="C26" s="2407"/>
      <c r="D26" s="2441"/>
      <c r="E26" s="2409"/>
      <c r="F26" s="2438"/>
      <c r="G26" s="669"/>
      <c r="H26" s="2442" t="s">
        <v>3028</v>
      </c>
      <c r="I26" s="2444"/>
      <c r="J26" s="2442" t="s">
        <v>3028</v>
      </c>
      <c r="K26" s="2444"/>
      <c r="L26" s="2442" t="s">
        <v>3028</v>
      </c>
      <c r="M26" s="2349"/>
      <c r="N26" s="2431"/>
      <c r="O26" s="2349"/>
      <c r="P26" s="2442"/>
      <c r="Q26" s="2443"/>
      <c r="R26" s="2431"/>
      <c r="S26" s="2349"/>
    </row>
    <row r="27" spans="1:19" ht="30">
      <c r="A27" s="2432"/>
      <c r="B27" s="2619" t="s">
        <v>5551</v>
      </c>
      <c r="C27" s="2407"/>
      <c r="D27" s="2441">
        <v>562</v>
      </c>
      <c r="E27" s="2409" t="s">
        <v>3112</v>
      </c>
      <c r="F27" s="2438">
        <v>50</v>
      </c>
      <c r="G27" s="669">
        <f>D27*F27</f>
        <v>28100</v>
      </c>
      <c r="H27" s="2442" t="s">
        <v>3028</v>
      </c>
      <c r="I27" s="2444"/>
      <c r="J27" s="2442" t="s">
        <v>3028</v>
      </c>
      <c r="K27" s="2444"/>
      <c r="L27" s="2442" t="s">
        <v>3028</v>
      </c>
      <c r="M27" s="2349"/>
      <c r="N27" s="2431"/>
      <c r="O27" s="2349"/>
      <c r="P27" s="2442"/>
      <c r="Q27" s="2443"/>
      <c r="R27" s="2431"/>
      <c r="S27" s="2349"/>
    </row>
    <row r="28" spans="1:19">
      <c r="A28" s="2432"/>
      <c r="B28" s="2615" t="s">
        <v>5552</v>
      </c>
      <c r="C28" s="2407"/>
      <c r="D28" s="2441"/>
      <c r="E28" s="2409"/>
      <c r="F28" s="2438"/>
      <c r="G28" s="669"/>
      <c r="H28" s="2442" t="s">
        <v>3028</v>
      </c>
      <c r="I28" s="2444"/>
      <c r="J28" s="2442" t="s">
        <v>3028</v>
      </c>
      <c r="K28" s="2444"/>
      <c r="L28" s="2442" t="s">
        <v>3028</v>
      </c>
      <c r="M28" s="2349"/>
      <c r="N28" s="2431"/>
      <c r="O28" s="2349"/>
      <c r="P28" s="2442"/>
      <c r="Q28" s="2443"/>
      <c r="R28" s="2431"/>
      <c r="S28" s="2349"/>
    </row>
    <row r="29" spans="1:19">
      <c r="A29" s="2432"/>
      <c r="B29" s="2616" t="s">
        <v>5553</v>
      </c>
      <c r="C29" s="2407"/>
      <c r="D29" s="2441">
        <f>129+224+81+301</f>
        <v>735</v>
      </c>
      <c r="E29" s="2409" t="s">
        <v>3112</v>
      </c>
      <c r="F29" s="2438">
        <v>15</v>
      </c>
      <c r="G29" s="669">
        <f>D29*F29</f>
        <v>11025</v>
      </c>
      <c r="H29" s="2442" t="s">
        <v>3028</v>
      </c>
      <c r="I29" s="2444"/>
      <c r="J29" s="2442" t="s">
        <v>3028</v>
      </c>
      <c r="K29" s="2444"/>
      <c r="L29" s="2442" t="s">
        <v>3028</v>
      </c>
      <c r="M29" s="2349"/>
      <c r="N29" s="2431"/>
      <c r="O29" s="2349"/>
      <c r="P29" s="2442"/>
      <c r="Q29" s="2443"/>
      <c r="R29" s="2431"/>
      <c r="S29" s="2349"/>
    </row>
    <row r="30" spans="1:19" ht="30">
      <c r="A30" s="2432"/>
      <c r="B30" s="2620" t="s">
        <v>5554</v>
      </c>
      <c r="C30" s="2407"/>
      <c r="D30" s="2441"/>
      <c r="E30" s="2409"/>
      <c r="F30" s="2438"/>
      <c r="G30" s="669"/>
      <c r="H30" s="2442" t="s">
        <v>3028</v>
      </c>
      <c r="I30" s="2444"/>
      <c r="J30" s="2442" t="s">
        <v>3028</v>
      </c>
      <c r="K30" s="2444"/>
      <c r="L30" s="2442" t="s">
        <v>3028</v>
      </c>
      <c r="M30" s="2349"/>
      <c r="N30" s="2431"/>
      <c r="O30" s="2349"/>
      <c r="P30" s="2442"/>
      <c r="Q30" s="2443"/>
      <c r="R30" s="2431"/>
      <c r="S30" s="2349"/>
    </row>
    <row r="31" spans="1:19">
      <c r="A31" s="2432"/>
      <c r="B31" s="2616" t="s">
        <v>5555</v>
      </c>
      <c r="C31" s="2407"/>
      <c r="D31" s="2441">
        <f>60+2799+61</f>
        <v>2920</v>
      </c>
      <c r="E31" s="2409" t="s">
        <v>3112</v>
      </c>
      <c r="F31" s="2438">
        <v>90</v>
      </c>
      <c r="G31" s="669">
        <f>D31*F31</f>
        <v>262800</v>
      </c>
      <c r="H31" s="2442" t="s">
        <v>3028</v>
      </c>
      <c r="I31" s="2444"/>
      <c r="J31" s="2442" t="s">
        <v>3028</v>
      </c>
      <c r="K31" s="2444"/>
      <c r="L31" s="2442" t="s">
        <v>3028</v>
      </c>
      <c r="M31" s="2349"/>
      <c r="N31" s="2431"/>
      <c r="O31" s="2349"/>
      <c r="P31" s="2442"/>
      <c r="Q31" s="2443"/>
      <c r="R31" s="2431"/>
      <c r="S31" s="2349"/>
    </row>
    <row r="32" spans="1:19">
      <c r="A32" s="2432"/>
      <c r="B32" s="2615" t="s">
        <v>5556</v>
      </c>
      <c r="C32" s="2407"/>
      <c r="D32" s="2441"/>
      <c r="E32" s="2409"/>
      <c r="F32" s="2438"/>
      <c r="G32" s="669"/>
      <c r="H32" s="2442" t="s">
        <v>3028</v>
      </c>
      <c r="I32" s="2444"/>
      <c r="J32" s="2442" t="s">
        <v>3028</v>
      </c>
      <c r="K32" s="2444"/>
      <c r="L32" s="2442" t="s">
        <v>3028</v>
      </c>
      <c r="M32" s="2349"/>
      <c r="N32" s="2431"/>
      <c r="O32" s="2349"/>
      <c r="P32" s="2442"/>
      <c r="Q32" s="2443"/>
      <c r="R32" s="2431"/>
      <c r="S32" s="2349"/>
    </row>
    <row r="33" spans="1:19">
      <c r="A33" s="2432"/>
      <c r="B33" s="2616" t="s">
        <v>5557</v>
      </c>
      <c r="C33" s="2407"/>
      <c r="D33" s="2441">
        <v>491</v>
      </c>
      <c r="E33" s="2409" t="s">
        <v>3112</v>
      </c>
      <c r="F33" s="2438">
        <v>90</v>
      </c>
      <c r="G33" s="669">
        <f>D33*F33</f>
        <v>44190</v>
      </c>
      <c r="H33" s="2442" t="s">
        <v>3028</v>
      </c>
      <c r="I33" s="2444"/>
      <c r="J33" s="2442" t="s">
        <v>3028</v>
      </c>
      <c r="K33" s="2444"/>
      <c r="L33" s="2442" t="s">
        <v>3028</v>
      </c>
      <c r="M33" s="2349"/>
      <c r="N33" s="2431"/>
      <c r="O33" s="2349"/>
      <c r="P33" s="2442"/>
      <c r="Q33" s="2443"/>
      <c r="R33" s="2431"/>
      <c r="S33" s="2349"/>
    </row>
    <row r="34" spans="1:19">
      <c r="A34" s="2432"/>
      <c r="B34" s="2615" t="s">
        <v>5558</v>
      </c>
      <c r="C34" s="2407"/>
      <c r="D34" s="2441"/>
      <c r="E34" s="2409"/>
      <c r="F34" s="2438"/>
      <c r="G34" s="669"/>
      <c r="H34" s="2442" t="s">
        <v>3028</v>
      </c>
      <c r="I34" s="2444"/>
      <c r="J34" s="2442" t="s">
        <v>3028</v>
      </c>
      <c r="K34" s="2444"/>
      <c r="L34" s="2442" t="s">
        <v>3028</v>
      </c>
      <c r="M34" s="2349"/>
      <c r="N34" s="2431"/>
      <c r="O34" s="2349"/>
      <c r="P34" s="2442"/>
      <c r="Q34" s="2443"/>
      <c r="R34" s="2431"/>
      <c r="S34" s="2349"/>
    </row>
    <row r="35" spans="1:19">
      <c r="A35" s="2432"/>
      <c r="B35" s="2616" t="s">
        <v>5559</v>
      </c>
      <c r="C35" s="2407"/>
      <c r="D35" s="2441">
        <v>402</v>
      </c>
      <c r="E35" s="2409" t="s">
        <v>3112</v>
      </c>
      <c r="F35" s="2438">
        <v>90</v>
      </c>
      <c r="G35" s="669">
        <f>D35*F35</f>
        <v>36180</v>
      </c>
      <c r="H35" s="2442" t="s">
        <v>3028</v>
      </c>
      <c r="I35" s="2444"/>
      <c r="J35" s="2442" t="s">
        <v>3028</v>
      </c>
      <c r="K35" s="2444"/>
      <c r="L35" s="2442" t="s">
        <v>3028</v>
      </c>
      <c r="M35" s="2349"/>
      <c r="N35" s="2431"/>
      <c r="O35" s="2349"/>
      <c r="P35" s="2442"/>
      <c r="Q35" s="2443"/>
      <c r="R35" s="2431"/>
      <c r="S35" s="2349"/>
    </row>
    <row r="36" spans="1:19">
      <c r="A36" s="2432"/>
      <c r="B36" s="2615" t="s">
        <v>5560</v>
      </c>
      <c r="C36" s="2407"/>
      <c r="D36" s="2441"/>
      <c r="E36" s="2409"/>
      <c r="F36" s="2438"/>
      <c r="G36" s="669"/>
      <c r="H36" s="2442" t="s">
        <v>3028</v>
      </c>
      <c r="I36" s="2444"/>
      <c r="J36" s="2442" t="s">
        <v>3028</v>
      </c>
      <c r="K36" s="2444"/>
      <c r="L36" s="2442" t="s">
        <v>3028</v>
      </c>
      <c r="M36" s="2349"/>
      <c r="N36" s="2431"/>
      <c r="O36" s="2349"/>
      <c r="P36" s="2442"/>
      <c r="Q36" s="2443"/>
      <c r="R36" s="2431"/>
      <c r="S36" s="2349"/>
    </row>
    <row r="37" spans="1:19">
      <c r="A37" s="2432"/>
      <c r="B37" s="2618" t="s">
        <v>5561</v>
      </c>
      <c r="C37" s="2407"/>
      <c r="D37" s="2441"/>
      <c r="E37" s="2409"/>
      <c r="F37" s="2438"/>
      <c r="G37" s="669"/>
      <c r="H37" s="2442" t="s">
        <v>3028</v>
      </c>
      <c r="I37" s="2444"/>
      <c r="J37" s="2442" t="s">
        <v>3028</v>
      </c>
      <c r="K37" s="2444"/>
      <c r="L37" s="2442" t="s">
        <v>3028</v>
      </c>
      <c r="M37" s="2349"/>
      <c r="N37" s="2431"/>
      <c r="O37" s="2349"/>
      <c r="P37" s="2442"/>
      <c r="Q37" s="2443"/>
      <c r="R37" s="2431"/>
      <c r="S37" s="2349"/>
    </row>
    <row r="38" spans="1:19">
      <c r="A38" s="2432"/>
      <c r="B38" s="2621" t="s">
        <v>5562</v>
      </c>
      <c r="C38" s="2407"/>
      <c r="D38" s="2408">
        <f>469+432</f>
        <v>901</v>
      </c>
      <c r="E38" s="2409" t="s">
        <v>3112</v>
      </c>
      <c r="F38" s="2438">
        <v>50</v>
      </c>
      <c r="G38" s="662">
        <f>D38*F38</f>
        <v>45050</v>
      </c>
      <c r="H38" s="2442" t="s">
        <v>3028</v>
      </c>
      <c r="I38" s="2444"/>
      <c r="J38" s="2442" t="s">
        <v>3028</v>
      </c>
      <c r="K38" s="2444"/>
      <c r="L38" s="2442" t="s">
        <v>3028</v>
      </c>
      <c r="M38" s="2349"/>
      <c r="N38" s="2431"/>
      <c r="O38" s="2349"/>
      <c r="P38" s="2442"/>
      <c r="Q38" s="2443"/>
      <c r="R38" s="2431"/>
      <c r="S38" s="2349"/>
    </row>
    <row r="39" spans="1:19">
      <c r="A39" s="2432"/>
      <c r="B39" s="2615" t="s">
        <v>5563</v>
      </c>
      <c r="C39" s="2407"/>
      <c r="D39" s="2408"/>
      <c r="E39" s="2409"/>
      <c r="F39" s="2438"/>
      <c r="G39" s="669"/>
      <c r="H39" s="2442" t="s">
        <v>3028</v>
      </c>
      <c r="I39" s="2444"/>
      <c r="J39" s="2442" t="s">
        <v>3028</v>
      </c>
      <c r="K39" s="2444"/>
      <c r="L39" s="2442" t="s">
        <v>3028</v>
      </c>
      <c r="M39" s="2349"/>
      <c r="N39" s="2431"/>
      <c r="O39" s="2349"/>
      <c r="P39" s="2442"/>
      <c r="Q39" s="2443"/>
      <c r="R39" s="2431"/>
      <c r="S39" s="2349"/>
    </row>
    <row r="40" spans="1:19" ht="30">
      <c r="A40" s="2432"/>
      <c r="B40" s="2619" t="s">
        <v>5564</v>
      </c>
      <c r="C40" s="2407"/>
      <c r="D40" s="2441">
        <v>331</v>
      </c>
      <c r="E40" s="2409" t="s">
        <v>3112</v>
      </c>
      <c r="F40" s="2438">
        <v>50</v>
      </c>
      <c r="G40" s="669">
        <f>D40*F40</f>
        <v>16550</v>
      </c>
      <c r="H40" s="2442" t="s">
        <v>3028</v>
      </c>
      <c r="I40" s="2444"/>
      <c r="J40" s="2442" t="s">
        <v>3028</v>
      </c>
      <c r="K40" s="2444"/>
      <c r="L40" s="2442" t="s">
        <v>3028</v>
      </c>
      <c r="M40" s="2349"/>
      <c r="N40" s="2431"/>
      <c r="O40" s="2349"/>
      <c r="P40" s="2442"/>
      <c r="Q40" s="2443"/>
      <c r="R40" s="2431"/>
      <c r="S40" s="2349"/>
    </row>
    <row r="41" spans="1:19">
      <c r="A41" s="2432"/>
      <c r="B41" s="2615" t="s">
        <v>5565</v>
      </c>
      <c r="C41" s="2407"/>
      <c r="D41" s="2441"/>
      <c r="E41" s="2409"/>
      <c r="F41" s="2438"/>
      <c r="G41" s="669"/>
      <c r="H41" s="2442" t="s">
        <v>3028</v>
      </c>
      <c r="I41" s="2444"/>
      <c r="J41" s="2442" t="s">
        <v>3028</v>
      </c>
      <c r="K41" s="2444"/>
      <c r="L41" s="2442" t="s">
        <v>3028</v>
      </c>
      <c r="M41" s="2349"/>
      <c r="N41" s="2431"/>
      <c r="O41" s="2349"/>
      <c r="P41" s="2442"/>
      <c r="Q41" s="2443"/>
      <c r="R41" s="2431"/>
      <c r="S41" s="2349"/>
    </row>
    <row r="42" spans="1:19" ht="30">
      <c r="A42" s="2432"/>
      <c r="B42" s="2619" t="s">
        <v>5566</v>
      </c>
      <c r="C42" s="2407"/>
      <c r="D42" s="2408">
        <f>188+153</f>
        <v>341</v>
      </c>
      <c r="E42" s="2409" t="s">
        <v>3112</v>
      </c>
      <c r="F42" s="2438">
        <v>90</v>
      </c>
      <c r="G42" s="662">
        <f>D42*F42</f>
        <v>30690</v>
      </c>
      <c r="H42" s="2442" t="s">
        <v>3028</v>
      </c>
      <c r="I42" s="2444"/>
      <c r="J42" s="2442" t="s">
        <v>3807</v>
      </c>
      <c r="K42" s="2444"/>
      <c r="L42" s="2431" t="s">
        <v>3028</v>
      </c>
      <c r="M42" s="2443"/>
      <c r="N42" s="2442"/>
      <c r="O42" s="2443"/>
      <c r="P42" s="2442"/>
      <c r="Q42" s="2443"/>
      <c r="R42" s="2442"/>
      <c r="S42" s="2443"/>
    </row>
    <row r="43" spans="1:19">
      <c r="A43" s="2432"/>
      <c r="B43" s="2615" t="s">
        <v>5567</v>
      </c>
      <c r="C43" s="2407"/>
      <c r="D43" s="2408"/>
      <c r="E43" s="2409"/>
      <c r="F43" s="2438"/>
      <c r="G43" s="669"/>
      <c r="H43" s="2442" t="s">
        <v>3028</v>
      </c>
      <c r="I43" s="2444"/>
      <c r="J43" s="2442" t="s">
        <v>3807</v>
      </c>
      <c r="K43" s="2444"/>
      <c r="L43" s="2431" t="s">
        <v>3028</v>
      </c>
      <c r="M43" s="2443"/>
      <c r="N43" s="2442"/>
      <c r="O43" s="2443"/>
      <c r="P43" s="2442"/>
      <c r="Q43" s="2443"/>
      <c r="R43" s="2442"/>
      <c r="S43" s="2443"/>
    </row>
    <row r="44" spans="1:19" ht="15" customHeight="1">
      <c r="A44" s="2432"/>
      <c r="B44" s="2619" t="s">
        <v>5568</v>
      </c>
      <c r="C44" s="2407"/>
      <c r="D44" s="2408">
        <v>112</v>
      </c>
      <c r="E44" s="2409" t="s">
        <v>3112</v>
      </c>
      <c r="F44" s="2438">
        <v>90</v>
      </c>
      <c r="G44" s="662">
        <f>D44*F44</f>
        <v>10080</v>
      </c>
      <c r="H44" s="2442" t="s">
        <v>3028</v>
      </c>
      <c r="I44" s="2444"/>
      <c r="J44" s="2442" t="s">
        <v>3028</v>
      </c>
      <c r="K44" s="2444"/>
      <c r="L44" s="2431" t="s">
        <v>3028</v>
      </c>
      <c r="M44" s="2443"/>
      <c r="N44" s="2442"/>
      <c r="O44" s="2443"/>
      <c r="P44" s="2442"/>
      <c r="Q44" s="2443"/>
      <c r="R44" s="2442"/>
      <c r="S44" s="2443"/>
    </row>
    <row r="45" spans="1:19">
      <c r="A45" s="2432"/>
      <c r="B45" s="2615" t="s">
        <v>5569</v>
      </c>
      <c r="C45" s="2407"/>
      <c r="D45" s="2408"/>
      <c r="E45" s="2409"/>
      <c r="F45" s="2438"/>
      <c r="G45" s="669"/>
      <c r="H45" s="2442" t="s">
        <v>3028</v>
      </c>
      <c r="I45" s="2444"/>
      <c r="J45" s="2442" t="s">
        <v>3028</v>
      </c>
      <c r="K45" s="2444"/>
      <c r="L45" s="2431" t="s">
        <v>3028</v>
      </c>
      <c r="M45" s="2443"/>
      <c r="N45" s="2442"/>
      <c r="O45" s="2443"/>
      <c r="P45" s="2442"/>
      <c r="Q45" s="2443"/>
      <c r="R45" s="2442"/>
      <c r="S45" s="2443"/>
    </row>
    <row r="46" spans="1:19" ht="30">
      <c r="A46" s="2432"/>
      <c r="B46" s="2619" t="s">
        <v>5570</v>
      </c>
      <c r="C46" s="2407"/>
      <c r="D46" s="2408">
        <v>72</v>
      </c>
      <c r="E46" s="2409" t="s">
        <v>3112</v>
      </c>
      <c r="F46" s="2438">
        <v>90</v>
      </c>
      <c r="G46" s="662">
        <f>D46*F46</f>
        <v>6480</v>
      </c>
      <c r="H46" s="2442" t="s">
        <v>3807</v>
      </c>
      <c r="I46" s="2444"/>
      <c r="J46" s="2442" t="s">
        <v>3807</v>
      </c>
      <c r="K46" s="2444"/>
      <c r="L46" s="2431" t="s">
        <v>3807</v>
      </c>
      <c r="M46" s="2443"/>
      <c r="N46" s="2442"/>
      <c r="O46" s="2443"/>
      <c r="P46" s="2442"/>
      <c r="Q46" s="2443"/>
      <c r="R46" s="2442"/>
      <c r="S46" s="2443"/>
    </row>
    <row r="47" spans="1:19">
      <c r="A47" s="2432"/>
      <c r="B47" s="2615" t="s">
        <v>5569</v>
      </c>
      <c r="C47" s="2407"/>
      <c r="D47" s="2408"/>
      <c r="E47" s="2409"/>
      <c r="F47" s="2438"/>
      <c r="G47" s="669"/>
      <c r="H47" s="2442" t="s">
        <v>3807</v>
      </c>
      <c r="I47" s="2444"/>
      <c r="J47" s="2442" t="s">
        <v>3807</v>
      </c>
      <c r="K47" s="2444"/>
      <c r="L47" s="2431" t="s">
        <v>3807</v>
      </c>
      <c r="M47" s="2443"/>
      <c r="N47" s="2442"/>
      <c r="O47" s="2443"/>
      <c r="P47" s="2442"/>
      <c r="Q47" s="2443"/>
      <c r="R47" s="2442"/>
      <c r="S47" s="2443"/>
    </row>
    <row r="48" spans="1:19">
      <c r="A48" s="2432"/>
      <c r="B48" s="2616" t="s">
        <v>5557</v>
      </c>
      <c r="C48" s="2407"/>
      <c r="D48" s="2441">
        <v>429</v>
      </c>
      <c r="E48" s="2409" t="s">
        <v>3112</v>
      </c>
      <c r="F48" s="2438">
        <v>90</v>
      </c>
      <c r="G48" s="669">
        <f>D48*F48</f>
        <v>38610</v>
      </c>
      <c r="H48" s="2442" t="s">
        <v>3028</v>
      </c>
      <c r="I48" s="2444"/>
      <c r="J48" s="2442" t="s">
        <v>3028</v>
      </c>
      <c r="K48" s="2444"/>
      <c r="L48" s="2431" t="s">
        <v>3028</v>
      </c>
      <c r="M48" s="2349"/>
      <c r="N48" s="2431"/>
      <c r="O48" s="2349"/>
      <c r="P48" s="2442"/>
      <c r="Q48" s="2443"/>
      <c r="R48" s="2431"/>
      <c r="S48" s="2349"/>
    </row>
    <row r="49" spans="1:19">
      <c r="A49" s="2432"/>
      <c r="B49" s="2615" t="s">
        <v>5569</v>
      </c>
      <c r="C49" s="2407"/>
      <c r="D49" s="2441"/>
      <c r="E49" s="2409"/>
      <c r="F49" s="2438"/>
      <c r="G49" s="669"/>
      <c r="H49" s="2442" t="s">
        <v>3028</v>
      </c>
      <c r="I49" s="2444"/>
      <c r="J49" s="2442" t="s">
        <v>3028</v>
      </c>
      <c r="K49" s="2444"/>
      <c r="L49" s="2431" t="s">
        <v>3028</v>
      </c>
      <c r="M49" s="2349"/>
      <c r="N49" s="2431"/>
      <c r="O49" s="2349"/>
      <c r="P49" s="2442"/>
      <c r="Q49" s="2443"/>
      <c r="R49" s="2431"/>
      <c r="S49" s="2349"/>
    </row>
    <row r="50" spans="1:19" ht="30">
      <c r="A50" s="2432"/>
      <c r="B50" s="2619" t="s">
        <v>5571</v>
      </c>
      <c r="C50" s="2407"/>
      <c r="D50" s="2408">
        <v>170</v>
      </c>
      <c r="E50" s="2409" t="s">
        <v>3112</v>
      </c>
      <c r="F50" s="2438">
        <v>90</v>
      </c>
      <c r="G50" s="662">
        <f>D50*F50</f>
        <v>15300</v>
      </c>
      <c r="H50" s="2442" t="s">
        <v>3028</v>
      </c>
      <c r="I50" s="2444"/>
      <c r="J50" s="2442" t="s">
        <v>3807</v>
      </c>
      <c r="K50" s="2444"/>
      <c r="L50" s="2431" t="s">
        <v>3028</v>
      </c>
      <c r="M50" s="2349"/>
      <c r="N50" s="2431"/>
      <c r="O50" s="2349"/>
      <c r="P50" s="2442"/>
      <c r="Q50" s="2443"/>
      <c r="R50" s="2431"/>
      <c r="S50" s="2349"/>
    </row>
    <row r="51" spans="1:19">
      <c r="A51" s="2432"/>
      <c r="B51" s="2615" t="s">
        <v>5572</v>
      </c>
      <c r="C51" s="2407"/>
      <c r="D51" s="2408"/>
      <c r="E51" s="2409"/>
      <c r="F51" s="2438"/>
      <c r="G51" s="669"/>
      <c r="H51" s="2442" t="s">
        <v>3028</v>
      </c>
      <c r="I51" s="2444"/>
      <c r="J51" s="2442" t="s">
        <v>3807</v>
      </c>
      <c r="K51" s="2444"/>
      <c r="L51" s="2431" t="s">
        <v>3028</v>
      </c>
      <c r="M51" s="2349"/>
      <c r="N51" s="2431"/>
      <c r="O51" s="2349"/>
      <c r="P51" s="2442"/>
      <c r="Q51" s="2443"/>
      <c r="R51" s="2431"/>
      <c r="S51" s="2349"/>
    </row>
    <row r="52" spans="1:19">
      <c r="A52" s="2432"/>
      <c r="B52" s="2616" t="s">
        <v>5573</v>
      </c>
      <c r="C52" s="2407"/>
      <c r="D52" s="2408"/>
      <c r="E52" s="2409"/>
      <c r="F52" s="2438"/>
      <c r="G52" s="669"/>
      <c r="H52" s="2431" t="s">
        <v>3028</v>
      </c>
      <c r="I52" s="2444"/>
      <c r="J52" s="2442" t="s">
        <v>3807</v>
      </c>
      <c r="K52" s="2444"/>
      <c r="L52" s="2431" t="s">
        <v>3028</v>
      </c>
      <c r="M52" s="2349"/>
      <c r="N52" s="2431"/>
      <c r="O52" s="2349"/>
      <c r="P52" s="2442"/>
      <c r="Q52" s="2443"/>
      <c r="R52" s="2431"/>
      <c r="S52" s="2349"/>
    </row>
    <row r="53" spans="1:19">
      <c r="A53" s="2432"/>
      <c r="B53" s="2615" t="s">
        <v>5574</v>
      </c>
      <c r="C53" s="2407"/>
      <c r="D53" s="2408"/>
      <c r="E53" s="2409"/>
      <c r="F53" s="2438"/>
      <c r="G53" s="669"/>
      <c r="H53" s="2431" t="s">
        <v>3028</v>
      </c>
      <c r="I53" s="2444"/>
      <c r="J53" s="2442" t="s">
        <v>3807</v>
      </c>
      <c r="K53" s="2444"/>
      <c r="L53" s="2431" t="s">
        <v>3028</v>
      </c>
      <c r="M53" s="2349"/>
      <c r="N53" s="2431"/>
      <c r="O53" s="2349"/>
      <c r="P53" s="2442"/>
      <c r="Q53" s="2443"/>
      <c r="R53" s="2431"/>
      <c r="S53" s="2349"/>
    </row>
    <row r="54" spans="1:19" ht="17.25" customHeight="1">
      <c r="A54" s="2432"/>
      <c r="B54" s="2619" t="s">
        <v>5575</v>
      </c>
      <c r="C54" s="2407"/>
      <c r="D54" s="2408">
        <v>192</v>
      </c>
      <c r="E54" s="2409" t="s">
        <v>3112</v>
      </c>
      <c r="F54" s="2438">
        <v>50</v>
      </c>
      <c r="G54" s="662">
        <f>D54*F54</f>
        <v>9600</v>
      </c>
      <c r="H54" s="2431" t="s">
        <v>3028</v>
      </c>
      <c r="I54" s="2444"/>
      <c r="J54" s="2448" t="s">
        <v>4877</v>
      </c>
      <c r="K54" s="2622">
        <v>9675.2000000000007</v>
      </c>
      <c r="L54" s="2448" t="s">
        <v>4877</v>
      </c>
      <c r="M54" s="2449">
        <f>K54</f>
        <v>9675.2000000000007</v>
      </c>
      <c r="N54" s="2431"/>
      <c r="O54" s="2349"/>
      <c r="P54" s="2442"/>
      <c r="Q54" s="2443"/>
      <c r="R54" s="2431"/>
      <c r="S54" s="2349"/>
    </row>
    <row r="55" spans="1:19">
      <c r="A55" s="2432"/>
      <c r="B55" s="2615" t="s">
        <v>5563</v>
      </c>
      <c r="C55" s="2407"/>
      <c r="D55" s="2408"/>
      <c r="E55" s="2409"/>
      <c r="F55" s="2438"/>
      <c r="G55" s="669"/>
      <c r="H55" s="2431" t="s">
        <v>3028</v>
      </c>
      <c r="I55" s="2444"/>
      <c r="J55" s="2448"/>
      <c r="K55" s="2622"/>
      <c r="L55" s="2448"/>
      <c r="M55" s="2449"/>
      <c r="N55" s="2431"/>
      <c r="O55" s="2349"/>
      <c r="P55" s="2442"/>
      <c r="Q55" s="2443"/>
      <c r="R55" s="2431"/>
      <c r="S55" s="2349"/>
    </row>
    <row r="56" spans="1:19">
      <c r="A56" s="2432"/>
      <c r="B56" s="2618" t="s">
        <v>5576</v>
      </c>
      <c r="C56" s="2407"/>
      <c r="D56" s="2441"/>
      <c r="E56" s="2409"/>
      <c r="F56" s="2438"/>
      <c r="G56" s="669"/>
      <c r="H56" s="2442" t="s">
        <v>3028</v>
      </c>
      <c r="I56" s="2444"/>
      <c r="J56" s="2442" t="s">
        <v>3028</v>
      </c>
      <c r="K56" s="2444"/>
      <c r="L56" s="2431" t="s">
        <v>3028</v>
      </c>
      <c r="M56" s="2349"/>
      <c r="N56" s="2431"/>
      <c r="O56" s="2349"/>
      <c r="P56" s="2442"/>
      <c r="Q56" s="2443"/>
      <c r="R56" s="2431"/>
      <c r="S56" s="2349"/>
    </row>
    <row r="57" spans="1:19">
      <c r="A57" s="2432"/>
      <c r="B57" s="2621" t="s">
        <v>5559</v>
      </c>
      <c r="C57" s="2407"/>
      <c r="D57" s="2441">
        <v>64</v>
      </c>
      <c r="E57" s="2409" t="s">
        <v>48</v>
      </c>
      <c r="F57" s="2438">
        <v>9</v>
      </c>
      <c r="G57" s="669">
        <f>D57*F57</f>
        <v>576</v>
      </c>
      <c r="H57" s="2442" t="s">
        <v>3028</v>
      </c>
      <c r="I57" s="2444"/>
      <c r="J57" s="2442" t="s">
        <v>3028</v>
      </c>
      <c r="K57" s="2444"/>
      <c r="L57" s="2431" t="s">
        <v>3028</v>
      </c>
      <c r="M57" s="2349"/>
      <c r="N57" s="2431"/>
      <c r="O57" s="2349"/>
      <c r="P57" s="2442"/>
      <c r="Q57" s="2443"/>
      <c r="R57" s="2431"/>
      <c r="S57" s="2349"/>
    </row>
    <row r="58" spans="1:19">
      <c r="A58" s="2432"/>
      <c r="B58" s="2615" t="s">
        <v>5563</v>
      </c>
      <c r="C58" s="2407"/>
      <c r="D58" s="2441"/>
      <c r="E58" s="2409"/>
      <c r="F58" s="2438"/>
      <c r="G58" s="669"/>
      <c r="H58" s="2442" t="s">
        <v>3028</v>
      </c>
      <c r="I58" s="2444"/>
      <c r="J58" s="2442" t="s">
        <v>3028</v>
      </c>
      <c r="K58" s="2444"/>
      <c r="L58" s="2431" t="s">
        <v>3028</v>
      </c>
      <c r="M58" s="2349"/>
      <c r="N58" s="2431"/>
      <c r="O58" s="2349"/>
      <c r="P58" s="2442"/>
      <c r="Q58" s="2443"/>
      <c r="R58" s="2431"/>
      <c r="S58" s="2349"/>
    </row>
    <row r="59" spans="1:19" ht="30">
      <c r="A59" s="2432"/>
      <c r="B59" s="2623" t="s">
        <v>5551</v>
      </c>
      <c r="C59" s="2407"/>
      <c r="D59" s="2441">
        <v>18</v>
      </c>
      <c r="E59" s="2409" t="s">
        <v>48</v>
      </c>
      <c r="F59" s="2438">
        <v>5</v>
      </c>
      <c r="G59" s="669">
        <f>D59*F59</f>
        <v>90</v>
      </c>
      <c r="H59" s="2442" t="s">
        <v>3028</v>
      </c>
      <c r="I59" s="2444"/>
      <c r="J59" s="2442" t="s">
        <v>3028</v>
      </c>
      <c r="K59" s="2444"/>
      <c r="L59" s="2431" t="s">
        <v>3028</v>
      </c>
      <c r="M59" s="2349"/>
      <c r="N59" s="2431"/>
      <c r="O59" s="2349"/>
      <c r="P59" s="2442"/>
      <c r="Q59" s="2443"/>
      <c r="R59" s="2431"/>
      <c r="S59" s="2349"/>
    </row>
    <row r="60" spans="1:19">
      <c r="A60" s="2432"/>
      <c r="B60" s="2624" t="s">
        <v>5577</v>
      </c>
      <c r="C60" s="2407"/>
      <c r="D60" s="2441"/>
      <c r="E60" s="2409"/>
      <c r="F60" s="2438"/>
      <c r="G60" s="669"/>
      <c r="H60" s="2442" t="s">
        <v>3028</v>
      </c>
      <c r="I60" s="2444"/>
      <c r="J60" s="2442" t="s">
        <v>3028</v>
      </c>
      <c r="K60" s="2444"/>
      <c r="L60" s="2431" t="s">
        <v>3028</v>
      </c>
      <c r="M60" s="2349"/>
      <c r="N60" s="2431"/>
      <c r="O60" s="2349"/>
      <c r="P60" s="2442"/>
      <c r="Q60" s="2443"/>
      <c r="R60" s="2431"/>
      <c r="S60" s="2349"/>
    </row>
    <row r="61" spans="1:19">
      <c r="A61" s="2432"/>
      <c r="B61" s="2623" t="s">
        <v>5578</v>
      </c>
      <c r="C61" s="2407"/>
      <c r="D61" s="2441">
        <v>300</v>
      </c>
      <c r="E61" s="2409" t="s">
        <v>48</v>
      </c>
      <c r="F61" s="2438">
        <v>5</v>
      </c>
      <c r="G61" s="669">
        <f>D61*F61</f>
        <v>1500</v>
      </c>
      <c r="H61" s="2442" t="s">
        <v>3028</v>
      </c>
      <c r="I61" s="2444"/>
      <c r="J61" s="2442" t="s">
        <v>3807</v>
      </c>
      <c r="K61" s="2444"/>
      <c r="L61" s="2431" t="s">
        <v>3028</v>
      </c>
      <c r="M61" s="2349"/>
      <c r="N61" s="2431"/>
      <c r="O61" s="2349"/>
      <c r="P61" s="2442"/>
      <c r="Q61" s="2443"/>
      <c r="R61" s="2431"/>
      <c r="S61" s="2349"/>
    </row>
    <row r="62" spans="1:19">
      <c r="A62" s="2432"/>
      <c r="B62" s="2624" t="s">
        <v>5579</v>
      </c>
      <c r="C62" s="2407"/>
      <c r="D62" s="2441"/>
      <c r="E62" s="2409"/>
      <c r="F62" s="2438"/>
      <c r="G62" s="669"/>
      <c r="H62" s="2442" t="s">
        <v>3028</v>
      </c>
      <c r="I62" s="2444"/>
      <c r="J62" s="2442" t="s">
        <v>3807</v>
      </c>
      <c r="K62" s="2444"/>
      <c r="L62" s="2431" t="s">
        <v>3028</v>
      </c>
      <c r="M62" s="2349"/>
      <c r="N62" s="2431"/>
      <c r="O62" s="2349"/>
      <c r="P62" s="2442"/>
      <c r="Q62" s="2443"/>
      <c r="R62" s="2431"/>
      <c r="S62" s="2349"/>
    </row>
    <row r="63" spans="1:19">
      <c r="A63" s="2432"/>
      <c r="B63" s="2623" t="s">
        <v>5580</v>
      </c>
      <c r="C63" s="2407"/>
      <c r="D63" s="2441">
        <f>14+45</f>
        <v>59</v>
      </c>
      <c r="E63" s="2409" t="s">
        <v>48</v>
      </c>
      <c r="F63" s="2438">
        <v>9</v>
      </c>
      <c r="G63" s="669">
        <f>D63*F63</f>
        <v>531</v>
      </c>
      <c r="H63" s="2442" t="s">
        <v>3028</v>
      </c>
      <c r="I63" s="2444"/>
      <c r="J63" s="2442" t="s">
        <v>3028</v>
      </c>
      <c r="K63" s="2444"/>
      <c r="L63" s="2431" t="s">
        <v>3028</v>
      </c>
      <c r="M63" s="2349"/>
      <c r="N63" s="2431"/>
      <c r="O63" s="2349"/>
      <c r="P63" s="2442"/>
      <c r="Q63" s="2443"/>
      <c r="R63" s="2431"/>
      <c r="S63" s="2349"/>
    </row>
    <row r="64" spans="1:19">
      <c r="A64" s="2432"/>
      <c r="B64" s="2624" t="s">
        <v>5581</v>
      </c>
      <c r="C64" s="2407"/>
      <c r="D64" s="2441"/>
      <c r="E64" s="2409"/>
      <c r="F64" s="2438"/>
      <c r="G64" s="669"/>
      <c r="H64" s="2442" t="s">
        <v>3028</v>
      </c>
      <c r="I64" s="2444"/>
      <c r="J64" s="2442" t="s">
        <v>3028</v>
      </c>
      <c r="K64" s="2444"/>
      <c r="L64" s="2431" t="s">
        <v>3028</v>
      </c>
      <c r="M64" s="2349"/>
      <c r="N64" s="2431"/>
      <c r="O64" s="2349"/>
      <c r="P64" s="2442"/>
      <c r="Q64" s="2443"/>
      <c r="R64" s="2431"/>
      <c r="S64" s="2349"/>
    </row>
    <row r="65" spans="1:19">
      <c r="A65" s="2432"/>
      <c r="B65" s="2616" t="s">
        <v>5557</v>
      </c>
      <c r="C65" s="2407"/>
      <c r="D65" s="2441">
        <v>101</v>
      </c>
      <c r="E65" s="2409" t="s">
        <v>48</v>
      </c>
      <c r="F65" s="2438">
        <v>9</v>
      </c>
      <c r="G65" s="669">
        <f>D65*F65</f>
        <v>909</v>
      </c>
      <c r="H65" s="2442" t="s">
        <v>3028</v>
      </c>
      <c r="I65" s="2444"/>
      <c r="J65" s="2442" t="s">
        <v>3028</v>
      </c>
      <c r="K65" s="2444"/>
      <c r="L65" s="2431" t="s">
        <v>3028</v>
      </c>
      <c r="M65" s="2349"/>
      <c r="N65" s="2431"/>
      <c r="O65" s="2349"/>
      <c r="P65" s="2442"/>
      <c r="Q65" s="2443"/>
      <c r="R65" s="2431"/>
      <c r="S65" s="2349"/>
    </row>
    <row r="66" spans="1:19">
      <c r="A66" s="2432"/>
      <c r="B66" s="2615" t="s">
        <v>5569</v>
      </c>
      <c r="C66" s="2407"/>
      <c r="D66" s="2441"/>
      <c r="E66" s="2409"/>
      <c r="F66" s="2438"/>
      <c r="G66" s="669"/>
      <c r="H66" s="2442" t="s">
        <v>3028</v>
      </c>
      <c r="I66" s="2444"/>
      <c r="J66" s="2442" t="s">
        <v>3028</v>
      </c>
      <c r="K66" s="2444"/>
      <c r="L66" s="2431" t="s">
        <v>3028</v>
      </c>
      <c r="M66" s="2349"/>
      <c r="N66" s="2431"/>
      <c r="O66" s="2349"/>
      <c r="P66" s="2442"/>
      <c r="Q66" s="2443"/>
      <c r="R66" s="2431"/>
      <c r="S66" s="2349"/>
    </row>
    <row r="67" spans="1:19">
      <c r="A67" s="2432"/>
      <c r="B67" s="2616" t="s">
        <v>5582</v>
      </c>
      <c r="C67" s="2407"/>
      <c r="D67" s="2441">
        <v>6</v>
      </c>
      <c r="E67" s="2409" t="s">
        <v>48</v>
      </c>
      <c r="F67" s="2438">
        <v>9</v>
      </c>
      <c r="G67" s="669">
        <f>D67*F67</f>
        <v>54</v>
      </c>
      <c r="H67" s="2442" t="s">
        <v>3028</v>
      </c>
      <c r="I67" s="2444"/>
      <c r="J67" s="2442" t="s">
        <v>3028</v>
      </c>
      <c r="K67" s="2444"/>
      <c r="L67" s="2431" t="s">
        <v>3028</v>
      </c>
      <c r="M67" s="2349"/>
      <c r="N67" s="2431"/>
      <c r="O67" s="2349"/>
      <c r="P67" s="2442"/>
      <c r="Q67" s="2443"/>
      <c r="R67" s="2431"/>
      <c r="S67" s="2349"/>
    </row>
    <row r="68" spans="1:19">
      <c r="A68" s="2432"/>
      <c r="B68" s="2615" t="s">
        <v>5569</v>
      </c>
      <c r="C68" s="2407"/>
      <c r="D68" s="2441"/>
      <c r="E68" s="2409"/>
      <c r="F68" s="2438"/>
      <c r="G68" s="669"/>
      <c r="H68" s="2442" t="s">
        <v>3028</v>
      </c>
      <c r="I68" s="2444"/>
      <c r="J68" s="2442" t="s">
        <v>3028</v>
      </c>
      <c r="K68" s="2444"/>
      <c r="L68" s="2431" t="s">
        <v>3028</v>
      </c>
      <c r="M68" s="2349"/>
      <c r="N68" s="2431"/>
      <c r="O68" s="2349"/>
      <c r="P68" s="2442"/>
      <c r="Q68" s="2443"/>
      <c r="R68" s="2431"/>
      <c r="S68" s="2349"/>
    </row>
    <row r="69" spans="1:19">
      <c r="A69" s="2432"/>
      <c r="B69" s="2616" t="s">
        <v>5555</v>
      </c>
      <c r="C69" s="2407"/>
      <c r="D69" s="2441">
        <v>20</v>
      </c>
      <c r="E69" s="2409" t="s">
        <v>48</v>
      </c>
      <c r="F69" s="2438">
        <v>9</v>
      </c>
      <c r="G69" s="669">
        <f>D69*F69</f>
        <v>180</v>
      </c>
      <c r="H69" s="2442" t="s">
        <v>3028</v>
      </c>
      <c r="I69" s="2444"/>
      <c r="J69" s="2442" t="s">
        <v>3028</v>
      </c>
      <c r="K69" s="2444"/>
      <c r="L69" s="2431" t="s">
        <v>3028</v>
      </c>
      <c r="M69" s="2349"/>
      <c r="N69" s="2431"/>
      <c r="O69" s="2349"/>
      <c r="P69" s="2442"/>
      <c r="Q69" s="2443"/>
      <c r="R69" s="2431"/>
      <c r="S69" s="2349"/>
    </row>
    <row r="70" spans="1:19">
      <c r="A70" s="2432"/>
      <c r="B70" s="2615" t="s">
        <v>5583</v>
      </c>
      <c r="C70" s="2407"/>
      <c r="D70" s="2441"/>
      <c r="E70" s="2409"/>
      <c r="F70" s="2438"/>
      <c r="G70" s="669"/>
      <c r="H70" s="2442" t="s">
        <v>3028</v>
      </c>
      <c r="I70" s="2444"/>
      <c r="J70" s="2442" t="s">
        <v>3028</v>
      </c>
      <c r="K70" s="2444"/>
      <c r="L70" s="2431" t="s">
        <v>3028</v>
      </c>
      <c r="M70" s="2349"/>
      <c r="N70" s="2431"/>
      <c r="O70" s="2349"/>
      <c r="P70" s="2442"/>
      <c r="Q70" s="2443"/>
      <c r="R70" s="2431"/>
      <c r="S70" s="2349"/>
    </row>
    <row r="71" spans="1:19">
      <c r="A71" s="2432"/>
      <c r="B71" s="2618" t="s">
        <v>5206</v>
      </c>
      <c r="C71" s="2407"/>
      <c r="D71" s="2441"/>
      <c r="E71" s="2409"/>
      <c r="F71" s="2438"/>
      <c r="G71" s="669"/>
      <c r="H71" s="2442" t="s">
        <v>3807</v>
      </c>
      <c r="I71" s="2444"/>
      <c r="J71" s="2442" t="s">
        <v>3807</v>
      </c>
      <c r="K71" s="2444"/>
      <c r="L71" s="2442" t="s">
        <v>3807</v>
      </c>
      <c r="M71" s="2349"/>
      <c r="N71" s="2431"/>
      <c r="O71" s="2349"/>
      <c r="P71" s="2442"/>
      <c r="Q71" s="2443"/>
      <c r="R71" s="2431"/>
      <c r="S71" s="2349"/>
    </row>
    <row r="72" spans="1:19">
      <c r="A72" s="2432"/>
      <c r="B72" s="2616" t="s">
        <v>5584</v>
      </c>
      <c r="C72" s="2407" t="s">
        <v>5585</v>
      </c>
      <c r="D72" s="2441">
        <v>1</v>
      </c>
      <c r="E72" s="2409" t="s">
        <v>5208</v>
      </c>
      <c r="F72" s="2438">
        <v>10000</v>
      </c>
      <c r="G72" s="669">
        <f>D72*F72</f>
        <v>10000</v>
      </c>
      <c r="H72" s="2442" t="s">
        <v>3028</v>
      </c>
      <c r="I72" s="2444"/>
      <c r="J72" s="2442" t="s">
        <v>3807</v>
      </c>
      <c r="K72" s="2444"/>
      <c r="L72" s="2442" t="s">
        <v>3807</v>
      </c>
      <c r="M72" s="2349"/>
      <c r="N72" s="2431"/>
      <c r="O72" s="2349"/>
      <c r="P72" s="2442"/>
      <c r="Q72" s="2443"/>
      <c r="R72" s="2431"/>
      <c r="S72" s="2349"/>
    </row>
    <row r="73" spans="1:19">
      <c r="A73" s="2432"/>
      <c r="B73" s="2616" t="s">
        <v>5586</v>
      </c>
      <c r="C73" s="2625" t="s">
        <v>5587</v>
      </c>
      <c r="D73" s="2408">
        <v>1</v>
      </c>
      <c r="E73" s="2409" t="s">
        <v>5208</v>
      </c>
      <c r="F73" s="2438">
        <v>2000</v>
      </c>
      <c r="G73" s="662">
        <f>D73*F73</f>
        <v>2000</v>
      </c>
      <c r="H73" s="2448" t="s">
        <v>4877</v>
      </c>
      <c r="I73" s="2622">
        <f>G73</f>
        <v>2000</v>
      </c>
      <c r="J73" s="2448" t="s">
        <v>4877</v>
      </c>
      <c r="K73" s="2622">
        <f>I73</f>
        <v>2000</v>
      </c>
      <c r="L73" s="2448" t="s">
        <v>4877</v>
      </c>
      <c r="M73" s="2622">
        <f>K73</f>
        <v>2000</v>
      </c>
      <c r="N73" s="2431"/>
      <c r="O73" s="2349"/>
      <c r="P73" s="2442"/>
      <c r="Q73" s="2349"/>
      <c r="R73" s="2431"/>
      <c r="S73" s="2349"/>
    </row>
    <row r="74" spans="1:19">
      <c r="A74" s="2432"/>
      <c r="B74" s="2617" t="s">
        <v>5588</v>
      </c>
      <c r="C74" s="2407"/>
      <c r="D74" s="2441"/>
      <c r="E74" s="2409"/>
      <c r="F74" s="2438"/>
      <c r="G74" s="669"/>
      <c r="H74" s="2442" t="s">
        <v>3028</v>
      </c>
      <c r="I74" s="2444">
        <f>52961.39+71643</f>
        <v>124604.39</v>
      </c>
      <c r="J74" s="2442" t="s">
        <v>3028</v>
      </c>
      <c r="K74" s="2444">
        <v>68000</v>
      </c>
      <c r="L74" s="2442" t="s">
        <v>3028</v>
      </c>
      <c r="M74" s="2349"/>
      <c r="N74" s="2431"/>
      <c r="O74" s="2349"/>
      <c r="P74" s="2442"/>
      <c r="Q74" s="2443"/>
      <c r="R74" s="2431"/>
      <c r="S74" s="2349"/>
    </row>
    <row r="75" spans="1:19">
      <c r="A75" s="2432"/>
      <c r="B75" s="2618" t="s">
        <v>2577</v>
      </c>
      <c r="C75" s="2407"/>
      <c r="D75" s="2441"/>
      <c r="E75" s="2409"/>
      <c r="F75" s="2438"/>
      <c r="G75" s="669"/>
      <c r="H75" s="2442" t="s">
        <v>3028</v>
      </c>
      <c r="I75" s="2444"/>
      <c r="J75" s="2442" t="s">
        <v>3028</v>
      </c>
      <c r="K75" s="2444"/>
      <c r="L75" s="2442" t="s">
        <v>3028</v>
      </c>
      <c r="M75" s="2349"/>
      <c r="N75" s="2431"/>
      <c r="O75" s="2349"/>
      <c r="P75" s="2442"/>
      <c r="Q75" s="2443"/>
      <c r="R75" s="2431"/>
      <c r="S75" s="2349"/>
    </row>
    <row r="76" spans="1:19">
      <c r="A76" s="2432"/>
      <c r="B76" s="2616" t="s">
        <v>5589</v>
      </c>
      <c r="C76" s="2407"/>
      <c r="D76" s="2441">
        <v>926</v>
      </c>
      <c r="E76" s="2409" t="s">
        <v>3112</v>
      </c>
      <c r="F76" s="2438">
        <v>90</v>
      </c>
      <c r="G76" s="669">
        <f>D76*F76</f>
        <v>83340</v>
      </c>
      <c r="H76" s="2442" t="s">
        <v>3028</v>
      </c>
      <c r="I76" s="2444"/>
      <c r="J76" s="2442" t="s">
        <v>3028</v>
      </c>
      <c r="K76" s="2444"/>
      <c r="L76" s="2442" t="s">
        <v>3028</v>
      </c>
      <c r="M76" s="2349"/>
      <c r="N76" s="2431"/>
      <c r="O76" s="2349"/>
      <c r="P76" s="2442"/>
      <c r="Q76" s="2443"/>
      <c r="R76" s="2431"/>
      <c r="S76" s="2349"/>
    </row>
    <row r="77" spans="1:19">
      <c r="A77" s="2432"/>
      <c r="B77" s="2615" t="s">
        <v>5590</v>
      </c>
      <c r="C77" s="2407"/>
      <c r="D77" s="2441"/>
      <c r="E77" s="2409"/>
      <c r="F77" s="2438"/>
      <c r="G77" s="669"/>
      <c r="H77" s="2442" t="s">
        <v>3028</v>
      </c>
      <c r="I77" s="2444"/>
      <c r="J77" s="2442" t="s">
        <v>3028</v>
      </c>
      <c r="K77" s="2444"/>
      <c r="L77" s="2442" t="s">
        <v>3028</v>
      </c>
      <c r="M77" s="2349"/>
      <c r="N77" s="2431"/>
      <c r="O77" s="2349"/>
      <c r="P77" s="2442"/>
      <c r="Q77" s="2443"/>
      <c r="R77" s="2431"/>
      <c r="S77" s="2349"/>
    </row>
    <row r="78" spans="1:19">
      <c r="A78" s="2432"/>
      <c r="B78" s="2616" t="s">
        <v>5553</v>
      </c>
      <c r="C78" s="2407"/>
      <c r="D78" s="2441">
        <v>175</v>
      </c>
      <c r="E78" s="2409" t="s">
        <v>3112</v>
      </c>
      <c r="F78" s="2438">
        <v>15</v>
      </c>
      <c r="G78" s="669">
        <f>D78*F78</f>
        <v>2625</v>
      </c>
      <c r="H78" s="2442" t="s">
        <v>3028</v>
      </c>
      <c r="I78" s="2444"/>
      <c r="J78" s="2442" t="s">
        <v>3028</v>
      </c>
      <c r="K78" s="2444"/>
      <c r="L78" s="2442" t="s">
        <v>3028</v>
      </c>
      <c r="M78" s="2349"/>
      <c r="N78" s="2431"/>
      <c r="O78" s="2349"/>
      <c r="P78" s="2442"/>
      <c r="Q78" s="2443"/>
      <c r="R78" s="2431"/>
      <c r="S78" s="2349"/>
    </row>
    <row r="79" spans="1:19">
      <c r="A79" s="2432"/>
      <c r="B79" s="2615" t="s">
        <v>5591</v>
      </c>
      <c r="C79" s="2407"/>
      <c r="D79" s="2441"/>
      <c r="E79" s="2409"/>
      <c r="F79" s="2438"/>
      <c r="G79" s="669"/>
      <c r="H79" s="2442" t="s">
        <v>3028</v>
      </c>
      <c r="I79" s="2444"/>
      <c r="J79" s="2442" t="s">
        <v>3028</v>
      </c>
      <c r="K79" s="2444"/>
      <c r="L79" s="2442" t="s">
        <v>3028</v>
      </c>
      <c r="M79" s="2349"/>
      <c r="N79" s="2431"/>
      <c r="O79" s="2349"/>
      <c r="P79" s="2442"/>
      <c r="Q79" s="2443"/>
      <c r="R79" s="2431"/>
      <c r="S79" s="2349"/>
    </row>
    <row r="80" spans="1:19">
      <c r="A80" s="2432"/>
      <c r="B80" s="2618" t="s">
        <v>3051</v>
      </c>
      <c r="C80" s="2407"/>
      <c r="D80" s="2441"/>
      <c r="E80" s="2409"/>
      <c r="F80" s="2438"/>
      <c r="G80" s="669"/>
      <c r="H80" s="2442" t="s">
        <v>3028</v>
      </c>
      <c r="I80" s="2444"/>
      <c r="J80" s="2442" t="s">
        <v>3028</v>
      </c>
      <c r="K80" s="2444"/>
      <c r="L80" s="2442" t="s">
        <v>3028</v>
      </c>
      <c r="M80" s="2349"/>
      <c r="N80" s="2431"/>
      <c r="O80" s="2349"/>
      <c r="P80" s="2442"/>
      <c r="Q80" s="2443"/>
      <c r="R80" s="2431"/>
      <c r="S80" s="2349"/>
    </row>
    <row r="81" spans="1:19" ht="30">
      <c r="A81" s="2432"/>
      <c r="B81" s="2619" t="s">
        <v>5592</v>
      </c>
      <c r="C81" s="2407"/>
      <c r="D81" s="2441">
        <f>72+96</f>
        <v>168</v>
      </c>
      <c r="E81" s="2409" t="s">
        <v>3112</v>
      </c>
      <c r="F81" s="2438">
        <v>60</v>
      </c>
      <c r="G81" s="669">
        <f>D81*F81</f>
        <v>10080</v>
      </c>
      <c r="H81" s="2442" t="s">
        <v>3028</v>
      </c>
      <c r="I81" s="2444"/>
      <c r="J81" s="2442" t="s">
        <v>3028</v>
      </c>
      <c r="K81" s="2444"/>
      <c r="L81" s="2442" t="s">
        <v>3028</v>
      </c>
      <c r="M81" s="2443"/>
      <c r="N81" s="2442"/>
      <c r="O81" s="2443"/>
      <c r="P81" s="2442"/>
      <c r="Q81" s="2443"/>
      <c r="R81" s="2442"/>
      <c r="S81" s="2443"/>
    </row>
    <row r="82" spans="1:19">
      <c r="A82" s="2432"/>
      <c r="B82" s="2615" t="s">
        <v>5593</v>
      </c>
      <c r="C82" s="2407"/>
      <c r="D82" s="2441"/>
      <c r="E82" s="2409"/>
      <c r="F82" s="2438"/>
      <c r="G82" s="669"/>
      <c r="H82" s="2442" t="s">
        <v>3028</v>
      </c>
      <c r="I82" s="2444"/>
      <c r="J82" s="2442" t="s">
        <v>3028</v>
      </c>
      <c r="K82" s="2444"/>
      <c r="L82" s="2442" t="s">
        <v>3028</v>
      </c>
      <c r="M82" s="2443"/>
      <c r="N82" s="2442"/>
      <c r="O82" s="2443"/>
      <c r="P82" s="2442"/>
      <c r="Q82" s="2443"/>
      <c r="R82" s="2442"/>
      <c r="S82" s="2443"/>
    </row>
    <row r="83" spans="1:19">
      <c r="A83" s="2432"/>
      <c r="B83" s="2616" t="s">
        <v>5594</v>
      </c>
      <c r="C83" s="2407"/>
      <c r="D83" s="2441">
        <v>193</v>
      </c>
      <c r="E83" s="2409" t="s">
        <v>3112</v>
      </c>
      <c r="F83" s="2438">
        <v>60</v>
      </c>
      <c r="G83" s="669">
        <f>D83*F83</f>
        <v>11580</v>
      </c>
      <c r="H83" s="2442" t="s">
        <v>3028</v>
      </c>
      <c r="I83" s="2444"/>
      <c r="J83" s="2442" t="s">
        <v>3028</v>
      </c>
      <c r="K83" s="2444"/>
      <c r="L83" s="2442" t="s">
        <v>3028</v>
      </c>
      <c r="M83" s="2443"/>
      <c r="N83" s="2442"/>
      <c r="O83" s="2443"/>
      <c r="P83" s="2442"/>
      <c r="Q83" s="2443"/>
      <c r="R83" s="2442"/>
      <c r="S83" s="2443"/>
    </row>
    <row r="84" spans="1:19">
      <c r="A84" s="2432"/>
      <c r="B84" s="2615" t="s">
        <v>4413</v>
      </c>
      <c r="C84" s="2407"/>
      <c r="D84" s="2441"/>
      <c r="E84" s="2409"/>
      <c r="F84" s="2438"/>
      <c r="G84" s="669"/>
      <c r="H84" s="2442" t="s">
        <v>3028</v>
      </c>
      <c r="I84" s="2444"/>
      <c r="J84" s="2442" t="s">
        <v>3028</v>
      </c>
      <c r="K84" s="2444"/>
      <c r="L84" s="2442" t="s">
        <v>3028</v>
      </c>
      <c r="M84" s="2443"/>
      <c r="N84" s="2442"/>
      <c r="O84" s="2443"/>
      <c r="P84" s="2442"/>
      <c r="Q84" s="2443"/>
      <c r="R84" s="2442"/>
      <c r="S84" s="2443"/>
    </row>
    <row r="85" spans="1:19" ht="14.25" customHeight="1">
      <c r="A85" s="2432"/>
      <c r="B85" s="2619" t="s">
        <v>5595</v>
      </c>
      <c r="C85" s="2407"/>
      <c r="D85" s="2441">
        <v>88</v>
      </c>
      <c r="E85" s="2409" t="s">
        <v>3112</v>
      </c>
      <c r="F85" s="2438">
        <v>85</v>
      </c>
      <c r="G85" s="669">
        <f>D85*F85</f>
        <v>7480</v>
      </c>
      <c r="H85" s="2442" t="s">
        <v>3028</v>
      </c>
      <c r="I85" s="2431"/>
      <c r="J85" s="2442" t="s">
        <v>3028</v>
      </c>
      <c r="K85" s="2444"/>
      <c r="L85" s="2442" t="s">
        <v>3028</v>
      </c>
      <c r="M85" s="2443"/>
      <c r="N85" s="2442"/>
      <c r="O85" s="2443"/>
      <c r="P85" s="2442"/>
      <c r="Q85" s="2443"/>
      <c r="R85" s="2442"/>
      <c r="S85" s="2443"/>
    </row>
    <row r="86" spans="1:19">
      <c r="A86" s="2432"/>
      <c r="B86" s="2615" t="s">
        <v>4413</v>
      </c>
      <c r="C86" s="2407"/>
      <c r="D86" s="2441"/>
      <c r="E86" s="2409"/>
      <c r="F86" s="2438"/>
      <c r="G86" s="669"/>
      <c r="H86" s="2442" t="s">
        <v>3028</v>
      </c>
      <c r="I86" s="2431"/>
      <c r="J86" s="2442" t="s">
        <v>3028</v>
      </c>
      <c r="K86" s="2444"/>
      <c r="L86" s="2442" t="s">
        <v>3028</v>
      </c>
      <c r="M86" s="2443"/>
      <c r="N86" s="2442"/>
      <c r="O86" s="2443"/>
      <c r="P86" s="2442"/>
      <c r="Q86" s="2443"/>
      <c r="R86" s="2442"/>
      <c r="S86" s="2443"/>
    </row>
    <row r="87" spans="1:19">
      <c r="A87" s="2432"/>
      <c r="B87" s="2616" t="s">
        <v>5596</v>
      </c>
      <c r="C87" s="2407"/>
      <c r="D87" s="2441">
        <v>88</v>
      </c>
      <c r="E87" s="2409" t="s">
        <v>3112</v>
      </c>
      <c r="F87" s="2438">
        <v>85</v>
      </c>
      <c r="G87" s="669">
        <f>D87*F87</f>
        <v>7480</v>
      </c>
      <c r="H87" s="2442" t="s">
        <v>3028</v>
      </c>
      <c r="I87" s="2444"/>
      <c r="J87" s="2442" t="s">
        <v>3028</v>
      </c>
      <c r="K87" s="2444"/>
      <c r="L87" s="2442" t="s">
        <v>3028</v>
      </c>
      <c r="M87" s="2443"/>
      <c r="N87" s="2442"/>
      <c r="O87" s="2443"/>
      <c r="P87" s="2442"/>
      <c r="Q87" s="2443"/>
      <c r="R87" s="2442"/>
      <c r="S87" s="2443"/>
    </row>
    <row r="88" spans="1:19">
      <c r="A88" s="2432"/>
      <c r="B88" s="2615" t="s">
        <v>4413</v>
      </c>
      <c r="C88" s="2407"/>
      <c r="D88" s="2441"/>
      <c r="E88" s="2409"/>
      <c r="F88" s="2438"/>
      <c r="G88" s="669"/>
      <c r="H88" s="2442" t="s">
        <v>3028</v>
      </c>
      <c r="I88" s="2444"/>
      <c r="J88" s="2442" t="s">
        <v>3028</v>
      </c>
      <c r="K88" s="2444"/>
      <c r="L88" s="2442" t="s">
        <v>3028</v>
      </c>
      <c r="M88" s="2443"/>
      <c r="N88" s="2442"/>
      <c r="O88" s="2443"/>
      <c r="P88" s="2442"/>
      <c r="Q88" s="2443"/>
      <c r="R88" s="2442"/>
      <c r="S88" s="2443"/>
    </row>
    <row r="89" spans="1:19">
      <c r="A89" s="2432"/>
      <c r="B89" s="2618" t="s">
        <v>5597</v>
      </c>
      <c r="C89" s="2407"/>
      <c r="D89" s="2441"/>
      <c r="E89" s="2409"/>
      <c r="F89" s="2438"/>
      <c r="G89" s="669"/>
      <c r="H89" s="2442" t="s">
        <v>3028</v>
      </c>
      <c r="I89" s="2444"/>
      <c r="J89" s="2442" t="s">
        <v>3807</v>
      </c>
      <c r="K89" s="2444"/>
      <c r="L89" s="2442" t="s">
        <v>3028</v>
      </c>
      <c r="M89" s="2349"/>
      <c r="N89" s="2431"/>
      <c r="O89" s="2349"/>
      <c r="P89" s="2442"/>
      <c r="Q89" s="2443"/>
      <c r="R89" s="2431"/>
      <c r="S89" s="2349"/>
    </row>
    <row r="90" spans="1:19">
      <c r="A90" s="2432"/>
      <c r="B90" s="2621" t="s">
        <v>5598</v>
      </c>
      <c r="C90" s="2407"/>
      <c r="D90" s="2441">
        <v>400</v>
      </c>
      <c r="E90" s="2409" t="s">
        <v>48</v>
      </c>
      <c r="F90" s="2438">
        <v>5</v>
      </c>
      <c r="G90" s="669">
        <f>D90*F90</f>
        <v>2000</v>
      </c>
      <c r="H90" s="2442" t="s">
        <v>3028</v>
      </c>
      <c r="I90" s="2444"/>
      <c r="J90" s="2442" t="s">
        <v>3807</v>
      </c>
      <c r="K90" s="2444"/>
      <c r="L90" s="2442" t="s">
        <v>3028</v>
      </c>
      <c r="M90" s="2443"/>
      <c r="N90" s="2442"/>
      <c r="O90" s="2443"/>
      <c r="P90" s="2442"/>
      <c r="Q90" s="2443"/>
      <c r="R90" s="2442"/>
      <c r="S90" s="2443"/>
    </row>
    <row r="91" spans="1:19">
      <c r="A91" s="2432"/>
      <c r="B91" s="2617" t="s">
        <v>5599</v>
      </c>
      <c r="C91" s="2407"/>
      <c r="D91" s="2441"/>
      <c r="E91" s="2409"/>
      <c r="F91" s="2438"/>
      <c r="G91" s="669"/>
      <c r="H91" s="2442" t="s">
        <v>3028</v>
      </c>
      <c r="I91" s="2444">
        <f>622089.7+1336524.2</f>
        <v>1958613.9</v>
      </c>
      <c r="J91" s="2442" t="s">
        <v>3028</v>
      </c>
      <c r="K91" s="2444">
        <v>751500</v>
      </c>
      <c r="L91" s="2442" t="s">
        <v>3028</v>
      </c>
      <c r="M91" s="2349"/>
      <c r="N91" s="2431"/>
      <c r="O91" s="2349"/>
      <c r="P91" s="2442"/>
      <c r="Q91" s="2443"/>
      <c r="R91" s="2431"/>
      <c r="S91" s="2349"/>
    </row>
    <row r="92" spans="1:19">
      <c r="A92" s="2432"/>
      <c r="B92" s="2618" t="s">
        <v>2577</v>
      </c>
      <c r="C92" s="2407"/>
      <c r="D92" s="2441"/>
      <c r="E92" s="2409"/>
      <c r="F92" s="2438"/>
      <c r="G92" s="669"/>
      <c r="H92" s="2442" t="s">
        <v>3028</v>
      </c>
      <c r="I92" s="2444"/>
      <c r="J92" s="2442" t="s">
        <v>3028</v>
      </c>
      <c r="K92" s="2444"/>
      <c r="L92" s="2442" t="s">
        <v>3028</v>
      </c>
      <c r="M92" s="2349"/>
      <c r="N92" s="2431"/>
      <c r="O92" s="2349"/>
      <c r="P92" s="2442"/>
      <c r="Q92" s="2443"/>
      <c r="R92" s="2431"/>
      <c r="S92" s="2349"/>
    </row>
    <row r="93" spans="1:19">
      <c r="A93" s="2432"/>
      <c r="B93" s="2619" t="s">
        <v>5580</v>
      </c>
      <c r="C93" s="2407"/>
      <c r="D93" s="2441">
        <v>1417</v>
      </c>
      <c r="E93" s="2409" t="s">
        <v>3112</v>
      </c>
      <c r="F93" s="2438">
        <v>60</v>
      </c>
      <c r="G93" s="669">
        <f>D93*F93</f>
        <v>85020</v>
      </c>
      <c r="H93" s="2442" t="s">
        <v>3028</v>
      </c>
      <c r="I93" s="2444"/>
      <c r="J93" s="2442" t="s">
        <v>3028</v>
      </c>
      <c r="K93" s="2444"/>
      <c r="L93" s="2442" t="s">
        <v>3028</v>
      </c>
      <c r="M93" s="2349"/>
      <c r="N93" s="2431"/>
      <c r="O93" s="2349"/>
      <c r="P93" s="2442"/>
      <c r="Q93" s="2443"/>
      <c r="R93" s="2431"/>
      <c r="S93" s="2349"/>
    </row>
    <row r="94" spans="1:19" ht="31.5">
      <c r="A94" s="2432"/>
      <c r="B94" s="2626" t="s">
        <v>5600</v>
      </c>
      <c r="C94" s="2407"/>
      <c r="D94" s="2441"/>
      <c r="E94" s="2409"/>
      <c r="F94" s="2438"/>
      <c r="G94" s="669"/>
      <c r="H94" s="2442" t="s">
        <v>3028</v>
      </c>
      <c r="I94" s="2444"/>
      <c r="J94" s="2442" t="s">
        <v>3028</v>
      </c>
      <c r="K94" s="2444"/>
      <c r="L94" s="2442" t="s">
        <v>3028</v>
      </c>
      <c r="M94" s="2349"/>
      <c r="N94" s="2431"/>
      <c r="O94" s="2349"/>
      <c r="P94" s="2442"/>
      <c r="Q94" s="2443"/>
      <c r="R94" s="2431"/>
      <c r="S94" s="2349"/>
    </row>
    <row r="95" spans="1:19">
      <c r="A95" s="2432"/>
      <c r="B95" s="2616" t="s">
        <v>5557</v>
      </c>
      <c r="C95" s="2407"/>
      <c r="D95" s="2441">
        <v>3503</v>
      </c>
      <c r="E95" s="2409" t="s">
        <v>3112</v>
      </c>
      <c r="F95" s="2438">
        <v>60</v>
      </c>
      <c r="G95" s="669">
        <f>D95*F95</f>
        <v>210180</v>
      </c>
      <c r="H95" s="2442" t="s">
        <v>3028</v>
      </c>
      <c r="I95" s="2444"/>
      <c r="J95" s="2442" t="s">
        <v>3028</v>
      </c>
      <c r="K95" s="2444"/>
      <c r="L95" s="2442" t="s">
        <v>3028</v>
      </c>
      <c r="M95" s="2349"/>
      <c r="N95" s="2431"/>
      <c r="O95" s="2349"/>
      <c r="P95" s="2442"/>
      <c r="Q95" s="2443"/>
      <c r="R95" s="2431"/>
      <c r="S95" s="2349"/>
    </row>
    <row r="96" spans="1:19" ht="45">
      <c r="A96" s="2432"/>
      <c r="B96" s="2620" t="s">
        <v>5601</v>
      </c>
      <c r="C96" s="2407"/>
      <c r="D96" s="2441"/>
      <c r="E96" s="2409"/>
      <c r="F96" s="2438"/>
      <c r="G96" s="669"/>
      <c r="H96" s="2442" t="s">
        <v>3028</v>
      </c>
      <c r="I96" s="2444"/>
      <c r="J96" s="2442" t="s">
        <v>3028</v>
      </c>
      <c r="K96" s="2444"/>
      <c r="L96" s="2442" t="s">
        <v>3028</v>
      </c>
      <c r="M96" s="2349"/>
      <c r="N96" s="2431"/>
      <c r="O96" s="2349"/>
      <c r="P96" s="2442"/>
      <c r="Q96" s="2443"/>
      <c r="R96" s="2431"/>
      <c r="S96" s="2349"/>
    </row>
    <row r="97" spans="1:19">
      <c r="A97" s="2432"/>
      <c r="B97" s="2616" t="s">
        <v>5559</v>
      </c>
      <c r="C97" s="2407"/>
      <c r="D97" s="2441">
        <v>379</v>
      </c>
      <c r="E97" s="2409" t="s">
        <v>3112</v>
      </c>
      <c r="F97" s="2438">
        <v>60</v>
      </c>
      <c r="G97" s="669">
        <f>D97*F97</f>
        <v>22740</v>
      </c>
      <c r="H97" s="2442" t="s">
        <v>3028</v>
      </c>
      <c r="I97" s="2444"/>
      <c r="J97" s="2442" t="s">
        <v>3028</v>
      </c>
      <c r="K97" s="2444"/>
      <c r="L97" s="2442" t="s">
        <v>3028</v>
      </c>
      <c r="M97" s="2349"/>
      <c r="N97" s="2431"/>
      <c r="O97" s="2349"/>
      <c r="P97" s="2442"/>
      <c r="Q97" s="2443"/>
      <c r="R97" s="2431"/>
      <c r="S97" s="2349"/>
    </row>
    <row r="98" spans="1:19">
      <c r="A98" s="2432"/>
      <c r="B98" s="2615" t="s">
        <v>5560</v>
      </c>
      <c r="C98" s="2407"/>
      <c r="D98" s="2441"/>
      <c r="E98" s="2409"/>
      <c r="F98" s="2438"/>
      <c r="G98" s="669"/>
      <c r="H98" s="2442" t="s">
        <v>3028</v>
      </c>
      <c r="I98" s="2444"/>
      <c r="J98" s="2442" t="s">
        <v>3028</v>
      </c>
      <c r="K98" s="2444"/>
      <c r="L98" s="2442" t="s">
        <v>3028</v>
      </c>
      <c r="M98" s="2349"/>
      <c r="N98" s="2431"/>
      <c r="O98" s="2349"/>
      <c r="P98" s="2442"/>
      <c r="Q98" s="2443"/>
      <c r="R98" s="2431"/>
      <c r="S98" s="2349"/>
    </row>
    <row r="99" spans="1:19">
      <c r="A99" s="2432"/>
      <c r="B99" s="2616" t="s">
        <v>5589</v>
      </c>
      <c r="C99" s="2407"/>
      <c r="D99" s="2441">
        <v>676</v>
      </c>
      <c r="E99" s="2409" t="s">
        <v>3112</v>
      </c>
      <c r="F99" s="2438">
        <v>60</v>
      </c>
      <c r="G99" s="669">
        <f>D99*F99</f>
        <v>40560</v>
      </c>
      <c r="H99" s="2442" t="s">
        <v>3028</v>
      </c>
      <c r="I99" s="2444"/>
      <c r="J99" s="2431" t="s">
        <v>3028</v>
      </c>
      <c r="K99" s="2444"/>
      <c r="L99" s="2442" t="s">
        <v>3028</v>
      </c>
      <c r="M99" s="2349"/>
      <c r="N99" s="2431"/>
      <c r="O99" s="2349"/>
      <c r="P99" s="2442"/>
      <c r="Q99" s="2443"/>
      <c r="R99" s="2431"/>
      <c r="S99" s="2349"/>
    </row>
    <row r="100" spans="1:19">
      <c r="A100" s="2432"/>
      <c r="B100" s="2615" t="s">
        <v>3872</v>
      </c>
      <c r="C100" s="2407"/>
      <c r="D100" s="2441"/>
      <c r="E100" s="2409"/>
      <c r="F100" s="2438"/>
      <c r="G100" s="669"/>
      <c r="H100" s="2442" t="s">
        <v>3028</v>
      </c>
      <c r="I100" s="2444"/>
      <c r="J100" s="2442" t="s">
        <v>3028</v>
      </c>
      <c r="K100" s="2444"/>
      <c r="L100" s="2442" t="s">
        <v>3028</v>
      </c>
      <c r="M100" s="2349"/>
      <c r="N100" s="2431"/>
      <c r="O100" s="2349"/>
      <c r="P100" s="2442"/>
      <c r="Q100" s="2443"/>
      <c r="R100" s="2431"/>
      <c r="S100" s="2349"/>
    </row>
    <row r="101" spans="1:19">
      <c r="A101" s="2432"/>
      <c r="B101" s="2616" t="s">
        <v>5602</v>
      </c>
      <c r="C101" s="2407"/>
      <c r="D101" s="2441">
        <v>255</v>
      </c>
      <c r="E101" s="2409" t="s">
        <v>3112</v>
      </c>
      <c r="F101" s="2438">
        <v>60</v>
      </c>
      <c r="G101" s="669">
        <f>D101*F101</f>
        <v>15300</v>
      </c>
      <c r="H101" s="2442" t="s">
        <v>3028</v>
      </c>
      <c r="I101" s="2444"/>
      <c r="J101" s="2442" t="s">
        <v>3028</v>
      </c>
      <c r="K101" s="2444"/>
      <c r="L101" s="2442" t="s">
        <v>3028</v>
      </c>
      <c r="M101" s="2349"/>
      <c r="N101" s="2431"/>
      <c r="O101" s="2349"/>
      <c r="P101" s="2442"/>
      <c r="Q101" s="2443"/>
      <c r="R101" s="2431"/>
      <c r="S101" s="2349"/>
    </row>
    <row r="102" spans="1:19">
      <c r="A102" s="2432"/>
      <c r="B102" s="2615" t="s">
        <v>3937</v>
      </c>
      <c r="C102" s="2407"/>
      <c r="D102" s="2441"/>
      <c r="E102" s="2409"/>
      <c r="F102" s="2438"/>
      <c r="G102" s="669"/>
      <c r="H102" s="2442" t="s">
        <v>3028</v>
      </c>
      <c r="I102" s="2444"/>
      <c r="J102" s="2442" t="s">
        <v>3028</v>
      </c>
      <c r="K102" s="2444"/>
      <c r="L102" s="2442" t="s">
        <v>3028</v>
      </c>
      <c r="M102" s="2349"/>
      <c r="N102" s="2431"/>
      <c r="O102" s="2349"/>
      <c r="P102" s="2442"/>
      <c r="Q102" s="2443"/>
      <c r="R102" s="2431"/>
      <c r="S102" s="2349"/>
    </row>
    <row r="103" spans="1:19" ht="30">
      <c r="A103" s="2432"/>
      <c r="B103" s="2619" t="s">
        <v>5603</v>
      </c>
      <c r="C103" s="2407"/>
      <c r="D103" s="2441">
        <v>178</v>
      </c>
      <c r="E103" s="2409" t="s">
        <v>3112</v>
      </c>
      <c r="F103" s="2438">
        <v>60</v>
      </c>
      <c r="G103" s="669">
        <f>D103*F103</f>
        <v>10680</v>
      </c>
      <c r="H103" s="2442" t="s">
        <v>3028</v>
      </c>
      <c r="I103" s="2444"/>
      <c r="J103" s="2442" t="s">
        <v>3028</v>
      </c>
      <c r="K103" s="2444"/>
      <c r="L103" s="2442" t="s">
        <v>3028</v>
      </c>
      <c r="M103" s="2349"/>
      <c r="N103" s="2431"/>
      <c r="O103" s="2349"/>
      <c r="P103" s="2442"/>
      <c r="Q103" s="2443"/>
      <c r="R103" s="2431"/>
      <c r="S103" s="2349"/>
    </row>
    <row r="104" spans="1:19" ht="16.5" customHeight="1">
      <c r="A104" s="2432"/>
      <c r="B104" s="2620" t="s">
        <v>5604</v>
      </c>
      <c r="C104" s="2407"/>
      <c r="D104" s="2441"/>
      <c r="E104" s="2409"/>
      <c r="F104" s="2438"/>
      <c r="G104" s="669"/>
      <c r="H104" s="2442" t="s">
        <v>3028</v>
      </c>
      <c r="I104" s="2444"/>
      <c r="J104" s="2442" t="s">
        <v>3028</v>
      </c>
      <c r="K104" s="2444"/>
      <c r="L104" s="2442" t="s">
        <v>3028</v>
      </c>
      <c r="M104" s="2349"/>
      <c r="N104" s="2431"/>
      <c r="O104" s="2349"/>
      <c r="P104" s="2442"/>
      <c r="Q104" s="2443"/>
      <c r="R104" s="2431"/>
      <c r="S104" s="2349"/>
    </row>
    <row r="105" spans="1:19" ht="30">
      <c r="A105" s="2432"/>
      <c r="B105" s="2619" t="s">
        <v>5605</v>
      </c>
      <c r="C105" s="2407"/>
      <c r="D105" s="2441">
        <v>374</v>
      </c>
      <c r="E105" s="2409" t="s">
        <v>3112</v>
      </c>
      <c r="F105" s="2438">
        <v>60</v>
      </c>
      <c r="G105" s="669">
        <f>D105*F105</f>
        <v>22440</v>
      </c>
      <c r="H105" s="2442" t="s">
        <v>3028</v>
      </c>
      <c r="I105" s="2444"/>
      <c r="J105" s="2442" t="s">
        <v>3028</v>
      </c>
      <c r="K105" s="2444"/>
      <c r="L105" s="2442" t="s">
        <v>3028</v>
      </c>
      <c r="M105" s="2349"/>
      <c r="N105" s="2431"/>
      <c r="O105" s="2349"/>
      <c r="P105" s="2442"/>
      <c r="Q105" s="2443"/>
      <c r="R105" s="2431"/>
      <c r="S105" s="2349"/>
    </row>
    <row r="106" spans="1:19">
      <c r="A106" s="2432"/>
      <c r="B106" s="2615" t="s">
        <v>5606</v>
      </c>
      <c r="C106" s="2407"/>
      <c r="D106" s="2441"/>
      <c r="E106" s="2409"/>
      <c r="F106" s="2438"/>
      <c r="G106" s="669"/>
      <c r="H106" s="2442" t="s">
        <v>3028</v>
      </c>
      <c r="I106" s="2444"/>
      <c r="J106" s="2442" t="s">
        <v>3028</v>
      </c>
      <c r="K106" s="2444"/>
      <c r="L106" s="2442" t="s">
        <v>3028</v>
      </c>
      <c r="M106" s="2349"/>
      <c r="N106" s="2431"/>
      <c r="O106" s="2349"/>
      <c r="P106" s="2442"/>
      <c r="Q106" s="2443"/>
      <c r="R106" s="2431"/>
      <c r="S106" s="2349"/>
    </row>
    <row r="107" spans="1:19" ht="30">
      <c r="A107" s="2432"/>
      <c r="B107" s="2619" t="s">
        <v>5551</v>
      </c>
      <c r="C107" s="2407"/>
      <c r="D107" s="2441">
        <f>144+1947</f>
        <v>2091</v>
      </c>
      <c r="E107" s="2409" t="s">
        <v>3112</v>
      </c>
      <c r="F107" s="2438">
        <v>60</v>
      </c>
      <c r="G107" s="669">
        <f>D107*F107</f>
        <v>125460</v>
      </c>
      <c r="H107" s="2442" t="s">
        <v>3028</v>
      </c>
      <c r="I107" s="2444"/>
      <c r="J107" s="2442" t="s">
        <v>3028</v>
      </c>
      <c r="K107" s="2444"/>
      <c r="L107" s="2442" t="s">
        <v>3028</v>
      </c>
      <c r="M107" s="2349"/>
      <c r="N107" s="2431"/>
      <c r="O107" s="2349"/>
      <c r="P107" s="2442"/>
      <c r="Q107" s="2443"/>
      <c r="R107" s="2431"/>
      <c r="S107" s="2349"/>
    </row>
    <row r="108" spans="1:19" ht="30">
      <c r="A108" s="2432"/>
      <c r="B108" s="2620" t="s">
        <v>5607</v>
      </c>
      <c r="C108" s="2407"/>
      <c r="D108" s="2441"/>
      <c r="E108" s="2409"/>
      <c r="F108" s="2438"/>
      <c r="G108" s="669"/>
      <c r="H108" s="2442" t="s">
        <v>3028</v>
      </c>
      <c r="I108" s="2444"/>
      <c r="J108" s="2442" t="s">
        <v>3028</v>
      </c>
      <c r="K108" s="2444"/>
      <c r="L108" s="2442" t="s">
        <v>3028</v>
      </c>
      <c r="M108" s="2349"/>
      <c r="N108" s="2431"/>
      <c r="O108" s="2349"/>
      <c r="P108" s="2442"/>
      <c r="Q108" s="2443"/>
      <c r="R108" s="2431"/>
      <c r="S108" s="2349"/>
    </row>
    <row r="109" spans="1:19">
      <c r="A109" s="2432"/>
      <c r="B109" s="2616" t="s">
        <v>5553</v>
      </c>
      <c r="C109" s="2407"/>
      <c r="D109" s="2441">
        <f>156</f>
        <v>156</v>
      </c>
      <c r="E109" s="2409" t="s">
        <v>3112</v>
      </c>
      <c r="F109" s="2438">
        <v>60</v>
      </c>
      <c r="G109" s="669">
        <f>D109*F109</f>
        <v>9360</v>
      </c>
      <c r="H109" s="2442" t="s">
        <v>3028</v>
      </c>
      <c r="I109" s="2444"/>
      <c r="J109" s="2442" t="s">
        <v>3028</v>
      </c>
      <c r="K109" s="2444"/>
      <c r="L109" s="2442" t="s">
        <v>3028</v>
      </c>
      <c r="M109" s="2349"/>
      <c r="N109" s="2431"/>
      <c r="O109" s="2349"/>
      <c r="P109" s="2442"/>
      <c r="Q109" s="2443"/>
      <c r="R109" s="2431"/>
      <c r="S109" s="2349"/>
    </row>
    <row r="110" spans="1:19">
      <c r="A110" s="2432"/>
      <c r="B110" s="2620" t="s">
        <v>5608</v>
      </c>
      <c r="C110" s="2407"/>
      <c r="D110" s="2441"/>
      <c r="E110" s="2409"/>
      <c r="F110" s="2438"/>
      <c r="G110" s="669"/>
      <c r="H110" s="2442" t="s">
        <v>3028</v>
      </c>
      <c r="I110" s="2444"/>
      <c r="J110" s="2442" t="s">
        <v>3028</v>
      </c>
      <c r="K110" s="2444"/>
      <c r="L110" s="2442" t="s">
        <v>3028</v>
      </c>
      <c r="M110" s="2349"/>
      <c r="N110" s="2431"/>
      <c r="O110" s="2349"/>
      <c r="P110" s="2442"/>
      <c r="Q110" s="2443"/>
      <c r="R110" s="2431"/>
      <c r="S110" s="2349"/>
    </row>
    <row r="111" spans="1:19" ht="30">
      <c r="A111" s="2432"/>
      <c r="B111" s="2619" t="s">
        <v>5609</v>
      </c>
      <c r="C111" s="2407"/>
      <c r="D111" s="2441">
        <v>213</v>
      </c>
      <c r="E111" s="2409" t="s">
        <v>3112</v>
      </c>
      <c r="F111" s="2438">
        <v>60</v>
      </c>
      <c r="G111" s="669">
        <f>D111*F111</f>
        <v>12780</v>
      </c>
      <c r="H111" s="2442" t="s">
        <v>3028</v>
      </c>
      <c r="I111" s="2444"/>
      <c r="J111" s="2442" t="s">
        <v>3028</v>
      </c>
      <c r="K111" s="2444"/>
      <c r="L111" s="2442" t="s">
        <v>3028</v>
      </c>
      <c r="M111" s="2349"/>
      <c r="N111" s="2431"/>
      <c r="O111" s="2349"/>
      <c r="P111" s="2442"/>
      <c r="Q111" s="2443"/>
      <c r="R111" s="2431"/>
      <c r="S111" s="2349"/>
    </row>
    <row r="112" spans="1:19">
      <c r="A112" s="2432"/>
      <c r="B112" s="2615" t="s">
        <v>5610</v>
      </c>
      <c r="C112" s="2407"/>
      <c r="D112" s="2441"/>
      <c r="E112" s="2409"/>
      <c r="F112" s="2438"/>
      <c r="G112" s="669"/>
      <c r="H112" s="2442" t="s">
        <v>3028</v>
      </c>
      <c r="I112" s="2444"/>
      <c r="J112" s="2442" t="s">
        <v>3028</v>
      </c>
      <c r="K112" s="2444"/>
      <c r="L112" s="2442" t="s">
        <v>3028</v>
      </c>
      <c r="M112" s="2349"/>
      <c r="N112" s="2431"/>
      <c r="O112" s="2349"/>
      <c r="P112" s="2442"/>
      <c r="Q112" s="2443"/>
      <c r="R112" s="2431"/>
      <c r="S112" s="2349"/>
    </row>
    <row r="113" spans="1:19">
      <c r="A113" s="2432"/>
      <c r="B113" s="2618" t="s">
        <v>3051</v>
      </c>
      <c r="C113" s="2407"/>
      <c r="D113" s="2441"/>
      <c r="E113" s="2409"/>
      <c r="F113" s="2438"/>
      <c r="G113" s="669"/>
      <c r="H113" s="2442" t="s">
        <v>3028</v>
      </c>
      <c r="I113" s="2444"/>
      <c r="J113" s="2442" t="s">
        <v>3028</v>
      </c>
      <c r="K113" s="2444"/>
      <c r="L113" s="2442" t="s">
        <v>3028</v>
      </c>
      <c r="M113" s="2349"/>
      <c r="N113" s="2431"/>
      <c r="O113" s="2349"/>
      <c r="P113" s="2442"/>
      <c r="Q113" s="2443"/>
      <c r="R113" s="2431"/>
      <c r="S113" s="2349"/>
    </row>
    <row r="114" spans="1:19">
      <c r="A114" s="2432"/>
      <c r="B114" s="2616" t="s">
        <v>5611</v>
      </c>
      <c r="C114" s="2407"/>
      <c r="D114" s="2441">
        <f>116+119</f>
        <v>235</v>
      </c>
      <c r="E114" s="2409" t="s">
        <v>3112</v>
      </c>
      <c r="F114" s="2438">
        <v>60</v>
      </c>
      <c r="G114" s="669">
        <f>D114*F114</f>
        <v>14100</v>
      </c>
      <c r="H114" s="2442" t="s">
        <v>3028</v>
      </c>
      <c r="I114" s="2444"/>
      <c r="J114" s="2442" t="s">
        <v>3028</v>
      </c>
      <c r="K114" s="2444"/>
      <c r="L114" s="2442" t="s">
        <v>3028</v>
      </c>
      <c r="M114" s="2349"/>
      <c r="N114" s="2431"/>
      <c r="O114" s="2349"/>
      <c r="P114" s="2442"/>
      <c r="Q114" s="2443"/>
      <c r="R114" s="2431"/>
      <c r="S114" s="2349"/>
    </row>
    <row r="115" spans="1:19">
      <c r="A115" s="2432"/>
      <c r="B115" s="2627" t="s">
        <v>5612</v>
      </c>
      <c r="C115" s="2407"/>
      <c r="D115" s="2441"/>
      <c r="E115" s="2409"/>
      <c r="F115" s="2438"/>
      <c r="G115" s="669"/>
      <c r="H115" s="2442" t="s">
        <v>3028</v>
      </c>
      <c r="I115" s="2444"/>
      <c r="J115" s="2442" t="s">
        <v>3028</v>
      </c>
      <c r="K115" s="2444"/>
      <c r="L115" s="2442" t="s">
        <v>3028</v>
      </c>
      <c r="M115" s="2349"/>
      <c r="N115" s="2431"/>
      <c r="O115" s="2349"/>
      <c r="P115" s="2442"/>
      <c r="Q115" s="2443"/>
      <c r="R115" s="2431"/>
      <c r="S115" s="2349"/>
    </row>
    <row r="116" spans="1:19">
      <c r="A116" s="2432"/>
      <c r="B116" s="2616" t="s">
        <v>5557</v>
      </c>
      <c r="C116" s="2407"/>
      <c r="D116" s="2441">
        <f>14+55+40+18+97+18</f>
        <v>242</v>
      </c>
      <c r="E116" s="2409" t="s">
        <v>3112</v>
      </c>
      <c r="F116" s="2438">
        <v>60</v>
      </c>
      <c r="G116" s="669">
        <f>D116*F116</f>
        <v>14520</v>
      </c>
      <c r="H116" s="2442" t="s">
        <v>3028</v>
      </c>
      <c r="I116" s="2444"/>
      <c r="J116" s="2442" t="s">
        <v>3028</v>
      </c>
      <c r="K116" s="2444"/>
      <c r="L116" s="2442" t="s">
        <v>3028</v>
      </c>
      <c r="M116" s="2443"/>
      <c r="N116" s="2442"/>
      <c r="O116" s="2443"/>
      <c r="P116" s="2442"/>
      <c r="Q116" s="2443"/>
      <c r="R116" s="2442"/>
      <c r="S116" s="2443"/>
    </row>
    <row r="117" spans="1:19">
      <c r="A117" s="2432"/>
      <c r="B117" s="2627" t="s">
        <v>5613</v>
      </c>
      <c r="C117" s="2407"/>
      <c r="D117" s="2441"/>
      <c r="E117" s="2409"/>
      <c r="F117" s="2438"/>
      <c r="G117" s="669"/>
      <c r="H117" s="2442" t="s">
        <v>3028</v>
      </c>
      <c r="I117" s="2444"/>
      <c r="J117" s="2442" t="s">
        <v>3028</v>
      </c>
      <c r="K117" s="2444"/>
      <c r="L117" s="2442" t="s">
        <v>3028</v>
      </c>
      <c r="M117" s="2443"/>
      <c r="N117" s="2442"/>
      <c r="O117" s="2443"/>
      <c r="P117" s="2442"/>
      <c r="Q117" s="2443"/>
      <c r="R117" s="2442"/>
      <c r="S117" s="2443"/>
    </row>
    <row r="118" spans="1:19">
      <c r="A118" s="2432"/>
      <c r="B118" s="2619" t="s">
        <v>5614</v>
      </c>
      <c r="C118" s="2407"/>
      <c r="D118" s="2441">
        <v>564</v>
      </c>
      <c r="E118" s="2409" t="s">
        <v>3112</v>
      </c>
      <c r="F118" s="2438">
        <v>60</v>
      </c>
      <c r="G118" s="669">
        <f>D118*F118</f>
        <v>33840</v>
      </c>
      <c r="H118" s="2442" t="s">
        <v>3028</v>
      </c>
      <c r="I118" s="2444"/>
      <c r="J118" s="2442" t="s">
        <v>3028</v>
      </c>
      <c r="K118" s="2444"/>
      <c r="L118" s="2442" t="s">
        <v>3028</v>
      </c>
      <c r="M118" s="2443"/>
      <c r="N118" s="2442"/>
      <c r="O118" s="2443"/>
      <c r="P118" s="2442"/>
      <c r="Q118" s="2443"/>
      <c r="R118" s="2442"/>
      <c r="S118" s="2443"/>
    </row>
    <row r="119" spans="1:19">
      <c r="A119" s="2432"/>
      <c r="B119" s="2627" t="s">
        <v>4053</v>
      </c>
      <c r="C119" s="2407"/>
      <c r="D119" s="2441"/>
      <c r="E119" s="2409"/>
      <c r="F119" s="2438"/>
      <c r="G119" s="669"/>
      <c r="H119" s="2442" t="s">
        <v>3028</v>
      </c>
      <c r="I119" s="2444"/>
      <c r="J119" s="2442" t="s">
        <v>3028</v>
      </c>
      <c r="K119" s="2444"/>
      <c r="L119" s="2442" t="s">
        <v>3028</v>
      </c>
      <c r="M119" s="2443"/>
      <c r="N119" s="2442"/>
      <c r="O119" s="2443"/>
      <c r="P119" s="2442"/>
      <c r="Q119" s="2443"/>
      <c r="R119" s="2442"/>
      <c r="S119" s="2443"/>
    </row>
    <row r="120" spans="1:19">
      <c r="A120" s="2628" t="s">
        <v>5615</v>
      </c>
      <c r="B120" s="2616" t="s">
        <v>5616</v>
      </c>
      <c r="C120" s="2407"/>
      <c r="D120" s="2441">
        <v>24</v>
      </c>
      <c r="E120" s="2409" t="s">
        <v>3112</v>
      </c>
      <c r="F120" s="2438">
        <v>60</v>
      </c>
      <c r="G120" s="669">
        <f>D120*F120</f>
        <v>1440</v>
      </c>
      <c r="H120" s="2442" t="s">
        <v>3028</v>
      </c>
      <c r="I120" s="2444"/>
      <c r="J120" s="2442" t="s">
        <v>3807</v>
      </c>
      <c r="K120" s="2444"/>
      <c r="L120" s="2442" t="s">
        <v>3028</v>
      </c>
      <c r="M120" s="2443"/>
      <c r="N120" s="2442"/>
      <c r="O120" s="2443"/>
      <c r="P120" s="2442"/>
      <c r="Q120" s="2443"/>
      <c r="R120" s="2442"/>
      <c r="S120" s="2443"/>
    </row>
    <row r="121" spans="1:19">
      <c r="A121" s="2628" t="s">
        <v>5615</v>
      </c>
      <c r="B121" s="2615" t="s">
        <v>5617</v>
      </c>
      <c r="C121" s="2407"/>
      <c r="D121" s="2441"/>
      <c r="E121" s="2409"/>
      <c r="F121" s="2438"/>
      <c r="G121" s="669"/>
      <c r="H121" s="2442" t="s">
        <v>3028</v>
      </c>
      <c r="I121" s="2444"/>
      <c r="J121" s="2442" t="s">
        <v>3807</v>
      </c>
      <c r="K121" s="2444"/>
      <c r="L121" s="2442" t="s">
        <v>3028</v>
      </c>
      <c r="M121" s="2443"/>
      <c r="N121" s="2442"/>
      <c r="O121" s="2443"/>
      <c r="P121" s="2442"/>
      <c r="Q121" s="2443"/>
      <c r="R121" s="2442"/>
      <c r="S121" s="2443"/>
    </row>
    <row r="122" spans="1:19">
      <c r="A122" s="2432"/>
      <c r="B122" s="2619" t="s">
        <v>5618</v>
      </c>
      <c r="C122" s="2407"/>
      <c r="D122" s="2441">
        <f>34+34+17</f>
        <v>85</v>
      </c>
      <c r="E122" s="2409" t="s">
        <v>3112</v>
      </c>
      <c r="F122" s="2438">
        <v>60</v>
      </c>
      <c r="G122" s="662">
        <f>D122*F122</f>
        <v>5100</v>
      </c>
      <c r="H122" s="2442" t="s">
        <v>3028</v>
      </c>
      <c r="I122" s="2444"/>
      <c r="J122" s="2442" t="s">
        <v>3807</v>
      </c>
      <c r="K122" s="2444"/>
      <c r="L122" s="2442" t="s">
        <v>3028</v>
      </c>
      <c r="M122" s="2443"/>
      <c r="N122" s="2442"/>
      <c r="O122" s="2443"/>
      <c r="P122" s="2442"/>
      <c r="Q122" s="2443"/>
      <c r="R122" s="2442"/>
      <c r="S122" s="2443"/>
    </row>
    <row r="123" spans="1:19">
      <c r="A123" s="2432"/>
      <c r="B123" s="2627" t="s">
        <v>5619</v>
      </c>
      <c r="C123" s="2407"/>
      <c r="D123" s="2441"/>
      <c r="E123" s="2409"/>
      <c r="F123" s="2438"/>
      <c r="G123" s="669"/>
      <c r="H123" s="2442" t="s">
        <v>3028</v>
      </c>
      <c r="I123" s="2444"/>
      <c r="J123" s="2442" t="s">
        <v>3807</v>
      </c>
      <c r="K123" s="2444"/>
      <c r="L123" s="2442" t="s">
        <v>3028</v>
      </c>
      <c r="M123" s="2443"/>
      <c r="N123" s="2442"/>
      <c r="O123" s="2443"/>
      <c r="P123" s="2442"/>
      <c r="Q123" s="2443"/>
      <c r="R123" s="2442"/>
      <c r="S123" s="2443"/>
    </row>
    <row r="124" spans="1:19">
      <c r="A124" s="2432"/>
      <c r="B124" s="2621" t="s">
        <v>5620</v>
      </c>
      <c r="C124" s="2407"/>
      <c r="D124" s="2441"/>
      <c r="E124" s="2409"/>
      <c r="F124" s="2438"/>
      <c r="G124" s="669"/>
      <c r="H124" s="2442" t="s">
        <v>3028</v>
      </c>
      <c r="I124" s="2444"/>
      <c r="J124" s="2442" t="s">
        <v>3028</v>
      </c>
      <c r="K124" s="2444"/>
      <c r="L124" s="2442" t="s">
        <v>3028</v>
      </c>
      <c r="M124" s="2443"/>
      <c r="N124" s="2442"/>
      <c r="O124" s="2443"/>
      <c r="P124" s="2442"/>
      <c r="Q124" s="2443"/>
      <c r="R124" s="2442"/>
      <c r="S124" s="2443"/>
    </row>
    <row r="125" spans="1:19">
      <c r="A125" s="2432"/>
      <c r="B125" s="2627" t="s">
        <v>5621</v>
      </c>
      <c r="C125" s="2407"/>
      <c r="D125" s="2441"/>
      <c r="E125" s="2409"/>
      <c r="F125" s="2438"/>
      <c r="G125" s="669"/>
      <c r="H125" s="2442" t="s">
        <v>3028</v>
      </c>
      <c r="I125" s="2444"/>
      <c r="J125" s="2442" t="s">
        <v>3028</v>
      </c>
      <c r="K125" s="2444"/>
      <c r="L125" s="2442" t="s">
        <v>3028</v>
      </c>
      <c r="M125" s="2443"/>
      <c r="N125" s="2442"/>
      <c r="O125" s="2443"/>
      <c r="P125" s="2442"/>
      <c r="Q125" s="2443"/>
      <c r="R125" s="2442"/>
      <c r="S125" s="2443"/>
    </row>
    <row r="126" spans="1:19">
      <c r="A126" s="2432"/>
      <c r="B126" s="2621" t="s">
        <v>5622</v>
      </c>
      <c r="C126" s="2407"/>
      <c r="D126" s="2441">
        <v>28</v>
      </c>
      <c r="E126" s="2409" t="s">
        <v>3112</v>
      </c>
      <c r="F126" s="2438">
        <v>60</v>
      </c>
      <c r="G126" s="669">
        <f>D126*F126</f>
        <v>1680</v>
      </c>
      <c r="H126" s="2442" t="s">
        <v>3028</v>
      </c>
      <c r="I126" s="2444"/>
      <c r="J126" s="2442" t="s">
        <v>3807</v>
      </c>
      <c r="K126" s="2444"/>
      <c r="L126" s="2442" t="s">
        <v>3807</v>
      </c>
      <c r="M126" s="2443"/>
      <c r="N126" s="2442"/>
      <c r="O126" s="2443"/>
      <c r="P126" s="2442"/>
      <c r="Q126" s="2443"/>
      <c r="R126" s="2442"/>
      <c r="S126" s="2443"/>
    </row>
    <row r="127" spans="1:19">
      <c r="A127" s="2432"/>
      <c r="B127" s="2627" t="s">
        <v>5623</v>
      </c>
      <c r="C127" s="2407"/>
      <c r="D127" s="2441"/>
      <c r="E127" s="2409"/>
      <c r="F127" s="2438"/>
      <c r="G127" s="669"/>
      <c r="H127" s="2442" t="s">
        <v>3028</v>
      </c>
      <c r="I127" s="2444"/>
      <c r="J127" s="2442" t="s">
        <v>3807</v>
      </c>
      <c r="K127" s="2444"/>
      <c r="L127" s="2442" t="s">
        <v>3807</v>
      </c>
      <c r="M127" s="2443"/>
      <c r="N127" s="2442"/>
      <c r="O127" s="2443"/>
      <c r="P127" s="2442"/>
      <c r="Q127" s="2443"/>
      <c r="R127" s="2442"/>
      <c r="S127" s="2443"/>
    </row>
    <row r="128" spans="1:19" ht="30">
      <c r="A128" s="2432"/>
      <c r="B128" s="2619" t="s">
        <v>5624</v>
      </c>
      <c r="C128" s="2407"/>
      <c r="D128" s="2441">
        <v>11</v>
      </c>
      <c r="E128" s="2409" t="s">
        <v>3112</v>
      </c>
      <c r="F128" s="2438">
        <v>60</v>
      </c>
      <c r="G128" s="669">
        <f>D128*F128</f>
        <v>660</v>
      </c>
      <c r="H128" s="2442" t="s">
        <v>3028</v>
      </c>
      <c r="I128" s="2444"/>
      <c r="J128" s="2442" t="s">
        <v>3028</v>
      </c>
      <c r="K128" s="2444"/>
      <c r="L128" s="2442" t="s">
        <v>3028</v>
      </c>
      <c r="M128" s="2443"/>
      <c r="N128" s="2442"/>
      <c r="O128" s="2443"/>
      <c r="P128" s="2442"/>
      <c r="Q128" s="2443"/>
      <c r="R128" s="2442"/>
      <c r="S128" s="2443"/>
    </row>
    <row r="129" spans="1:19">
      <c r="A129" s="2432"/>
      <c r="B129" s="2627" t="s">
        <v>3888</v>
      </c>
      <c r="C129" s="2407"/>
      <c r="D129" s="2441"/>
      <c r="E129" s="2409"/>
      <c r="F129" s="2438"/>
      <c r="G129" s="669"/>
      <c r="H129" s="2442" t="s">
        <v>3028</v>
      </c>
      <c r="I129" s="2444"/>
      <c r="J129" s="2442" t="s">
        <v>3028</v>
      </c>
      <c r="K129" s="2444"/>
      <c r="L129" s="2442" t="s">
        <v>3028</v>
      </c>
      <c r="M129" s="2443"/>
      <c r="N129" s="2442"/>
      <c r="O129" s="2443"/>
      <c r="P129" s="2442"/>
      <c r="Q129" s="2443"/>
      <c r="R129" s="2442"/>
      <c r="S129" s="2443"/>
    </row>
    <row r="130" spans="1:19" ht="30">
      <c r="A130" s="2432"/>
      <c r="B130" s="2619" t="s">
        <v>5625</v>
      </c>
      <c r="C130" s="2407"/>
      <c r="D130" s="2441">
        <f>697+197+684+370</f>
        <v>1948</v>
      </c>
      <c r="E130" s="2409" t="s">
        <v>3112</v>
      </c>
      <c r="F130" s="2438">
        <v>60</v>
      </c>
      <c r="G130" s="669">
        <f>D130*F130</f>
        <v>116880</v>
      </c>
      <c r="H130" s="2442" t="s">
        <v>3028</v>
      </c>
      <c r="I130" s="2444"/>
      <c r="J130" s="2442" t="s">
        <v>3028</v>
      </c>
      <c r="K130" s="2444"/>
      <c r="L130" s="2442" t="s">
        <v>3028</v>
      </c>
      <c r="M130" s="2443"/>
      <c r="N130" s="2442"/>
      <c r="O130" s="2443"/>
      <c r="P130" s="2442"/>
      <c r="Q130" s="2443"/>
      <c r="R130" s="2442"/>
      <c r="S130" s="2443"/>
    </row>
    <row r="131" spans="1:19">
      <c r="A131" s="2432"/>
      <c r="B131" s="2627" t="s">
        <v>5626</v>
      </c>
      <c r="C131" s="2407"/>
      <c r="D131" s="2441"/>
      <c r="E131" s="2409"/>
      <c r="F131" s="2438"/>
      <c r="G131" s="669"/>
      <c r="H131" s="2442" t="s">
        <v>3028</v>
      </c>
      <c r="I131" s="2444"/>
      <c r="J131" s="2442" t="s">
        <v>3028</v>
      </c>
      <c r="K131" s="2444"/>
      <c r="L131" s="2442" t="s">
        <v>3028</v>
      </c>
      <c r="M131" s="2443"/>
      <c r="N131" s="2442"/>
      <c r="O131" s="2443"/>
      <c r="P131" s="2442"/>
      <c r="Q131" s="2443"/>
      <c r="R131" s="2442"/>
      <c r="S131" s="2443"/>
    </row>
    <row r="132" spans="1:19" ht="30">
      <c r="A132" s="2432"/>
      <c r="B132" s="2619" t="s">
        <v>5627</v>
      </c>
      <c r="C132" s="2407"/>
      <c r="D132" s="2441">
        <f>70+12+157</f>
        <v>239</v>
      </c>
      <c r="E132" s="2409" t="s">
        <v>3112</v>
      </c>
      <c r="F132" s="2438">
        <v>60</v>
      </c>
      <c r="G132" s="669">
        <f>D132*F132</f>
        <v>14340</v>
      </c>
      <c r="H132" s="2442" t="s">
        <v>3028</v>
      </c>
      <c r="I132" s="2444"/>
      <c r="J132" s="2442" t="s">
        <v>3028</v>
      </c>
      <c r="K132" s="2444"/>
      <c r="L132" s="2431" t="s">
        <v>3028</v>
      </c>
      <c r="M132" s="2443"/>
      <c r="N132" s="2442"/>
      <c r="O132" s="2443"/>
      <c r="P132" s="2442"/>
      <c r="Q132" s="2443"/>
      <c r="R132" s="2442"/>
      <c r="S132" s="2443"/>
    </row>
    <row r="133" spans="1:19">
      <c r="A133" s="2432"/>
      <c r="B133" s="2627" t="s">
        <v>5628</v>
      </c>
      <c r="C133" s="2407"/>
      <c r="D133" s="2441"/>
      <c r="E133" s="2409"/>
      <c r="F133" s="2438"/>
      <c r="G133" s="669"/>
      <c r="H133" s="2442" t="s">
        <v>3028</v>
      </c>
      <c r="I133" s="2444"/>
      <c r="J133" s="2442" t="s">
        <v>3028</v>
      </c>
      <c r="K133" s="2444"/>
      <c r="L133" s="2431" t="s">
        <v>3028</v>
      </c>
      <c r="M133" s="2443"/>
      <c r="N133" s="2442"/>
      <c r="O133" s="2443"/>
      <c r="P133" s="2442"/>
      <c r="Q133" s="2443"/>
      <c r="R133" s="2442"/>
      <c r="S133" s="2443"/>
    </row>
    <row r="134" spans="1:19" ht="30">
      <c r="A134" s="2432"/>
      <c r="B134" s="2619" t="s">
        <v>5629</v>
      </c>
      <c r="C134" s="2407"/>
      <c r="D134" s="2441">
        <v>63</v>
      </c>
      <c r="E134" s="2409" t="s">
        <v>3112</v>
      </c>
      <c r="F134" s="2438">
        <v>60</v>
      </c>
      <c r="G134" s="669">
        <f>D134*F134</f>
        <v>3780</v>
      </c>
      <c r="H134" s="2442" t="s">
        <v>3028</v>
      </c>
      <c r="I134" s="2444"/>
      <c r="J134" s="2442" t="s">
        <v>3028</v>
      </c>
      <c r="K134" s="2444"/>
      <c r="L134" s="2431" t="s">
        <v>3807</v>
      </c>
      <c r="M134" s="2443"/>
      <c r="N134" s="2442"/>
      <c r="O134" s="2443"/>
      <c r="P134" s="2442"/>
      <c r="Q134" s="2443"/>
      <c r="R134" s="2442"/>
      <c r="S134" s="2443"/>
    </row>
    <row r="135" spans="1:19">
      <c r="A135" s="2432"/>
      <c r="B135" s="2627" t="s">
        <v>4015</v>
      </c>
      <c r="C135" s="2407"/>
      <c r="D135" s="2441"/>
      <c r="E135" s="2409"/>
      <c r="F135" s="2438"/>
      <c r="G135" s="669"/>
      <c r="H135" s="2442" t="s">
        <v>3028</v>
      </c>
      <c r="I135" s="2444"/>
      <c r="J135" s="2442" t="s">
        <v>3028</v>
      </c>
      <c r="K135" s="2444"/>
      <c r="L135" s="2431" t="s">
        <v>3807</v>
      </c>
      <c r="M135" s="2443"/>
      <c r="N135" s="2442"/>
      <c r="O135" s="2443"/>
      <c r="P135" s="2442"/>
      <c r="Q135" s="2443"/>
      <c r="R135" s="2442"/>
      <c r="S135" s="2443"/>
    </row>
    <row r="136" spans="1:19">
      <c r="A136" s="2432"/>
      <c r="B136" s="2629" t="s">
        <v>5630</v>
      </c>
      <c r="C136" s="2407"/>
      <c r="D136" s="2441">
        <f>23+22</f>
        <v>45</v>
      </c>
      <c r="E136" s="2409" t="s">
        <v>3112</v>
      </c>
      <c r="F136" s="2438">
        <v>100</v>
      </c>
      <c r="G136" s="669">
        <f>D136*F136</f>
        <v>4500</v>
      </c>
      <c r="H136" s="2448" t="s">
        <v>3028</v>
      </c>
      <c r="I136" s="2350"/>
      <c r="J136" s="2431" t="s">
        <v>3028</v>
      </c>
      <c r="K136" s="2350"/>
      <c r="L136" s="2448" t="s">
        <v>4877</v>
      </c>
      <c r="M136" s="2622">
        <f>G136</f>
        <v>4500</v>
      </c>
      <c r="N136" s="2442"/>
      <c r="O136" s="2443"/>
      <c r="P136" s="2442"/>
      <c r="Q136" s="2443"/>
      <c r="R136" s="2442"/>
      <c r="S136" s="2443"/>
    </row>
    <row r="137" spans="1:19">
      <c r="A137" s="2432"/>
      <c r="B137" s="2627" t="s">
        <v>5631</v>
      </c>
      <c r="C137" s="2407"/>
      <c r="D137" s="2441"/>
      <c r="E137" s="2409"/>
      <c r="F137" s="2438"/>
      <c r="G137" s="669"/>
      <c r="H137" s="2448" t="s">
        <v>3028</v>
      </c>
      <c r="I137" s="2444"/>
      <c r="J137" s="2431" t="s">
        <v>3028</v>
      </c>
      <c r="K137" s="2444"/>
      <c r="L137" s="2448" t="s">
        <v>4877</v>
      </c>
      <c r="M137" s="2444"/>
      <c r="N137" s="2442"/>
      <c r="O137" s="2443"/>
      <c r="P137" s="2442"/>
      <c r="Q137" s="2443"/>
      <c r="R137" s="2442"/>
      <c r="S137" s="2443"/>
    </row>
    <row r="138" spans="1:19">
      <c r="A138" s="2432"/>
      <c r="B138" s="2616" t="s">
        <v>5632</v>
      </c>
      <c r="C138" s="2407"/>
      <c r="D138" s="2441">
        <f>207*2+187*2+191*4</f>
        <v>1552</v>
      </c>
      <c r="E138" s="2409" t="s">
        <v>3112</v>
      </c>
      <c r="F138" s="2438">
        <v>60</v>
      </c>
      <c r="G138" s="669">
        <f>D138*F138</f>
        <v>93120</v>
      </c>
      <c r="H138" s="2442" t="s">
        <v>3028</v>
      </c>
      <c r="I138" s="2444"/>
      <c r="J138" s="2442" t="s">
        <v>3028</v>
      </c>
      <c r="K138" s="2444"/>
      <c r="L138" s="2431" t="s">
        <v>3028</v>
      </c>
      <c r="M138" s="2443"/>
      <c r="N138" s="2442"/>
      <c r="O138" s="2443"/>
      <c r="P138" s="2442"/>
      <c r="Q138" s="2443"/>
      <c r="R138" s="2442"/>
      <c r="S138" s="2443"/>
    </row>
    <row r="139" spans="1:19">
      <c r="A139" s="2432"/>
      <c r="B139" s="2627" t="s">
        <v>5633</v>
      </c>
      <c r="C139" s="2407"/>
      <c r="D139" s="2441"/>
      <c r="E139" s="2409"/>
      <c r="F139" s="2438"/>
      <c r="G139" s="669"/>
      <c r="H139" s="2442" t="s">
        <v>3028</v>
      </c>
      <c r="I139" s="2444"/>
      <c r="J139" s="2442" t="s">
        <v>3028</v>
      </c>
      <c r="K139" s="2444"/>
      <c r="L139" s="2431" t="s">
        <v>3028</v>
      </c>
      <c r="M139" s="2443"/>
      <c r="N139" s="2442"/>
      <c r="O139" s="2443"/>
      <c r="P139" s="2442"/>
      <c r="Q139" s="2443"/>
      <c r="R139" s="2442"/>
      <c r="S139" s="2443"/>
    </row>
    <row r="140" spans="1:19">
      <c r="A140" s="2432"/>
      <c r="B140" s="2621" t="s">
        <v>5634</v>
      </c>
      <c r="C140" s="2407"/>
      <c r="D140" s="2441">
        <f>169+245+134+141</f>
        <v>689</v>
      </c>
      <c r="E140" s="2409" t="s">
        <v>3112</v>
      </c>
      <c r="F140" s="2438">
        <v>60</v>
      </c>
      <c r="G140" s="669">
        <f>D140*F140</f>
        <v>41340</v>
      </c>
      <c r="H140" s="2442" t="s">
        <v>3028</v>
      </c>
      <c r="I140" s="2444"/>
      <c r="J140" s="2442" t="s">
        <v>3028</v>
      </c>
      <c r="K140" s="2444"/>
      <c r="L140" s="2431" t="s">
        <v>3028</v>
      </c>
      <c r="M140" s="2443"/>
      <c r="N140" s="2442"/>
      <c r="O140" s="2443"/>
      <c r="P140" s="2442"/>
      <c r="Q140" s="2443"/>
      <c r="R140" s="2442"/>
      <c r="S140" s="2443"/>
    </row>
    <row r="141" spans="1:19">
      <c r="A141" s="2432"/>
      <c r="B141" s="2627" t="s">
        <v>5635</v>
      </c>
      <c r="C141" s="2407"/>
      <c r="D141" s="2441"/>
      <c r="E141" s="2409"/>
      <c r="F141" s="2438"/>
      <c r="G141" s="669"/>
      <c r="H141" s="2442" t="s">
        <v>3028</v>
      </c>
      <c r="I141" s="2444"/>
      <c r="J141" s="2442" t="s">
        <v>3028</v>
      </c>
      <c r="K141" s="2444"/>
      <c r="L141" s="2431" t="s">
        <v>3028</v>
      </c>
      <c r="M141" s="2443"/>
      <c r="N141" s="2442"/>
      <c r="O141" s="2443"/>
      <c r="P141" s="2442"/>
      <c r="Q141" s="2443"/>
      <c r="R141" s="2442"/>
      <c r="S141" s="2443"/>
    </row>
    <row r="142" spans="1:19" ht="30">
      <c r="A142" s="2432"/>
      <c r="B142" s="2623" t="s">
        <v>5603</v>
      </c>
      <c r="C142" s="2407"/>
      <c r="D142" s="2441">
        <v>17</v>
      </c>
      <c r="E142" s="2409" t="s">
        <v>3112</v>
      </c>
      <c r="F142" s="2438">
        <v>60</v>
      </c>
      <c r="G142" s="669">
        <f>D142*F142</f>
        <v>1020</v>
      </c>
      <c r="H142" s="2442" t="s">
        <v>3028</v>
      </c>
      <c r="I142" s="2444"/>
      <c r="J142" s="2442" t="s">
        <v>3028</v>
      </c>
      <c r="K142" s="2444"/>
      <c r="L142" s="2431" t="s">
        <v>3028</v>
      </c>
      <c r="M142" s="2443"/>
      <c r="N142" s="2442"/>
      <c r="O142" s="2443"/>
      <c r="P142" s="2442"/>
      <c r="Q142" s="2443"/>
      <c r="R142" s="2442"/>
      <c r="S142" s="2443"/>
    </row>
    <row r="143" spans="1:19">
      <c r="A143" s="2432"/>
      <c r="B143" s="2627" t="s">
        <v>5636</v>
      </c>
      <c r="C143" s="2407"/>
      <c r="D143" s="2441"/>
      <c r="E143" s="2409"/>
      <c r="F143" s="2438"/>
      <c r="G143" s="669"/>
      <c r="H143" s="2442" t="s">
        <v>3028</v>
      </c>
      <c r="I143" s="2444"/>
      <c r="J143" s="2442" t="s">
        <v>3028</v>
      </c>
      <c r="K143" s="2444"/>
      <c r="L143" s="2431" t="s">
        <v>3028</v>
      </c>
      <c r="M143" s="2443"/>
      <c r="N143" s="2442"/>
      <c r="O143" s="2443"/>
      <c r="P143" s="2442"/>
      <c r="Q143" s="2443"/>
      <c r="R143" s="2442"/>
      <c r="S143" s="2443"/>
    </row>
    <row r="144" spans="1:19">
      <c r="A144" s="2432"/>
      <c r="B144" s="2621" t="s">
        <v>5637</v>
      </c>
      <c r="C144" s="2407"/>
      <c r="D144" s="2441">
        <v>69</v>
      </c>
      <c r="E144" s="2409" t="s">
        <v>3112</v>
      </c>
      <c r="F144" s="2438">
        <v>60</v>
      </c>
      <c r="G144" s="669">
        <f>D144*F144</f>
        <v>4140</v>
      </c>
      <c r="H144" s="2442" t="s">
        <v>3028</v>
      </c>
      <c r="I144" s="2444"/>
      <c r="J144" s="2442" t="s">
        <v>3028</v>
      </c>
      <c r="K144" s="2444"/>
      <c r="L144" s="2431" t="s">
        <v>3028</v>
      </c>
      <c r="M144" s="2443"/>
      <c r="N144" s="2442"/>
      <c r="O144" s="2443"/>
      <c r="P144" s="2442"/>
      <c r="Q144" s="2443"/>
      <c r="R144" s="2442"/>
      <c r="S144" s="2443"/>
    </row>
    <row r="145" spans="1:19">
      <c r="A145" s="2432"/>
      <c r="B145" s="2627" t="s">
        <v>5635</v>
      </c>
      <c r="C145" s="2407"/>
      <c r="D145" s="2441"/>
      <c r="E145" s="2409"/>
      <c r="F145" s="2438"/>
      <c r="G145" s="669"/>
      <c r="H145" s="2442" t="s">
        <v>3028</v>
      </c>
      <c r="I145" s="2444"/>
      <c r="J145" s="2442" t="s">
        <v>3028</v>
      </c>
      <c r="K145" s="2444"/>
      <c r="L145" s="2431" t="s">
        <v>3028</v>
      </c>
      <c r="M145" s="2443"/>
      <c r="N145" s="2442"/>
      <c r="O145" s="2443"/>
      <c r="P145" s="2442"/>
      <c r="Q145" s="2443"/>
      <c r="R145" s="2442"/>
      <c r="S145" s="2443"/>
    </row>
    <row r="146" spans="1:19">
      <c r="A146" s="2432"/>
      <c r="B146" s="2621" t="s">
        <v>5638</v>
      </c>
      <c r="C146" s="2407"/>
      <c r="D146" s="2441">
        <f>185+187</f>
        <v>372</v>
      </c>
      <c r="E146" s="2409" t="s">
        <v>3112</v>
      </c>
      <c r="F146" s="2438">
        <v>60</v>
      </c>
      <c r="G146" s="669">
        <f>D146*F146</f>
        <v>22320</v>
      </c>
      <c r="H146" s="2442" t="s">
        <v>3028</v>
      </c>
      <c r="I146" s="2444"/>
      <c r="J146" s="2442" t="s">
        <v>3028</v>
      </c>
      <c r="K146" s="2444"/>
      <c r="L146" s="2442" t="s">
        <v>3028</v>
      </c>
      <c r="M146" s="2443"/>
      <c r="N146" s="2442"/>
      <c r="O146" s="2443"/>
      <c r="P146" s="2442"/>
      <c r="Q146" s="2443"/>
      <c r="R146" s="2442"/>
      <c r="S146" s="2443"/>
    </row>
    <row r="147" spans="1:19">
      <c r="A147" s="2432"/>
      <c r="B147" s="2627" t="s">
        <v>5635</v>
      </c>
      <c r="C147" s="2407"/>
      <c r="D147" s="2441"/>
      <c r="E147" s="2409"/>
      <c r="F147" s="2438"/>
      <c r="G147" s="669"/>
      <c r="H147" s="2442" t="s">
        <v>3028</v>
      </c>
      <c r="I147" s="2444"/>
      <c r="J147" s="2442" t="s">
        <v>3028</v>
      </c>
      <c r="K147" s="2444"/>
      <c r="L147" s="2442" t="s">
        <v>3028</v>
      </c>
      <c r="M147" s="2443"/>
      <c r="N147" s="2442"/>
      <c r="O147" s="2443"/>
      <c r="P147" s="2442"/>
      <c r="Q147" s="2443"/>
      <c r="R147" s="2442"/>
      <c r="S147" s="2443"/>
    </row>
    <row r="148" spans="1:19">
      <c r="A148" s="2432"/>
      <c r="B148" s="2621" t="s">
        <v>5639</v>
      </c>
      <c r="C148" s="2407"/>
      <c r="D148" s="2441">
        <v>247</v>
      </c>
      <c r="E148" s="2409" t="s">
        <v>3112</v>
      </c>
      <c r="F148" s="2438">
        <v>60</v>
      </c>
      <c r="G148" s="669">
        <f>D148*F148</f>
        <v>14820</v>
      </c>
      <c r="H148" s="2442" t="s">
        <v>3028</v>
      </c>
      <c r="I148" s="2444"/>
      <c r="J148" s="2442" t="s">
        <v>3807</v>
      </c>
      <c r="K148" s="2444"/>
      <c r="L148" s="2442" t="s">
        <v>3028</v>
      </c>
      <c r="M148" s="2443"/>
      <c r="N148" s="2442"/>
      <c r="O148" s="2443"/>
      <c r="P148" s="2442"/>
      <c r="Q148" s="2443"/>
      <c r="R148" s="2442"/>
      <c r="S148" s="2443"/>
    </row>
    <row r="149" spans="1:19">
      <c r="A149" s="2432"/>
      <c r="B149" s="2627" t="s">
        <v>3996</v>
      </c>
      <c r="C149" s="2407"/>
      <c r="D149" s="2441"/>
      <c r="E149" s="2409"/>
      <c r="F149" s="2438"/>
      <c r="G149" s="669"/>
      <c r="H149" s="2442" t="s">
        <v>3028</v>
      </c>
      <c r="I149" s="2444"/>
      <c r="J149" s="2442" t="s">
        <v>3807</v>
      </c>
      <c r="K149" s="2444"/>
      <c r="L149" s="2442" t="s">
        <v>3028</v>
      </c>
      <c r="M149" s="2443"/>
      <c r="N149" s="2442"/>
      <c r="O149" s="2443"/>
      <c r="P149" s="2442"/>
      <c r="Q149" s="2443"/>
      <c r="R149" s="2442"/>
      <c r="S149" s="2443"/>
    </row>
    <row r="150" spans="1:19">
      <c r="A150" s="2432"/>
      <c r="B150" s="2621" t="s">
        <v>5640</v>
      </c>
      <c r="C150" s="2407"/>
      <c r="D150" s="2441">
        <v>58</v>
      </c>
      <c r="E150" s="2409" t="s">
        <v>3112</v>
      </c>
      <c r="F150" s="2438">
        <v>60</v>
      </c>
      <c r="G150" s="669">
        <f>D150*F150</f>
        <v>3480</v>
      </c>
      <c r="H150" s="2442" t="s">
        <v>3028</v>
      </c>
      <c r="I150" s="2444"/>
      <c r="J150" s="2442" t="s">
        <v>3028</v>
      </c>
      <c r="K150" s="2444"/>
      <c r="L150" s="2442" t="s">
        <v>3028</v>
      </c>
      <c r="M150" s="2443"/>
      <c r="N150" s="2442"/>
      <c r="O150" s="2443"/>
      <c r="P150" s="2442"/>
      <c r="Q150" s="2443"/>
      <c r="R150" s="2442"/>
      <c r="S150" s="2443"/>
    </row>
    <row r="151" spans="1:19">
      <c r="A151" s="2432"/>
      <c r="B151" s="2627" t="s">
        <v>3888</v>
      </c>
      <c r="C151" s="2407"/>
      <c r="D151" s="2441"/>
      <c r="E151" s="2409"/>
      <c r="F151" s="2438"/>
      <c r="G151" s="669"/>
      <c r="H151" s="2442" t="s">
        <v>3028</v>
      </c>
      <c r="I151" s="2444"/>
      <c r="J151" s="2442" t="s">
        <v>3028</v>
      </c>
      <c r="K151" s="2444"/>
      <c r="L151" s="2442" t="s">
        <v>3028</v>
      </c>
      <c r="M151" s="2443"/>
      <c r="N151" s="2442"/>
      <c r="O151" s="2443"/>
      <c r="P151" s="2442"/>
      <c r="Q151" s="2443"/>
      <c r="R151" s="2442"/>
      <c r="S151" s="2443"/>
    </row>
    <row r="152" spans="1:19">
      <c r="A152" s="2432"/>
      <c r="B152" s="2621" t="s">
        <v>5641</v>
      </c>
      <c r="C152" s="2407"/>
      <c r="D152" s="2441">
        <f>48+267</f>
        <v>315</v>
      </c>
      <c r="E152" s="2409" t="s">
        <v>3112</v>
      </c>
      <c r="F152" s="2438">
        <v>60</v>
      </c>
      <c r="G152" s="669">
        <f>D152*F152</f>
        <v>18900</v>
      </c>
      <c r="H152" s="2442" t="s">
        <v>3028</v>
      </c>
      <c r="I152" s="2444"/>
      <c r="J152" s="2442" t="s">
        <v>3028</v>
      </c>
      <c r="K152" s="2444"/>
      <c r="L152" s="2442" t="s">
        <v>3028</v>
      </c>
      <c r="M152" s="2443"/>
      <c r="N152" s="2442"/>
      <c r="O152" s="2443"/>
      <c r="P152" s="2442"/>
      <c r="Q152" s="2443"/>
      <c r="R152" s="2442"/>
      <c r="S152" s="2443"/>
    </row>
    <row r="153" spans="1:19">
      <c r="A153" s="2432"/>
      <c r="B153" s="2627" t="s">
        <v>5642</v>
      </c>
      <c r="C153" s="2407"/>
      <c r="D153" s="2441"/>
      <c r="E153" s="2409"/>
      <c r="F153" s="2438"/>
      <c r="G153" s="669"/>
      <c r="H153" s="2442" t="s">
        <v>3028</v>
      </c>
      <c r="I153" s="2444"/>
      <c r="J153" s="2442" t="s">
        <v>3028</v>
      </c>
      <c r="K153" s="2444"/>
      <c r="L153" s="2442" t="s">
        <v>3028</v>
      </c>
      <c r="M153" s="2443"/>
      <c r="N153" s="2442"/>
      <c r="O153" s="2443"/>
      <c r="P153" s="2442"/>
      <c r="Q153" s="2443"/>
      <c r="R153" s="2442"/>
      <c r="S153" s="2443"/>
    </row>
    <row r="154" spans="1:19">
      <c r="A154" s="2432"/>
      <c r="B154" s="2619" t="s">
        <v>5643</v>
      </c>
      <c r="C154" s="2407"/>
      <c r="D154" s="2408">
        <f>162+172</f>
        <v>334</v>
      </c>
      <c r="E154" s="2409" t="s">
        <v>3112</v>
      </c>
      <c r="F154" s="2438">
        <v>60</v>
      </c>
      <c r="G154" s="669">
        <f>D154*F154</f>
        <v>20040</v>
      </c>
      <c r="H154" s="2442" t="s">
        <v>3028</v>
      </c>
      <c r="I154" s="2444"/>
      <c r="J154" s="2442" t="s">
        <v>3028</v>
      </c>
      <c r="K154" s="2444"/>
      <c r="L154" s="2442" t="s">
        <v>3028</v>
      </c>
      <c r="M154" s="2443"/>
      <c r="N154" s="2442"/>
      <c r="O154" s="2443"/>
      <c r="P154" s="2442"/>
      <c r="Q154" s="2443"/>
      <c r="R154" s="2442"/>
      <c r="S154" s="2443"/>
    </row>
    <row r="155" spans="1:19">
      <c r="A155" s="2432"/>
      <c r="B155" s="2620" t="s">
        <v>5644</v>
      </c>
      <c r="C155" s="2407"/>
      <c r="D155" s="2408"/>
      <c r="E155" s="2409"/>
      <c r="F155" s="2438"/>
      <c r="G155" s="669"/>
      <c r="H155" s="2442" t="s">
        <v>3028</v>
      </c>
      <c r="I155" s="2444"/>
      <c r="J155" s="2442" t="s">
        <v>3028</v>
      </c>
      <c r="K155" s="2444"/>
      <c r="L155" s="2442" t="s">
        <v>3028</v>
      </c>
      <c r="M155" s="2443"/>
      <c r="N155" s="2442"/>
      <c r="O155" s="2443"/>
      <c r="P155" s="2442"/>
      <c r="Q155" s="2443"/>
      <c r="R155" s="2442"/>
      <c r="S155" s="2443"/>
    </row>
    <row r="156" spans="1:19">
      <c r="A156" s="2432"/>
      <c r="B156" s="2619" t="s">
        <v>5645</v>
      </c>
      <c r="C156" s="2407"/>
      <c r="D156" s="2408"/>
      <c r="E156" s="2409"/>
      <c r="F156" s="2438"/>
      <c r="G156" s="669"/>
      <c r="H156" s="2442" t="s">
        <v>3028</v>
      </c>
      <c r="I156" s="2444"/>
      <c r="J156" s="2442" t="s">
        <v>3028</v>
      </c>
      <c r="K156" s="2444"/>
      <c r="L156" s="2442" t="s">
        <v>3028</v>
      </c>
      <c r="M156" s="2443"/>
      <c r="N156" s="2442"/>
      <c r="O156" s="2443"/>
      <c r="P156" s="2442"/>
      <c r="Q156" s="2443"/>
      <c r="R156" s="2442"/>
      <c r="S156" s="2443"/>
    </row>
    <row r="157" spans="1:19">
      <c r="A157" s="2432"/>
      <c r="B157" s="2620" t="s">
        <v>5610</v>
      </c>
      <c r="C157" s="2407"/>
      <c r="D157" s="2408"/>
      <c r="E157" s="2409"/>
      <c r="F157" s="2438"/>
      <c r="G157" s="669"/>
      <c r="H157" s="2442" t="s">
        <v>3028</v>
      </c>
      <c r="I157" s="2444"/>
      <c r="J157" s="2442" t="s">
        <v>3028</v>
      </c>
      <c r="K157" s="2444"/>
      <c r="L157" s="2442" t="s">
        <v>3028</v>
      </c>
      <c r="M157" s="2443"/>
      <c r="N157" s="2442"/>
      <c r="O157" s="2443"/>
      <c r="P157" s="2442"/>
      <c r="Q157" s="2443"/>
      <c r="R157" s="2442"/>
      <c r="S157" s="2443"/>
    </row>
    <row r="158" spans="1:19">
      <c r="A158" s="2432"/>
      <c r="B158" s="2619" t="s">
        <v>5646</v>
      </c>
      <c r="C158" s="2407"/>
      <c r="D158" s="2408"/>
      <c r="E158" s="2409"/>
      <c r="F158" s="2438"/>
      <c r="G158" s="669"/>
      <c r="H158" s="2442" t="s">
        <v>3028</v>
      </c>
      <c r="I158" s="2444"/>
      <c r="J158" s="2442" t="s">
        <v>3807</v>
      </c>
      <c r="K158" s="2444"/>
      <c r="L158" s="2442" t="s">
        <v>3028</v>
      </c>
      <c r="M158" s="2443"/>
      <c r="N158" s="2442"/>
      <c r="O158" s="2443"/>
      <c r="P158" s="2442"/>
      <c r="Q158" s="2443"/>
      <c r="R158" s="2442"/>
      <c r="S158" s="2443"/>
    </row>
    <row r="159" spans="1:19">
      <c r="A159" s="2432"/>
      <c r="B159" s="2620" t="s">
        <v>5647</v>
      </c>
      <c r="C159" s="2407"/>
      <c r="D159" s="2408"/>
      <c r="E159" s="2409"/>
      <c r="F159" s="2438"/>
      <c r="G159" s="669"/>
      <c r="H159" s="2442" t="s">
        <v>3028</v>
      </c>
      <c r="I159" s="2444"/>
      <c r="J159" s="2442" t="s">
        <v>3807</v>
      </c>
      <c r="K159" s="2444"/>
      <c r="L159" s="2442" t="s">
        <v>3028</v>
      </c>
      <c r="M159" s="2443"/>
      <c r="N159" s="2442"/>
      <c r="O159" s="2443"/>
      <c r="P159" s="2442"/>
      <c r="Q159" s="2443"/>
      <c r="R159" s="2442"/>
      <c r="S159" s="2443"/>
    </row>
    <row r="160" spans="1:19">
      <c r="A160" s="2432"/>
      <c r="B160" s="2619" t="s">
        <v>5648</v>
      </c>
      <c r="C160" s="2407"/>
      <c r="D160" s="2408"/>
      <c r="E160" s="2409"/>
      <c r="F160" s="2438"/>
      <c r="G160" s="669"/>
      <c r="H160" s="2431" t="s">
        <v>3028</v>
      </c>
      <c r="I160" s="2444"/>
      <c r="J160" s="2442" t="s">
        <v>3807</v>
      </c>
      <c r="K160" s="2444"/>
      <c r="L160" s="2442" t="s">
        <v>3028</v>
      </c>
      <c r="M160" s="2443"/>
      <c r="N160" s="2442"/>
      <c r="O160" s="2443"/>
      <c r="P160" s="2442"/>
      <c r="Q160" s="2443"/>
      <c r="R160" s="2442"/>
      <c r="S160" s="2443"/>
    </row>
    <row r="161" spans="1:19">
      <c r="A161" s="2432"/>
      <c r="B161" s="2620" t="s">
        <v>5649</v>
      </c>
      <c r="C161" s="2407"/>
      <c r="D161" s="2408"/>
      <c r="E161" s="2409"/>
      <c r="F161" s="2438"/>
      <c r="G161" s="669"/>
      <c r="H161" s="2431" t="s">
        <v>3028</v>
      </c>
      <c r="I161" s="2444"/>
      <c r="J161" s="2442" t="s">
        <v>3807</v>
      </c>
      <c r="K161" s="2444"/>
      <c r="L161" s="2442" t="s">
        <v>3028</v>
      </c>
      <c r="M161" s="2443"/>
      <c r="N161" s="2442"/>
      <c r="O161" s="2443"/>
      <c r="P161" s="2442"/>
      <c r="Q161" s="2443"/>
      <c r="R161" s="2442"/>
      <c r="S161" s="2443"/>
    </row>
    <row r="162" spans="1:19">
      <c r="A162" s="2432"/>
      <c r="B162" s="2618" t="s">
        <v>5576</v>
      </c>
      <c r="C162" s="2407"/>
      <c r="D162" s="2441"/>
      <c r="E162" s="2409"/>
      <c r="F162" s="2438"/>
      <c r="G162" s="669"/>
      <c r="H162" s="2442" t="s">
        <v>3028</v>
      </c>
      <c r="I162" s="2444"/>
      <c r="J162" s="2442" t="s">
        <v>3028</v>
      </c>
      <c r="K162" s="2444"/>
      <c r="L162" s="2442" t="s">
        <v>3028</v>
      </c>
      <c r="M162" s="2349"/>
      <c r="N162" s="2431"/>
      <c r="O162" s="2349"/>
      <c r="P162" s="2442"/>
      <c r="Q162" s="2443"/>
      <c r="R162" s="2431"/>
      <c r="S162" s="2349"/>
    </row>
    <row r="163" spans="1:19">
      <c r="A163" s="2432"/>
      <c r="B163" s="2616" t="s">
        <v>5557</v>
      </c>
      <c r="C163" s="2407"/>
      <c r="D163" s="2441">
        <f>58+58+71+21+34+14+25+49+49+49+96+21</f>
        <v>545</v>
      </c>
      <c r="E163" s="2409" t="s">
        <v>48</v>
      </c>
      <c r="F163" s="2438">
        <v>6</v>
      </c>
      <c r="G163" s="669">
        <f>F163*D163</f>
        <v>3270</v>
      </c>
      <c r="H163" s="2442" t="s">
        <v>3028</v>
      </c>
      <c r="I163" s="2444"/>
      <c r="J163" s="2442" t="s">
        <v>3028</v>
      </c>
      <c r="K163" s="2444"/>
      <c r="L163" s="2442" t="s">
        <v>3028</v>
      </c>
      <c r="M163" s="2443"/>
      <c r="N163" s="2442"/>
      <c r="O163" s="2443"/>
      <c r="P163" s="2442"/>
      <c r="Q163" s="2443"/>
      <c r="R163" s="2442"/>
      <c r="S163" s="2443"/>
    </row>
    <row r="164" spans="1:19" ht="45">
      <c r="A164" s="2432"/>
      <c r="B164" s="2620" t="s">
        <v>5650</v>
      </c>
      <c r="C164" s="2407"/>
      <c r="D164" s="2441"/>
      <c r="E164" s="2409"/>
      <c r="F164" s="2438"/>
      <c r="G164" s="669"/>
      <c r="H164" s="2442" t="s">
        <v>3028</v>
      </c>
      <c r="I164" s="2444"/>
      <c r="J164" s="2442" t="s">
        <v>3028</v>
      </c>
      <c r="K164" s="2444"/>
      <c r="L164" s="2442" t="s">
        <v>3028</v>
      </c>
      <c r="M164" s="2349"/>
      <c r="N164" s="2431"/>
      <c r="O164" s="2349"/>
      <c r="P164" s="2442"/>
      <c r="Q164" s="2443"/>
      <c r="R164" s="2431"/>
      <c r="S164" s="2349"/>
    </row>
    <row r="165" spans="1:19">
      <c r="A165" s="2432"/>
      <c r="B165" s="2619" t="s">
        <v>5651</v>
      </c>
      <c r="C165" s="2407"/>
      <c r="D165" s="2441">
        <v>23</v>
      </c>
      <c r="E165" s="2409" t="s">
        <v>48</v>
      </c>
      <c r="F165" s="2438">
        <v>6</v>
      </c>
      <c r="G165" s="669">
        <f>F165*D165</f>
        <v>138</v>
      </c>
      <c r="H165" s="2442" t="s">
        <v>3028</v>
      </c>
      <c r="I165" s="2444"/>
      <c r="J165" s="2442" t="s">
        <v>3807</v>
      </c>
      <c r="K165" s="2444"/>
      <c r="L165" s="2442" t="s">
        <v>3028</v>
      </c>
      <c r="M165" s="2349"/>
      <c r="N165" s="2431"/>
      <c r="O165" s="2349"/>
      <c r="P165" s="2442"/>
      <c r="Q165" s="2443"/>
      <c r="R165" s="2431"/>
      <c r="S165" s="2349"/>
    </row>
    <row r="166" spans="1:19">
      <c r="A166" s="2432"/>
      <c r="B166" s="2620" t="s">
        <v>3872</v>
      </c>
      <c r="C166" s="2407"/>
      <c r="D166" s="2441"/>
      <c r="E166" s="2409"/>
      <c r="F166" s="2438"/>
      <c r="G166" s="669"/>
      <c r="H166" s="2442" t="s">
        <v>3028</v>
      </c>
      <c r="I166" s="2444"/>
      <c r="J166" s="2442" t="s">
        <v>3807</v>
      </c>
      <c r="K166" s="2444"/>
      <c r="L166" s="2442" t="s">
        <v>3028</v>
      </c>
      <c r="M166" s="2349"/>
      <c r="N166" s="2431"/>
      <c r="O166" s="2349"/>
      <c r="P166" s="2442"/>
      <c r="Q166" s="2443"/>
      <c r="R166" s="2431"/>
      <c r="S166" s="2349"/>
    </row>
    <row r="167" spans="1:19">
      <c r="A167" s="2432"/>
      <c r="B167" s="2619" t="s">
        <v>5652</v>
      </c>
      <c r="C167" s="2407"/>
      <c r="D167" s="2441">
        <v>40</v>
      </c>
      <c r="E167" s="2409" t="s">
        <v>48</v>
      </c>
      <c r="F167" s="2438">
        <v>6</v>
      </c>
      <c r="G167" s="669">
        <f>F167*D167</f>
        <v>240</v>
      </c>
      <c r="H167" s="2442" t="s">
        <v>3028</v>
      </c>
      <c r="I167" s="2444"/>
      <c r="J167" s="2442" t="s">
        <v>3807</v>
      </c>
      <c r="K167" s="2444"/>
      <c r="L167" s="2442" t="s">
        <v>3028</v>
      </c>
      <c r="M167" s="2349"/>
      <c r="N167" s="2431"/>
      <c r="O167" s="2349"/>
      <c r="P167" s="2442"/>
      <c r="Q167" s="2443"/>
      <c r="R167" s="2431"/>
      <c r="S167" s="2349"/>
    </row>
    <row r="168" spans="1:19">
      <c r="A168" s="2432"/>
      <c r="B168" s="2615" t="s">
        <v>3996</v>
      </c>
      <c r="C168" s="2407"/>
      <c r="D168" s="2441"/>
      <c r="E168" s="2409"/>
      <c r="F168" s="2438"/>
      <c r="G168" s="669"/>
      <c r="H168" s="2442" t="s">
        <v>3028</v>
      </c>
      <c r="I168" s="2444"/>
      <c r="J168" s="2442" t="s">
        <v>3807</v>
      </c>
      <c r="K168" s="2444"/>
      <c r="L168" s="2442" t="s">
        <v>3028</v>
      </c>
      <c r="M168" s="2349"/>
      <c r="N168" s="2431"/>
      <c r="O168" s="2349"/>
      <c r="P168" s="2442"/>
      <c r="Q168" s="2443"/>
      <c r="R168" s="2431"/>
      <c r="S168" s="2349"/>
    </row>
    <row r="169" spans="1:19" ht="30">
      <c r="A169" s="2432"/>
      <c r="B169" s="2619" t="s">
        <v>5625</v>
      </c>
      <c r="C169" s="2407"/>
      <c r="D169" s="2441">
        <v>5</v>
      </c>
      <c r="E169" s="2409" t="s">
        <v>48</v>
      </c>
      <c r="F169" s="2438">
        <v>6</v>
      </c>
      <c r="G169" s="669">
        <f>F169*D169</f>
        <v>30</v>
      </c>
      <c r="H169" s="2442" t="s">
        <v>3028</v>
      </c>
      <c r="I169" s="2444"/>
      <c r="J169" s="2442" t="s">
        <v>3807</v>
      </c>
      <c r="K169" s="2444"/>
      <c r="L169" s="2442" t="s">
        <v>3028</v>
      </c>
      <c r="M169" s="2349"/>
      <c r="N169" s="2431"/>
      <c r="O169" s="2349"/>
      <c r="P169" s="2442"/>
      <c r="Q169" s="2443"/>
      <c r="R169" s="2431"/>
      <c r="S169" s="2349"/>
    </row>
    <row r="170" spans="1:19">
      <c r="A170" s="2432"/>
      <c r="B170" s="2615" t="s">
        <v>5631</v>
      </c>
      <c r="C170" s="2407"/>
      <c r="D170" s="2441"/>
      <c r="E170" s="2409"/>
      <c r="F170" s="2438"/>
      <c r="G170" s="669"/>
      <c r="H170" s="2442" t="s">
        <v>3028</v>
      </c>
      <c r="I170" s="2444"/>
      <c r="J170" s="2442" t="s">
        <v>3807</v>
      </c>
      <c r="K170" s="2444"/>
      <c r="L170" s="2442" t="s">
        <v>3028</v>
      </c>
      <c r="M170" s="2349"/>
      <c r="N170" s="2431"/>
      <c r="O170" s="2349"/>
      <c r="P170" s="2442"/>
      <c r="Q170" s="2443"/>
      <c r="R170" s="2431"/>
      <c r="S170" s="2349"/>
    </row>
    <row r="171" spans="1:19">
      <c r="A171" s="2432"/>
      <c r="B171" s="2619" t="s">
        <v>5653</v>
      </c>
      <c r="C171" s="2407"/>
      <c r="D171" s="2441"/>
      <c r="E171" s="2409" t="s">
        <v>48</v>
      </c>
      <c r="F171" s="2438"/>
      <c r="G171" s="669"/>
      <c r="H171" s="2442" t="s">
        <v>3028</v>
      </c>
      <c r="I171" s="2444"/>
      <c r="J171" s="2442" t="s">
        <v>3028</v>
      </c>
      <c r="K171" s="2444"/>
      <c r="L171" s="2442" t="s">
        <v>3028</v>
      </c>
      <c r="M171" s="2349"/>
      <c r="N171" s="2431"/>
      <c r="O171" s="2349"/>
      <c r="P171" s="2442"/>
      <c r="Q171" s="2443"/>
      <c r="R171" s="2431"/>
      <c r="S171" s="2349"/>
    </row>
    <row r="172" spans="1:19">
      <c r="A172" s="2432"/>
      <c r="B172" s="2618" t="s">
        <v>5206</v>
      </c>
      <c r="C172" s="2407"/>
      <c r="D172" s="2441"/>
      <c r="E172" s="2409"/>
      <c r="F172" s="2438"/>
      <c r="G172" s="669"/>
      <c r="H172" s="2442" t="s">
        <v>3028</v>
      </c>
      <c r="I172" s="2444"/>
      <c r="J172" s="2442" t="s">
        <v>3028</v>
      </c>
      <c r="K172" s="2444"/>
      <c r="L172" s="2442" t="s">
        <v>3028</v>
      </c>
      <c r="M172" s="2349"/>
      <c r="N172" s="2431"/>
      <c r="O172" s="2349"/>
      <c r="P172" s="2442"/>
      <c r="Q172" s="2443"/>
      <c r="R172" s="2431"/>
      <c r="S172" s="2349"/>
    </row>
    <row r="173" spans="1:19" ht="30">
      <c r="A173" s="2432"/>
      <c r="B173" s="2619" t="s">
        <v>5654</v>
      </c>
      <c r="C173" s="2407" t="s">
        <v>1929</v>
      </c>
      <c r="D173" s="2441"/>
      <c r="E173" s="2409"/>
      <c r="F173" s="2438"/>
      <c r="G173" s="669"/>
      <c r="H173" s="2442" t="s">
        <v>3028</v>
      </c>
      <c r="I173" s="2444"/>
      <c r="J173" s="2442" t="s">
        <v>3028</v>
      </c>
      <c r="K173" s="2444"/>
      <c r="L173" s="2442" t="s">
        <v>3028</v>
      </c>
      <c r="M173" s="2349"/>
      <c r="N173" s="2431"/>
      <c r="O173" s="2349"/>
      <c r="P173" s="2442"/>
      <c r="Q173" s="2443"/>
      <c r="R173" s="2431"/>
      <c r="S173" s="2349"/>
    </row>
    <row r="174" spans="1:19" ht="30">
      <c r="A174" s="2432"/>
      <c r="B174" s="2619" t="s">
        <v>5655</v>
      </c>
      <c r="C174" s="2386" t="s">
        <v>5656</v>
      </c>
      <c r="D174" s="2441">
        <v>1</v>
      </c>
      <c r="E174" s="2409" t="s">
        <v>5208</v>
      </c>
      <c r="F174" s="2438">
        <v>10000</v>
      </c>
      <c r="G174" s="669">
        <f t="shared" ref="G174:G179" si="1">F174*D174</f>
        <v>10000</v>
      </c>
      <c r="H174" s="2448" t="s">
        <v>4877</v>
      </c>
      <c r="I174" s="2622">
        <f>G174</f>
        <v>10000</v>
      </c>
      <c r="J174" s="2448" t="s">
        <v>4877</v>
      </c>
      <c r="K174" s="2622">
        <f>I174</f>
        <v>10000</v>
      </c>
      <c r="L174" s="2448" t="s">
        <v>4877</v>
      </c>
      <c r="M174" s="2622">
        <f>K174</f>
        <v>10000</v>
      </c>
      <c r="N174" s="2431"/>
      <c r="O174" s="2349"/>
      <c r="P174" s="2442"/>
      <c r="Q174" s="2443"/>
      <c r="R174" s="2431"/>
      <c r="S174" s="2349"/>
    </row>
    <row r="175" spans="1:19">
      <c r="A175" s="2432"/>
      <c r="B175" s="2619" t="s">
        <v>5657</v>
      </c>
      <c r="C175" s="2386" t="s">
        <v>1665</v>
      </c>
      <c r="D175" s="2441">
        <v>1</v>
      </c>
      <c r="E175" s="2409" t="s">
        <v>5208</v>
      </c>
      <c r="F175" s="2438">
        <v>5000</v>
      </c>
      <c r="G175" s="669">
        <f t="shared" si="1"/>
        <v>5000</v>
      </c>
      <c r="H175" s="2442" t="s">
        <v>3028</v>
      </c>
      <c r="I175" s="2444"/>
      <c r="J175" s="2442"/>
      <c r="K175" s="2444"/>
      <c r="L175" s="2431" t="s">
        <v>3807</v>
      </c>
      <c r="M175" s="2349"/>
      <c r="N175" s="2431"/>
      <c r="O175" s="2349"/>
      <c r="P175" s="2442"/>
      <c r="Q175" s="2443"/>
      <c r="R175" s="2431"/>
      <c r="S175" s="2349"/>
    </row>
    <row r="176" spans="1:19">
      <c r="A176" s="2432"/>
      <c r="B176" s="2619" t="s">
        <v>5658</v>
      </c>
      <c r="C176" s="2407" t="s">
        <v>1954</v>
      </c>
      <c r="D176" s="2441">
        <v>1</v>
      </c>
      <c r="E176" s="2409" t="s">
        <v>5208</v>
      </c>
      <c r="F176" s="2438">
        <v>10000</v>
      </c>
      <c r="G176" s="669">
        <f t="shared" si="1"/>
        <v>10000</v>
      </c>
      <c r="H176" s="2448" t="s">
        <v>3028</v>
      </c>
      <c r="I176" s="2350"/>
      <c r="J176" s="2431"/>
      <c r="K176" s="2350"/>
      <c r="L176" s="2431" t="s">
        <v>3807</v>
      </c>
      <c r="M176" s="2349"/>
      <c r="N176" s="2431"/>
      <c r="O176" s="2349"/>
      <c r="P176" s="2442"/>
      <c r="Q176" s="2443"/>
      <c r="R176" s="2431"/>
      <c r="S176" s="2349"/>
    </row>
    <row r="177" spans="1:19">
      <c r="A177" s="2432"/>
      <c r="B177" s="2619" t="s">
        <v>5659</v>
      </c>
      <c r="C177" s="2407" t="s">
        <v>5660</v>
      </c>
      <c r="D177" s="2441">
        <v>44</v>
      </c>
      <c r="E177" s="2409" t="s">
        <v>3041</v>
      </c>
      <c r="F177" s="2438">
        <v>650</v>
      </c>
      <c r="G177" s="669">
        <f t="shared" si="1"/>
        <v>28600</v>
      </c>
      <c r="H177" s="2442" t="s">
        <v>3028</v>
      </c>
      <c r="I177" s="2444"/>
      <c r="J177" s="2442"/>
      <c r="K177" s="2444"/>
      <c r="L177" s="2431" t="s">
        <v>3807</v>
      </c>
      <c r="M177" s="2349"/>
      <c r="N177" s="2431"/>
      <c r="O177" s="2349"/>
      <c r="P177" s="2442"/>
      <c r="Q177" s="2443"/>
      <c r="R177" s="2431"/>
      <c r="S177" s="2349"/>
    </row>
    <row r="178" spans="1:19">
      <c r="A178" s="2432"/>
      <c r="B178" s="2619" t="s">
        <v>5661</v>
      </c>
      <c r="C178" s="2407" t="s">
        <v>5660</v>
      </c>
      <c r="D178" s="2441">
        <v>44</v>
      </c>
      <c r="E178" s="2409" t="s">
        <v>3041</v>
      </c>
      <c r="F178" s="2438">
        <v>200</v>
      </c>
      <c r="G178" s="669">
        <f t="shared" si="1"/>
        <v>8800</v>
      </c>
      <c r="H178" s="2448" t="s">
        <v>4877</v>
      </c>
      <c r="I178" s="2622">
        <f>G178</f>
        <v>8800</v>
      </c>
      <c r="J178" s="2448" t="s">
        <v>4877</v>
      </c>
      <c r="K178" s="2622">
        <f>I178</f>
        <v>8800</v>
      </c>
      <c r="L178" s="2448" t="s">
        <v>4877</v>
      </c>
      <c r="M178" s="2622">
        <f>K178</f>
        <v>8800</v>
      </c>
      <c r="N178" s="2431"/>
      <c r="O178" s="2349"/>
      <c r="P178" s="2442"/>
      <c r="Q178" s="2443"/>
      <c r="R178" s="2431"/>
      <c r="S178" s="2349"/>
    </row>
    <row r="179" spans="1:19">
      <c r="A179" s="2432"/>
      <c r="B179" s="2619" t="s">
        <v>5662</v>
      </c>
      <c r="C179" s="2407" t="s">
        <v>1655</v>
      </c>
      <c r="D179" s="2441">
        <v>224</v>
      </c>
      <c r="E179" s="2409" t="s">
        <v>3112</v>
      </c>
      <c r="F179" s="2438">
        <v>60</v>
      </c>
      <c r="G179" s="662">
        <f t="shared" si="1"/>
        <v>13440</v>
      </c>
      <c r="H179" s="2442" t="s">
        <v>3028</v>
      </c>
      <c r="I179" s="2444"/>
      <c r="J179" s="2442"/>
      <c r="K179" s="2444"/>
      <c r="L179" s="2431" t="s">
        <v>3028</v>
      </c>
      <c r="M179" s="2349"/>
      <c r="N179" s="2431"/>
      <c r="O179" s="2349"/>
      <c r="P179" s="2442"/>
      <c r="Q179" s="2443"/>
      <c r="R179" s="2431"/>
      <c r="S179" s="2349"/>
    </row>
    <row r="180" spans="1:19">
      <c r="A180" s="2432"/>
      <c r="B180" s="2617" t="s">
        <v>3235</v>
      </c>
      <c r="C180" s="2407"/>
      <c r="D180" s="2408"/>
      <c r="E180" s="2409"/>
      <c r="F180" s="2438"/>
      <c r="G180" s="662"/>
      <c r="H180" s="2442" t="s">
        <v>3028</v>
      </c>
      <c r="I180" s="2350">
        <f>4619.2</f>
        <v>4619.2</v>
      </c>
      <c r="J180" s="2431" t="s">
        <v>3028</v>
      </c>
      <c r="K180" s="2350">
        <v>38300</v>
      </c>
      <c r="L180" s="2431" t="s">
        <v>3028</v>
      </c>
      <c r="M180" s="2349"/>
      <c r="N180" s="2431"/>
      <c r="O180" s="2349"/>
      <c r="P180" s="2431"/>
      <c r="Q180" s="2349"/>
      <c r="R180" s="2431"/>
      <c r="S180" s="2349"/>
    </row>
    <row r="181" spans="1:19">
      <c r="A181" s="2432"/>
      <c r="B181" s="2618" t="s">
        <v>2577</v>
      </c>
      <c r="C181" s="2407"/>
      <c r="D181" s="2441"/>
      <c r="E181" s="2409"/>
      <c r="F181" s="2438"/>
      <c r="G181" s="669"/>
      <c r="H181" s="2442" t="s">
        <v>3028</v>
      </c>
      <c r="I181" s="2444"/>
      <c r="J181" s="2431" t="s">
        <v>3028</v>
      </c>
      <c r="K181" s="2444"/>
      <c r="L181" s="2431" t="s">
        <v>3028</v>
      </c>
      <c r="M181" s="2443"/>
      <c r="N181" s="2442"/>
      <c r="O181" s="2443"/>
      <c r="P181" s="2442"/>
      <c r="Q181" s="2443"/>
      <c r="R181" s="2442"/>
      <c r="S181" s="2443"/>
    </row>
    <row r="182" spans="1:19">
      <c r="A182" s="2432"/>
      <c r="B182" s="2621" t="s">
        <v>5663</v>
      </c>
      <c r="C182" s="2407"/>
      <c r="D182" s="2441"/>
      <c r="E182" s="2409"/>
      <c r="F182" s="2438"/>
      <c r="G182" s="669"/>
      <c r="H182" s="2442" t="s">
        <v>3028</v>
      </c>
      <c r="I182" s="2444"/>
      <c r="J182" s="2431" t="s">
        <v>3028</v>
      </c>
      <c r="K182" s="2444"/>
      <c r="L182" s="2431" t="s">
        <v>3028</v>
      </c>
      <c r="M182" s="2443"/>
      <c r="N182" s="2442"/>
      <c r="O182" s="2443"/>
      <c r="P182" s="2442"/>
      <c r="Q182" s="2443"/>
      <c r="R182" s="2442"/>
      <c r="S182" s="2443"/>
    </row>
    <row r="183" spans="1:19">
      <c r="A183" s="2432"/>
      <c r="B183" s="2627" t="s">
        <v>5664</v>
      </c>
      <c r="C183" s="2407"/>
      <c r="D183" s="2441"/>
      <c r="E183" s="2409"/>
      <c r="F183" s="2438"/>
      <c r="G183" s="669"/>
      <c r="H183" s="2442" t="s">
        <v>3028</v>
      </c>
      <c r="I183" s="2444"/>
      <c r="J183" s="2431" t="s">
        <v>3028</v>
      </c>
      <c r="K183" s="2444"/>
      <c r="L183" s="2431" t="s">
        <v>3028</v>
      </c>
      <c r="M183" s="2443"/>
      <c r="N183" s="2442"/>
      <c r="O183" s="2443"/>
      <c r="P183" s="2442"/>
      <c r="Q183" s="2443"/>
      <c r="R183" s="2442"/>
      <c r="S183" s="2443"/>
    </row>
    <row r="184" spans="1:19">
      <c r="A184" s="2432"/>
      <c r="B184" s="2621" t="s">
        <v>5665</v>
      </c>
      <c r="C184" s="2407"/>
      <c r="D184" s="2441"/>
      <c r="E184" s="2409"/>
      <c r="F184" s="2438"/>
      <c r="G184" s="669"/>
      <c r="H184" s="2442" t="s">
        <v>3028</v>
      </c>
      <c r="I184" s="2444"/>
      <c r="J184" s="2431" t="s">
        <v>3028</v>
      </c>
      <c r="K184" s="2444"/>
      <c r="L184" s="2431" t="s">
        <v>3028</v>
      </c>
      <c r="M184" s="2443"/>
      <c r="N184" s="2442"/>
      <c r="O184" s="2443"/>
      <c r="P184" s="2442"/>
      <c r="Q184" s="2443"/>
      <c r="R184" s="2442"/>
      <c r="S184" s="2443"/>
    </row>
    <row r="185" spans="1:19">
      <c r="A185" s="2432"/>
      <c r="B185" s="2627" t="s">
        <v>5664</v>
      </c>
      <c r="C185" s="2407"/>
      <c r="D185" s="2441"/>
      <c r="E185" s="2409"/>
      <c r="F185" s="2438"/>
      <c r="G185" s="669"/>
      <c r="H185" s="2442" t="s">
        <v>3028</v>
      </c>
      <c r="I185" s="2444"/>
      <c r="J185" s="2431" t="s">
        <v>3028</v>
      </c>
      <c r="K185" s="2444"/>
      <c r="L185" s="2431" t="s">
        <v>3028</v>
      </c>
      <c r="M185" s="2443"/>
      <c r="N185" s="2442"/>
      <c r="O185" s="2443"/>
      <c r="P185" s="2442"/>
      <c r="Q185" s="2443"/>
      <c r="R185" s="2442"/>
      <c r="S185" s="2443"/>
    </row>
    <row r="186" spans="1:19">
      <c r="A186" s="2432"/>
      <c r="B186" s="2618" t="s">
        <v>3051</v>
      </c>
      <c r="C186" s="2407"/>
      <c r="D186" s="2408"/>
      <c r="E186" s="2409"/>
      <c r="F186" s="2438"/>
      <c r="G186" s="662"/>
      <c r="H186" s="2442" t="s">
        <v>3028</v>
      </c>
      <c r="I186" s="2350"/>
      <c r="J186" s="2431" t="s">
        <v>3807</v>
      </c>
      <c r="K186" s="2350"/>
      <c r="L186" s="2431" t="s">
        <v>3028</v>
      </c>
      <c r="M186" s="2349"/>
      <c r="N186" s="2431"/>
      <c r="O186" s="2349"/>
      <c r="P186" s="2431"/>
      <c r="Q186" s="2349"/>
      <c r="R186" s="2431"/>
      <c r="S186" s="2349"/>
    </row>
    <row r="187" spans="1:19">
      <c r="A187" s="2432"/>
      <c r="B187" s="2616" t="s">
        <v>5666</v>
      </c>
      <c r="C187" s="2407"/>
      <c r="D187" s="2408"/>
      <c r="E187" s="2409"/>
      <c r="F187" s="2438"/>
      <c r="G187" s="662"/>
      <c r="H187" s="2442" t="s">
        <v>3028</v>
      </c>
      <c r="I187" s="2350"/>
      <c r="J187" s="2431" t="s">
        <v>3807</v>
      </c>
      <c r="K187" s="2350"/>
      <c r="L187" s="2431" t="s">
        <v>3028</v>
      </c>
      <c r="M187" s="2349"/>
      <c r="N187" s="2431"/>
      <c r="O187" s="2349"/>
      <c r="P187" s="2431"/>
      <c r="Q187" s="2349"/>
      <c r="R187" s="2431"/>
      <c r="S187" s="2349"/>
    </row>
    <row r="188" spans="1:19">
      <c r="A188" s="2432"/>
      <c r="B188" s="2615" t="s">
        <v>5667</v>
      </c>
      <c r="C188" s="2407"/>
      <c r="D188" s="2408"/>
      <c r="E188" s="2409"/>
      <c r="F188" s="2438"/>
      <c r="G188" s="662"/>
      <c r="H188" s="2442" t="s">
        <v>3028</v>
      </c>
      <c r="I188" s="2350"/>
      <c r="J188" s="2431" t="s">
        <v>3807</v>
      </c>
      <c r="K188" s="2350"/>
      <c r="L188" s="2431" t="s">
        <v>3028</v>
      </c>
      <c r="M188" s="2349"/>
      <c r="N188" s="2431"/>
      <c r="O188" s="2349"/>
      <c r="P188" s="2431"/>
      <c r="Q188" s="2349"/>
      <c r="R188" s="2431"/>
      <c r="S188" s="2349"/>
    </row>
    <row r="189" spans="1:19">
      <c r="A189" s="2432"/>
      <c r="B189" s="2617" t="s">
        <v>2697</v>
      </c>
      <c r="C189" s="2407"/>
      <c r="D189" s="2408"/>
      <c r="E189" s="2409"/>
      <c r="F189" s="2438"/>
      <c r="G189" s="662"/>
      <c r="H189" s="2442" t="s">
        <v>3028</v>
      </c>
      <c r="I189" s="2350">
        <f>71687.89+86278.84</f>
        <v>157966.72999999998</v>
      </c>
      <c r="J189" s="2431" t="s">
        <v>3807</v>
      </c>
      <c r="K189" s="2350">
        <v>43800</v>
      </c>
      <c r="L189" s="2431" t="s">
        <v>3028</v>
      </c>
      <c r="M189" s="2349"/>
      <c r="N189" s="2431"/>
      <c r="O189" s="2349"/>
      <c r="P189" s="2431"/>
      <c r="Q189" s="2349"/>
      <c r="R189" s="2431"/>
      <c r="S189" s="2349"/>
    </row>
    <row r="190" spans="1:19">
      <c r="A190" s="2432"/>
      <c r="B190" s="2618" t="s">
        <v>2577</v>
      </c>
      <c r="C190" s="2407"/>
      <c r="D190" s="2408"/>
      <c r="E190" s="2409"/>
      <c r="F190" s="2438"/>
      <c r="G190" s="662"/>
      <c r="H190" s="2442" t="s">
        <v>3028</v>
      </c>
      <c r="I190" s="2350"/>
      <c r="J190" s="2431" t="s">
        <v>3807</v>
      </c>
      <c r="K190" s="2350"/>
      <c r="L190" s="2431" t="s">
        <v>3028</v>
      </c>
      <c r="M190" s="2349"/>
      <c r="N190" s="2431"/>
      <c r="O190" s="2349"/>
      <c r="P190" s="2431"/>
      <c r="Q190" s="2349"/>
      <c r="R190" s="2431"/>
      <c r="S190" s="2349"/>
    </row>
    <row r="191" spans="1:19" ht="30">
      <c r="A191" s="2432"/>
      <c r="B191" s="2619" t="s">
        <v>5668</v>
      </c>
      <c r="C191" s="2407" t="s">
        <v>1530</v>
      </c>
      <c r="D191" s="2408"/>
      <c r="E191" s="2409" t="s">
        <v>3112</v>
      </c>
      <c r="F191" s="2438"/>
      <c r="G191" s="662"/>
      <c r="H191" s="2442" t="s">
        <v>3028</v>
      </c>
      <c r="I191" s="2350"/>
      <c r="J191" s="2431" t="s">
        <v>3807</v>
      </c>
      <c r="K191" s="2350"/>
      <c r="L191" s="2431" t="s">
        <v>3028</v>
      </c>
      <c r="M191" s="2349"/>
      <c r="N191" s="2431"/>
      <c r="O191" s="2349"/>
      <c r="P191" s="2431"/>
      <c r="Q191" s="2349"/>
      <c r="R191" s="2431"/>
      <c r="S191" s="2349"/>
    </row>
    <row r="192" spans="1:19">
      <c r="A192" s="2432"/>
      <c r="B192" s="2615" t="s">
        <v>5669</v>
      </c>
      <c r="C192" s="2407"/>
      <c r="D192" s="2408"/>
      <c r="E192" s="2409"/>
      <c r="F192" s="2438"/>
      <c r="G192" s="662"/>
      <c r="H192" s="2442" t="s">
        <v>3028</v>
      </c>
      <c r="I192" s="2350"/>
      <c r="J192" s="2431" t="s">
        <v>3807</v>
      </c>
      <c r="K192" s="2350"/>
      <c r="L192" s="2431" t="s">
        <v>3028</v>
      </c>
      <c r="M192" s="2349"/>
      <c r="N192" s="2431"/>
      <c r="O192" s="2349"/>
      <c r="P192" s="2431"/>
      <c r="Q192" s="2349"/>
      <c r="R192" s="2431"/>
      <c r="S192" s="2349"/>
    </row>
    <row r="193" spans="1:19">
      <c r="A193" s="2432"/>
      <c r="B193" s="2618" t="s">
        <v>5597</v>
      </c>
      <c r="C193" s="2407"/>
      <c r="D193" s="2408"/>
      <c r="E193" s="2409"/>
      <c r="F193" s="2438"/>
      <c r="G193" s="662"/>
      <c r="H193" s="2431" t="s">
        <v>3028</v>
      </c>
      <c r="I193" s="2350"/>
      <c r="J193" s="2431" t="s">
        <v>3807</v>
      </c>
      <c r="K193" s="2350"/>
      <c r="L193" s="2431" t="s">
        <v>3028</v>
      </c>
      <c r="M193" s="2349"/>
      <c r="N193" s="2431"/>
      <c r="O193" s="2349"/>
      <c r="P193" s="2431"/>
      <c r="Q193" s="2349"/>
      <c r="R193" s="2431"/>
      <c r="S193" s="2349"/>
    </row>
    <row r="194" spans="1:19" ht="30">
      <c r="A194" s="2432"/>
      <c r="B194" s="2619" t="s">
        <v>5670</v>
      </c>
      <c r="C194" s="2407"/>
      <c r="D194" s="2408"/>
      <c r="E194" s="2409" t="s">
        <v>48</v>
      </c>
      <c r="F194" s="2438"/>
      <c r="G194" s="662"/>
      <c r="H194" s="2431" t="s">
        <v>3028</v>
      </c>
      <c r="I194" s="2350"/>
      <c r="J194" s="2431" t="s">
        <v>3807</v>
      </c>
      <c r="K194" s="2350"/>
      <c r="L194" s="2431" t="s">
        <v>3807</v>
      </c>
      <c r="M194" s="2349"/>
      <c r="N194" s="2431"/>
      <c r="O194" s="2349"/>
      <c r="P194" s="2431"/>
      <c r="Q194" s="2349"/>
      <c r="R194" s="2431"/>
      <c r="S194" s="2349"/>
    </row>
    <row r="195" spans="1:19">
      <c r="A195" s="2432"/>
      <c r="B195" s="2615" t="s">
        <v>5669</v>
      </c>
      <c r="C195" s="2407"/>
      <c r="D195" s="2408"/>
      <c r="E195" s="2409"/>
      <c r="F195" s="2438"/>
      <c r="G195" s="662"/>
      <c r="H195" s="2431" t="s">
        <v>3028</v>
      </c>
      <c r="I195" s="2350"/>
      <c r="J195" s="2431" t="s">
        <v>3807</v>
      </c>
      <c r="K195" s="2350"/>
      <c r="L195" s="2431" t="s">
        <v>3807</v>
      </c>
      <c r="M195" s="2349"/>
      <c r="N195" s="2431"/>
      <c r="O195" s="2349"/>
      <c r="P195" s="2431"/>
      <c r="Q195" s="2349"/>
      <c r="R195" s="2431"/>
      <c r="S195" s="2349"/>
    </row>
    <row r="196" spans="1:19">
      <c r="A196" s="2432"/>
      <c r="B196" s="2619" t="s">
        <v>5671</v>
      </c>
      <c r="C196" s="2407"/>
      <c r="D196" s="2408"/>
      <c r="E196" s="2409"/>
      <c r="F196" s="2438"/>
      <c r="G196" s="662"/>
      <c r="H196" s="2442" t="s">
        <v>3028</v>
      </c>
      <c r="I196" s="2350"/>
      <c r="J196" s="2431" t="s">
        <v>3028</v>
      </c>
      <c r="K196" s="2350"/>
      <c r="L196" s="2431" t="s">
        <v>3028</v>
      </c>
      <c r="M196" s="2349"/>
      <c r="N196" s="2431"/>
      <c r="O196" s="2349"/>
      <c r="P196" s="2431"/>
      <c r="Q196" s="2349"/>
      <c r="R196" s="2431"/>
      <c r="S196" s="2349"/>
    </row>
    <row r="197" spans="1:19" ht="30">
      <c r="A197" s="2432"/>
      <c r="B197" s="2620" t="s">
        <v>5672</v>
      </c>
      <c r="C197" s="2407"/>
      <c r="D197" s="2408"/>
      <c r="E197" s="2409"/>
      <c r="F197" s="2438"/>
      <c r="G197" s="662"/>
      <c r="H197" s="2442" t="s">
        <v>3028</v>
      </c>
      <c r="I197" s="2350"/>
      <c r="J197" s="2431" t="s">
        <v>3028</v>
      </c>
      <c r="K197" s="2350"/>
      <c r="L197" s="2431" t="s">
        <v>3028</v>
      </c>
      <c r="M197" s="2349"/>
      <c r="N197" s="2431"/>
      <c r="O197" s="2349"/>
      <c r="P197" s="2431"/>
      <c r="Q197" s="2349"/>
      <c r="R197" s="2431"/>
      <c r="S197" s="2349"/>
    </row>
    <row r="198" spans="1:19">
      <c r="A198" s="2432"/>
      <c r="B198" s="2618" t="s">
        <v>3051</v>
      </c>
      <c r="C198" s="2407"/>
      <c r="D198" s="2408"/>
      <c r="E198" s="2409"/>
      <c r="F198" s="2438"/>
      <c r="G198" s="662"/>
      <c r="H198" s="2442" t="s">
        <v>3028</v>
      </c>
      <c r="I198" s="2350"/>
      <c r="J198" s="2431" t="s">
        <v>3028</v>
      </c>
      <c r="K198" s="2350"/>
      <c r="L198" s="2431" t="s">
        <v>3028</v>
      </c>
      <c r="M198" s="2349"/>
      <c r="N198" s="2431"/>
      <c r="O198" s="2349"/>
      <c r="P198" s="2431"/>
      <c r="Q198" s="2349"/>
      <c r="R198" s="2431"/>
      <c r="S198" s="2349"/>
    </row>
    <row r="199" spans="1:19" ht="30">
      <c r="A199" s="2432"/>
      <c r="B199" s="2623" t="s">
        <v>5673</v>
      </c>
      <c r="C199" s="2407"/>
      <c r="D199" s="2441"/>
      <c r="E199" s="2409"/>
      <c r="F199" s="2438"/>
      <c r="G199" s="669"/>
      <c r="H199" s="2442" t="s">
        <v>3028</v>
      </c>
      <c r="I199" s="2444"/>
      <c r="J199" s="2442" t="s">
        <v>3807</v>
      </c>
      <c r="K199" s="2444"/>
      <c r="L199" s="2431" t="s">
        <v>3028</v>
      </c>
      <c r="M199" s="2349"/>
      <c r="N199" s="2431"/>
      <c r="O199" s="2349"/>
      <c r="P199" s="2442"/>
      <c r="Q199" s="2443"/>
      <c r="R199" s="2431"/>
      <c r="S199" s="2349"/>
    </row>
    <row r="200" spans="1:19">
      <c r="A200" s="2432"/>
      <c r="B200" s="2620" t="s">
        <v>5674</v>
      </c>
      <c r="C200" s="2407"/>
      <c r="D200" s="2408"/>
      <c r="E200" s="2409"/>
      <c r="F200" s="2438"/>
      <c r="G200" s="662"/>
      <c r="H200" s="2442" t="s">
        <v>3028</v>
      </c>
      <c r="I200" s="2350"/>
      <c r="J200" s="2431" t="s">
        <v>3807</v>
      </c>
      <c r="K200" s="2350"/>
      <c r="L200" s="2431" t="s">
        <v>3028</v>
      </c>
      <c r="M200" s="2349"/>
      <c r="N200" s="2431"/>
      <c r="O200" s="2349"/>
      <c r="P200" s="2431"/>
      <c r="Q200" s="2349"/>
      <c r="R200" s="2431"/>
      <c r="S200" s="2349"/>
    </row>
    <row r="201" spans="1:19">
      <c r="A201" s="2432"/>
      <c r="B201" s="2616" t="s">
        <v>5675</v>
      </c>
      <c r="C201" s="2407"/>
      <c r="D201" s="2408"/>
      <c r="E201" s="2409"/>
      <c r="F201" s="2438"/>
      <c r="G201" s="662"/>
      <c r="H201" s="2442" t="s">
        <v>3028</v>
      </c>
      <c r="I201" s="2350"/>
      <c r="J201" s="2431" t="s">
        <v>3028</v>
      </c>
      <c r="K201" s="2350"/>
      <c r="L201" s="2431" t="s">
        <v>3028</v>
      </c>
      <c r="M201" s="2349"/>
      <c r="N201" s="2431"/>
      <c r="O201" s="2349"/>
      <c r="P201" s="2431"/>
      <c r="Q201" s="2349"/>
      <c r="R201" s="2431"/>
      <c r="S201" s="2349"/>
    </row>
    <row r="202" spans="1:19">
      <c r="A202" s="2432"/>
      <c r="B202" s="2620" t="s">
        <v>5676</v>
      </c>
      <c r="C202" s="2407"/>
      <c r="D202" s="2408"/>
      <c r="E202" s="2409"/>
      <c r="F202" s="2438"/>
      <c r="G202" s="662"/>
      <c r="H202" s="2442" t="s">
        <v>3028</v>
      </c>
      <c r="I202" s="2350"/>
      <c r="J202" s="2431" t="s">
        <v>3028</v>
      </c>
      <c r="K202" s="2350"/>
      <c r="L202" s="2431" t="s">
        <v>3028</v>
      </c>
      <c r="M202" s="2349"/>
      <c r="N202" s="2431"/>
      <c r="O202" s="2349"/>
      <c r="P202" s="2431"/>
      <c r="Q202" s="2349"/>
      <c r="R202" s="2431"/>
      <c r="S202" s="2349"/>
    </row>
    <row r="203" spans="1:19">
      <c r="A203" s="2432"/>
      <c r="B203" s="2616" t="s">
        <v>5677</v>
      </c>
      <c r="C203" s="2407"/>
      <c r="D203" s="2408"/>
      <c r="E203" s="2409"/>
      <c r="F203" s="2438"/>
      <c r="G203" s="662"/>
      <c r="H203" s="2442" t="s">
        <v>3028</v>
      </c>
      <c r="I203" s="2350"/>
      <c r="J203" s="2431" t="s">
        <v>3028</v>
      </c>
      <c r="K203" s="2350"/>
      <c r="L203" s="2431" t="s">
        <v>3028</v>
      </c>
      <c r="M203" s="2349"/>
      <c r="N203" s="2431"/>
      <c r="O203" s="2349"/>
      <c r="P203" s="2431"/>
      <c r="Q203" s="2349"/>
      <c r="R203" s="2431"/>
      <c r="S203" s="2349"/>
    </row>
    <row r="204" spans="1:19" ht="30">
      <c r="A204" s="2432"/>
      <c r="B204" s="2620" t="s">
        <v>5678</v>
      </c>
      <c r="C204" s="2407"/>
      <c r="D204" s="2408"/>
      <c r="E204" s="2409"/>
      <c r="F204" s="2438"/>
      <c r="G204" s="662"/>
      <c r="H204" s="2442" t="s">
        <v>3028</v>
      </c>
      <c r="I204" s="2350"/>
      <c r="J204" s="2431" t="s">
        <v>3028</v>
      </c>
      <c r="K204" s="2350"/>
      <c r="L204" s="2431" t="s">
        <v>3028</v>
      </c>
      <c r="M204" s="2349"/>
      <c r="N204" s="2431"/>
      <c r="O204" s="2349"/>
      <c r="P204" s="2431"/>
      <c r="Q204" s="2349"/>
      <c r="R204" s="2431"/>
      <c r="S204" s="2349"/>
    </row>
    <row r="205" spans="1:19">
      <c r="A205" s="2432"/>
      <c r="B205" s="2616" t="s">
        <v>5679</v>
      </c>
      <c r="C205" s="2407"/>
      <c r="D205" s="2408"/>
      <c r="E205" s="2409"/>
      <c r="F205" s="2438"/>
      <c r="G205" s="662"/>
      <c r="H205" s="2442" t="s">
        <v>3028</v>
      </c>
      <c r="I205" s="2350"/>
      <c r="J205" s="2431" t="s">
        <v>3028</v>
      </c>
      <c r="K205" s="2350"/>
      <c r="L205" s="2431" t="s">
        <v>3028</v>
      </c>
      <c r="M205" s="2349"/>
      <c r="N205" s="2431"/>
      <c r="O205" s="2349"/>
      <c r="P205" s="2431"/>
      <c r="Q205" s="2349"/>
      <c r="R205" s="2431"/>
      <c r="S205" s="2349"/>
    </row>
    <row r="206" spans="1:19">
      <c r="A206" s="2432"/>
      <c r="B206" s="2620" t="s">
        <v>5680</v>
      </c>
      <c r="C206" s="2407"/>
      <c r="D206" s="2408"/>
      <c r="E206" s="2409"/>
      <c r="F206" s="2438"/>
      <c r="G206" s="662"/>
      <c r="H206" s="2442" t="s">
        <v>3028</v>
      </c>
      <c r="I206" s="2350"/>
      <c r="J206" s="2431" t="s">
        <v>3028</v>
      </c>
      <c r="K206" s="2350"/>
      <c r="L206" s="2431" t="s">
        <v>3028</v>
      </c>
      <c r="M206" s="2349"/>
      <c r="N206" s="2431"/>
      <c r="O206" s="2349"/>
      <c r="P206" s="2431"/>
      <c r="Q206" s="2349"/>
      <c r="R206" s="2431"/>
      <c r="S206" s="2349"/>
    </row>
    <row r="207" spans="1:19">
      <c r="A207" s="2432"/>
      <c r="B207" s="2618" t="s">
        <v>5681</v>
      </c>
      <c r="C207" s="2407"/>
      <c r="D207" s="2408"/>
      <c r="E207" s="2409"/>
      <c r="F207" s="2438"/>
      <c r="G207" s="662"/>
      <c r="H207" s="2431" t="s">
        <v>3028</v>
      </c>
      <c r="I207" s="2350"/>
      <c r="J207" s="2431"/>
      <c r="K207" s="2350"/>
      <c r="L207" s="2431"/>
      <c r="M207" s="2349"/>
      <c r="N207" s="2431"/>
      <c r="O207" s="2349"/>
      <c r="P207" s="2431"/>
      <c r="Q207" s="2349"/>
      <c r="R207" s="2431"/>
      <c r="S207" s="2349"/>
    </row>
    <row r="208" spans="1:19">
      <c r="A208" s="2432"/>
      <c r="B208" s="2615" t="s">
        <v>5682</v>
      </c>
      <c r="C208" s="2407"/>
      <c r="D208" s="2408">
        <v>1</v>
      </c>
      <c r="E208" s="2409" t="s">
        <v>5208</v>
      </c>
      <c r="F208" s="2438">
        <v>50000</v>
      </c>
      <c r="G208" s="662">
        <f>F208*D208</f>
        <v>50000</v>
      </c>
      <c r="H208" s="2448" t="s">
        <v>3028</v>
      </c>
      <c r="I208" s="2350">
        <v>49750</v>
      </c>
      <c r="J208" s="2431"/>
      <c r="K208" s="2350"/>
      <c r="L208" s="2431" t="s">
        <v>3028</v>
      </c>
      <c r="M208" s="2349">
        <v>71196.13</v>
      </c>
      <c r="N208" s="2431"/>
      <c r="O208" s="2349"/>
      <c r="P208" s="2431"/>
      <c r="Q208" s="2349"/>
      <c r="R208" s="2431"/>
      <c r="S208" s="2349"/>
    </row>
    <row r="209" spans="1:19">
      <c r="A209" s="2432"/>
      <c r="B209" s="2615" t="s">
        <v>5683</v>
      </c>
      <c r="C209" s="2407"/>
      <c r="D209" s="2408"/>
      <c r="E209" s="2409"/>
      <c r="F209" s="2438"/>
      <c r="G209" s="662"/>
      <c r="H209" s="2431" t="s">
        <v>3028</v>
      </c>
      <c r="I209" s="2350"/>
      <c r="J209" s="2431"/>
      <c r="K209" s="2350"/>
      <c r="L209" s="2431" t="s">
        <v>3028</v>
      </c>
      <c r="M209" s="2349"/>
      <c r="N209" s="2431"/>
      <c r="O209" s="2349"/>
      <c r="P209" s="2431"/>
      <c r="Q209" s="2349"/>
      <c r="R209" s="2431"/>
      <c r="S209" s="2349"/>
    </row>
    <row r="210" spans="1:19">
      <c r="A210" s="2432"/>
      <c r="B210" s="2615" t="s">
        <v>5684</v>
      </c>
      <c r="C210" s="2407"/>
      <c r="D210" s="2408"/>
      <c r="E210" s="2409"/>
      <c r="F210" s="2438"/>
      <c r="G210" s="662"/>
      <c r="H210" s="2431" t="s">
        <v>3028</v>
      </c>
      <c r="I210" s="2350"/>
      <c r="J210" s="2431"/>
      <c r="K210" s="2350"/>
      <c r="L210" s="2431" t="s">
        <v>3028</v>
      </c>
      <c r="M210" s="2349"/>
      <c r="N210" s="2431"/>
      <c r="O210" s="2349"/>
      <c r="P210" s="2431"/>
      <c r="Q210" s="2349"/>
      <c r="R210" s="2431"/>
      <c r="S210" s="2349"/>
    </row>
    <row r="211" spans="1:19">
      <c r="A211" s="2432"/>
      <c r="B211" s="2615" t="s">
        <v>5685</v>
      </c>
      <c r="C211" s="2407"/>
      <c r="D211" s="2408"/>
      <c r="E211" s="2409"/>
      <c r="F211" s="2438"/>
      <c r="G211" s="662"/>
      <c r="H211" s="2431" t="s">
        <v>3028</v>
      </c>
      <c r="I211" s="2350"/>
      <c r="J211" s="2431" t="s">
        <v>3028</v>
      </c>
      <c r="K211" s="2350"/>
      <c r="L211" s="2431" t="s">
        <v>3806</v>
      </c>
      <c r="M211" s="2349"/>
      <c r="N211" s="2431"/>
      <c r="O211" s="2349"/>
      <c r="P211" s="2431"/>
      <c r="Q211" s="2349"/>
      <c r="R211" s="2431"/>
      <c r="S211" s="2349"/>
    </row>
    <row r="212" spans="1:19">
      <c r="A212" s="2432"/>
      <c r="B212" s="2615" t="s">
        <v>5686</v>
      </c>
      <c r="C212" s="2407"/>
      <c r="D212" s="2408"/>
      <c r="E212" s="2409"/>
      <c r="F212" s="2438"/>
      <c r="G212" s="662"/>
      <c r="H212" s="2431" t="s">
        <v>3028</v>
      </c>
      <c r="I212" s="2350"/>
      <c r="J212" s="2431"/>
      <c r="K212" s="2350"/>
      <c r="L212" s="2431" t="s">
        <v>3806</v>
      </c>
      <c r="M212" s="2349"/>
      <c r="N212" s="2431"/>
      <c r="O212" s="2349"/>
      <c r="P212" s="2431"/>
      <c r="Q212" s="2349"/>
      <c r="R212" s="2431"/>
      <c r="S212" s="2349"/>
    </row>
    <row r="213" spans="1:19">
      <c r="A213" s="2432"/>
      <c r="B213" s="2615" t="s">
        <v>5687</v>
      </c>
      <c r="C213" s="2407"/>
      <c r="D213" s="2408"/>
      <c r="E213" s="2409"/>
      <c r="F213" s="2438"/>
      <c r="G213" s="662"/>
      <c r="H213" s="2431" t="s">
        <v>3028</v>
      </c>
      <c r="I213" s="2350"/>
      <c r="J213" s="2431" t="s">
        <v>3028</v>
      </c>
      <c r="K213" s="2350"/>
      <c r="L213" s="2431" t="s">
        <v>3028</v>
      </c>
      <c r="M213" s="2349"/>
      <c r="N213" s="2431"/>
      <c r="O213" s="2349"/>
      <c r="P213" s="2431"/>
      <c r="Q213" s="2349"/>
      <c r="R213" s="2431"/>
      <c r="S213" s="2349"/>
    </row>
    <row r="214" spans="1:19" ht="15.75" thickBot="1">
      <c r="A214" s="2432"/>
      <c r="B214" s="2354"/>
      <c r="C214" s="2355"/>
      <c r="D214" s="2356"/>
      <c r="E214" s="2409"/>
      <c r="F214" s="2357"/>
      <c r="G214" s="662"/>
      <c r="H214" s="2431"/>
      <c r="I214" s="2350"/>
      <c r="J214" s="2431"/>
      <c r="K214" s="2350"/>
      <c r="L214" s="2431"/>
      <c r="M214" s="2350"/>
      <c r="N214" s="2431"/>
      <c r="O214" s="2350"/>
      <c r="P214" s="2431"/>
      <c r="Q214" s="2350"/>
      <c r="R214" s="2431"/>
      <c r="S214" s="2350"/>
    </row>
    <row r="215" spans="1:19" ht="15.75" thickTop="1">
      <c r="A215" s="13"/>
      <c r="B215" s="226" t="s">
        <v>3265</v>
      </c>
      <c r="C215" s="15"/>
      <c r="D215" s="168"/>
      <c r="E215" s="176"/>
      <c r="F215" s="17"/>
      <c r="G215" s="227">
        <f>SUBTOTAL(9,G23:G214)</f>
        <v>1816088</v>
      </c>
      <c r="H215" s="19"/>
      <c r="I215" s="164">
        <f>SUBTOTAL(9,I23:I214)</f>
        <v>2893685.65</v>
      </c>
      <c r="J215" s="19"/>
      <c r="K215" s="164">
        <f>SUM(K19:K214)</f>
        <v>1186875.2</v>
      </c>
      <c r="L215" s="19"/>
      <c r="M215" s="164">
        <f>SUM(M19:M214)</f>
        <v>2517183.96</v>
      </c>
      <c r="N215" s="19"/>
      <c r="O215" s="164">
        <f>SUM(O19:O214)</f>
        <v>0</v>
      </c>
      <c r="P215" s="19"/>
      <c r="Q215" s="164">
        <f>SUM(Q19:Q214)</f>
        <v>0</v>
      </c>
      <c r="R215" s="19"/>
      <c r="S215" s="164">
        <f>SUM(S19:S214)</f>
        <v>0</v>
      </c>
    </row>
    <row r="216" spans="1:19">
      <c r="A216" s="2358"/>
      <c r="B216" s="2359" t="s">
        <v>2976</v>
      </c>
      <c r="C216" s="2360"/>
      <c r="D216" s="2361"/>
      <c r="E216" s="2362"/>
      <c r="F216" s="2363"/>
      <c r="G216" s="654"/>
      <c r="H216" s="2364">
        <v>0</v>
      </c>
      <c r="I216" s="645"/>
      <c r="J216" s="2364">
        <v>0</v>
      </c>
      <c r="K216" s="645"/>
      <c r="L216" s="2364">
        <v>0</v>
      </c>
      <c r="M216" s="645"/>
      <c r="N216" s="2364">
        <v>0</v>
      </c>
      <c r="O216" s="645"/>
      <c r="P216" s="2364">
        <v>0</v>
      </c>
      <c r="Q216" s="645"/>
      <c r="R216" s="2364">
        <v>0</v>
      </c>
      <c r="S216" s="645"/>
    </row>
    <row r="217" spans="1:19">
      <c r="A217" s="2358"/>
      <c r="B217" s="2359" t="s">
        <v>2977</v>
      </c>
      <c r="C217" s="2360"/>
      <c r="D217" s="2361"/>
      <c r="E217" s="2362"/>
      <c r="F217" s="2363"/>
      <c r="G217" s="654">
        <f>F216*G215</f>
        <v>0</v>
      </c>
      <c r="H217" s="2365"/>
      <c r="I217" s="2366">
        <f>H216*I215</f>
        <v>0</v>
      </c>
      <c r="J217" s="2365"/>
      <c r="K217" s="2366">
        <f>J216*K215</f>
        <v>0</v>
      </c>
      <c r="L217" s="2365"/>
      <c r="M217" s="2366">
        <f>L216*M215</f>
        <v>0</v>
      </c>
      <c r="N217" s="2365"/>
      <c r="O217" s="2366">
        <f>N216*O215</f>
        <v>0</v>
      </c>
      <c r="P217" s="2365"/>
      <c r="Q217" s="2366">
        <f>P216*Q215</f>
        <v>0</v>
      </c>
      <c r="R217" s="2365"/>
      <c r="S217" s="2366">
        <f>R216*S215</f>
        <v>0</v>
      </c>
    </row>
    <row r="218" spans="1:19">
      <c r="A218" s="2358"/>
      <c r="B218" s="2359"/>
      <c r="C218" s="2360"/>
      <c r="D218" s="2361"/>
      <c r="E218" s="2362"/>
      <c r="F218" s="2363"/>
      <c r="G218" s="654"/>
      <c r="H218" s="2365"/>
      <c r="I218" s="2366"/>
      <c r="J218" s="2365"/>
      <c r="K218" s="2366"/>
      <c r="L218" s="2365"/>
      <c r="M218" s="2366"/>
      <c r="N218" s="2365"/>
      <c r="O218" s="2366"/>
      <c r="P218" s="2365"/>
      <c r="Q218" s="2366"/>
      <c r="R218" s="2365"/>
      <c r="S218" s="2366"/>
    </row>
    <row r="219" spans="1:19">
      <c r="A219" s="2358"/>
      <c r="B219" s="2359" t="s">
        <v>2978</v>
      </c>
      <c r="C219" s="2360"/>
      <c r="D219" s="2361"/>
      <c r="E219" s="2362"/>
      <c r="F219" s="2363"/>
      <c r="G219" s="654">
        <f>SUM(G215:G217)</f>
        <v>1816088</v>
      </c>
      <c r="H219" s="2367"/>
      <c r="I219" s="2366">
        <f>SUM(I215:I217)</f>
        <v>2893685.65</v>
      </c>
      <c r="J219" s="2367"/>
      <c r="K219" s="2366">
        <f>SUM(K215:K217)</f>
        <v>1186875.2</v>
      </c>
      <c r="L219" s="2367"/>
      <c r="M219" s="2366">
        <f>SUM(M215:M217)</f>
        <v>2517183.96</v>
      </c>
      <c r="N219" s="2367"/>
      <c r="O219" s="2366">
        <f>SUM(O215:O217)</f>
        <v>0</v>
      </c>
      <c r="P219" s="2367"/>
      <c r="Q219" s="2366">
        <f>SUM(Q215:Q217)</f>
        <v>0</v>
      </c>
      <c r="R219" s="2367"/>
      <c r="S219" s="2366">
        <f>SUM(S215:S217)</f>
        <v>0</v>
      </c>
    </row>
    <row r="220" spans="1:19">
      <c r="A220" s="2358"/>
      <c r="B220" s="2368" t="s">
        <v>2979</v>
      </c>
      <c r="C220" s="2360"/>
      <c r="D220" s="2361"/>
      <c r="E220" s="2362"/>
      <c r="F220" s="2368"/>
      <c r="G220" s="655">
        <f>G219/'Area Calculations'!$F$5</f>
        <v>20.480963551064598</v>
      </c>
      <c r="H220" s="2369"/>
      <c r="I220" s="2370">
        <f>I219/'Area Calculations'!$F$5</f>
        <v>32.633589520931068</v>
      </c>
      <c r="J220" s="2369"/>
      <c r="K220" s="2370">
        <f>K219/'Area Calculations'!$F$5</f>
        <v>13.385005413208228</v>
      </c>
      <c r="L220" s="2371"/>
      <c r="M220" s="2370">
        <f>M219/'Area Calculations'!$F$5</f>
        <v>28.387585258029592</v>
      </c>
      <c r="N220" s="2371"/>
      <c r="O220" s="2370">
        <f>O219/'Area Calculations'!$F$5</f>
        <v>0</v>
      </c>
      <c r="P220" s="2369"/>
      <c r="Q220" s="2370">
        <f>Q219/'Area Calculations'!$F$5</f>
        <v>0</v>
      </c>
      <c r="R220" s="2371"/>
      <c r="S220" s="2370">
        <f>S219/'Area Calculations'!$F$5</f>
        <v>0</v>
      </c>
    </row>
    <row r="221" spans="1:19" ht="15.75" thickBot="1">
      <c r="A221" s="2358"/>
      <c r="B221" s="2372"/>
      <c r="C221" s="2360"/>
      <c r="D221" s="2361"/>
      <c r="E221" s="2362"/>
      <c r="F221" s="2363"/>
      <c r="G221" s="656"/>
      <c r="H221" s="2373"/>
      <c r="I221" s="2374"/>
      <c r="J221" s="2373"/>
      <c r="K221" s="2373"/>
      <c r="L221" s="2373"/>
      <c r="M221" s="2373"/>
      <c r="N221" s="2373"/>
      <c r="O221" s="2373"/>
      <c r="P221" s="2373"/>
      <c r="Q221" s="2373"/>
      <c r="R221" s="2373"/>
      <c r="S221" s="2373"/>
    </row>
    <row r="222" spans="1:19" ht="16.5" thickTop="1" thickBot="1">
      <c r="A222" s="830" t="s">
        <v>2980</v>
      </c>
      <c r="B222" s="831"/>
      <c r="C222" s="12"/>
      <c r="D222" s="169"/>
      <c r="E222" s="177"/>
      <c r="F222" s="12"/>
      <c r="G222" s="228"/>
      <c r="H222" s="20"/>
      <c r="I222" s="20"/>
      <c r="J222" s="20"/>
      <c r="K222" s="20"/>
      <c r="L222" s="20"/>
      <c r="M222" s="20"/>
      <c r="N222" s="20"/>
      <c r="O222" s="20"/>
      <c r="P222" s="20"/>
      <c r="Q222" s="20"/>
      <c r="R222" s="20"/>
      <c r="S222" s="20"/>
    </row>
    <row r="223" spans="1:19" ht="30.75" thickTop="1">
      <c r="A223" s="2630"/>
      <c r="B223" s="2631" t="s">
        <v>5688</v>
      </c>
      <c r="C223" s="2631"/>
      <c r="D223" s="2632"/>
      <c r="E223" s="2633"/>
      <c r="F223" s="2634"/>
      <c r="G223" s="2635"/>
      <c r="H223" s="2636"/>
      <c r="I223" s="2636"/>
      <c r="J223" s="2636"/>
      <c r="K223" s="2636"/>
      <c r="L223" s="2636"/>
      <c r="M223" s="2636"/>
      <c r="N223" s="2636"/>
      <c r="O223" s="2636"/>
      <c r="P223" s="2636"/>
      <c r="Q223" s="2636"/>
      <c r="R223" s="2636"/>
      <c r="S223" s="2636"/>
    </row>
    <row r="224" spans="1:19">
      <c r="A224" s="2630"/>
      <c r="B224" s="2406" t="s">
        <v>5689</v>
      </c>
      <c r="C224" s="2634"/>
      <c r="D224" s="2632"/>
      <c r="E224" s="2633"/>
      <c r="F224" s="2634"/>
      <c r="G224" s="2635"/>
      <c r="H224" s="2636"/>
      <c r="I224" s="2636"/>
      <c r="J224" s="2636"/>
      <c r="K224" s="2636"/>
      <c r="L224" s="2636"/>
      <c r="M224" s="2636"/>
      <c r="N224" s="2636"/>
      <c r="O224" s="2636"/>
      <c r="P224" s="2636"/>
      <c r="Q224" s="2636"/>
      <c r="R224" s="2636"/>
      <c r="S224" s="2636"/>
    </row>
    <row r="225" spans="1:30">
      <c r="A225" s="2630"/>
      <c r="B225" s="2406"/>
      <c r="C225" s="2634"/>
      <c r="D225" s="2632"/>
      <c r="E225" s="2633"/>
      <c r="F225" s="2634"/>
      <c r="G225" s="2635"/>
      <c r="H225" s="2636"/>
      <c r="I225" s="2636"/>
      <c r="J225" s="2636"/>
      <c r="K225" s="2636"/>
      <c r="L225" s="2636"/>
      <c r="M225" s="2636"/>
      <c r="N225" s="2636"/>
      <c r="O225" s="2636"/>
      <c r="P225" s="2636"/>
      <c r="Q225" s="2636"/>
      <c r="R225" s="2636"/>
      <c r="S225" s="2636"/>
    </row>
    <row r="226" spans="1:30" s="2" customFormat="1">
      <c r="A226" s="2630"/>
      <c r="B226" s="2406" t="s">
        <v>4069</v>
      </c>
      <c r="C226" s="2634"/>
      <c r="D226" s="2632"/>
      <c r="E226" s="2633"/>
      <c r="F226" s="2634"/>
      <c r="G226" s="2635"/>
      <c r="H226" s="2636"/>
      <c r="I226" s="2636">
        <f>'09 64 Wood Flooring'!H9</f>
        <v>893873.96</v>
      </c>
      <c r="J226" s="2636"/>
      <c r="K226" s="2636">
        <f>'09 60 Resilient Flooring'!L9</f>
        <v>687175</v>
      </c>
      <c r="L226" s="2636"/>
      <c r="M226" s="2636">
        <f>'09 60 Resilient Flooring'!J9</f>
        <v>293964.32999999996</v>
      </c>
      <c r="N226" s="2636"/>
      <c r="O226" s="2636"/>
      <c r="P226" s="2636"/>
      <c r="Q226" s="2636"/>
      <c r="R226" s="2636"/>
      <c r="S226" s="2636"/>
      <c r="V226"/>
      <c r="W226"/>
      <c r="X226"/>
      <c r="Y226"/>
      <c r="Z226"/>
      <c r="AA226"/>
      <c r="AB226"/>
      <c r="AC226"/>
      <c r="AD226"/>
    </row>
    <row r="227" spans="1:30" s="2" customFormat="1">
      <c r="A227" s="2630"/>
      <c r="B227" s="2406" t="s">
        <v>5690</v>
      </c>
      <c r="C227" s="2634"/>
      <c r="D227" s="2632"/>
      <c r="E227" s="2633"/>
      <c r="F227" s="2634"/>
      <c r="G227" s="2635"/>
      <c r="H227" s="2636"/>
      <c r="I227" s="2636">
        <f>'09 60 Resilient Flooring'!H9</f>
        <v>291259.59000000003</v>
      </c>
      <c r="J227" s="2636"/>
      <c r="K227" s="2636"/>
      <c r="L227" s="2636"/>
      <c r="M227" s="2636"/>
      <c r="N227" s="2636"/>
      <c r="O227" s="2636"/>
      <c r="P227" s="2636"/>
      <c r="Q227" s="2636"/>
      <c r="R227" s="2636"/>
      <c r="S227" s="2636"/>
      <c r="V227"/>
      <c r="W227"/>
      <c r="X227"/>
      <c r="Y227"/>
      <c r="Z227"/>
      <c r="AA227"/>
      <c r="AB227"/>
      <c r="AC227"/>
      <c r="AD227"/>
    </row>
    <row r="228" spans="1:30">
      <c r="A228" s="2630"/>
      <c r="B228" s="2406" t="s">
        <v>5531</v>
      </c>
      <c r="C228" s="2634"/>
      <c r="D228" s="2632"/>
      <c r="E228" s="2633"/>
      <c r="F228" s="2634"/>
      <c r="G228" s="2635"/>
      <c r="H228" s="2636"/>
      <c r="I228" s="2636">
        <f>I219</f>
        <v>2893685.65</v>
      </c>
      <c r="J228" s="2636"/>
      <c r="K228" s="2636">
        <f>K219</f>
        <v>1186875.2</v>
      </c>
      <c r="L228" s="2636"/>
      <c r="M228" s="2636">
        <f>M219</f>
        <v>2517183.96</v>
      </c>
      <c r="N228" s="2636"/>
      <c r="O228" s="2636"/>
      <c r="P228" s="2636"/>
      <c r="Q228" s="2636"/>
      <c r="R228" s="2636"/>
      <c r="S228" s="2636"/>
    </row>
    <row r="229" spans="1:30" s="2" customFormat="1" ht="16.5" thickTop="1" thickBot="1">
      <c r="A229" s="830" t="s">
        <v>2982</v>
      </c>
      <c r="B229" s="831"/>
      <c r="C229" s="12"/>
      <c r="D229" s="169"/>
      <c r="E229" s="177"/>
      <c r="F229" s="12"/>
      <c r="G229" s="228"/>
      <c r="H229" s="20"/>
      <c r="I229" s="20"/>
      <c r="J229" s="20"/>
      <c r="K229" s="20"/>
      <c r="L229" s="20"/>
      <c r="M229" s="20"/>
      <c r="N229" s="20"/>
      <c r="O229" s="20"/>
      <c r="P229" s="20"/>
      <c r="Q229" s="20"/>
      <c r="R229" s="20"/>
      <c r="S229" s="20"/>
      <c r="V229"/>
      <c r="W229"/>
      <c r="X229"/>
      <c r="Y229"/>
      <c r="Z229"/>
      <c r="AA229"/>
      <c r="AB229"/>
      <c r="AC229"/>
      <c r="AD229"/>
    </row>
    <row r="230" spans="1:30" s="2" customFormat="1" ht="30.75" thickTop="1">
      <c r="A230" s="2630"/>
      <c r="B230" s="2406" t="s">
        <v>5691</v>
      </c>
      <c r="C230" s="2634"/>
      <c r="D230" s="2632"/>
      <c r="E230" s="2633"/>
      <c r="F230" s="2634"/>
      <c r="G230" s="2635"/>
      <c r="H230" s="2636"/>
      <c r="I230" s="2636"/>
      <c r="J230" s="2636"/>
      <c r="K230" s="2636"/>
      <c r="L230" s="2636"/>
      <c r="M230" s="2636"/>
      <c r="N230" s="2636"/>
      <c r="O230" s="2636"/>
      <c r="P230" s="2636"/>
      <c r="Q230" s="2636"/>
      <c r="R230" s="2636"/>
      <c r="S230" s="2636"/>
      <c r="V230"/>
      <c r="W230"/>
      <c r="X230"/>
      <c r="Y230"/>
      <c r="Z230"/>
      <c r="AA230"/>
      <c r="AB230"/>
      <c r="AC230"/>
      <c r="AD230"/>
    </row>
    <row r="231" spans="1:30" s="2" customFormat="1">
      <c r="A231" s="2382"/>
      <c r="B231" s="2406" t="s">
        <v>5692</v>
      </c>
      <c r="C231" s="2407"/>
      <c r="D231" s="2408"/>
      <c r="E231" s="2409"/>
      <c r="F231" s="2407"/>
      <c r="G231" s="2383"/>
      <c r="H231" s="2384"/>
      <c r="I231" s="2384"/>
      <c r="J231" s="2384"/>
      <c r="K231" s="2384"/>
      <c r="L231" s="2384"/>
      <c r="M231" s="2384"/>
      <c r="N231" s="2384"/>
      <c r="O231" s="2384"/>
      <c r="P231" s="2384"/>
      <c r="Q231" s="2384"/>
      <c r="R231" s="2384"/>
      <c r="S231" s="2384"/>
      <c r="V231"/>
      <c r="W231"/>
      <c r="X231"/>
      <c r="Y231"/>
      <c r="Z231"/>
      <c r="AA231"/>
      <c r="AB231"/>
      <c r="AC231"/>
      <c r="AD231"/>
    </row>
    <row r="232" spans="1:30" s="2" customFormat="1" ht="15.75" thickBot="1">
      <c r="A232" s="2385"/>
      <c r="B232" s="2386"/>
      <c r="C232" s="2407"/>
      <c r="D232" s="2408"/>
      <c r="E232" s="2409"/>
      <c r="F232" s="2407"/>
      <c r="G232" s="2383"/>
      <c r="H232" s="2387"/>
      <c r="I232" s="2387"/>
      <c r="J232" s="2387"/>
      <c r="K232" s="2387"/>
      <c r="L232" s="2387"/>
      <c r="M232" s="2387"/>
      <c r="N232" s="2387"/>
      <c r="O232" s="2387"/>
      <c r="P232" s="2387"/>
      <c r="Q232" s="2387"/>
      <c r="R232" s="2387"/>
      <c r="S232" s="2387"/>
    </row>
    <row r="233" spans="1:30" s="2" customFormat="1" ht="16.5" thickTop="1" thickBot="1">
      <c r="A233" s="830" t="s">
        <v>2983</v>
      </c>
      <c r="B233" s="831"/>
      <c r="C233" s="12"/>
      <c r="D233" s="169"/>
      <c r="E233" s="177"/>
      <c r="F233" s="12"/>
      <c r="G233" s="228"/>
      <c r="H233" s="20"/>
      <c r="I233" s="20"/>
      <c r="J233" s="20"/>
      <c r="K233" s="20"/>
      <c r="L233" s="20"/>
      <c r="M233" s="20"/>
      <c r="N233" s="20"/>
      <c r="O233" s="20"/>
      <c r="P233" s="20"/>
      <c r="Q233" s="20"/>
      <c r="R233" s="20"/>
      <c r="S233" s="20"/>
      <c r="V233"/>
      <c r="W233"/>
      <c r="X233"/>
      <c r="Y233"/>
      <c r="Z233"/>
      <c r="AA233"/>
      <c r="AB233"/>
      <c r="AC233"/>
      <c r="AD233"/>
    </row>
    <row r="234" spans="1:30" ht="15.75" thickTop="1">
      <c r="A234" s="2637"/>
      <c r="B234" s="2631"/>
      <c r="C234" s="2634"/>
      <c r="D234" s="2632"/>
      <c r="E234" s="2633"/>
      <c r="F234" s="2634"/>
      <c r="G234" s="2635"/>
      <c r="H234" s="2636"/>
      <c r="I234" s="2636"/>
      <c r="J234" s="2636"/>
      <c r="K234" s="2636"/>
      <c r="L234" s="2636"/>
      <c r="M234" s="2636"/>
      <c r="N234" s="2636"/>
      <c r="O234" s="2636"/>
      <c r="P234" s="2636"/>
      <c r="Q234" s="2636"/>
      <c r="R234" s="2636"/>
      <c r="S234" s="2636"/>
      <c r="V234" s="2"/>
      <c r="W234" s="2"/>
      <c r="X234" s="2"/>
      <c r="Y234" s="2"/>
      <c r="Z234" s="2"/>
      <c r="AA234" s="2"/>
      <c r="AB234" s="2"/>
      <c r="AC234" s="2"/>
      <c r="AD234" s="2"/>
    </row>
    <row r="235" spans="1:30">
      <c r="A235" s="2385"/>
      <c r="B235" s="2386"/>
      <c r="C235" s="2407"/>
      <c r="D235" s="2408"/>
      <c r="E235" s="2409"/>
      <c r="F235" s="2407"/>
      <c r="G235" s="2383"/>
      <c r="H235" s="2390"/>
      <c r="I235" s="2390"/>
      <c r="J235" s="2390"/>
      <c r="K235" s="2390"/>
      <c r="L235" s="2390"/>
      <c r="M235" s="2390"/>
      <c r="N235" s="2390"/>
      <c r="O235" s="2390"/>
      <c r="P235" s="2390"/>
      <c r="Q235" s="2390"/>
      <c r="R235" s="2390"/>
      <c r="S235" s="2390"/>
      <c r="V235" s="2"/>
      <c r="W235" s="2"/>
      <c r="X235" s="2"/>
      <c r="Y235" s="2"/>
      <c r="Z235" s="2"/>
      <c r="AA235" s="2"/>
      <c r="AB235" s="2"/>
      <c r="AC235" s="2"/>
      <c r="AD235" s="2"/>
    </row>
    <row r="236" spans="1:30" ht="15.75" thickBot="1">
      <c r="A236" s="2385"/>
      <c r="B236" s="2386"/>
      <c r="C236" s="2407"/>
      <c r="D236" s="2408"/>
      <c r="E236" s="2409"/>
      <c r="F236" s="2407"/>
      <c r="G236" s="2383"/>
      <c r="H236" s="2390"/>
      <c r="I236" s="2390"/>
      <c r="J236" s="2390"/>
      <c r="K236" s="2390"/>
      <c r="L236" s="2390"/>
      <c r="M236" s="2390"/>
      <c r="N236" s="2390"/>
      <c r="O236" s="2390"/>
      <c r="P236" s="2390"/>
      <c r="Q236" s="2390"/>
      <c r="R236" s="2390"/>
      <c r="S236" s="2390"/>
      <c r="V236" s="2"/>
      <c r="W236" s="2"/>
      <c r="X236" s="2"/>
      <c r="Y236" s="2"/>
      <c r="Z236" s="2"/>
      <c r="AA236" s="2"/>
      <c r="AB236" s="2"/>
      <c r="AC236" s="2"/>
      <c r="AD236" s="2"/>
    </row>
    <row r="237" spans="1:30" ht="16.5" thickTop="1" thickBot="1">
      <c r="A237" s="830" t="s">
        <v>2984</v>
      </c>
      <c r="B237" s="831"/>
      <c r="C237" s="12"/>
      <c r="D237" s="169"/>
      <c r="E237" s="177"/>
      <c r="F237" s="12"/>
      <c r="G237" s="228"/>
      <c r="H237" s="20"/>
      <c r="I237" s="20"/>
      <c r="J237" s="20"/>
      <c r="K237" s="20"/>
      <c r="L237" s="20"/>
      <c r="M237" s="20"/>
      <c r="N237" s="20"/>
      <c r="O237" s="20"/>
      <c r="P237" s="20"/>
      <c r="Q237" s="20"/>
      <c r="R237" s="20"/>
      <c r="S237" s="20"/>
    </row>
    <row r="238" spans="1:30" ht="15.75" thickTop="1">
      <c r="A238" s="2382"/>
      <c r="B238" s="2406" t="s">
        <v>2985</v>
      </c>
      <c r="C238" s="2407"/>
      <c r="D238" s="2408"/>
      <c r="E238" s="2409"/>
      <c r="F238" s="2407"/>
      <c r="G238" s="2383"/>
      <c r="H238" s="2390"/>
      <c r="I238" s="2390"/>
      <c r="J238" s="2390"/>
      <c r="K238" s="2390"/>
      <c r="L238" s="2390"/>
      <c r="M238" s="2390"/>
      <c r="N238" s="2390"/>
      <c r="O238" s="2390"/>
      <c r="P238" s="2390"/>
      <c r="Q238" s="2390"/>
      <c r="R238" s="2390"/>
      <c r="S238" s="2390"/>
    </row>
    <row r="239" spans="1:30">
      <c r="A239" s="2382"/>
      <c r="B239" s="2406" t="s">
        <v>2986</v>
      </c>
      <c r="C239" s="2407"/>
      <c r="D239" s="2408"/>
      <c r="E239" s="2409"/>
      <c r="F239" s="2407"/>
      <c r="G239" s="2383"/>
      <c r="H239" s="2390"/>
      <c r="I239" s="2390"/>
      <c r="J239" s="2390"/>
      <c r="K239" s="2390"/>
      <c r="L239" s="2390"/>
      <c r="M239" s="2390"/>
      <c r="N239" s="2390"/>
      <c r="O239" s="2390"/>
      <c r="P239" s="2390"/>
      <c r="Q239" s="2390"/>
      <c r="R239" s="2390"/>
      <c r="S239" s="2390"/>
    </row>
    <row r="240" spans="1:30">
      <c r="A240" s="2382"/>
      <c r="B240" s="2406" t="s">
        <v>2987</v>
      </c>
      <c r="C240" s="2407"/>
      <c r="D240" s="2408"/>
      <c r="E240" s="2409"/>
      <c r="F240" s="2407"/>
      <c r="G240" s="2383"/>
      <c r="H240" s="2390"/>
      <c r="I240" s="2390"/>
      <c r="J240" s="2390"/>
      <c r="K240" s="2390"/>
      <c r="L240" s="2390"/>
      <c r="M240" s="2390"/>
      <c r="N240" s="2390"/>
      <c r="O240" s="2390"/>
      <c r="P240" s="2390"/>
      <c r="Q240" s="2390"/>
      <c r="R240" s="2390"/>
      <c r="S240" s="2390"/>
    </row>
    <row r="241" spans="1:19">
      <c r="A241" s="2382"/>
      <c r="B241" s="2406" t="s">
        <v>2988</v>
      </c>
      <c r="C241" s="2407"/>
      <c r="D241" s="2408"/>
      <c r="E241" s="2409"/>
      <c r="F241" s="2407"/>
      <c r="G241" s="2383"/>
      <c r="H241" s="2390"/>
      <c r="I241" s="2390"/>
      <c r="J241" s="2390"/>
      <c r="K241" s="2390"/>
      <c r="L241" s="2390"/>
      <c r="M241" s="2390"/>
      <c r="N241" s="2390"/>
      <c r="O241" s="2390"/>
      <c r="P241" s="2390"/>
      <c r="Q241" s="2390"/>
      <c r="R241" s="2390"/>
      <c r="S241" s="2390"/>
    </row>
    <row r="242" spans="1:19" ht="15.75" thickBot="1">
      <c r="A242" s="646"/>
      <c r="B242" s="619"/>
      <c r="C242" s="616"/>
      <c r="D242" s="621"/>
      <c r="E242" s="622"/>
      <c r="F242" s="616"/>
      <c r="G242" s="620"/>
      <c r="H242" s="647"/>
      <c r="I242" s="647"/>
      <c r="J242" s="647"/>
      <c r="K242" s="647"/>
      <c r="L242" s="647"/>
      <c r="M242" s="647"/>
      <c r="N242" s="647"/>
      <c r="O242" s="647"/>
      <c r="P242" s="647"/>
      <c r="Q242" s="647"/>
      <c r="R242" s="647"/>
      <c r="S242" s="647"/>
    </row>
    <row r="243" spans="1:19" ht="16.5" thickTop="1" thickBot="1">
      <c r="A243" s="7" t="s">
        <v>2989</v>
      </c>
      <c r="B243" s="8"/>
      <c r="C243" s="12"/>
      <c r="D243" s="169"/>
      <c r="E243" s="177"/>
      <c r="F243" s="12"/>
      <c r="G243" s="228"/>
      <c r="H243" s="20"/>
      <c r="I243" s="20"/>
      <c r="J243" s="20"/>
      <c r="K243" s="20"/>
      <c r="L243" s="20"/>
      <c r="M243" s="20"/>
      <c r="N243" s="20"/>
      <c r="O243" s="20"/>
      <c r="P243" s="20"/>
      <c r="Q243" s="20"/>
      <c r="R243" s="20"/>
      <c r="S243" s="20"/>
    </row>
    <row r="244" spans="1:19" ht="15.75" thickTop="1">
      <c r="A244" s="2630"/>
      <c r="B244" s="2638" t="s">
        <v>2990</v>
      </c>
      <c r="C244" s="2634"/>
      <c r="D244" s="2632"/>
      <c r="E244" s="2633"/>
      <c r="F244" s="2634"/>
      <c r="G244" s="2635"/>
      <c r="H244" s="2639"/>
      <c r="I244" s="2639"/>
      <c r="J244" s="2639"/>
      <c r="K244" s="2639"/>
      <c r="L244" s="2639"/>
      <c r="M244" s="2639"/>
      <c r="N244" s="2639"/>
      <c r="O244" s="2639"/>
      <c r="P244" s="2639"/>
      <c r="Q244" s="2639"/>
      <c r="R244" s="2639"/>
      <c r="S244" s="2639"/>
    </row>
    <row r="245" spans="1:19">
      <c r="A245" s="2382"/>
      <c r="B245" s="2406" t="s">
        <v>2991</v>
      </c>
      <c r="C245" s="2407"/>
      <c r="D245" s="2408"/>
      <c r="E245" s="2409"/>
      <c r="F245" s="2407"/>
      <c r="G245" s="2383"/>
      <c r="H245" s="2391"/>
      <c r="I245" s="2391"/>
      <c r="J245" s="2391"/>
      <c r="K245" s="2391"/>
      <c r="L245" s="2391"/>
      <c r="M245" s="2391"/>
      <c r="N245" s="2391"/>
      <c r="O245" s="2391"/>
      <c r="P245" s="2391"/>
      <c r="Q245" s="2391"/>
      <c r="R245" s="2391"/>
      <c r="S245" s="2391"/>
    </row>
    <row r="246" spans="1:19" ht="15.75" thickBot="1">
      <c r="A246" s="2392"/>
      <c r="B246" s="2424" t="s">
        <v>2992</v>
      </c>
      <c r="C246" s="2425"/>
      <c r="D246" s="2393"/>
      <c r="E246" s="2394"/>
      <c r="F246" s="2425"/>
      <c r="G246" s="2395"/>
      <c r="H246" s="2396"/>
      <c r="I246" s="2396"/>
      <c r="J246" s="2396"/>
      <c r="K246" s="2396"/>
      <c r="L246" s="2396"/>
      <c r="M246" s="2396"/>
      <c r="N246" s="2396"/>
      <c r="O246" s="2396"/>
      <c r="P246" s="2396"/>
      <c r="Q246" s="2396"/>
      <c r="R246" s="2396"/>
      <c r="S246" s="2396"/>
    </row>
    <row r="247" spans="1:19" ht="16.5" thickTop="1" thickBot="1">
      <c r="R247" s="2"/>
      <c r="S247" s="2"/>
    </row>
    <row r="248" spans="1:19" ht="16.5" thickTop="1" thickBot="1">
      <c r="A248" s="59" t="s">
        <v>2993</v>
      </c>
      <c r="B248" s="61"/>
      <c r="C248" s="299" t="s">
        <v>5197</v>
      </c>
      <c r="D248" s="165" t="s">
        <v>3235</v>
      </c>
      <c r="E248" s="535" t="s">
        <v>5204</v>
      </c>
      <c r="R248" s="2"/>
      <c r="S248" s="2"/>
    </row>
    <row r="249" spans="1:19" ht="15.75" thickTop="1">
      <c r="A249" s="60" t="s">
        <v>2936</v>
      </c>
      <c r="B249" s="2398"/>
      <c r="R249" s="2"/>
      <c r="S249" s="2"/>
    </row>
    <row r="250" spans="1:19">
      <c r="A250" s="2399" t="s">
        <v>2939</v>
      </c>
      <c r="B250" s="2398"/>
      <c r="R250" s="2"/>
      <c r="S250" s="2"/>
    </row>
    <row r="251" spans="1:19">
      <c r="A251" s="2400" t="s">
        <v>2941</v>
      </c>
      <c r="B251" s="2401"/>
      <c r="R251" s="2"/>
      <c r="S251" s="2"/>
    </row>
    <row r="252" spans="1:19">
      <c r="A252" s="2400" t="s">
        <v>2943</v>
      </c>
      <c r="B252" s="2402"/>
      <c r="R252" s="2"/>
      <c r="S252" s="2"/>
    </row>
    <row r="253" spans="1:19" ht="15.75" thickBot="1">
      <c r="A253" s="2403" t="s">
        <v>2994</v>
      </c>
      <c r="B253" s="2404">
        <f>$I$219</f>
        <v>2893685.65</v>
      </c>
      <c r="C253" s="447">
        <f>SUM(I23:I179)</f>
        <v>2681349.7199999997</v>
      </c>
      <c r="D253" s="165">
        <f>SUM(I180:I188)</f>
        <v>4619.2</v>
      </c>
      <c r="E253" s="536">
        <f>SUM(I189:I214)</f>
        <v>207716.72999999998</v>
      </c>
      <c r="R253" s="2"/>
      <c r="S253" s="2"/>
    </row>
    <row r="254" spans="1:19" ht="15.75" thickTop="1">
      <c r="R254" s="2"/>
      <c r="S254" s="2"/>
    </row>
    <row r="255" spans="1:19">
      <c r="A255" s="62"/>
      <c r="B255" s="1" t="s">
        <v>2995</v>
      </c>
      <c r="R255" s="2"/>
      <c r="S255" s="2"/>
    </row>
    <row r="256" spans="1:19">
      <c r="A256" s="63"/>
      <c r="B256" s="1" t="s">
        <v>2996</v>
      </c>
      <c r="R256" s="2"/>
      <c r="S256" s="2"/>
    </row>
  </sheetData>
  <mergeCells count="36">
    <mergeCell ref="R7:S7"/>
    <mergeCell ref="R8:S8"/>
    <mergeCell ref="R9:S9"/>
    <mergeCell ref="A229:B229"/>
    <mergeCell ref="P9:Q9"/>
    <mergeCell ref="J7:K7"/>
    <mergeCell ref="P7:Q7"/>
    <mergeCell ref="H8:I8"/>
    <mergeCell ref="J8:K8"/>
    <mergeCell ref="P8:Q8"/>
    <mergeCell ref="L8:M8"/>
    <mergeCell ref="L9:M9"/>
    <mergeCell ref="A233:B233"/>
    <mergeCell ref="A237:B237"/>
    <mergeCell ref="N5:O5"/>
    <mergeCell ref="N6:O6"/>
    <mergeCell ref="N7:O7"/>
    <mergeCell ref="N8:O8"/>
    <mergeCell ref="N9:O9"/>
    <mergeCell ref="H9:I9"/>
    <mergeCell ref="J9:K9"/>
    <mergeCell ref="H5:I5"/>
    <mergeCell ref="J5:K5"/>
    <mergeCell ref="L5:M5"/>
    <mergeCell ref="L6:M6"/>
    <mergeCell ref="L7:M7"/>
    <mergeCell ref="A222:B222"/>
    <mergeCell ref="H7:I7"/>
    <mergeCell ref="P4:Q4"/>
    <mergeCell ref="R4:S4"/>
    <mergeCell ref="P5:Q5"/>
    <mergeCell ref="H6:I6"/>
    <mergeCell ref="J6:K6"/>
    <mergeCell ref="P6:Q6"/>
    <mergeCell ref="R5:S5"/>
    <mergeCell ref="R6:S6"/>
  </mergeCells>
  <conditionalFormatting sqref="H11:H18">
    <cfRule type="cellIs" dxfId="191" priority="5" operator="equal">
      <formula>"X"</formula>
    </cfRule>
    <cfRule type="cellIs" dxfId="190" priority="6" operator="equal">
      <formula>"I"</formula>
    </cfRule>
  </conditionalFormatting>
  <conditionalFormatting sqref="I85:I86">
    <cfRule type="cellIs" dxfId="189" priority="49" operator="equal">
      <formula>"X"</formula>
    </cfRule>
    <cfRule type="cellIs" dxfId="188" priority="50" operator="equal">
      <formula>"I"</formula>
    </cfRule>
  </conditionalFormatting>
  <conditionalFormatting sqref="J11:J18">
    <cfRule type="cellIs" dxfId="187" priority="3" operator="equal">
      <formula>"X"</formula>
    </cfRule>
    <cfRule type="cellIs" dxfId="186" priority="4" operator="equal">
      <formula>"I"</formula>
    </cfRule>
  </conditionalFormatting>
  <conditionalFormatting sqref="L11:L18">
    <cfRule type="cellIs" dxfId="185" priority="1" operator="equal">
      <formula>"X"</formula>
    </cfRule>
    <cfRule type="cellIs" dxfId="184" priority="2" operator="equal">
      <formula>"I"</formula>
    </cfRule>
  </conditionalFormatting>
  <conditionalFormatting sqref="L20:L214">
    <cfRule type="cellIs" dxfId="183" priority="7" operator="equal">
      <formula>"X"</formula>
    </cfRule>
    <cfRule type="cellIs" dxfId="182" priority="8" operator="equal">
      <formula>"I"</formula>
    </cfRule>
  </conditionalFormatting>
  <conditionalFormatting sqref="N11:N18">
    <cfRule type="cellIs" dxfId="181" priority="55" operator="equal">
      <formula>"X"</formula>
    </cfRule>
    <cfRule type="cellIs" dxfId="180" priority="56" operator="equal">
      <formula>"I"</formula>
    </cfRule>
  </conditionalFormatting>
  <conditionalFormatting sqref="P11:P18 H20:H214 J20:J214 N20:N214 P20:P214 R20:R214">
    <cfRule type="cellIs" dxfId="179" priority="61" operator="equal">
      <formula>"X"</formula>
    </cfRule>
    <cfRule type="cellIs" dxfId="178" priority="62" operator="equal">
      <formula>"I"</formula>
    </cfRule>
  </conditionalFormatting>
  <conditionalFormatting sqref="R11:R18">
    <cfRule type="cellIs" dxfId="177" priority="53" operator="equal">
      <formula>"X"</formula>
    </cfRule>
    <cfRule type="cellIs" dxfId="176" priority="54" operator="equal">
      <formula>"I"</formula>
    </cfRule>
  </conditionalFormatting>
  <hyperlinks>
    <hyperlink ref="B4" location="'Cost Summary'!A1" display="BACK TO SUMMARY SHEET" xr:uid="{78529A4A-14ED-4252-9012-AB0A73FC377D}"/>
    <hyperlink ref="H8:I8" r:id="rId1" display="michael@jackwalshcarpets.com" xr:uid="{20E06D72-1009-4E9B-AA04-650CD7583C37}"/>
    <hyperlink ref="P8:Q8" r:id="rId2" display="jramarble@gmail.com" xr:uid="{BFA1EE1B-E8F5-45CB-8469-91615E81119F}"/>
    <hyperlink ref="N8:O8" r:id="rId3" display="kkillian@profastflooring.com" xr:uid="{DEF2371C-6322-4BCA-BA8C-ED7C965D7973}"/>
    <hyperlink ref="R8:S8" r:id="rId4" display="nick@tileandmarbleworks.com" xr:uid="{12504384-765D-4D9A-B557-7F9FC0C6E30B}"/>
    <hyperlink ref="L8:M8" r:id="rId5" display="scolado@totalflooring.net" xr:uid="{96BC56E6-A0DE-4857-8FF7-226FE53B28BC}"/>
  </hyperlinks>
  <pageMargins left="0.2" right="0.2" top="0.5" bottom="0.75" header="0.3" footer="0.3"/>
  <pageSetup paperSize="3" scale="77" fitToHeight="0" orientation="landscape" r:id="rId6"/>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8944-7A11-42A0-8C19-B9F7DC3D63E6}">
  <sheetPr>
    <tabColor rgb="FF92D050"/>
    <pageSetUpPr fitToPage="1"/>
  </sheetPr>
  <dimension ref="A1:AF91"/>
  <sheetViews>
    <sheetView zoomScale="90" zoomScaleNormal="90" workbookViewId="0">
      <pane ySplit="10" topLeftCell="A16" activePane="bottomLeft" state="frozen"/>
      <selection pane="bottomLeft" activeCell="J8" sqref="J8:K8"/>
      <selection activeCell="B4" sqref="B4"/>
    </sheetView>
  </sheetViews>
  <sheetFormatPr defaultColWidth="8.85546875" defaultRowHeight="15"/>
  <cols>
    <col min="1" max="1" width="10.7109375" customWidth="1"/>
    <col min="2" max="2" width="72" style="1" customWidth="1"/>
    <col min="3" max="3" width="12.7109375" style="2" customWidth="1"/>
    <col min="4" max="4" width="15.7109375" style="165" customWidth="1"/>
    <col min="5" max="5" width="11.7109375" style="79" customWidth="1"/>
    <col min="6" max="6" width="16.42578125" style="2" bestFit="1" customWidth="1"/>
    <col min="7" max="7" width="15.28515625" style="2" bestFit="1" customWidth="1"/>
    <col min="8" max="8" width="9" style="2" customWidth="1"/>
    <col min="9" max="9" width="15.2851562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s>
  <sheetData>
    <row r="1" spans="1:17">
      <c r="F1" s="178"/>
      <c r="G1" s="56" t="s">
        <v>2928</v>
      </c>
    </row>
    <row r="2" spans="1:17">
      <c r="F2" s="179" t="s">
        <v>2929</v>
      </c>
      <c r="G2" s="56" t="s">
        <v>2930</v>
      </c>
    </row>
    <row r="3" spans="1:17">
      <c r="F3" s="180" t="s">
        <v>2931</v>
      </c>
      <c r="G3" s="56" t="s">
        <v>2932</v>
      </c>
    </row>
    <row r="4" spans="1:17">
      <c r="B4" s="181" t="s">
        <v>2933</v>
      </c>
      <c r="F4" s="170"/>
      <c r="G4" s="2" t="s">
        <v>2934</v>
      </c>
      <c r="L4" s="968" t="s">
        <v>5693</v>
      </c>
      <c r="M4" s="968"/>
    </row>
    <row r="5" spans="1:17">
      <c r="A5" s="3" t="s">
        <v>2935</v>
      </c>
      <c r="B5" s="4" t="str">
        <f>'Area Calculations'!B4</f>
        <v>Atlantic Fields Club Core / Dock Bar / Spa Pods / Water Features</v>
      </c>
      <c r="C5" s="5"/>
      <c r="D5" s="166"/>
      <c r="E5" s="171"/>
      <c r="F5" s="5"/>
      <c r="G5" s="6" t="s">
        <v>2936</v>
      </c>
      <c r="H5" s="982" t="s">
        <v>5694</v>
      </c>
      <c r="I5" s="983"/>
      <c r="J5" s="841" t="s">
        <v>5695</v>
      </c>
      <c r="K5" s="842"/>
      <c r="L5" s="841" t="s">
        <v>5696</v>
      </c>
      <c r="M5" s="842"/>
      <c r="N5" s="841" t="s">
        <v>5697</v>
      </c>
      <c r="O5" s="842"/>
      <c r="P5" s="841"/>
      <c r="Q5" s="842"/>
    </row>
    <row r="6" spans="1:17">
      <c r="A6" s="2405" t="s">
        <v>2938</v>
      </c>
      <c r="B6" s="2406" t="s">
        <v>2577</v>
      </c>
      <c r="C6" s="2407"/>
      <c r="D6" s="2408"/>
      <c r="E6" s="2409"/>
      <c r="F6" s="2407"/>
      <c r="G6" s="657" t="s">
        <v>2939</v>
      </c>
      <c r="H6" s="2410" t="s">
        <v>5698</v>
      </c>
      <c r="I6" s="843"/>
      <c r="J6" s="2410" t="s">
        <v>5699</v>
      </c>
      <c r="K6" s="843"/>
      <c r="L6" s="2410" t="s">
        <v>5700</v>
      </c>
      <c r="M6" s="843"/>
      <c r="N6" s="2410" t="s">
        <v>5701</v>
      </c>
      <c r="O6" s="843"/>
      <c r="P6" s="2410"/>
      <c r="Q6" s="843"/>
    </row>
    <row r="7" spans="1:17">
      <c r="A7" s="2405" t="s">
        <v>2940</v>
      </c>
      <c r="B7" s="2413" t="s">
        <v>2720</v>
      </c>
      <c r="C7" s="2407"/>
      <c r="D7" s="2408"/>
      <c r="E7" s="2409"/>
      <c r="F7" s="2407"/>
      <c r="G7" s="2414" t="s">
        <v>2941</v>
      </c>
      <c r="H7" s="2415" t="s">
        <v>5702</v>
      </c>
      <c r="I7" s="844"/>
      <c r="J7" s="2415" t="s">
        <v>5703</v>
      </c>
      <c r="K7" s="844"/>
      <c r="L7" s="2415" t="s">
        <v>5704</v>
      </c>
      <c r="M7" s="844"/>
      <c r="N7" s="2415" t="s">
        <v>5705</v>
      </c>
      <c r="O7" s="844"/>
      <c r="P7" s="2415"/>
      <c r="Q7" s="844"/>
    </row>
    <row r="8" spans="1:17">
      <c r="A8" s="2405" t="s">
        <v>2942</v>
      </c>
      <c r="B8" s="2418"/>
      <c r="C8" s="2407"/>
      <c r="D8" s="2408"/>
      <c r="E8" s="2409"/>
      <c r="F8" s="2407"/>
      <c r="G8" s="2414" t="s">
        <v>2943</v>
      </c>
      <c r="H8" s="2419" t="s">
        <v>5706</v>
      </c>
      <c r="I8" s="845"/>
      <c r="J8" s="2419" t="s">
        <v>5707</v>
      </c>
      <c r="K8" s="845"/>
      <c r="L8" s="2419" t="s">
        <v>5708</v>
      </c>
      <c r="M8" s="845"/>
      <c r="N8" s="2419" t="s">
        <v>5709</v>
      </c>
      <c r="O8" s="845"/>
      <c r="P8" s="2419"/>
      <c r="Q8" s="845"/>
    </row>
    <row r="9" spans="1:17">
      <c r="A9" s="2423"/>
      <c r="B9" s="2424"/>
      <c r="C9" s="616"/>
      <c r="D9" s="621"/>
      <c r="E9" s="622"/>
      <c r="F9" s="2425"/>
      <c r="G9" s="2426" t="s">
        <v>2944</v>
      </c>
      <c r="H9" s="2428">
        <f>I$53</f>
        <v>236378.41999999998</v>
      </c>
      <c r="I9" s="2457"/>
      <c r="J9" s="2427">
        <f>K$53</f>
        <v>315251.42</v>
      </c>
      <c r="K9" s="2458"/>
      <c r="L9" s="2428">
        <f t="shared" ref="L9" si="0">M$53</f>
        <v>317713.42</v>
      </c>
      <c r="M9" s="2457"/>
      <c r="N9" s="2428">
        <f t="shared" ref="N9" si="1">O$53</f>
        <v>0</v>
      </c>
      <c r="O9" s="2457"/>
      <c r="P9" s="2428">
        <f t="shared" ref="P9" si="2">Q$53</f>
        <v>0</v>
      </c>
      <c r="Q9" s="2457"/>
    </row>
    <row r="10" spans="1:17" s="175" customFormat="1" ht="30">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row>
    <row r="11" spans="1:17">
      <c r="A11" s="2609"/>
      <c r="B11" s="1618" t="s">
        <v>2953</v>
      </c>
      <c r="C11" s="659"/>
      <c r="D11" s="2408"/>
      <c r="E11" s="2409"/>
      <c r="F11" s="2407"/>
      <c r="G11" s="660"/>
      <c r="H11" s="2431"/>
      <c r="I11" s="2339"/>
      <c r="J11" s="2431"/>
      <c r="K11" s="2338"/>
      <c r="L11" s="2431"/>
      <c r="M11" s="182"/>
      <c r="N11" s="2431"/>
      <c r="O11" s="2339"/>
      <c r="P11" s="2431"/>
      <c r="Q11" s="2339"/>
    </row>
    <row r="12" spans="1:17">
      <c r="A12" s="2610"/>
      <c r="B12" s="1622" t="s">
        <v>2954</v>
      </c>
      <c r="C12" s="2407"/>
      <c r="D12" s="2408"/>
      <c r="E12" s="2409"/>
      <c r="F12" s="2407"/>
      <c r="G12" s="660"/>
      <c r="H12" s="790" t="s">
        <v>3028</v>
      </c>
      <c r="I12" s="2339"/>
      <c r="J12" s="790" t="s">
        <v>3028</v>
      </c>
      <c r="K12" s="2338"/>
      <c r="L12" s="790" t="s">
        <v>3028</v>
      </c>
      <c r="M12" s="2339"/>
      <c r="N12" s="2431"/>
      <c r="O12" s="2339"/>
      <c r="P12" s="2431"/>
      <c r="Q12" s="2339"/>
    </row>
    <row r="13" spans="1:17">
      <c r="A13" s="2432"/>
      <c r="B13" s="2611" t="s">
        <v>2955</v>
      </c>
      <c r="C13" s="2407"/>
      <c r="D13" s="2408"/>
      <c r="E13" s="2409"/>
      <c r="F13" s="2407"/>
      <c r="G13" s="660"/>
      <c r="H13" s="790" t="s">
        <v>3028</v>
      </c>
      <c r="I13" s="2339"/>
      <c r="J13" s="790" t="s">
        <v>3028</v>
      </c>
      <c r="K13" s="2338"/>
      <c r="L13" s="790" t="s">
        <v>3028</v>
      </c>
      <c r="M13" s="2339"/>
      <c r="N13" s="2431"/>
      <c r="O13" s="2339"/>
      <c r="P13" s="2431"/>
      <c r="Q13" s="2339"/>
    </row>
    <row r="14" spans="1:17">
      <c r="A14" s="2432"/>
      <c r="B14" s="2612" t="s">
        <v>2956</v>
      </c>
      <c r="C14" s="2407"/>
      <c r="D14" s="2408"/>
      <c r="E14" s="2409"/>
      <c r="F14" s="2407"/>
      <c r="G14" s="660"/>
      <c r="H14" s="790" t="s">
        <v>3807</v>
      </c>
      <c r="I14" s="2339"/>
      <c r="J14" s="790" t="s">
        <v>3807</v>
      </c>
      <c r="K14" s="2338"/>
      <c r="L14" s="790" t="s">
        <v>3807</v>
      </c>
      <c r="M14" s="2339"/>
      <c r="N14" s="2431"/>
      <c r="O14" s="2339"/>
      <c r="P14" s="2431"/>
      <c r="Q14" s="2339"/>
    </row>
    <row r="15" spans="1:17">
      <c r="A15" s="2432"/>
      <c r="B15" s="2612" t="s">
        <v>2957</v>
      </c>
      <c r="C15" s="2407"/>
      <c r="D15" s="2408"/>
      <c r="E15" s="2409"/>
      <c r="F15" s="2407"/>
      <c r="G15" s="660"/>
      <c r="H15" s="790" t="s">
        <v>3028</v>
      </c>
      <c r="I15" s="2338"/>
      <c r="J15" s="790" t="s">
        <v>3028</v>
      </c>
      <c r="K15" s="2338"/>
      <c r="L15" s="790" t="s">
        <v>3028</v>
      </c>
      <c r="M15" s="2338"/>
      <c r="N15" s="2431"/>
      <c r="O15" s="2338"/>
      <c r="P15" s="2431"/>
      <c r="Q15" s="2338"/>
    </row>
    <row r="16" spans="1:17">
      <c r="A16" s="2432"/>
      <c r="B16" s="2612" t="s">
        <v>2958</v>
      </c>
      <c r="C16" s="2407"/>
      <c r="D16" s="2408"/>
      <c r="E16" s="2409"/>
      <c r="F16" s="2407"/>
      <c r="G16" s="660"/>
      <c r="H16" s="790" t="s">
        <v>3028</v>
      </c>
      <c r="I16" s="2339"/>
      <c r="J16" s="790" t="s">
        <v>3028</v>
      </c>
      <c r="K16" s="2338"/>
      <c r="L16" s="790" t="s">
        <v>3028</v>
      </c>
      <c r="M16" s="2339"/>
      <c r="N16" s="2431"/>
      <c r="O16" s="2453"/>
      <c r="P16" s="2431"/>
      <c r="Q16" s="2339"/>
    </row>
    <row r="17" spans="1:17">
      <c r="A17" s="2432"/>
      <c r="B17" s="2612" t="s">
        <v>2959</v>
      </c>
      <c r="C17" s="2407"/>
      <c r="D17" s="2408"/>
      <c r="E17" s="2409"/>
      <c r="F17" s="2407"/>
      <c r="G17" s="660"/>
      <c r="H17" s="790" t="s">
        <v>3028</v>
      </c>
      <c r="I17" s="2339"/>
      <c r="J17" s="790" t="s">
        <v>3028</v>
      </c>
      <c r="K17" s="2338"/>
      <c r="L17" s="790" t="s">
        <v>3028</v>
      </c>
      <c r="M17" s="2339"/>
      <c r="N17" s="2431"/>
      <c r="O17" s="2339"/>
      <c r="P17" s="2431"/>
      <c r="Q17" s="2339"/>
    </row>
    <row r="18" spans="1:17">
      <c r="A18" s="2432"/>
      <c r="B18" s="2613" t="s">
        <v>2960</v>
      </c>
      <c r="C18" s="2407"/>
      <c r="D18" s="2408"/>
      <c r="E18" s="2409"/>
      <c r="F18" s="2407"/>
      <c r="G18" s="660"/>
      <c r="H18" s="2431"/>
      <c r="I18" s="2339"/>
      <c r="J18" s="2431"/>
      <c r="K18" s="2338"/>
      <c r="L18" s="2431"/>
      <c r="M18" s="2339"/>
      <c r="N18" s="2431"/>
      <c r="O18" s="2339"/>
      <c r="P18" s="2431"/>
      <c r="Q18" s="2339"/>
    </row>
    <row r="19" spans="1:17">
      <c r="A19" s="2432"/>
      <c r="B19" s="2614" t="s">
        <v>2961</v>
      </c>
      <c r="C19" s="2433"/>
      <c r="D19" s="2434"/>
      <c r="E19" s="2435"/>
      <c r="F19" s="2436"/>
      <c r="G19" s="661"/>
      <c r="H19" s="2437"/>
      <c r="I19" s="2346"/>
      <c r="J19" s="2437"/>
      <c r="K19" s="2347"/>
      <c r="L19" s="2437"/>
      <c r="M19" s="2346"/>
      <c r="N19" s="2437"/>
      <c r="O19" s="2346"/>
      <c r="P19" s="2437"/>
      <c r="Q19" s="2346"/>
    </row>
    <row r="20" spans="1:17">
      <c r="A20" s="2432"/>
      <c r="B20" s="2615"/>
      <c r="C20" s="2407"/>
      <c r="D20" s="2408"/>
      <c r="E20" s="2409"/>
      <c r="F20" s="2438"/>
      <c r="G20" s="660"/>
      <c r="H20" s="2431"/>
      <c r="I20" s="2349"/>
      <c r="J20" s="2431"/>
      <c r="K20" s="2349"/>
      <c r="L20" s="2431"/>
      <c r="M20" s="2350"/>
      <c r="N20" s="2431"/>
      <c r="O20" s="2349"/>
      <c r="P20" s="2431"/>
      <c r="Q20" s="2349"/>
    </row>
    <row r="21" spans="1:17">
      <c r="A21" s="2432"/>
      <c r="B21" s="2640" t="s">
        <v>5317</v>
      </c>
      <c r="C21" s="2407"/>
      <c r="D21" s="2408"/>
      <c r="E21" s="2409"/>
      <c r="F21" s="2438"/>
      <c r="G21" s="662"/>
      <c r="H21" s="2431" t="s">
        <v>3028</v>
      </c>
      <c r="I21" s="2349">
        <f>11030+34450+55150+5515+5515+55150+11030</f>
        <v>177840</v>
      </c>
      <c r="J21" s="2431" t="s">
        <v>3028</v>
      </c>
      <c r="K21" s="2350">
        <f>23107+103867+151542-200-1028-4500-6000</f>
        <v>266788</v>
      </c>
      <c r="L21" s="2431" t="s">
        <v>3028</v>
      </c>
      <c r="M21" s="2350">
        <v>112290</v>
      </c>
      <c r="N21" s="2431"/>
      <c r="O21" s="2349"/>
      <c r="P21" s="2431"/>
      <c r="Q21" s="2349"/>
    </row>
    <row r="22" spans="1:17">
      <c r="A22" s="2432"/>
      <c r="B22" s="2617" t="s">
        <v>2577</v>
      </c>
      <c r="C22" s="2407"/>
      <c r="D22" s="2408"/>
      <c r="E22" s="2409"/>
      <c r="F22" s="2438"/>
      <c r="G22" s="662"/>
      <c r="H22" s="2431" t="s">
        <v>3028</v>
      </c>
      <c r="I22" s="2349"/>
      <c r="J22" s="2431" t="s">
        <v>3028</v>
      </c>
      <c r="K22" s="2350"/>
      <c r="L22" s="2431" t="s">
        <v>3028</v>
      </c>
      <c r="M22" s="2350"/>
      <c r="N22" s="2431"/>
      <c r="O22" s="2349"/>
      <c r="P22" s="2431"/>
      <c r="Q22" s="2349"/>
    </row>
    <row r="23" spans="1:17">
      <c r="A23" s="2432"/>
      <c r="B23" s="2616" t="s">
        <v>5710</v>
      </c>
      <c r="C23" s="2407"/>
      <c r="D23" s="2408">
        <v>11841</v>
      </c>
      <c r="E23" s="2409" t="s">
        <v>3112</v>
      </c>
      <c r="F23" s="2438">
        <v>15</v>
      </c>
      <c r="G23" s="662">
        <f t="shared" ref="G23" si="3">ROUND(D23*F23,0)</f>
        <v>177615</v>
      </c>
      <c r="H23" s="2431" t="s">
        <v>3028</v>
      </c>
      <c r="I23" s="2349"/>
      <c r="J23" s="2431" t="s">
        <v>3028</v>
      </c>
      <c r="K23" s="2350"/>
      <c r="L23" s="2448" t="s">
        <v>4877</v>
      </c>
      <c r="M23" s="2350">
        <f>G23</f>
        <v>177615</v>
      </c>
      <c r="N23" s="2431"/>
      <c r="O23" s="2349"/>
      <c r="P23" s="2431"/>
      <c r="Q23" s="2349"/>
    </row>
    <row r="24" spans="1:17" ht="30">
      <c r="A24" s="2432"/>
      <c r="B24" s="2620" t="s">
        <v>5711</v>
      </c>
      <c r="C24" s="2407"/>
      <c r="D24" s="2408"/>
      <c r="E24" s="2409"/>
      <c r="F24" s="2438"/>
      <c r="G24" s="662"/>
      <c r="H24" s="2431" t="s">
        <v>3028</v>
      </c>
      <c r="I24" s="2349"/>
      <c r="J24" s="2431" t="s">
        <v>3028</v>
      </c>
      <c r="K24" s="2350"/>
      <c r="L24" s="2448" t="s">
        <v>4877</v>
      </c>
      <c r="M24" s="2350"/>
      <c r="N24" s="2431"/>
      <c r="O24" s="2349"/>
      <c r="P24" s="2431"/>
      <c r="Q24" s="2349"/>
    </row>
    <row r="25" spans="1:17">
      <c r="A25" s="2432"/>
      <c r="B25" s="2620" t="s">
        <v>5712</v>
      </c>
      <c r="C25" s="2407"/>
      <c r="D25" s="2408"/>
      <c r="E25" s="2409"/>
      <c r="F25" s="2438"/>
      <c r="G25" s="662"/>
      <c r="H25" s="2431" t="s">
        <v>3028</v>
      </c>
      <c r="I25" s="2349"/>
      <c r="J25" s="2431" t="s">
        <v>3028</v>
      </c>
      <c r="K25" s="2350"/>
      <c r="L25" s="2448" t="s">
        <v>4877</v>
      </c>
      <c r="M25" s="2350"/>
      <c r="N25" s="2431"/>
      <c r="O25" s="2349"/>
      <c r="P25" s="2431"/>
      <c r="Q25" s="2349"/>
    </row>
    <row r="26" spans="1:17" ht="60">
      <c r="A26" s="2432"/>
      <c r="B26" s="2620" t="s">
        <v>5713</v>
      </c>
      <c r="C26" s="2407"/>
      <c r="D26" s="2408"/>
      <c r="E26" s="2409"/>
      <c r="F26" s="2438"/>
      <c r="G26" s="662"/>
      <c r="H26" s="2431" t="s">
        <v>3028</v>
      </c>
      <c r="I26" s="2349"/>
      <c r="J26" s="2431" t="s">
        <v>3028</v>
      </c>
      <c r="K26" s="2350"/>
      <c r="L26" s="2448" t="s">
        <v>4877</v>
      </c>
      <c r="M26" s="2350"/>
      <c r="N26" s="2431"/>
      <c r="O26" s="2349"/>
      <c r="P26" s="2431"/>
      <c r="Q26" s="2349"/>
    </row>
    <row r="27" spans="1:17" ht="14.25" customHeight="1">
      <c r="A27" s="2432"/>
      <c r="B27" s="2616" t="s">
        <v>5714</v>
      </c>
      <c r="C27" s="2407"/>
      <c r="D27" s="2408">
        <v>800</v>
      </c>
      <c r="E27" s="2409" t="s">
        <v>3112</v>
      </c>
      <c r="F27" s="2438">
        <v>12</v>
      </c>
      <c r="G27" s="662">
        <f>ROUND(D27*F27,0)</f>
        <v>9600</v>
      </c>
      <c r="H27" s="2431" t="s">
        <v>3028</v>
      </c>
      <c r="I27" s="2349">
        <f>775+2275+3875+387.5+387.5+3875+775</f>
        <v>12350</v>
      </c>
      <c r="J27" s="2431" t="s">
        <v>3028</v>
      </c>
      <c r="K27" s="2350"/>
      <c r="L27" s="2448" t="s">
        <v>4877</v>
      </c>
      <c r="M27" s="2350"/>
      <c r="N27" s="2431"/>
      <c r="O27" s="2349"/>
      <c r="P27" s="2431"/>
      <c r="Q27" s="2349"/>
    </row>
    <row r="28" spans="1:17" ht="14.25" customHeight="1">
      <c r="A28" s="2432"/>
      <c r="B28" s="2620" t="s">
        <v>5715</v>
      </c>
      <c r="C28" s="2407"/>
      <c r="D28" s="2408"/>
      <c r="E28" s="2409"/>
      <c r="F28" s="2438"/>
      <c r="G28" s="662"/>
      <c r="H28" s="2431" t="s">
        <v>3028</v>
      </c>
      <c r="I28" s="2349"/>
      <c r="J28" s="2431" t="s">
        <v>3028</v>
      </c>
      <c r="K28" s="2350"/>
      <c r="L28" s="2448" t="s">
        <v>4877</v>
      </c>
      <c r="M28" s="2350"/>
      <c r="N28" s="2431"/>
      <c r="O28" s="2349"/>
      <c r="P28" s="2431"/>
      <c r="Q28" s="2349"/>
    </row>
    <row r="29" spans="1:17">
      <c r="A29" s="2432"/>
      <c r="B29" s="2616" t="s">
        <v>5716</v>
      </c>
      <c r="C29" s="2407"/>
      <c r="D29" s="2408">
        <v>7940</v>
      </c>
      <c r="E29" s="2409" t="s">
        <v>3112</v>
      </c>
      <c r="F29" s="2438">
        <v>10</v>
      </c>
      <c r="G29" s="662">
        <f>ROUND(D29*F29,0)</f>
        <v>79400</v>
      </c>
      <c r="H29" s="2431" t="s">
        <v>3028</v>
      </c>
      <c r="I29" s="2349">
        <f>7220+7220+4162.32+106.1</f>
        <v>18708.419999999998</v>
      </c>
      <c r="J29" s="2448" t="s">
        <v>4877</v>
      </c>
      <c r="K29" s="2622">
        <f>I29</f>
        <v>18708.419999999998</v>
      </c>
      <c r="L29" s="2448" t="s">
        <v>4877</v>
      </c>
      <c r="M29" s="2350">
        <f>K29</f>
        <v>18708.419999999998</v>
      </c>
      <c r="N29" s="2431"/>
      <c r="O29" s="2349"/>
      <c r="P29" s="2431"/>
      <c r="Q29" s="2349"/>
    </row>
    <row r="30" spans="1:17" ht="30">
      <c r="A30" s="2432"/>
      <c r="B30" s="2620" t="s">
        <v>5717</v>
      </c>
      <c r="C30" s="2407"/>
      <c r="D30" s="2408"/>
      <c r="E30" s="2409"/>
      <c r="F30" s="2438"/>
      <c r="G30" s="662"/>
      <c r="H30" s="2431" t="s">
        <v>3028</v>
      </c>
      <c r="I30" s="2349"/>
      <c r="J30" s="2448" t="s">
        <v>4877</v>
      </c>
      <c r="K30" s="2350"/>
      <c r="L30" s="2448" t="s">
        <v>4877</v>
      </c>
      <c r="M30" s="2350"/>
      <c r="N30" s="2431"/>
      <c r="O30" s="2349"/>
      <c r="P30" s="2431"/>
      <c r="Q30" s="2349"/>
    </row>
    <row r="31" spans="1:17" ht="45">
      <c r="A31" s="2432"/>
      <c r="B31" s="2620" t="s">
        <v>5718</v>
      </c>
      <c r="C31" s="2407"/>
      <c r="D31" s="2408"/>
      <c r="E31" s="2409"/>
      <c r="F31" s="2438"/>
      <c r="G31" s="662"/>
      <c r="H31" s="2431" t="s">
        <v>3028</v>
      </c>
      <c r="I31" s="2349"/>
      <c r="J31" s="2448" t="s">
        <v>4877</v>
      </c>
      <c r="K31" s="2350"/>
      <c r="L31" s="2448" t="s">
        <v>4877</v>
      </c>
      <c r="M31" s="2350"/>
      <c r="N31" s="2431"/>
      <c r="O31" s="2349"/>
      <c r="P31" s="2431"/>
      <c r="Q31" s="2349"/>
    </row>
    <row r="32" spans="1:17" ht="30">
      <c r="A32" s="2432"/>
      <c r="B32" s="2620" t="s">
        <v>5719</v>
      </c>
      <c r="C32" s="2407"/>
      <c r="D32" s="2408"/>
      <c r="E32" s="2409"/>
      <c r="F32" s="2438"/>
      <c r="G32" s="662"/>
      <c r="H32" s="2431" t="s">
        <v>3028</v>
      </c>
      <c r="I32" s="2349"/>
      <c r="J32" s="2448" t="s">
        <v>4877</v>
      </c>
      <c r="K32" s="2350"/>
      <c r="L32" s="2448" t="s">
        <v>4877</v>
      </c>
      <c r="M32" s="2350"/>
      <c r="N32" s="2431"/>
      <c r="O32" s="2349"/>
      <c r="P32" s="2431"/>
      <c r="Q32" s="2349"/>
    </row>
    <row r="33" spans="1:17">
      <c r="A33" s="2432"/>
      <c r="B33" s="2619" t="s">
        <v>5720</v>
      </c>
      <c r="C33" s="2407"/>
      <c r="D33" s="2408">
        <v>5441</v>
      </c>
      <c r="E33" s="2409" t="s">
        <v>3112</v>
      </c>
      <c r="F33" s="2438">
        <v>8</v>
      </c>
      <c r="G33" s="662"/>
      <c r="H33" s="2431" t="s">
        <v>3807</v>
      </c>
      <c r="I33" s="2349"/>
      <c r="J33" s="2431" t="s">
        <v>3807</v>
      </c>
      <c r="K33" s="2350"/>
      <c r="L33" s="2431" t="s">
        <v>3807</v>
      </c>
      <c r="M33" s="2350"/>
      <c r="N33" s="2431"/>
      <c r="O33" s="2349"/>
      <c r="P33" s="2431"/>
      <c r="Q33" s="2349"/>
    </row>
    <row r="34" spans="1:17">
      <c r="A34" s="2432"/>
      <c r="B34" s="2620" t="s">
        <v>5721</v>
      </c>
      <c r="C34" s="2407"/>
      <c r="D34" s="2408"/>
      <c r="E34" s="2409"/>
      <c r="F34" s="2438"/>
      <c r="G34" s="662"/>
      <c r="H34" s="2431" t="s">
        <v>3807</v>
      </c>
      <c r="I34" s="2349"/>
      <c r="J34" s="2431" t="s">
        <v>3807</v>
      </c>
      <c r="K34" s="2350"/>
      <c r="L34" s="2431" t="s">
        <v>3807</v>
      </c>
      <c r="M34" s="2350"/>
      <c r="N34" s="2431"/>
      <c r="O34" s="2349"/>
      <c r="P34" s="2431"/>
      <c r="Q34" s="2349"/>
    </row>
    <row r="35" spans="1:17">
      <c r="A35" s="2432"/>
      <c r="B35" s="2617" t="s">
        <v>5576</v>
      </c>
      <c r="C35" s="2407"/>
      <c r="D35" s="2408"/>
      <c r="E35" s="2409"/>
      <c r="F35" s="2438"/>
      <c r="G35" s="662"/>
      <c r="H35" s="2431" t="s">
        <v>3028</v>
      </c>
      <c r="I35" s="2349"/>
      <c r="J35" s="2431" t="s">
        <v>3028</v>
      </c>
      <c r="K35" s="2350"/>
      <c r="L35" s="2431" t="s">
        <v>3028</v>
      </c>
      <c r="M35" s="2350"/>
      <c r="N35" s="2431"/>
      <c r="O35" s="2349"/>
      <c r="P35" s="2431"/>
      <c r="Q35" s="2349"/>
    </row>
    <row r="36" spans="1:17" ht="15" customHeight="1">
      <c r="A36" s="2432"/>
      <c r="B36" s="2619" t="s">
        <v>5722</v>
      </c>
      <c r="C36" s="2407"/>
      <c r="D36" s="2408"/>
      <c r="E36" s="2409" t="s">
        <v>48</v>
      </c>
      <c r="F36" s="2438">
        <v>5</v>
      </c>
      <c r="G36" s="662">
        <f>F36*D36</f>
        <v>0</v>
      </c>
      <c r="H36" s="2431" t="s">
        <v>3028</v>
      </c>
      <c r="I36" s="2349"/>
      <c r="J36" s="2431" t="s">
        <v>3028</v>
      </c>
      <c r="K36" s="2350"/>
      <c r="L36" s="2431" t="s">
        <v>3807</v>
      </c>
      <c r="M36" s="2350"/>
      <c r="N36" s="2431"/>
      <c r="O36" s="2349"/>
      <c r="P36" s="2431"/>
      <c r="Q36" s="2349"/>
    </row>
    <row r="37" spans="1:17" ht="15" customHeight="1">
      <c r="A37" s="2432"/>
      <c r="B37" s="2620" t="s">
        <v>5723</v>
      </c>
      <c r="C37" s="2407"/>
      <c r="D37" s="2408"/>
      <c r="E37" s="2409"/>
      <c r="F37" s="2438"/>
      <c r="G37" s="662"/>
      <c r="H37" s="2431" t="s">
        <v>3028</v>
      </c>
      <c r="I37" s="2349"/>
      <c r="J37" s="2431" t="s">
        <v>3028</v>
      </c>
      <c r="K37" s="2350"/>
      <c r="L37" s="2431" t="s">
        <v>3807</v>
      </c>
      <c r="M37" s="2350"/>
      <c r="N37" s="2431"/>
      <c r="O37" s="2349"/>
      <c r="P37" s="2431"/>
      <c r="Q37" s="2349"/>
    </row>
    <row r="38" spans="1:17" ht="15" customHeight="1">
      <c r="A38" s="2432"/>
      <c r="B38" s="2620" t="s">
        <v>5712</v>
      </c>
      <c r="C38" s="2407"/>
      <c r="D38" s="2408"/>
      <c r="E38" s="2409"/>
      <c r="F38" s="2438"/>
      <c r="G38" s="662"/>
      <c r="H38" s="2431" t="s">
        <v>3028</v>
      </c>
      <c r="I38" s="2349"/>
      <c r="J38" s="2431" t="s">
        <v>3028</v>
      </c>
      <c r="K38" s="2350"/>
      <c r="L38" s="2431" t="s">
        <v>3807</v>
      </c>
      <c r="M38" s="2350"/>
      <c r="N38" s="2431"/>
      <c r="O38" s="2349"/>
      <c r="P38" s="2431"/>
      <c r="Q38" s="2349"/>
    </row>
    <row r="39" spans="1:17">
      <c r="A39" s="2432"/>
      <c r="B39" s="2620" t="s">
        <v>5724</v>
      </c>
      <c r="C39" s="2407"/>
      <c r="D39" s="2408"/>
      <c r="E39" s="2409"/>
      <c r="F39" s="2438"/>
      <c r="G39" s="662"/>
      <c r="H39" s="2431" t="s">
        <v>3028</v>
      </c>
      <c r="I39" s="2349"/>
      <c r="J39" s="2431" t="s">
        <v>3028</v>
      </c>
      <c r="K39" s="2350"/>
      <c r="L39" s="2431" t="s">
        <v>3807</v>
      </c>
      <c r="M39" s="2350"/>
      <c r="N39" s="2431"/>
      <c r="O39" s="2349"/>
      <c r="P39" s="2431"/>
      <c r="Q39" s="2349"/>
    </row>
    <row r="40" spans="1:17">
      <c r="A40" s="2432"/>
      <c r="B40" s="2641" t="s">
        <v>5206</v>
      </c>
      <c r="C40" s="2407"/>
      <c r="D40" s="2408"/>
      <c r="E40" s="2409"/>
      <c r="F40" s="2438"/>
      <c r="G40" s="662"/>
      <c r="H40" s="2431" t="s">
        <v>3028</v>
      </c>
      <c r="I40" s="2349"/>
      <c r="J40" s="2431" t="s">
        <v>3028</v>
      </c>
      <c r="K40" s="2350"/>
      <c r="L40" s="2431"/>
      <c r="M40" s="2350"/>
      <c r="N40" s="2431"/>
      <c r="O40" s="2349"/>
      <c r="P40" s="2431"/>
      <c r="Q40" s="2349"/>
    </row>
    <row r="41" spans="1:17">
      <c r="A41" s="2432"/>
      <c r="B41" s="2615" t="s">
        <v>5725</v>
      </c>
      <c r="C41" s="2407"/>
      <c r="D41" s="2408">
        <v>1</v>
      </c>
      <c r="E41" s="2409" t="s">
        <v>3112</v>
      </c>
      <c r="F41" s="2438">
        <v>15000</v>
      </c>
      <c r="G41" s="705">
        <f>F41</f>
        <v>15000</v>
      </c>
      <c r="H41" s="2448" t="s">
        <v>4877</v>
      </c>
      <c r="I41" s="2642">
        <f>G41</f>
        <v>15000</v>
      </c>
      <c r="J41" s="2448" t="str">
        <f>H41</f>
        <v>P</v>
      </c>
      <c r="K41" s="2643">
        <f>I41</f>
        <v>15000</v>
      </c>
      <c r="L41" s="2431"/>
      <c r="M41" s="2350"/>
      <c r="N41" s="2431"/>
      <c r="O41" s="2349"/>
      <c r="P41" s="2431"/>
      <c r="Q41" s="2349"/>
    </row>
    <row r="42" spans="1:17">
      <c r="A42" s="2432"/>
      <c r="B42" s="2640" t="s">
        <v>3235</v>
      </c>
      <c r="C42" s="2407"/>
      <c r="D42" s="2408"/>
      <c r="E42" s="2409"/>
      <c r="F42" s="2438"/>
      <c r="G42" s="662"/>
      <c r="H42" s="2431" t="s">
        <v>3028</v>
      </c>
      <c r="I42" s="2349">
        <f>195+845+975+97.5+97.5+975+195</f>
        <v>3380</v>
      </c>
      <c r="J42" s="2431" t="s">
        <v>3028</v>
      </c>
      <c r="K42" s="2350">
        <f>5655</f>
        <v>5655</v>
      </c>
      <c r="L42" s="2431" t="s">
        <v>3028</v>
      </c>
      <c r="M42" s="2350"/>
      <c r="N42" s="2431"/>
      <c r="O42" s="2349"/>
      <c r="P42" s="2431"/>
      <c r="Q42" s="2349"/>
    </row>
    <row r="43" spans="1:17">
      <c r="A43" s="2432"/>
      <c r="B43" s="2616" t="s">
        <v>5726</v>
      </c>
      <c r="C43" s="2407"/>
      <c r="D43" s="2408">
        <f>182+14</f>
        <v>196</v>
      </c>
      <c r="E43" s="2409" t="s">
        <v>3112</v>
      </c>
      <c r="F43" s="2438">
        <v>18</v>
      </c>
      <c r="G43" s="662">
        <f>F43*D43</f>
        <v>3528</v>
      </c>
      <c r="H43" s="2431" t="s">
        <v>3028</v>
      </c>
      <c r="I43" s="2349"/>
      <c r="J43" s="2431" t="s">
        <v>3028</v>
      </c>
      <c r="K43" s="2350"/>
      <c r="L43" s="2431" t="s">
        <v>3028</v>
      </c>
      <c r="M43" s="2350"/>
      <c r="N43" s="2431"/>
      <c r="O43" s="2349"/>
      <c r="P43" s="2431"/>
      <c r="Q43" s="2349"/>
    </row>
    <row r="44" spans="1:17">
      <c r="A44" s="2432"/>
      <c r="B44" s="2615" t="s">
        <v>5727</v>
      </c>
      <c r="C44" s="2407"/>
      <c r="D44" s="2408"/>
      <c r="E44" s="2409"/>
      <c r="F44" s="2438"/>
      <c r="G44" s="662"/>
      <c r="H44" s="2431" t="s">
        <v>3028</v>
      </c>
      <c r="I44" s="2349"/>
      <c r="J44" s="2431" t="s">
        <v>3028</v>
      </c>
      <c r="K44" s="2350"/>
      <c r="L44" s="2431" t="s">
        <v>3028</v>
      </c>
      <c r="M44" s="2350"/>
      <c r="N44" s="2431"/>
      <c r="O44" s="2349"/>
      <c r="P44" s="2431"/>
      <c r="Q44" s="2349"/>
    </row>
    <row r="45" spans="1:17">
      <c r="A45" s="2432"/>
      <c r="B45" s="2616" t="s">
        <v>5728</v>
      </c>
      <c r="C45" s="2407"/>
      <c r="D45" s="2408">
        <v>53</v>
      </c>
      <c r="E45" s="2409" t="s">
        <v>48</v>
      </c>
      <c r="F45" s="2438">
        <v>5</v>
      </c>
      <c r="G45" s="662">
        <f>F45*D45</f>
        <v>265</v>
      </c>
      <c r="H45" s="2431" t="s">
        <v>3028</v>
      </c>
      <c r="I45" s="2349"/>
      <c r="J45" s="2431" t="s">
        <v>3028</v>
      </c>
      <c r="K45" s="2350"/>
      <c r="L45" s="2431" t="s">
        <v>3028</v>
      </c>
      <c r="M45" s="2350"/>
      <c r="N45" s="2431"/>
      <c r="O45" s="2349"/>
      <c r="P45" s="2431"/>
      <c r="Q45" s="2349"/>
    </row>
    <row r="46" spans="1:17">
      <c r="A46" s="2432"/>
      <c r="B46" s="2615" t="s">
        <v>5727</v>
      </c>
      <c r="C46" s="2407"/>
      <c r="D46" s="2408"/>
      <c r="E46" s="2409"/>
      <c r="F46" s="2438"/>
      <c r="G46" s="662"/>
      <c r="H46" s="2431" t="s">
        <v>3028</v>
      </c>
      <c r="I46" s="2349"/>
      <c r="J46" s="2431" t="s">
        <v>3028</v>
      </c>
      <c r="K46" s="2350"/>
      <c r="L46" s="2431" t="s">
        <v>3028</v>
      </c>
      <c r="M46" s="2350"/>
      <c r="N46" s="2431"/>
      <c r="O46" s="2349"/>
      <c r="P46" s="2431"/>
      <c r="Q46" s="2349"/>
    </row>
    <row r="47" spans="1:17">
      <c r="A47" s="2432"/>
      <c r="B47" s="2641" t="s">
        <v>5729</v>
      </c>
      <c r="C47" s="2407"/>
      <c r="D47" s="2408"/>
      <c r="E47" s="2409"/>
      <c r="F47" s="2438"/>
      <c r="G47" s="662"/>
      <c r="H47" s="2431" t="s">
        <v>3028</v>
      </c>
      <c r="I47" s="2349">
        <v>9100</v>
      </c>
      <c r="J47" s="2448" t="s">
        <v>4877</v>
      </c>
      <c r="K47" s="2622">
        <f>I47</f>
        <v>9100</v>
      </c>
      <c r="L47" s="2448" t="s">
        <v>4877</v>
      </c>
      <c r="M47" s="2350">
        <f>I47</f>
        <v>9100</v>
      </c>
      <c r="N47" s="2431"/>
      <c r="O47" s="2349"/>
      <c r="P47" s="2431"/>
      <c r="Q47" s="2349"/>
    </row>
    <row r="48" spans="1:17">
      <c r="A48" s="2432"/>
      <c r="B48" s="2615" t="s">
        <v>5730</v>
      </c>
      <c r="C48" s="2407"/>
      <c r="D48" s="2408">
        <v>675</v>
      </c>
      <c r="E48" s="2409" t="s">
        <v>3112</v>
      </c>
      <c r="F48" s="2438">
        <v>13</v>
      </c>
      <c r="G48" s="662">
        <f>F48*D48</f>
        <v>8775</v>
      </c>
      <c r="H48" s="2431" t="s">
        <v>3028</v>
      </c>
      <c r="I48" s="2349"/>
      <c r="J48" s="2448" t="s">
        <v>4877</v>
      </c>
      <c r="K48" s="2350"/>
      <c r="L48" s="2448" t="s">
        <v>4877</v>
      </c>
      <c r="M48" s="2350"/>
      <c r="N48" s="2431"/>
      <c r="O48" s="2349"/>
      <c r="P48" s="2431"/>
      <c r="Q48" s="2349"/>
    </row>
    <row r="49" spans="1:32">
      <c r="A49" s="13"/>
      <c r="B49" s="226" t="s">
        <v>3265</v>
      </c>
      <c r="C49" s="15"/>
      <c r="D49" s="168"/>
      <c r="E49" s="176"/>
      <c r="F49" s="17"/>
      <c r="G49" s="227">
        <f>SUBTOTAL(9,G19:G48)</f>
        <v>294183</v>
      </c>
      <c r="H49" s="19"/>
      <c r="I49" s="164">
        <f>SUM(I19:I48)</f>
        <v>236378.41999999998</v>
      </c>
      <c r="J49" s="19"/>
      <c r="K49" s="164">
        <f>SUM(K19:K48)</f>
        <v>315251.42</v>
      </c>
      <c r="L49" s="19"/>
      <c r="M49" s="164">
        <f>SUM(M19:M48)</f>
        <v>317713.42</v>
      </c>
      <c r="N49" s="19"/>
      <c r="O49" s="164">
        <f>SUM(O19:O48)</f>
        <v>0</v>
      </c>
      <c r="P49" s="19"/>
      <c r="Q49" s="164">
        <f>SUM(Q19:Q48)</f>
        <v>0</v>
      </c>
    </row>
    <row r="50" spans="1:32">
      <c r="A50" s="2358"/>
      <c r="B50" s="2359" t="s">
        <v>2976</v>
      </c>
      <c r="C50" s="2360"/>
      <c r="D50" s="2361"/>
      <c r="E50" s="2362"/>
      <c r="F50" s="2363"/>
      <c r="G50" s="654"/>
      <c r="H50" s="2364">
        <v>0</v>
      </c>
      <c r="I50" s="645"/>
      <c r="J50" s="2364">
        <v>0</v>
      </c>
      <c r="K50" s="645"/>
      <c r="L50" s="2364">
        <v>0</v>
      </c>
      <c r="M50" s="645"/>
      <c r="N50" s="2364">
        <v>0</v>
      </c>
      <c r="O50" s="645"/>
      <c r="P50" s="2364">
        <v>0</v>
      </c>
      <c r="Q50" s="645"/>
    </row>
    <row r="51" spans="1:32">
      <c r="A51" s="2358"/>
      <c r="B51" s="2359" t="s">
        <v>2977</v>
      </c>
      <c r="C51" s="2360"/>
      <c r="D51" s="2361"/>
      <c r="E51" s="2362"/>
      <c r="F51" s="2363"/>
      <c r="G51" s="654">
        <f>F50*G49</f>
        <v>0</v>
      </c>
      <c r="H51" s="2365"/>
      <c r="I51" s="2366">
        <f>H50*I49</f>
        <v>0</v>
      </c>
      <c r="J51" s="2365"/>
      <c r="K51" s="2366">
        <f>J50*K49</f>
        <v>0</v>
      </c>
      <c r="L51" s="2365"/>
      <c r="M51" s="2366">
        <f>L50*M49</f>
        <v>0</v>
      </c>
      <c r="N51" s="2365"/>
      <c r="O51" s="2366">
        <f>N50*O49</f>
        <v>0</v>
      </c>
      <c r="P51" s="2365"/>
      <c r="Q51" s="2366">
        <f>P50*Q49</f>
        <v>0</v>
      </c>
    </row>
    <row r="52" spans="1:32">
      <c r="A52" s="2358"/>
      <c r="B52" s="2359"/>
      <c r="C52" s="2360"/>
      <c r="D52" s="2361"/>
      <c r="E52" s="2362"/>
      <c r="F52" s="2363"/>
      <c r="G52" s="654"/>
      <c r="H52" s="2365"/>
      <c r="I52" s="2366"/>
      <c r="J52" s="2365"/>
      <c r="K52" s="2366"/>
      <c r="L52" s="2365"/>
      <c r="M52" s="2366"/>
      <c r="N52" s="2365"/>
      <c r="O52" s="2366"/>
      <c r="P52" s="2365"/>
      <c r="Q52" s="2366"/>
    </row>
    <row r="53" spans="1:32">
      <c r="A53" s="2358"/>
      <c r="B53" s="2359" t="s">
        <v>2978</v>
      </c>
      <c r="C53" s="2360"/>
      <c r="D53" s="2361"/>
      <c r="E53" s="2362"/>
      <c r="F53" s="2363"/>
      <c r="G53" s="654">
        <f>SUM(G49:G51)</f>
        <v>294183</v>
      </c>
      <c r="H53" s="2367"/>
      <c r="I53" s="2366">
        <f>SUM(I49:I51)</f>
        <v>236378.41999999998</v>
      </c>
      <c r="J53" s="2367"/>
      <c r="K53" s="2366">
        <f>SUM(K49:K51)</f>
        <v>315251.42</v>
      </c>
      <c r="L53" s="2367"/>
      <c r="M53" s="2366">
        <f>SUM(M49:M51)</f>
        <v>317713.42</v>
      </c>
      <c r="N53" s="2367"/>
      <c r="O53" s="2366">
        <f>SUM(O49:O51)</f>
        <v>0</v>
      </c>
      <c r="P53" s="2367"/>
      <c r="Q53" s="2366">
        <f>SUM(Q49:Q51)</f>
        <v>0</v>
      </c>
    </row>
    <row r="54" spans="1:32">
      <c r="A54" s="2358"/>
      <c r="B54" s="2368" t="s">
        <v>2979</v>
      </c>
      <c r="C54" s="2360"/>
      <c r="D54" s="2361"/>
      <c r="E54" s="2362"/>
      <c r="F54" s="2368"/>
      <c r="G54" s="655">
        <f>G53/'Area Calculations'!$F$5</f>
        <v>3.3176538253338146</v>
      </c>
      <c r="H54" s="2369"/>
      <c r="I54" s="2370">
        <f>I53/'Area Calculations'!$F$5</f>
        <v>2.6657616835077587</v>
      </c>
      <c r="J54" s="2369"/>
      <c r="K54" s="2370">
        <f>K53/'Area Calculations'!$F$5</f>
        <v>3.5552532930350051</v>
      </c>
      <c r="L54" s="2369"/>
      <c r="M54" s="2370">
        <f>M53/'Area Calculations'!$F$5</f>
        <v>3.5830185402381809</v>
      </c>
      <c r="N54" s="2369"/>
      <c r="O54" s="2370">
        <f>O53/'Area Calculations'!$F$5</f>
        <v>0</v>
      </c>
      <c r="P54" s="2371"/>
      <c r="Q54" s="2370">
        <f>Q53/'Area Calculations'!$F$5</f>
        <v>0</v>
      </c>
    </row>
    <row r="55" spans="1:32">
      <c r="A55" s="2358"/>
      <c r="B55" s="2372"/>
      <c r="C55" s="2360"/>
      <c r="D55" s="2361"/>
      <c r="E55" s="2362"/>
      <c r="F55" s="2363"/>
      <c r="G55" s="656"/>
      <c r="H55" s="2373"/>
      <c r="I55" s="2373"/>
      <c r="J55" s="2373"/>
      <c r="K55" s="2374"/>
      <c r="L55" s="2373"/>
      <c r="M55" s="2373"/>
      <c r="N55" s="2373"/>
      <c r="O55" s="2373"/>
      <c r="P55" s="2373"/>
      <c r="Q55" s="2373"/>
    </row>
    <row r="56" spans="1:32">
      <c r="A56" s="830" t="s">
        <v>2980</v>
      </c>
      <c r="B56" s="831"/>
      <c r="C56" s="12"/>
      <c r="D56" s="169"/>
      <c r="E56" s="177"/>
      <c r="F56" s="12"/>
      <c r="G56" s="228"/>
      <c r="H56" s="20"/>
      <c r="I56" s="20"/>
      <c r="J56" s="20"/>
      <c r="K56" s="20"/>
      <c r="L56" s="20"/>
      <c r="M56" s="20"/>
      <c r="N56" s="20"/>
      <c r="O56" s="20"/>
      <c r="P56" s="20"/>
      <c r="Q56" s="20"/>
    </row>
    <row r="57" spans="1:32" ht="30">
      <c r="A57" s="2630"/>
      <c r="B57" s="2406" t="s">
        <v>65</v>
      </c>
      <c r="C57" s="2634"/>
      <c r="D57" s="2632"/>
      <c r="E57" s="2633"/>
      <c r="F57" s="2634"/>
      <c r="G57" s="2635"/>
      <c r="H57" s="2636"/>
      <c r="I57" s="2636"/>
      <c r="J57" s="2636"/>
      <c r="K57" s="2636"/>
      <c r="L57" s="2636"/>
      <c r="M57" s="2636"/>
      <c r="N57" s="2636"/>
      <c r="O57" s="2636"/>
      <c r="P57" s="2636"/>
      <c r="Q57" s="2636"/>
    </row>
    <row r="58" spans="1:32">
      <c r="A58" s="2630"/>
      <c r="B58" s="2406" t="s">
        <v>66</v>
      </c>
      <c r="C58" s="2634"/>
      <c r="D58" s="2632"/>
      <c r="E58" s="2633"/>
      <c r="F58" s="2634"/>
      <c r="G58" s="2635"/>
      <c r="H58" s="2636"/>
      <c r="I58" s="2636"/>
      <c r="J58" s="2636"/>
      <c r="K58" s="2636"/>
      <c r="L58" s="2636"/>
      <c r="M58" s="2636"/>
      <c r="N58" s="2636"/>
      <c r="O58" s="2636"/>
      <c r="P58" s="2636"/>
      <c r="Q58" s="2636"/>
    </row>
    <row r="59" spans="1:32">
      <c r="A59" s="2630"/>
      <c r="B59" s="2406"/>
      <c r="C59" s="2634"/>
      <c r="D59" s="2632"/>
      <c r="E59" s="2633"/>
      <c r="F59" s="2634"/>
      <c r="G59" s="2635"/>
      <c r="H59" s="2636"/>
      <c r="I59" s="2636"/>
      <c r="J59" s="2636"/>
      <c r="K59" s="2636"/>
      <c r="L59" s="2636"/>
      <c r="M59" s="2636"/>
      <c r="N59" s="2636"/>
      <c r="O59" s="2636"/>
      <c r="P59" s="2636"/>
      <c r="Q59" s="2636"/>
    </row>
    <row r="60" spans="1:32" s="2" customFormat="1">
      <c r="A60" s="830" t="s">
        <v>2981</v>
      </c>
      <c r="B60" s="831"/>
      <c r="C60" s="12"/>
      <c r="D60" s="169"/>
      <c r="E60" s="177"/>
      <c r="F60" s="12"/>
      <c r="G60" s="228"/>
      <c r="H60" s="20"/>
      <c r="I60" s="20"/>
      <c r="J60" s="20"/>
      <c r="K60" s="20"/>
      <c r="L60" s="20"/>
      <c r="M60" s="20"/>
      <c r="N60" s="20"/>
      <c r="O60" s="20"/>
      <c r="P60" s="20"/>
      <c r="Q60" s="20"/>
      <c r="R60"/>
      <c r="S60"/>
      <c r="T60"/>
      <c r="U60"/>
      <c r="V60"/>
      <c r="W60"/>
      <c r="X60"/>
      <c r="Y60"/>
      <c r="Z60"/>
      <c r="AA60"/>
      <c r="AB60"/>
      <c r="AC60"/>
      <c r="AD60"/>
      <c r="AE60"/>
      <c r="AF60"/>
    </row>
    <row r="61" spans="1:32" s="2" customFormat="1">
      <c r="A61" s="2630"/>
      <c r="B61" s="2406"/>
      <c r="C61" s="2634"/>
      <c r="D61" s="2632"/>
      <c r="E61" s="2633"/>
      <c r="F61" s="2634"/>
      <c r="G61" s="2635"/>
      <c r="H61" s="2636"/>
      <c r="I61" s="2636"/>
      <c r="J61" s="2636"/>
      <c r="K61" s="2636"/>
      <c r="L61" s="2636"/>
      <c r="M61" s="2636"/>
      <c r="N61" s="2636"/>
      <c r="O61" s="2636"/>
      <c r="P61" s="2636"/>
      <c r="Q61" s="2636"/>
      <c r="R61"/>
      <c r="S61"/>
      <c r="T61"/>
      <c r="U61"/>
      <c r="V61"/>
      <c r="W61"/>
      <c r="X61"/>
      <c r="Y61"/>
      <c r="Z61"/>
      <c r="AA61"/>
      <c r="AB61"/>
      <c r="AC61"/>
      <c r="AD61"/>
      <c r="AE61"/>
      <c r="AF61"/>
    </row>
    <row r="62" spans="1:32" s="2" customFormat="1">
      <c r="A62" s="2630"/>
      <c r="B62" s="2406"/>
      <c r="C62" s="2634"/>
      <c r="D62" s="2632"/>
      <c r="E62" s="2633"/>
      <c r="F62" s="2634"/>
      <c r="G62" s="2635"/>
      <c r="H62" s="2636"/>
      <c r="I62" s="2636"/>
      <c r="J62" s="2636"/>
      <c r="K62" s="2636"/>
      <c r="L62" s="2636"/>
      <c r="M62" s="2636"/>
      <c r="N62" s="2636"/>
      <c r="O62" s="2636"/>
      <c r="P62" s="2636"/>
      <c r="Q62" s="2636"/>
      <c r="R62"/>
      <c r="S62"/>
      <c r="T62"/>
      <c r="U62"/>
      <c r="V62"/>
      <c r="W62"/>
      <c r="X62"/>
      <c r="Y62"/>
      <c r="Z62"/>
      <c r="AA62"/>
      <c r="AB62"/>
      <c r="AC62"/>
      <c r="AD62"/>
      <c r="AE62"/>
      <c r="AF62"/>
    </row>
    <row r="63" spans="1:32">
      <c r="A63" s="2630"/>
      <c r="B63" s="2406"/>
      <c r="C63" s="2634"/>
      <c r="D63" s="2632"/>
      <c r="E63" s="2633"/>
      <c r="F63" s="2634"/>
      <c r="G63" s="2635"/>
      <c r="H63" s="2636"/>
      <c r="I63" s="2636"/>
      <c r="J63" s="2636"/>
      <c r="K63" s="2636"/>
      <c r="L63" s="2636"/>
      <c r="M63" s="2636"/>
      <c r="N63" s="2636"/>
      <c r="O63" s="2636"/>
      <c r="P63" s="2636"/>
      <c r="Q63" s="2636"/>
    </row>
    <row r="64" spans="1:32" s="2" customFormat="1">
      <c r="A64" s="830" t="s">
        <v>2982</v>
      </c>
      <c r="B64" s="831"/>
      <c r="C64" s="12"/>
      <c r="D64" s="169"/>
      <c r="E64" s="177"/>
      <c r="F64" s="12"/>
      <c r="G64" s="228"/>
      <c r="H64" s="20"/>
      <c r="I64" s="20"/>
      <c r="J64" s="20"/>
      <c r="K64" s="20"/>
      <c r="L64" s="20"/>
      <c r="M64" s="20"/>
      <c r="N64" s="20"/>
      <c r="O64" s="20"/>
      <c r="P64" s="20"/>
      <c r="Q64" s="20"/>
      <c r="R64"/>
      <c r="S64"/>
      <c r="T64"/>
      <c r="U64"/>
      <c r="V64"/>
      <c r="W64"/>
      <c r="X64"/>
      <c r="Y64"/>
      <c r="Z64"/>
      <c r="AA64"/>
      <c r="AB64"/>
      <c r="AC64"/>
      <c r="AD64"/>
      <c r="AE64"/>
      <c r="AF64"/>
    </row>
    <row r="65" spans="1:32" s="2" customFormat="1">
      <c r="A65" s="2630"/>
      <c r="B65" s="2406" t="s">
        <v>5731</v>
      </c>
      <c r="C65" s="2634"/>
      <c r="D65" s="2632"/>
      <c r="E65" s="2633"/>
      <c r="F65" s="2634"/>
      <c r="G65" s="2635"/>
      <c r="H65" s="2636"/>
      <c r="I65" s="2636"/>
      <c r="J65" s="2636"/>
      <c r="K65" s="2636">
        <v>11728</v>
      </c>
      <c r="L65" s="2636"/>
      <c r="M65" s="2636"/>
      <c r="N65" s="2636"/>
      <c r="O65" s="2636"/>
      <c r="P65" s="2636"/>
      <c r="Q65" s="2636"/>
      <c r="R65"/>
      <c r="S65"/>
      <c r="T65"/>
      <c r="U65"/>
      <c r="V65"/>
      <c r="W65"/>
      <c r="X65"/>
      <c r="Y65"/>
      <c r="Z65"/>
      <c r="AA65"/>
      <c r="AB65"/>
      <c r="AC65"/>
      <c r="AD65"/>
      <c r="AE65"/>
      <c r="AF65"/>
    </row>
    <row r="66" spans="1:32" s="2" customFormat="1">
      <c r="A66" s="2382"/>
      <c r="B66" s="2406"/>
      <c r="C66" s="2407"/>
      <c r="D66" s="2408"/>
      <c r="E66" s="2409"/>
      <c r="F66" s="2407"/>
      <c r="G66" s="2383"/>
      <c r="H66" s="2384"/>
      <c r="I66" s="2384"/>
      <c r="J66" s="2384"/>
      <c r="K66" s="2384"/>
      <c r="L66" s="2384"/>
      <c r="M66" s="2384"/>
      <c r="N66" s="2384"/>
      <c r="O66" s="2384"/>
      <c r="P66" s="2384"/>
      <c r="Q66" s="2384"/>
      <c r="R66"/>
      <c r="S66"/>
      <c r="T66"/>
      <c r="U66"/>
      <c r="V66"/>
      <c r="W66"/>
      <c r="X66"/>
      <c r="Y66"/>
      <c r="Z66"/>
      <c r="AA66"/>
      <c r="AB66"/>
      <c r="AC66"/>
      <c r="AD66"/>
      <c r="AE66"/>
      <c r="AF66"/>
    </row>
    <row r="67" spans="1:32" s="2" customFormat="1">
      <c r="A67" s="2385"/>
      <c r="B67" s="2386"/>
      <c r="C67" s="2407"/>
      <c r="D67" s="2408"/>
      <c r="E67" s="2409"/>
      <c r="F67" s="2407"/>
      <c r="G67" s="2383"/>
      <c r="H67" s="2387"/>
      <c r="I67" s="2387"/>
      <c r="J67" s="2387"/>
      <c r="K67" s="2387"/>
      <c r="L67" s="2387"/>
      <c r="M67" s="2387"/>
      <c r="N67" s="2387"/>
      <c r="O67" s="2387"/>
      <c r="P67" s="2387"/>
      <c r="Q67" s="2387"/>
    </row>
    <row r="68" spans="1:32" s="2" customFormat="1">
      <c r="A68" s="830" t="s">
        <v>2983</v>
      </c>
      <c r="B68" s="831"/>
      <c r="C68" s="12"/>
      <c r="D68" s="169"/>
      <c r="E68" s="177"/>
      <c r="F68" s="12"/>
      <c r="G68" s="228"/>
      <c r="H68" s="20"/>
      <c r="I68" s="20"/>
      <c r="J68" s="20"/>
      <c r="K68" s="20"/>
      <c r="L68" s="20"/>
      <c r="M68" s="20"/>
      <c r="N68" s="20"/>
      <c r="O68" s="20"/>
      <c r="P68" s="20"/>
      <c r="Q68" s="20"/>
      <c r="R68"/>
      <c r="S68"/>
      <c r="T68"/>
      <c r="U68"/>
      <c r="V68"/>
      <c r="W68"/>
      <c r="X68"/>
      <c r="Y68"/>
      <c r="Z68"/>
      <c r="AA68"/>
      <c r="AB68"/>
      <c r="AC68"/>
      <c r="AD68"/>
      <c r="AE68"/>
      <c r="AF68"/>
    </row>
    <row r="69" spans="1:32">
      <c r="A69" s="2637"/>
      <c r="B69" s="2631"/>
      <c r="C69" s="2634"/>
      <c r="D69" s="2632"/>
      <c r="E69" s="2633"/>
      <c r="F69" s="2634"/>
      <c r="G69" s="2635"/>
      <c r="H69" s="2636"/>
      <c r="I69" s="2636"/>
      <c r="J69" s="2636"/>
      <c r="K69" s="2636"/>
      <c r="L69" s="2636"/>
      <c r="M69" s="2636"/>
      <c r="N69" s="2636"/>
      <c r="O69" s="2636"/>
      <c r="P69" s="2636"/>
      <c r="Q69" s="2636"/>
      <c r="R69" s="2"/>
      <c r="S69" s="2"/>
      <c r="T69" s="2"/>
      <c r="U69" s="2"/>
      <c r="V69" s="2"/>
      <c r="W69" s="2"/>
      <c r="X69" s="2"/>
      <c r="Y69" s="2"/>
      <c r="Z69" s="2"/>
      <c r="AA69" s="2"/>
      <c r="AB69" s="2"/>
      <c r="AC69" s="2"/>
      <c r="AD69" s="2"/>
      <c r="AE69" s="2"/>
      <c r="AF69" s="2"/>
    </row>
    <row r="70" spans="1:32">
      <c r="A70" s="2385"/>
      <c r="B70" s="2386"/>
      <c r="C70" s="2407"/>
      <c r="D70" s="2408"/>
      <c r="E70" s="2409"/>
      <c r="F70" s="2407"/>
      <c r="G70" s="2383"/>
      <c r="H70" s="2390"/>
      <c r="I70" s="2390"/>
      <c r="J70" s="2390"/>
      <c r="K70" s="2390"/>
      <c r="L70" s="2390"/>
      <c r="M70" s="2390"/>
      <c r="N70" s="2390"/>
      <c r="O70" s="2390"/>
      <c r="P70" s="2390"/>
      <c r="Q70" s="2390"/>
      <c r="R70" s="2"/>
      <c r="S70" s="2"/>
      <c r="T70" s="2"/>
      <c r="U70" s="2"/>
      <c r="V70" s="2"/>
      <c r="W70" s="2"/>
      <c r="X70" s="2"/>
      <c r="Y70" s="2"/>
      <c r="Z70" s="2"/>
      <c r="AA70" s="2"/>
      <c r="AB70" s="2"/>
      <c r="AC70" s="2"/>
      <c r="AD70" s="2"/>
      <c r="AE70" s="2"/>
      <c r="AF70" s="2"/>
    </row>
    <row r="71" spans="1:32">
      <c r="A71" s="2385"/>
      <c r="B71" s="2386"/>
      <c r="C71" s="2407"/>
      <c r="D71" s="2408"/>
      <c r="E71" s="2409"/>
      <c r="F71" s="2407"/>
      <c r="G71" s="2383"/>
      <c r="H71" s="2390"/>
      <c r="I71" s="2390"/>
      <c r="J71" s="2390"/>
      <c r="K71" s="2390"/>
      <c r="L71" s="2390"/>
      <c r="M71" s="2390"/>
      <c r="N71" s="2390"/>
      <c r="O71" s="2390"/>
      <c r="P71" s="2390"/>
      <c r="Q71" s="2390"/>
      <c r="R71" s="2"/>
      <c r="S71" s="2"/>
      <c r="T71" s="2"/>
      <c r="U71" s="2"/>
      <c r="V71" s="2"/>
      <c r="W71" s="2"/>
      <c r="X71" s="2"/>
      <c r="Y71" s="2"/>
      <c r="Z71" s="2"/>
      <c r="AA71" s="2"/>
      <c r="AB71" s="2"/>
      <c r="AC71" s="2"/>
      <c r="AD71" s="2"/>
      <c r="AE71" s="2"/>
      <c r="AF71" s="2"/>
    </row>
    <row r="72" spans="1:32">
      <c r="A72" s="830" t="s">
        <v>2984</v>
      </c>
      <c r="B72" s="831"/>
      <c r="C72" s="12"/>
      <c r="D72" s="169"/>
      <c r="E72" s="177"/>
      <c r="F72" s="12"/>
      <c r="G72" s="228"/>
      <c r="H72" s="20"/>
      <c r="I72" s="20"/>
      <c r="J72" s="20"/>
      <c r="K72" s="20"/>
      <c r="L72" s="20"/>
      <c r="M72" s="20"/>
      <c r="N72" s="20"/>
      <c r="O72" s="20"/>
      <c r="P72" s="20"/>
      <c r="Q72" s="20"/>
    </row>
    <row r="73" spans="1:32">
      <c r="A73" s="2382"/>
      <c r="B73" s="2406" t="s">
        <v>2985</v>
      </c>
      <c r="C73" s="2407"/>
      <c r="D73" s="2408"/>
      <c r="E73" s="2409"/>
      <c r="F73" s="2407"/>
      <c r="G73" s="2383"/>
      <c r="H73" s="2390"/>
      <c r="I73" s="2390"/>
      <c r="J73" s="2390"/>
      <c r="K73" s="2390"/>
      <c r="L73" s="2390"/>
      <c r="M73" s="2390"/>
      <c r="N73" s="2390"/>
      <c r="O73" s="2390"/>
      <c r="P73" s="2390"/>
      <c r="Q73" s="2390"/>
    </row>
    <row r="74" spans="1:32">
      <c r="A74" s="2382"/>
      <c r="B74" s="2406" t="s">
        <v>2986</v>
      </c>
      <c r="C74" s="2407"/>
      <c r="D74" s="2408"/>
      <c r="E74" s="2409"/>
      <c r="F74" s="2407"/>
      <c r="G74" s="2383"/>
      <c r="H74" s="2390"/>
      <c r="I74" s="2390"/>
      <c r="J74" s="2390"/>
      <c r="K74" s="2390"/>
      <c r="L74" s="2390"/>
      <c r="M74" s="2390"/>
      <c r="N74" s="2390"/>
      <c r="O74" s="2390"/>
      <c r="P74" s="2390"/>
      <c r="Q74" s="2390"/>
    </row>
    <row r="75" spans="1:32">
      <c r="A75" s="2382"/>
      <c r="B75" s="2406" t="s">
        <v>2987</v>
      </c>
      <c r="C75" s="2407"/>
      <c r="D75" s="2408"/>
      <c r="E75" s="2409"/>
      <c r="F75" s="2407"/>
      <c r="G75" s="2383"/>
      <c r="H75" s="2390"/>
      <c r="I75" s="2390"/>
      <c r="J75" s="2390"/>
      <c r="K75" s="2390"/>
      <c r="L75" s="2390"/>
      <c r="M75" s="2390"/>
      <c r="N75" s="2390"/>
      <c r="O75" s="2390"/>
      <c r="P75" s="2390"/>
      <c r="Q75" s="2390"/>
    </row>
    <row r="76" spans="1:32">
      <c r="A76" s="2382"/>
      <c r="B76" s="2406" t="s">
        <v>2988</v>
      </c>
      <c r="C76" s="2407"/>
      <c r="D76" s="2408"/>
      <c r="E76" s="2409"/>
      <c r="F76" s="2407"/>
      <c r="G76" s="2383"/>
      <c r="H76" s="2390"/>
      <c r="I76" s="2390"/>
      <c r="J76" s="2390"/>
      <c r="K76" s="2390"/>
      <c r="L76" s="2390"/>
      <c r="M76" s="2390"/>
      <c r="N76" s="2390"/>
      <c r="O76" s="2390"/>
      <c r="P76" s="2390"/>
      <c r="Q76" s="2390"/>
    </row>
    <row r="77" spans="1:32">
      <c r="A77" s="646"/>
      <c r="B77" s="619"/>
      <c r="C77" s="616"/>
      <c r="D77" s="621"/>
      <c r="E77" s="622"/>
      <c r="F77" s="616"/>
      <c r="G77" s="620"/>
      <c r="H77" s="647"/>
      <c r="I77" s="647"/>
      <c r="J77" s="647"/>
      <c r="K77" s="647"/>
      <c r="L77" s="647"/>
      <c r="M77" s="647"/>
      <c r="N77" s="647"/>
      <c r="O77" s="647"/>
      <c r="P77" s="647"/>
      <c r="Q77" s="647"/>
    </row>
    <row r="78" spans="1:32">
      <c r="A78" s="7" t="s">
        <v>2989</v>
      </c>
      <c r="B78" s="8"/>
      <c r="C78" s="12"/>
      <c r="D78" s="169"/>
      <c r="E78" s="177"/>
      <c r="F78" s="12"/>
      <c r="G78" s="228"/>
      <c r="H78" s="20"/>
      <c r="I78" s="20"/>
      <c r="J78" s="20"/>
      <c r="K78" s="20"/>
      <c r="L78" s="20"/>
      <c r="M78" s="20"/>
      <c r="N78" s="20"/>
      <c r="O78" s="20"/>
      <c r="P78" s="20"/>
      <c r="Q78" s="20"/>
    </row>
    <row r="79" spans="1:32">
      <c r="A79" s="2630"/>
      <c r="B79" s="2638" t="s">
        <v>2990</v>
      </c>
      <c r="C79" s="2634"/>
      <c r="D79" s="2632"/>
      <c r="E79" s="2633"/>
      <c r="F79" s="2634"/>
      <c r="G79" s="2635"/>
      <c r="H79" s="2639"/>
      <c r="I79" s="2639"/>
      <c r="J79" s="2639"/>
      <c r="K79" s="2639"/>
      <c r="L79" s="2639"/>
      <c r="M79" s="2639"/>
      <c r="N79" s="2639"/>
      <c r="O79" s="2639"/>
      <c r="P79" s="2639"/>
      <c r="Q79" s="2639"/>
    </row>
    <row r="80" spans="1:32">
      <c r="A80" s="2382"/>
      <c r="B80" s="2406" t="s">
        <v>2991</v>
      </c>
      <c r="C80" s="2407"/>
      <c r="D80" s="2408"/>
      <c r="E80" s="2409"/>
      <c r="F80" s="2407"/>
      <c r="G80" s="2383"/>
      <c r="H80" s="2391"/>
      <c r="I80" s="2391"/>
      <c r="J80" s="2391"/>
      <c r="K80" s="2391"/>
      <c r="L80" s="2391"/>
      <c r="M80" s="2391"/>
      <c r="N80" s="2391"/>
      <c r="O80" s="2391"/>
      <c r="P80" s="2391"/>
      <c r="Q80" s="2391"/>
    </row>
    <row r="81" spans="1:17">
      <c r="A81" s="2392"/>
      <c r="B81" s="2424" t="s">
        <v>2992</v>
      </c>
      <c r="C81" s="2425"/>
      <c r="D81" s="2393"/>
      <c r="E81" s="2394"/>
      <c r="F81" s="2425"/>
      <c r="G81" s="2395"/>
      <c r="H81" s="2396"/>
      <c r="I81" s="2396"/>
      <c r="J81" s="2396"/>
      <c r="K81" s="2396"/>
      <c r="L81" s="2396"/>
      <c r="M81" s="2396"/>
      <c r="N81" s="2396"/>
      <c r="O81" s="2396"/>
      <c r="P81" s="2396"/>
      <c r="Q81" s="2396"/>
    </row>
    <row r="83" spans="1:17">
      <c r="A83" s="59" t="s">
        <v>2993</v>
      </c>
      <c r="B83" s="61"/>
      <c r="C83" s="299" t="s">
        <v>5197</v>
      </c>
      <c r="D83" s="165" t="s">
        <v>3235</v>
      </c>
      <c r="E83" s="535" t="s">
        <v>5204</v>
      </c>
    </row>
    <row r="84" spans="1:17">
      <c r="A84" s="60" t="s">
        <v>2936</v>
      </c>
      <c r="B84" s="2398"/>
    </row>
    <row r="85" spans="1:17">
      <c r="A85" s="2399" t="s">
        <v>2939</v>
      </c>
      <c r="B85" s="2398"/>
    </row>
    <row r="86" spans="1:17">
      <c r="A86" s="2400" t="s">
        <v>2941</v>
      </c>
      <c r="B86" s="2401"/>
    </row>
    <row r="87" spans="1:17">
      <c r="A87" s="2400" t="s">
        <v>2943</v>
      </c>
      <c r="B87" s="2402"/>
    </row>
    <row r="88" spans="1:17">
      <c r="A88" s="2403" t="s">
        <v>2994</v>
      </c>
      <c r="B88" s="2404">
        <f>H9</f>
        <v>236378.41999999998</v>
      </c>
      <c r="C88" s="447">
        <f>SUM(I21:I41)</f>
        <v>223898.41999999998</v>
      </c>
      <c r="D88" s="165">
        <f>SUM(I42:I48)</f>
        <v>12480</v>
      </c>
      <c r="E88" s="79">
        <v>0</v>
      </c>
    </row>
    <row r="90" spans="1:17">
      <c r="A90" s="62"/>
      <c r="B90" s="1" t="s">
        <v>2995</v>
      </c>
    </row>
    <row r="91" spans="1:17">
      <c r="A91" s="63"/>
      <c r="B91" s="1" t="s">
        <v>2996</v>
      </c>
    </row>
  </sheetData>
  <mergeCells count="31">
    <mergeCell ref="P5:Q5"/>
    <mergeCell ref="J5:K5"/>
    <mergeCell ref="L5:M5"/>
    <mergeCell ref="H5:I5"/>
    <mergeCell ref="N5:O5"/>
    <mergeCell ref="P7:Q7"/>
    <mergeCell ref="J6:K6"/>
    <mergeCell ref="L6:M6"/>
    <mergeCell ref="H6:I6"/>
    <mergeCell ref="N6:O6"/>
    <mergeCell ref="P6:Q6"/>
    <mergeCell ref="J7:K7"/>
    <mergeCell ref="L7:M7"/>
    <mergeCell ref="H7:I7"/>
    <mergeCell ref="N7:O7"/>
    <mergeCell ref="L4:M4"/>
    <mergeCell ref="A72:B72"/>
    <mergeCell ref="P9:Q9"/>
    <mergeCell ref="J8:K8"/>
    <mergeCell ref="L8:M8"/>
    <mergeCell ref="H8:I8"/>
    <mergeCell ref="N8:O8"/>
    <mergeCell ref="P8:Q8"/>
    <mergeCell ref="J9:K9"/>
    <mergeCell ref="L9:M9"/>
    <mergeCell ref="H9:I9"/>
    <mergeCell ref="N9:O9"/>
    <mergeCell ref="A56:B56"/>
    <mergeCell ref="A60:B60"/>
    <mergeCell ref="A64:B64"/>
    <mergeCell ref="A68:B68"/>
  </mergeCells>
  <conditionalFormatting sqref="H11:H18">
    <cfRule type="cellIs" dxfId="175" priority="5" operator="equal">
      <formula>"X"</formula>
    </cfRule>
    <cfRule type="cellIs" dxfId="174" priority="6" operator="equal">
      <formula>"I"</formula>
    </cfRule>
  </conditionalFormatting>
  <conditionalFormatting sqref="J11:J18">
    <cfRule type="cellIs" dxfId="173" priority="3" operator="equal">
      <formula>"X"</formula>
    </cfRule>
    <cfRule type="cellIs" dxfId="172" priority="4" operator="equal">
      <formula>"I"</formula>
    </cfRule>
  </conditionalFormatting>
  <conditionalFormatting sqref="L11:L18">
    <cfRule type="cellIs" dxfId="171" priority="1" operator="equal">
      <formula>"X"</formula>
    </cfRule>
    <cfRule type="cellIs" dxfId="170" priority="2" operator="equal">
      <formula>"I"</formula>
    </cfRule>
  </conditionalFormatting>
  <conditionalFormatting sqref="N11:N18 P11:P18 H20:H48 J20:J48 L20:L48 N20:N48 P20:P48">
    <cfRule type="cellIs" dxfId="169" priority="11" operator="equal">
      <formula>"X"</formula>
    </cfRule>
    <cfRule type="cellIs" dxfId="168" priority="12" operator="equal">
      <formula>"I"</formula>
    </cfRule>
  </conditionalFormatting>
  <hyperlinks>
    <hyperlink ref="B4" location="'Cost Summary'!A1" display="BACK TO SUMMARY SHEET" xr:uid="{FE391C60-DE0C-40E5-81DB-8B7B61AD8272}"/>
    <hyperlink ref="J8:K8" r:id="rId1" display="lcanary@durafloor.net" xr:uid="{A9EC6745-419A-4B3F-B24F-9065FA19D883}"/>
    <hyperlink ref="N8:O8" r:id="rId2" display="carissa@blackrockindustrial.com" xr:uid="{6FA8CD4A-BDB9-4C81-BE9D-A2709A21F99E}"/>
    <hyperlink ref="L8:M8" r:id="rId3" display="David.Riviere@stonhard.com" xr:uid="{38DA4FC1-0841-4143-8681-0E66BD2F7873}"/>
  </hyperlinks>
  <pageMargins left="0.2" right="0.2" top="0.5" bottom="0.75" header="0.3" footer="0.3"/>
  <pageSetup paperSize="3" scale="77" fitToHeight="0" orientation="landscape" r:id="rId4"/>
  <legacy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rgb="FF92D050"/>
    <pageSetUpPr fitToPage="1"/>
  </sheetPr>
  <dimension ref="A1:AJ82"/>
  <sheetViews>
    <sheetView zoomScale="90" zoomScaleNormal="90" workbookViewId="0">
      <pane ySplit="10" topLeftCell="A11" activePane="bottomLeft" state="frozen"/>
      <selection pane="bottomLeft" activeCell="L8" sqref="L8:M8"/>
      <selection activeCell="B4" sqref="B4"/>
    </sheetView>
  </sheetViews>
  <sheetFormatPr defaultColWidth="8.85546875" defaultRowHeight="15"/>
  <cols>
    <col min="1" max="1" width="10.7109375" customWidth="1"/>
    <col min="2" max="2" width="70.7109375" style="1" customWidth="1"/>
    <col min="3" max="3" width="13.85546875" style="2" customWidth="1"/>
    <col min="4" max="4" width="10.42578125" style="165" customWidth="1"/>
    <col min="5" max="5" width="13.28515625" style="79" customWidth="1"/>
    <col min="6" max="6" width="16.42578125" style="2" bestFit="1" customWidth="1"/>
    <col min="7" max="7" width="15.28515625" style="2" bestFit="1" customWidth="1"/>
    <col min="8" max="8" width="8" style="2" customWidth="1"/>
    <col min="9" max="9" width="15.28515625" style="2" customWidth="1"/>
    <col min="10" max="10" width="7" style="2" customWidth="1"/>
    <col min="11" max="11" width="14" style="2" customWidth="1"/>
    <col min="12" max="12" width="7.28515625" style="2" customWidth="1"/>
    <col min="13" max="13" width="14.28515625" style="2" customWidth="1"/>
    <col min="14" max="14" width="7.42578125" style="2" customWidth="1"/>
    <col min="15" max="15" width="15.28515625" style="2" customWidth="1"/>
    <col min="16" max="16" width="8" style="2" customWidth="1"/>
    <col min="17" max="17" width="15.28515625" style="2" customWidth="1"/>
    <col min="18" max="18" width="7.42578125" style="2" bestFit="1" customWidth="1"/>
    <col min="19" max="19" width="14.85546875" style="2" customWidth="1"/>
    <col min="20" max="20" width="7.42578125" style="2" bestFit="1" customWidth="1"/>
    <col min="21" max="21"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982" t="s">
        <v>3698</v>
      </c>
      <c r="I5" s="982"/>
      <c r="J5" s="841" t="s">
        <v>5732</v>
      </c>
      <c r="K5" s="841"/>
      <c r="L5" s="841" t="s">
        <v>5733</v>
      </c>
      <c r="M5" s="841"/>
      <c r="N5" s="841" t="s">
        <v>5288</v>
      </c>
      <c r="O5" s="841"/>
      <c r="P5" s="841" t="s">
        <v>5734</v>
      </c>
      <c r="Q5" s="841"/>
      <c r="R5" s="841" t="s">
        <v>5289</v>
      </c>
      <c r="S5" s="841"/>
    </row>
    <row r="6" spans="1:19">
      <c r="A6" s="2405" t="s">
        <v>2938</v>
      </c>
      <c r="B6" s="2406" t="s">
        <v>2576</v>
      </c>
      <c r="C6" s="2407"/>
      <c r="D6" s="2408"/>
      <c r="E6" s="2409"/>
      <c r="F6" s="2407"/>
      <c r="G6" s="657" t="s">
        <v>2939</v>
      </c>
      <c r="H6" s="2410" t="s">
        <v>5225</v>
      </c>
      <c r="I6" s="2410"/>
      <c r="J6" s="2410" t="s">
        <v>5735</v>
      </c>
      <c r="K6" s="2410"/>
      <c r="L6" s="2410" t="s">
        <v>5736</v>
      </c>
      <c r="M6" s="2410"/>
      <c r="N6" s="2644" t="s">
        <v>5184</v>
      </c>
      <c r="O6" s="2492"/>
      <c r="P6" s="2410" t="s">
        <v>5737</v>
      </c>
      <c r="Q6" s="2410"/>
      <c r="R6" s="2644" t="s">
        <v>5738</v>
      </c>
      <c r="S6" s="2492"/>
    </row>
    <row r="7" spans="1:19">
      <c r="A7" s="2405" t="s">
        <v>2940</v>
      </c>
      <c r="B7" s="2413" t="s">
        <v>5739</v>
      </c>
      <c r="C7" s="2407"/>
      <c r="D7" s="2408"/>
      <c r="E7" s="2409"/>
      <c r="F7" s="2407"/>
      <c r="G7" s="2414" t="s">
        <v>2941</v>
      </c>
      <c r="H7" s="2415" t="s">
        <v>5229</v>
      </c>
      <c r="I7" s="2415"/>
      <c r="J7" s="2415" t="s">
        <v>5740</v>
      </c>
      <c r="K7" s="2415"/>
      <c r="L7" s="2415" t="s">
        <v>5741</v>
      </c>
      <c r="M7" s="2415"/>
      <c r="N7" s="2496" t="s">
        <v>5190</v>
      </c>
      <c r="O7" s="973"/>
      <c r="P7" s="2415" t="s">
        <v>5742</v>
      </c>
      <c r="Q7" s="2415"/>
      <c r="R7" s="2496" t="s">
        <v>5743</v>
      </c>
      <c r="S7" s="973"/>
    </row>
    <row r="8" spans="1:19">
      <c r="A8" s="2405" t="s">
        <v>2942</v>
      </c>
      <c r="B8" s="2418"/>
      <c r="C8" s="2407"/>
      <c r="D8" s="2408"/>
      <c r="E8" s="2409"/>
      <c r="F8" s="2407"/>
      <c r="G8" s="2414" t="s">
        <v>2943</v>
      </c>
      <c r="H8" s="2419" t="s">
        <v>5232</v>
      </c>
      <c r="I8" s="2419"/>
      <c r="J8" s="2419" t="s">
        <v>5744</v>
      </c>
      <c r="K8" s="2419"/>
      <c r="L8" s="2419" t="s">
        <v>5745</v>
      </c>
      <c r="M8" s="2419"/>
      <c r="N8" s="2419" t="s">
        <v>5303</v>
      </c>
      <c r="O8" s="845"/>
      <c r="P8" s="2419" t="s">
        <v>5746</v>
      </c>
      <c r="Q8" s="2419"/>
      <c r="R8" s="2419" t="s">
        <v>5747</v>
      </c>
      <c r="S8" s="845"/>
    </row>
    <row r="9" spans="1:19" ht="15" customHeight="1" thickBot="1">
      <c r="A9" s="2423"/>
      <c r="B9" s="2424"/>
      <c r="C9" s="616"/>
      <c r="D9" s="621"/>
      <c r="E9" s="622"/>
      <c r="F9" s="2425"/>
      <c r="G9" s="2426" t="s">
        <v>2944</v>
      </c>
      <c r="H9" s="2427">
        <f>I$44</f>
        <v>1084500</v>
      </c>
      <c r="I9" s="2427"/>
      <c r="J9" s="2428">
        <f>K$44</f>
        <v>1646175</v>
      </c>
      <c r="K9" s="2428"/>
      <c r="L9" s="2427">
        <f>M$44</f>
        <v>1665527.1600000001</v>
      </c>
      <c r="M9" s="2427"/>
      <c r="N9" s="2427">
        <f>O$44</f>
        <v>29132</v>
      </c>
      <c r="O9" s="2427"/>
      <c r="P9" s="2428">
        <f>Q$44</f>
        <v>18300</v>
      </c>
      <c r="Q9" s="2428"/>
      <c r="R9" s="2645">
        <f t="shared" ref="R9" si="0">S$44</f>
        <v>0</v>
      </c>
      <c r="S9" s="243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09"/>
      <c r="B11" s="1618" t="s">
        <v>2953</v>
      </c>
      <c r="C11" s="659"/>
      <c r="D11" s="2408"/>
      <c r="E11" s="2409"/>
      <c r="F11" s="2407"/>
      <c r="G11" s="660"/>
      <c r="H11" s="2431"/>
      <c r="I11" s="2338"/>
      <c r="J11" s="2431"/>
      <c r="K11" s="2339"/>
      <c r="L11" s="2431"/>
      <c r="M11" s="182"/>
      <c r="N11" s="2431"/>
      <c r="O11" s="2339"/>
      <c r="P11" s="2431"/>
      <c r="Q11" s="2339"/>
      <c r="R11" s="2431"/>
      <c r="S11" s="182"/>
    </row>
    <row r="12" spans="1:19">
      <c r="A12" s="2610"/>
      <c r="B12" s="1622" t="s">
        <v>2954</v>
      </c>
      <c r="C12" s="2407"/>
      <c r="D12" s="2408"/>
      <c r="E12" s="2409"/>
      <c r="F12" s="2407"/>
      <c r="G12" s="660"/>
      <c r="H12" s="790" t="s">
        <v>3028</v>
      </c>
      <c r="I12" s="2338"/>
      <c r="J12" s="790" t="s">
        <v>3028</v>
      </c>
      <c r="K12" s="2339"/>
      <c r="L12" s="790" t="s">
        <v>3028</v>
      </c>
      <c r="M12" s="2339"/>
      <c r="N12" s="790" t="s">
        <v>3028</v>
      </c>
      <c r="O12" s="2339"/>
      <c r="P12" s="790" t="s">
        <v>3028</v>
      </c>
      <c r="Q12" s="2339"/>
      <c r="R12" s="2431"/>
      <c r="S12" s="2339"/>
    </row>
    <row r="13" spans="1:19">
      <c r="A13" s="2432"/>
      <c r="B13" s="2611" t="s">
        <v>2955</v>
      </c>
      <c r="C13" s="2407"/>
      <c r="D13" s="2408"/>
      <c r="E13" s="2409"/>
      <c r="F13" s="2407"/>
      <c r="G13" s="660"/>
      <c r="H13" s="790" t="s">
        <v>3028</v>
      </c>
      <c r="I13" s="2338"/>
      <c r="J13" s="790" t="s">
        <v>3028</v>
      </c>
      <c r="K13" s="2339"/>
      <c r="L13" s="790" t="s">
        <v>3028</v>
      </c>
      <c r="M13" s="2339"/>
      <c r="N13" s="790" t="s">
        <v>3028</v>
      </c>
      <c r="O13" s="2339"/>
      <c r="P13" s="790" t="s">
        <v>3028</v>
      </c>
      <c r="Q13" s="2339"/>
      <c r="R13" s="2431"/>
      <c r="S13" s="2339"/>
    </row>
    <row r="14" spans="1:19">
      <c r="A14" s="2432"/>
      <c r="B14" s="2612" t="s">
        <v>2956</v>
      </c>
      <c r="C14" s="2407"/>
      <c r="D14" s="2408"/>
      <c r="E14" s="2409"/>
      <c r="F14" s="2407"/>
      <c r="G14" s="660"/>
      <c r="H14" s="790" t="s">
        <v>3807</v>
      </c>
      <c r="I14" s="2338"/>
      <c r="J14" s="790" t="s">
        <v>3807</v>
      </c>
      <c r="K14" s="2339"/>
      <c r="L14" s="790" t="s">
        <v>3807</v>
      </c>
      <c r="M14" s="2339"/>
      <c r="N14" s="790" t="s">
        <v>3807</v>
      </c>
      <c r="O14" s="2339"/>
      <c r="P14" s="790" t="s">
        <v>3807</v>
      </c>
      <c r="Q14" s="2339"/>
      <c r="R14" s="2431"/>
      <c r="S14" s="2339"/>
    </row>
    <row r="15" spans="1:19">
      <c r="A15" s="2432"/>
      <c r="B15" s="2612" t="s">
        <v>2957</v>
      </c>
      <c r="C15" s="2407"/>
      <c r="D15" s="2408"/>
      <c r="E15" s="2409"/>
      <c r="F15" s="2407"/>
      <c r="G15" s="660"/>
      <c r="H15" s="790" t="s">
        <v>3028</v>
      </c>
      <c r="I15" s="2338"/>
      <c r="J15" s="790" t="s">
        <v>3028</v>
      </c>
      <c r="K15" s="2338"/>
      <c r="L15" s="790" t="s">
        <v>3028</v>
      </c>
      <c r="M15" s="2338"/>
      <c r="N15" s="790" t="s">
        <v>3028</v>
      </c>
      <c r="O15" s="2338"/>
      <c r="P15" s="790" t="s">
        <v>3028</v>
      </c>
      <c r="Q15" s="2338"/>
      <c r="R15" s="2431"/>
      <c r="S15" s="2338"/>
    </row>
    <row r="16" spans="1:19">
      <c r="A16" s="2432"/>
      <c r="B16" s="2612" t="s">
        <v>2958</v>
      </c>
      <c r="C16" s="2407"/>
      <c r="D16" s="2408"/>
      <c r="E16" s="2409"/>
      <c r="F16" s="2407"/>
      <c r="G16" s="660"/>
      <c r="H16" s="790" t="s">
        <v>3028</v>
      </c>
      <c r="I16" s="2338"/>
      <c r="J16" s="790" t="s">
        <v>3028</v>
      </c>
      <c r="K16" s="2339"/>
      <c r="L16" s="790" t="s">
        <v>3028</v>
      </c>
      <c r="M16" s="2339"/>
      <c r="N16" s="790" t="s">
        <v>3028</v>
      </c>
      <c r="O16" s="2339"/>
      <c r="P16" s="790" t="s">
        <v>3028</v>
      </c>
      <c r="Q16" s="2339"/>
      <c r="R16" s="2431"/>
      <c r="S16" s="2339"/>
    </row>
    <row r="17" spans="1:19">
      <c r="A17" s="2432"/>
      <c r="B17" s="2612" t="s">
        <v>2959</v>
      </c>
      <c r="C17" s="2407"/>
      <c r="D17" s="2408"/>
      <c r="E17" s="2409"/>
      <c r="F17" s="2407"/>
      <c r="G17" s="660"/>
      <c r="H17" s="790" t="s">
        <v>3028</v>
      </c>
      <c r="I17" s="2338"/>
      <c r="J17" s="790" t="s">
        <v>3028</v>
      </c>
      <c r="K17" s="2339"/>
      <c r="L17" s="790" t="s">
        <v>3028</v>
      </c>
      <c r="M17" s="2339"/>
      <c r="N17" s="790" t="s">
        <v>3028</v>
      </c>
      <c r="O17" s="2339"/>
      <c r="P17" s="790" t="s">
        <v>3028</v>
      </c>
      <c r="Q17" s="2339"/>
      <c r="R17" s="2431"/>
      <c r="S17" s="2339"/>
    </row>
    <row r="18" spans="1:19">
      <c r="A18" s="2432"/>
      <c r="B18" s="2613" t="s">
        <v>2960</v>
      </c>
      <c r="C18" s="2407"/>
      <c r="D18" s="2408"/>
      <c r="E18" s="2409"/>
      <c r="F18" s="2407"/>
      <c r="G18" s="660"/>
      <c r="H18" s="2431"/>
      <c r="I18" s="2338"/>
      <c r="J18" s="2431"/>
      <c r="K18" s="2339"/>
      <c r="L18" s="2431"/>
      <c r="M18" s="2339"/>
      <c r="N18" s="2431"/>
      <c r="O18" s="2339"/>
      <c r="P18" s="2431"/>
      <c r="Q18" s="2339"/>
      <c r="R18" s="2431"/>
      <c r="S18" s="2339"/>
    </row>
    <row r="19" spans="1:19">
      <c r="A19" s="2432"/>
      <c r="B19" s="2614" t="s">
        <v>2961</v>
      </c>
      <c r="C19" s="2433"/>
      <c r="D19" s="2434"/>
      <c r="E19" s="2435"/>
      <c r="F19" s="2436"/>
      <c r="G19" s="661"/>
      <c r="H19" s="2437"/>
      <c r="I19" s="2347"/>
      <c r="J19" s="2437"/>
      <c r="K19" s="2346"/>
      <c r="L19" s="2437"/>
      <c r="M19" s="2346"/>
      <c r="N19" s="2437"/>
      <c r="O19" s="2346"/>
      <c r="P19" s="2437"/>
      <c r="Q19" s="2346"/>
      <c r="R19" s="2437"/>
      <c r="S19" s="2346"/>
    </row>
    <row r="20" spans="1:19">
      <c r="A20" s="2432"/>
      <c r="B20" s="2615"/>
      <c r="C20" s="2407"/>
      <c r="D20" s="2408"/>
      <c r="E20" s="2409"/>
      <c r="F20" s="2438"/>
      <c r="G20" s="660"/>
      <c r="H20" s="2431"/>
      <c r="I20" s="2349"/>
      <c r="J20" s="2431"/>
      <c r="K20" s="2349"/>
      <c r="L20" s="2431"/>
      <c r="M20" s="2350"/>
      <c r="N20" s="2431"/>
      <c r="O20" s="2349"/>
      <c r="P20" s="2431"/>
      <c r="Q20" s="2349"/>
      <c r="R20" s="2431"/>
      <c r="S20" s="2350"/>
    </row>
    <row r="21" spans="1:19">
      <c r="A21" s="2432"/>
      <c r="B21" s="2617" t="s">
        <v>5197</v>
      </c>
      <c r="C21" s="2407"/>
      <c r="D21" s="2408"/>
      <c r="E21" s="2409"/>
      <c r="F21" s="2438"/>
      <c r="G21" s="662"/>
      <c r="H21" s="2431" t="s">
        <v>3028</v>
      </c>
      <c r="I21" s="2350">
        <f>40500+997000</f>
        <v>1037500</v>
      </c>
      <c r="J21" s="2431" t="s">
        <v>3028</v>
      </c>
      <c r="K21" s="2349"/>
      <c r="L21" s="2431" t="s">
        <v>3028</v>
      </c>
      <c r="M21" s="2451">
        <f>11678.7+435871.21+27130.54+429426.7+205363.89+8869.19+321726.74+94161.96+2861.85</f>
        <v>1537090.78</v>
      </c>
      <c r="N21" s="2431" t="s">
        <v>3028</v>
      </c>
      <c r="O21" s="2349">
        <f>12374+8379+8379</f>
        <v>29132</v>
      </c>
      <c r="P21" s="2431" t="s">
        <v>3028</v>
      </c>
      <c r="Q21" s="2349">
        <v>18300</v>
      </c>
      <c r="R21" s="2431"/>
      <c r="S21" s="2350"/>
    </row>
    <row r="22" spans="1:19" ht="34.5" customHeight="1">
      <c r="A22" s="2432"/>
      <c r="B22" s="2619" t="s">
        <v>5748</v>
      </c>
      <c r="C22" s="2386" t="s">
        <v>5749</v>
      </c>
      <c r="D22" s="2408">
        <v>2471</v>
      </c>
      <c r="E22" s="2409" t="s">
        <v>3112</v>
      </c>
      <c r="F22" s="2438">
        <v>12</v>
      </c>
      <c r="G22" s="662">
        <f t="shared" ref="G22:G37" si="1">ROUND(D22*F22,0)</f>
        <v>29652</v>
      </c>
      <c r="H22" s="2431" t="s">
        <v>3028</v>
      </c>
      <c r="I22" s="2350"/>
      <c r="J22" s="2431" t="s">
        <v>3028</v>
      </c>
      <c r="K22" s="2349">
        <v>15065</v>
      </c>
      <c r="L22" s="2431" t="s">
        <v>3028</v>
      </c>
      <c r="M22" s="2350"/>
      <c r="N22" s="2431" t="s">
        <v>3028</v>
      </c>
      <c r="O22" s="2349" t="s">
        <v>5750</v>
      </c>
      <c r="P22" s="2431" t="s">
        <v>3028</v>
      </c>
      <c r="Q22" s="2349"/>
      <c r="R22" s="2431"/>
      <c r="S22" s="2350"/>
    </row>
    <row r="23" spans="1:19">
      <c r="A23" s="2432"/>
      <c r="B23" s="2620" t="s">
        <v>5751</v>
      </c>
      <c r="C23" s="2386"/>
      <c r="D23" s="2408"/>
      <c r="E23" s="2409"/>
      <c r="F23" s="2438"/>
      <c r="G23" s="662"/>
      <c r="H23" s="2431" t="s">
        <v>3028</v>
      </c>
      <c r="I23" s="2350"/>
      <c r="J23" s="2431" t="s">
        <v>3028</v>
      </c>
      <c r="K23" s="2349"/>
      <c r="L23" s="2431" t="s">
        <v>3028</v>
      </c>
      <c r="M23" s="2350"/>
      <c r="N23" s="2431" t="s">
        <v>3028</v>
      </c>
      <c r="O23" s="2349" t="s">
        <v>5750</v>
      </c>
      <c r="P23" s="2431" t="s">
        <v>3028</v>
      </c>
      <c r="Q23" s="2349"/>
      <c r="R23" s="2431"/>
      <c r="S23" s="2350"/>
    </row>
    <row r="24" spans="1:19" ht="30">
      <c r="A24" s="2432"/>
      <c r="B24" s="2619" t="s">
        <v>5752</v>
      </c>
      <c r="C24" s="2386" t="s">
        <v>5749</v>
      </c>
      <c r="D24" s="2408">
        <v>720</v>
      </c>
      <c r="E24" s="2409" t="s">
        <v>3112</v>
      </c>
      <c r="F24" s="2438">
        <v>12</v>
      </c>
      <c r="G24" s="662">
        <f t="shared" si="1"/>
        <v>8640</v>
      </c>
      <c r="H24" s="2431" t="s">
        <v>3028</v>
      </c>
      <c r="I24" s="2350"/>
      <c r="J24" s="2431" t="s">
        <v>3028</v>
      </c>
      <c r="K24" s="2349">
        <v>12790</v>
      </c>
      <c r="L24" s="2431" t="s">
        <v>3028</v>
      </c>
      <c r="M24" s="2350"/>
      <c r="N24" s="2431" t="s">
        <v>3028</v>
      </c>
      <c r="O24" s="2349" t="s">
        <v>5750</v>
      </c>
      <c r="P24" s="2431" t="s">
        <v>3028</v>
      </c>
      <c r="Q24" s="2349"/>
      <c r="R24" s="2431"/>
      <c r="S24" s="2350"/>
    </row>
    <row r="25" spans="1:19">
      <c r="A25" s="2432"/>
      <c r="B25" s="2615" t="s">
        <v>5753</v>
      </c>
      <c r="C25" s="2407"/>
      <c r="D25" s="2408"/>
      <c r="E25" s="2409"/>
      <c r="F25" s="2438"/>
      <c r="G25" s="662">
        <f>ROUND(D25*F25,0)</f>
        <v>0</v>
      </c>
      <c r="H25" s="2431" t="s">
        <v>3028</v>
      </c>
      <c r="I25" s="2350"/>
      <c r="J25" s="2431" t="s">
        <v>3028</v>
      </c>
      <c r="K25" s="2349"/>
      <c r="L25" s="2431" t="s">
        <v>3028</v>
      </c>
      <c r="M25" s="2350"/>
      <c r="N25" s="2431" t="s">
        <v>3028</v>
      </c>
      <c r="O25" s="2349" t="s">
        <v>5750</v>
      </c>
      <c r="P25" s="2431" t="s">
        <v>3028</v>
      </c>
      <c r="Q25" s="2349"/>
      <c r="R25" s="2431"/>
      <c r="S25" s="2350"/>
    </row>
    <row r="26" spans="1:19" ht="30">
      <c r="A26" s="2432"/>
      <c r="B26" s="2619" t="s">
        <v>5754</v>
      </c>
      <c r="C26" s="2407"/>
      <c r="D26" s="2408">
        <v>13890</v>
      </c>
      <c r="E26" s="2409" t="s">
        <v>3112</v>
      </c>
      <c r="F26" s="2438">
        <v>100</v>
      </c>
      <c r="G26" s="662">
        <f>ROUND(D26*F26,0)</f>
        <v>1389000</v>
      </c>
      <c r="H26" s="2431" t="s">
        <v>3028</v>
      </c>
      <c r="I26" s="2350"/>
      <c r="J26" s="2431" t="s">
        <v>3028</v>
      </c>
      <c r="K26" s="2349">
        <v>1421505</v>
      </c>
      <c r="L26" s="2431" t="s">
        <v>3028</v>
      </c>
      <c r="M26" s="2350"/>
      <c r="N26" s="2431" t="s">
        <v>3807</v>
      </c>
      <c r="O26" s="2349"/>
      <c r="P26" s="2431" t="s">
        <v>3807</v>
      </c>
      <c r="Q26" s="2349"/>
      <c r="R26" s="2431"/>
      <c r="S26" s="2350"/>
    </row>
    <row r="27" spans="1:19">
      <c r="A27" s="2432"/>
      <c r="B27" s="2615" t="s">
        <v>5755</v>
      </c>
      <c r="C27" s="2407"/>
      <c r="D27" s="2408"/>
      <c r="E27" s="2409"/>
      <c r="F27" s="2438"/>
      <c r="G27" s="662"/>
      <c r="H27" s="2431" t="s">
        <v>3028</v>
      </c>
      <c r="I27" s="2350"/>
      <c r="J27" s="2431" t="s">
        <v>3028</v>
      </c>
      <c r="K27" s="2349"/>
      <c r="L27" s="2431" t="s">
        <v>3028</v>
      </c>
      <c r="M27" s="2350"/>
      <c r="N27" s="2431" t="s">
        <v>3807</v>
      </c>
      <c r="O27" s="2349"/>
      <c r="P27" s="2431" t="s">
        <v>3807</v>
      </c>
      <c r="Q27" s="2349"/>
      <c r="R27" s="2431"/>
      <c r="S27" s="2350"/>
    </row>
    <row r="28" spans="1:19">
      <c r="A28" s="2432"/>
      <c r="B28" s="2615" t="s">
        <v>5756</v>
      </c>
      <c r="C28" s="2407"/>
      <c r="D28" s="2408"/>
      <c r="E28" s="2409"/>
      <c r="F28" s="2438"/>
      <c r="G28" s="662"/>
      <c r="H28" s="2431" t="s">
        <v>3028</v>
      </c>
      <c r="I28" s="2350"/>
      <c r="J28" s="2431" t="s">
        <v>3028</v>
      </c>
      <c r="K28" s="2349"/>
      <c r="L28" s="2431" t="s">
        <v>3028</v>
      </c>
      <c r="M28" s="2350"/>
      <c r="N28" s="2431" t="s">
        <v>3807</v>
      </c>
      <c r="O28" s="2349"/>
      <c r="P28" s="2431" t="s">
        <v>3807</v>
      </c>
      <c r="Q28" s="2349"/>
      <c r="R28" s="2431"/>
      <c r="S28" s="2350"/>
    </row>
    <row r="29" spans="1:19">
      <c r="A29" s="2432"/>
      <c r="B29" s="2615" t="s">
        <v>5757</v>
      </c>
      <c r="C29" s="2407"/>
      <c r="D29" s="2408"/>
      <c r="E29" s="2409"/>
      <c r="F29" s="2438"/>
      <c r="G29" s="662"/>
      <c r="H29" s="2431" t="s">
        <v>3028</v>
      </c>
      <c r="I29" s="2350"/>
      <c r="J29" s="2431" t="s">
        <v>3028</v>
      </c>
      <c r="K29" s="2349"/>
      <c r="L29" s="2431" t="s">
        <v>3028</v>
      </c>
      <c r="M29" s="2350"/>
      <c r="N29" s="2431" t="s">
        <v>3807</v>
      </c>
      <c r="O29" s="2349"/>
      <c r="P29" s="2431" t="s">
        <v>3807</v>
      </c>
      <c r="Q29" s="2349"/>
      <c r="R29" s="2431"/>
      <c r="S29" s="2350"/>
    </row>
    <row r="30" spans="1:19">
      <c r="A30" s="2432"/>
      <c r="B30" s="2616" t="s">
        <v>5758</v>
      </c>
      <c r="C30" s="2407"/>
      <c r="D30" s="2408">
        <v>1081</v>
      </c>
      <c r="E30" s="2409" t="s">
        <v>3112</v>
      </c>
      <c r="F30" s="2438">
        <v>100</v>
      </c>
      <c r="G30" s="662">
        <f>ROUND(D30*F30,0)</f>
        <v>108100</v>
      </c>
      <c r="H30" s="2431" t="s">
        <v>3028</v>
      </c>
      <c r="I30" s="2350"/>
      <c r="J30" s="2431" t="s">
        <v>3028</v>
      </c>
      <c r="K30" s="2349">
        <v>79115</v>
      </c>
      <c r="L30" s="2431" t="s">
        <v>3028</v>
      </c>
      <c r="M30" s="2350"/>
      <c r="N30" s="2431" t="s">
        <v>3807</v>
      </c>
      <c r="O30" s="2349"/>
      <c r="P30" s="2431" t="s">
        <v>3807</v>
      </c>
      <c r="Q30" s="2349"/>
      <c r="R30" s="2431"/>
      <c r="S30" s="2350"/>
    </row>
    <row r="31" spans="1:19">
      <c r="A31" s="2432"/>
      <c r="B31" s="2615" t="s">
        <v>4093</v>
      </c>
      <c r="C31" s="2407"/>
      <c r="D31" s="2408"/>
      <c r="E31" s="2409"/>
      <c r="F31" s="2438"/>
      <c r="G31" s="662"/>
      <c r="H31" s="2431" t="s">
        <v>3028</v>
      </c>
      <c r="I31" s="2350"/>
      <c r="J31" s="2431" t="s">
        <v>3028</v>
      </c>
      <c r="K31" s="2349"/>
      <c r="L31" s="2431" t="s">
        <v>3028</v>
      </c>
      <c r="M31" s="2350"/>
      <c r="N31" s="2431" t="s">
        <v>3807</v>
      </c>
      <c r="O31" s="2349"/>
      <c r="P31" s="2431" t="s">
        <v>3807</v>
      </c>
      <c r="Q31" s="2349"/>
      <c r="R31" s="2431"/>
      <c r="S31" s="2350"/>
    </row>
    <row r="32" spans="1:19">
      <c r="A32" s="2432"/>
      <c r="B32" s="2618" t="s">
        <v>5206</v>
      </c>
      <c r="C32" s="2407"/>
      <c r="D32" s="2408"/>
      <c r="E32" s="2409"/>
      <c r="F32" s="2438"/>
      <c r="G32" s="662"/>
      <c r="H32" s="2431" t="s">
        <v>3028</v>
      </c>
      <c r="I32" s="2350"/>
      <c r="J32" s="2431" t="s">
        <v>3028</v>
      </c>
      <c r="K32" s="2349"/>
      <c r="L32" s="2431" t="s">
        <v>3028</v>
      </c>
      <c r="M32" s="2350"/>
      <c r="N32" s="2431" t="s">
        <v>3807</v>
      </c>
      <c r="O32" s="2349"/>
      <c r="P32" s="2431" t="s">
        <v>3807</v>
      </c>
      <c r="Q32" s="2349"/>
      <c r="R32" s="2431"/>
      <c r="S32" s="2350"/>
    </row>
    <row r="33" spans="1:19">
      <c r="A33" s="2432"/>
      <c r="B33" s="2615" t="s">
        <v>5759</v>
      </c>
      <c r="C33" s="2407" t="s">
        <v>5760</v>
      </c>
      <c r="D33" s="2408"/>
      <c r="E33" s="2409"/>
      <c r="F33" s="2438"/>
      <c r="G33" s="662"/>
      <c r="H33" s="2431" t="s">
        <v>3028</v>
      </c>
      <c r="I33" s="2350"/>
      <c r="J33" s="2431" t="s">
        <v>3028</v>
      </c>
      <c r="K33" s="2349">
        <v>8250</v>
      </c>
      <c r="L33" s="2448" t="s">
        <v>4877</v>
      </c>
      <c r="M33" s="2622">
        <f>$K$33</f>
        <v>8250</v>
      </c>
      <c r="N33" s="2431" t="s">
        <v>3807</v>
      </c>
      <c r="O33" s="2349"/>
      <c r="P33" s="2431" t="s">
        <v>3807</v>
      </c>
      <c r="Q33" s="2349"/>
      <c r="R33" s="2431"/>
      <c r="S33" s="2350"/>
    </row>
    <row r="34" spans="1:19">
      <c r="A34" s="2432"/>
      <c r="B34" s="2617" t="s">
        <v>3235</v>
      </c>
      <c r="C34" s="2407"/>
      <c r="D34" s="2408"/>
      <c r="E34" s="2409"/>
      <c r="F34" s="2438"/>
      <c r="G34" s="662"/>
      <c r="H34" s="2431" t="s">
        <v>3028</v>
      </c>
      <c r="I34" s="2350">
        <v>2500</v>
      </c>
      <c r="J34" s="2431" t="s">
        <v>3028</v>
      </c>
      <c r="K34" s="2349">
        <v>2960</v>
      </c>
      <c r="L34" s="2431" t="s">
        <v>3028</v>
      </c>
      <c r="M34" s="2350">
        <f>2159.09</f>
        <v>2159.09</v>
      </c>
      <c r="N34" s="2431" t="s">
        <v>3807</v>
      </c>
      <c r="O34" s="2349"/>
      <c r="P34" s="2431" t="s">
        <v>3807</v>
      </c>
      <c r="Q34" s="2349"/>
      <c r="R34" s="2431"/>
      <c r="S34" s="2350"/>
    </row>
    <row r="35" spans="1:19" ht="33.75" customHeight="1">
      <c r="A35" s="2432"/>
      <c r="B35" s="2619" t="s">
        <v>5748</v>
      </c>
      <c r="C35" s="2407"/>
      <c r="D35" s="2408">
        <v>306</v>
      </c>
      <c r="E35" s="2409" t="s">
        <v>3112</v>
      </c>
      <c r="F35" s="2438">
        <v>10</v>
      </c>
      <c r="G35" s="662">
        <f t="shared" si="1"/>
        <v>3060</v>
      </c>
      <c r="H35" s="2431" t="s">
        <v>3028</v>
      </c>
      <c r="I35" s="2350"/>
      <c r="J35" s="2431" t="s">
        <v>3028</v>
      </c>
      <c r="K35" s="2349"/>
      <c r="L35" s="2431" t="s">
        <v>3028</v>
      </c>
      <c r="M35" s="2350"/>
      <c r="N35" s="2431" t="s">
        <v>3807</v>
      </c>
      <c r="O35" s="2349"/>
      <c r="P35" s="2431" t="s">
        <v>3807</v>
      </c>
      <c r="Q35" s="2349"/>
      <c r="R35" s="2431"/>
      <c r="S35" s="2350"/>
    </row>
    <row r="36" spans="1:19">
      <c r="A36" s="2432"/>
      <c r="B36" s="2617" t="s">
        <v>5761</v>
      </c>
      <c r="C36" s="2407"/>
      <c r="D36" s="2408"/>
      <c r="E36" s="2409"/>
      <c r="F36" s="2438"/>
      <c r="G36" s="662"/>
      <c r="H36" s="2431" t="s">
        <v>3028</v>
      </c>
      <c r="I36" s="2350">
        <v>44500</v>
      </c>
      <c r="J36" s="2431" t="s">
        <v>3028</v>
      </c>
      <c r="K36" s="2349">
        <v>106490</v>
      </c>
      <c r="L36" s="2431" t="s">
        <v>3028</v>
      </c>
      <c r="M36" s="2350">
        <f>118027.29</f>
        <v>118027.29</v>
      </c>
      <c r="N36" s="2431" t="s">
        <v>3807</v>
      </c>
      <c r="O36" s="2349"/>
      <c r="P36" s="2431" t="s">
        <v>3807</v>
      </c>
      <c r="Q36" s="2349"/>
      <c r="R36" s="2431"/>
      <c r="S36" s="2350"/>
    </row>
    <row r="37" spans="1:19" ht="30">
      <c r="A37" s="2432"/>
      <c r="B37" s="2619" t="s">
        <v>5762</v>
      </c>
      <c r="C37" s="2407"/>
      <c r="D37" s="2408">
        <v>907</v>
      </c>
      <c r="E37" s="2409" t="s">
        <v>3112</v>
      </c>
      <c r="F37" s="2438">
        <v>100</v>
      </c>
      <c r="G37" s="662">
        <f t="shared" si="1"/>
        <v>90700</v>
      </c>
      <c r="H37" s="2431" t="s">
        <v>3028</v>
      </c>
      <c r="I37" s="2350"/>
      <c r="J37" s="2431" t="s">
        <v>3028</v>
      </c>
      <c r="K37" s="2349"/>
      <c r="L37" s="2431" t="s">
        <v>3028</v>
      </c>
      <c r="M37" s="2350"/>
      <c r="N37" s="2431" t="s">
        <v>3807</v>
      </c>
      <c r="O37" s="2349"/>
      <c r="P37" s="2431" t="s">
        <v>3807</v>
      </c>
      <c r="Q37" s="2349"/>
      <c r="R37" s="2431"/>
      <c r="S37" s="2350"/>
    </row>
    <row r="38" spans="1:19" ht="30">
      <c r="A38" s="2432"/>
      <c r="B38" s="2620" t="s">
        <v>5763</v>
      </c>
      <c r="C38" s="2407"/>
      <c r="D38" s="2408"/>
      <c r="E38" s="2409"/>
      <c r="F38" s="2438"/>
      <c r="G38" s="662"/>
      <c r="H38" s="2431" t="s">
        <v>3028</v>
      </c>
      <c r="I38" s="2350"/>
      <c r="J38" s="2431" t="s">
        <v>3028</v>
      </c>
      <c r="K38" s="2349"/>
      <c r="L38" s="2431" t="s">
        <v>3028</v>
      </c>
      <c r="M38" s="2350"/>
      <c r="N38" s="2431" t="s">
        <v>3807</v>
      </c>
      <c r="O38" s="2349"/>
      <c r="P38" s="2431" t="s">
        <v>3807</v>
      </c>
      <c r="Q38" s="2349"/>
      <c r="R38" s="2431"/>
      <c r="S38" s="2350"/>
    </row>
    <row r="39" spans="1:19" ht="15.75" thickBot="1">
      <c r="A39" s="2432"/>
      <c r="B39" s="2615"/>
      <c r="C39" s="2407"/>
      <c r="D39" s="2408"/>
      <c r="E39" s="2409"/>
      <c r="F39" s="2438"/>
      <c r="G39" s="662"/>
      <c r="H39" s="2431"/>
      <c r="I39" s="2350"/>
      <c r="J39" s="2431"/>
      <c r="K39" s="2349"/>
      <c r="L39" s="2431"/>
      <c r="M39" s="2350"/>
      <c r="N39" s="2431"/>
      <c r="O39" s="2349"/>
      <c r="P39" s="2431"/>
      <c r="Q39" s="2349"/>
      <c r="R39" s="2431"/>
      <c r="S39" s="2350"/>
    </row>
    <row r="40" spans="1:19" ht="15.75" thickTop="1">
      <c r="A40" s="13"/>
      <c r="B40" s="226" t="s">
        <v>3265</v>
      </c>
      <c r="C40" s="15"/>
      <c r="D40" s="168"/>
      <c r="E40" s="176"/>
      <c r="F40" s="17"/>
      <c r="G40" s="227">
        <f>SUBTOTAL(9,G21:G39)</f>
        <v>1629152</v>
      </c>
      <c r="H40" s="19"/>
      <c r="I40" s="164">
        <f>SUBTOTAL(9,I21:I39)</f>
        <v>1084500</v>
      </c>
      <c r="J40" s="19"/>
      <c r="K40" s="164">
        <f>SUM(K19:K39)</f>
        <v>1646175</v>
      </c>
      <c r="L40" s="19"/>
      <c r="M40" s="164">
        <f>SUM(M19:M39)</f>
        <v>1665527.1600000001</v>
      </c>
      <c r="N40" s="19"/>
      <c r="O40" s="164">
        <f>SUM(O19:O39)</f>
        <v>29132</v>
      </c>
      <c r="P40" s="19"/>
      <c r="Q40" s="164">
        <f>SUM(Q19:Q39)</f>
        <v>18300</v>
      </c>
      <c r="R40" s="19"/>
      <c r="S40" s="164">
        <f>SUM(S19:S39)</f>
        <v>0</v>
      </c>
    </row>
    <row r="41" spans="1:19">
      <c r="A41" s="2358"/>
      <c r="B41" s="2359" t="s">
        <v>2976</v>
      </c>
      <c r="C41" s="2360"/>
      <c r="D41" s="2361"/>
      <c r="E41" s="2362"/>
      <c r="F41" s="2363"/>
      <c r="G41" s="654"/>
      <c r="H41" s="2364">
        <v>0</v>
      </c>
      <c r="I41" s="645"/>
      <c r="J41" s="2364">
        <v>0</v>
      </c>
      <c r="K41" s="645"/>
      <c r="L41" s="2364">
        <v>0</v>
      </c>
      <c r="M41" s="645"/>
      <c r="N41" s="2364">
        <v>0</v>
      </c>
      <c r="O41" s="645"/>
      <c r="P41" s="2364">
        <v>0</v>
      </c>
      <c r="Q41" s="645"/>
      <c r="R41" s="2364">
        <v>0</v>
      </c>
      <c r="S41" s="645"/>
    </row>
    <row r="42" spans="1:19">
      <c r="A42" s="2358"/>
      <c r="B42" s="2359" t="s">
        <v>2977</v>
      </c>
      <c r="C42" s="2360"/>
      <c r="D42" s="2361"/>
      <c r="E42" s="2362"/>
      <c r="F42" s="2363"/>
      <c r="G42" s="654">
        <f>F41*G40</f>
        <v>0</v>
      </c>
      <c r="H42" s="2365"/>
      <c r="I42" s="2366">
        <f>H41*I40</f>
        <v>0</v>
      </c>
      <c r="J42" s="2365"/>
      <c r="K42" s="2366">
        <f>J41*K40</f>
        <v>0</v>
      </c>
      <c r="L42" s="2365"/>
      <c r="M42" s="2366">
        <f>L41*M40</f>
        <v>0</v>
      </c>
      <c r="N42" s="2365"/>
      <c r="O42" s="2366">
        <f>N41*O40</f>
        <v>0</v>
      </c>
      <c r="P42" s="2365"/>
      <c r="Q42" s="2366">
        <f>P41*Q40</f>
        <v>0</v>
      </c>
      <c r="R42" s="2365"/>
      <c r="S42" s="2366">
        <f>R41*S40</f>
        <v>0</v>
      </c>
    </row>
    <row r="43" spans="1:19">
      <c r="A43" s="2358"/>
      <c r="B43" s="2359"/>
      <c r="C43" s="2360"/>
      <c r="D43" s="2361"/>
      <c r="E43" s="2362"/>
      <c r="F43" s="2363"/>
      <c r="G43" s="654"/>
      <c r="H43" s="2365"/>
      <c r="I43" s="2366"/>
      <c r="J43" s="2365"/>
      <c r="K43" s="2366"/>
      <c r="L43" s="2365"/>
      <c r="M43" s="2366"/>
      <c r="N43" s="2365"/>
      <c r="O43" s="2366"/>
      <c r="P43" s="2365"/>
      <c r="Q43" s="2366"/>
      <c r="R43" s="2365"/>
      <c r="S43" s="2366"/>
    </row>
    <row r="44" spans="1:19">
      <c r="A44" s="2358"/>
      <c r="B44" s="2359" t="s">
        <v>2978</v>
      </c>
      <c r="C44" s="2360"/>
      <c r="D44" s="2361"/>
      <c r="E44" s="2362"/>
      <c r="F44" s="2363"/>
      <c r="G44" s="654">
        <f>SUM(G40:G42)</f>
        <v>1629152</v>
      </c>
      <c r="H44" s="2367"/>
      <c r="I44" s="2366">
        <f>SUM(I40:I42)</f>
        <v>1084500</v>
      </c>
      <c r="J44" s="2367"/>
      <c r="K44" s="2366">
        <f>SUM(K40:K42)</f>
        <v>1646175</v>
      </c>
      <c r="L44" s="2367"/>
      <c r="M44" s="2366">
        <f>SUM(M40:M42)</f>
        <v>1665527.1600000001</v>
      </c>
      <c r="N44" s="2367"/>
      <c r="O44" s="2366">
        <f>SUM(O40:O42)</f>
        <v>29132</v>
      </c>
      <c r="P44" s="2367"/>
      <c r="Q44" s="2366">
        <f>SUM(Q40:Q42)</f>
        <v>18300</v>
      </c>
      <c r="R44" s="2367"/>
      <c r="S44" s="2366">
        <f>SUM(S40:S42)</f>
        <v>0</v>
      </c>
    </row>
    <row r="45" spans="1:19">
      <c r="A45" s="2358"/>
      <c r="B45" s="2368" t="s">
        <v>2979</v>
      </c>
      <c r="C45" s="2360"/>
      <c r="D45" s="2361"/>
      <c r="E45" s="2362"/>
      <c r="F45" s="2368"/>
      <c r="G45" s="655">
        <f>G44/'Area Calculations'!$F$5</f>
        <v>18.3727896066402</v>
      </c>
      <c r="H45" s="2369"/>
      <c r="I45" s="2370">
        <f>I44/'Area Calculations'!$F$5</f>
        <v>12.230467340310357</v>
      </c>
      <c r="J45" s="2369"/>
      <c r="K45" s="2370">
        <f>K44/'Area Calculations'!$F$5</f>
        <v>18.564766780945508</v>
      </c>
      <c r="L45" s="2369"/>
      <c r="M45" s="2370">
        <f>M44/'Area Calculations'!$F$5</f>
        <v>18.783011097076869</v>
      </c>
      <c r="N45" s="2369"/>
      <c r="O45" s="2370">
        <f>O44/'Area Calculations'!$F$5</f>
        <v>0.32853662937567663</v>
      </c>
      <c r="P45" s="2369"/>
      <c r="Q45" s="2370">
        <f>Q44/'Area Calculations'!$F$5</f>
        <v>0.20637856369541682</v>
      </c>
      <c r="R45" s="2369"/>
      <c r="S45" s="2370">
        <f>S44/'Area Calculations'!$F$5</f>
        <v>0</v>
      </c>
    </row>
    <row r="46" spans="1:19" ht="15.75" thickBot="1">
      <c r="A46" s="2358"/>
      <c r="B46" s="2372"/>
      <c r="C46" s="2360"/>
      <c r="D46" s="2361"/>
      <c r="E46" s="2362"/>
      <c r="F46" s="2363"/>
      <c r="G46" s="656"/>
      <c r="H46" s="2373"/>
      <c r="I46" s="2374"/>
      <c r="J46" s="2373"/>
      <c r="K46" s="2373"/>
      <c r="L46" s="2373"/>
      <c r="M46" s="2373"/>
      <c r="N46" s="2373"/>
      <c r="O46" s="2373"/>
      <c r="P46" s="2373"/>
      <c r="Q46" s="2373"/>
      <c r="R46" s="2373"/>
      <c r="S46" s="2373"/>
    </row>
    <row r="47" spans="1:19" ht="16.5" thickTop="1" thickBot="1">
      <c r="A47" s="830" t="s">
        <v>2980</v>
      </c>
      <c r="B47" s="831"/>
      <c r="C47" s="12"/>
      <c r="D47" s="169"/>
      <c r="E47" s="177"/>
      <c r="F47" s="12"/>
      <c r="G47" s="228"/>
      <c r="H47" s="20"/>
      <c r="I47" s="20"/>
      <c r="J47" s="20"/>
      <c r="K47" s="20"/>
      <c r="L47" s="20"/>
      <c r="M47" s="20"/>
      <c r="N47" s="20"/>
      <c r="O47" s="20"/>
      <c r="P47" s="20"/>
      <c r="Q47" s="20"/>
      <c r="R47" s="20"/>
      <c r="S47" s="20"/>
    </row>
    <row r="48" spans="1:19">
      <c r="A48" s="2630"/>
      <c r="B48" s="2406" t="s">
        <v>5764</v>
      </c>
      <c r="C48" s="2634"/>
      <c r="D48" s="2632"/>
      <c r="E48" s="2633"/>
      <c r="F48" s="2634"/>
      <c r="G48" s="2635"/>
      <c r="H48" s="2636"/>
      <c r="I48" s="2636"/>
      <c r="J48" s="2636"/>
      <c r="K48" s="2636"/>
      <c r="L48" s="2431" t="s">
        <v>3028</v>
      </c>
      <c r="M48" s="2636">
        <f>119404.07</f>
        <v>119404.07</v>
      </c>
      <c r="N48" s="2636"/>
      <c r="O48" s="2636"/>
      <c r="P48" s="2636"/>
      <c r="Q48" s="2636"/>
      <c r="R48" s="2636"/>
      <c r="S48" s="2636"/>
    </row>
    <row r="49" spans="1:36">
      <c r="A49" s="2630"/>
      <c r="B49" s="2406" t="s">
        <v>5765</v>
      </c>
      <c r="C49" s="2634"/>
      <c r="D49" s="2632"/>
      <c r="E49" s="2633"/>
      <c r="F49" s="2634"/>
      <c r="G49" s="2635"/>
      <c r="H49" s="2636"/>
      <c r="I49" s="2636"/>
      <c r="J49" s="2636"/>
      <c r="K49" s="2636"/>
      <c r="L49" s="2431" t="s">
        <v>3807</v>
      </c>
      <c r="M49" s="2636"/>
      <c r="N49" s="2636"/>
      <c r="O49" s="2636"/>
      <c r="P49" s="2636"/>
      <c r="Q49" s="2636"/>
      <c r="R49" s="2636"/>
      <c r="S49" s="2636"/>
    </row>
    <row r="50" spans="1:36" ht="15.75" thickBot="1">
      <c r="A50" s="2630"/>
      <c r="B50" s="2406"/>
      <c r="C50" s="2634"/>
      <c r="D50" s="2632"/>
      <c r="E50" s="2633"/>
      <c r="F50" s="2634"/>
      <c r="G50" s="2635"/>
      <c r="H50" s="2636"/>
      <c r="I50" s="2636"/>
      <c r="J50" s="2636"/>
      <c r="K50" s="2636"/>
      <c r="L50" s="2636"/>
      <c r="M50" s="2636"/>
      <c r="N50" s="2636"/>
      <c r="O50" s="2636"/>
      <c r="P50" s="2636"/>
      <c r="Q50" s="2636"/>
      <c r="R50" s="2636"/>
      <c r="S50" s="2636"/>
    </row>
    <row r="51" spans="1:36" s="2" customFormat="1" ht="16.5" thickTop="1" thickBot="1">
      <c r="A51" s="830" t="s">
        <v>2981</v>
      </c>
      <c r="B51" s="831"/>
      <c r="C51" s="12"/>
      <c r="D51" s="169"/>
      <c r="E51" s="177"/>
      <c r="F51" s="12"/>
      <c r="G51" s="228"/>
      <c r="H51" s="20"/>
      <c r="I51" s="20"/>
      <c r="J51" s="20"/>
      <c r="K51" s="20"/>
      <c r="L51" s="20"/>
      <c r="M51" s="20"/>
      <c r="N51" s="20"/>
      <c r="O51" s="20"/>
      <c r="P51" s="20"/>
      <c r="Q51" s="20"/>
      <c r="R51" s="20"/>
      <c r="S51" s="20"/>
      <c r="V51"/>
      <c r="W51"/>
      <c r="X51"/>
      <c r="Y51"/>
      <c r="Z51"/>
      <c r="AA51"/>
      <c r="AB51"/>
      <c r="AC51"/>
      <c r="AD51"/>
      <c r="AE51"/>
      <c r="AF51"/>
      <c r="AG51"/>
      <c r="AH51"/>
      <c r="AI51"/>
      <c r="AJ51"/>
    </row>
    <row r="52" spans="1:36" s="2" customFormat="1" ht="15.75" thickTop="1">
      <c r="A52" s="2630"/>
      <c r="B52" s="2406"/>
      <c r="C52" s="2634"/>
      <c r="D52" s="2632"/>
      <c r="E52" s="2633"/>
      <c r="F52" s="2634"/>
      <c r="G52" s="2635"/>
      <c r="H52" s="2636"/>
      <c r="I52" s="2636"/>
      <c r="J52" s="2636"/>
      <c r="K52" s="2636"/>
      <c r="L52" s="2636"/>
      <c r="M52" s="2636"/>
      <c r="N52" s="2636"/>
      <c r="O52" s="2636"/>
      <c r="P52" s="2636"/>
      <c r="Q52" s="2636"/>
      <c r="R52" s="2636"/>
      <c r="S52" s="2636"/>
      <c r="V52"/>
      <c r="W52"/>
      <c r="X52"/>
      <c r="Y52"/>
      <c r="Z52"/>
      <c r="AA52"/>
      <c r="AB52"/>
      <c r="AC52"/>
      <c r="AD52"/>
      <c r="AE52"/>
      <c r="AF52"/>
      <c r="AG52"/>
      <c r="AH52"/>
      <c r="AI52"/>
      <c r="AJ52"/>
    </row>
    <row r="53" spans="1:36" s="2" customFormat="1">
      <c r="A53" s="2630"/>
      <c r="B53" s="2406"/>
      <c r="C53" s="2634"/>
      <c r="D53" s="2632"/>
      <c r="E53" s="2633"/>
      <c r="F53" s="2634"/>
      <c r="G53" s="2635"/>
      <c r="H53" s="2636"/>
      <c r="I53" s="2636"/>
      <c r="J53" s="2636"/>
      <c r="K53" s="2636"/>
      <c r="L53" s="2636"/>
      <c r="M53" s="2636"/>
      <c r="N53" s="2636"/>
      <c r="O53" s="2636"/>
      <c r="P53" s="2636"/>
      <c r="Q53" s="2636"/>
      <c r="R53" s="2636"/>
      <c r="S53" s="2636"/>
      <c r="V53"/>
      <c r="W53"/>
      <c r="X53"/>
      <c r="Y53"/>
      <c r="Z53"/>
      <c r="AA53"/>
      <c r="AB53"/>
      <c r="AC53"/>
      <c r="AD53"/>
      <c r="AE53"/>
      <c r="AF53"/>
      <c r="AG53"/>
      <c r="AH53"/>
      <c r="AI53"/>
      <c r="AJ53"/>
    </row>
    <row r="54" spans="1:36" ht="15.75" thickBot="1">
      <c r="A54" s="2630"/>
      <c r="B54" s="2406"/>
      <c r="C54" s="2634"/>
      <c r="D54" s="2632"/>
      <c r="E54" s="2633"/>
      <c r="F54" s="2634"/>
      <c r="G54" s="2635"/>
      <c r="H54" s="2636"/>
      <c r="I54" s="2636"/>
      <c r="J54" s="2636"/>
      <c r="K54" s="2636"/>
      <c r="L54" s="2636"/>
      <c r="M54" s="2636"/>
      <c r="N54" s="2636"/>
      <c r="O54" s="2636"/>
      <c r="P54" s="2636"/>
      <c r="Q54" s="2636"/>
      <c r="R54" s="2636"/>
      <c r="S54" s="2636"/>
    </row>
    <row r="55" spans="1:36" s="2" customFormat="1" ht="16.5" thickTop="1" thickBot="1">
      <c r="A55" s="830" t="s">
        <v>2982</v>
      </c>
      <c r="B55" s="831"/>
      <c r="C55" s="12"/>
      <c r="D55" s="169"/>
      <c r="E55" s="177"/>
      <c r="F55" s="12"/>
      <c r="G55" s="228"/>
      <c r="H55" s="20"/>
      <c r="I55" s="20"/>
      <c r="J55" s="20"/>
      <c r="K55" s="20"/>
      <c r="L55" s="20"/>
      <c r="M55" s="20"/>
      <c r="N55" s="20"/>
      <c r="O55" s="20"/>
      <c r="P55" s="20"/>
      <c r="Q55" s="20"/>
      <c r="R55" s="20"/>
      <c r="S55" s="20"/>
      <c r="V55"/>
      <c r="W55"/>
      <c r="X55"/>
      <c r="Y55"/>
      <c r="Z55"/>
      <c r="AA55"/>
      <c r="AB55"/>
      <c r="AC55"/>
      <c r="AD55"/>
      <c r="AE55"/>
      <c r="AF55"/>
      <c r="AG55"/>
      <c r="AH55"/>
      <c r="AI55"/>
      <c r="AJ55"/>
    </row>
    <row r="56" spans="1:36" s="2" customFormat="1" ht="15.75" thickTop="1">
      <c r="A56" s="2630"/>
      <c r="B56" s="2406"/>
      <c r="C56" s="2634"/>
      <c r="D56" s="2632"/>
      <c r="E56" s="2633"/>
      <c r="F56" s="2634"/>
      <c r="G56" s="2635"/>
      <c r="H56" s="2636"/>
      <c r="I56" s="2636"/>
      <c r="J56" s="2636"/>
      <c r="K56" s="2636"/>
      <c r="L56" s="2636"/>
      <c r="M56" s="2636"/>
      <c r="N56" s="2636"/>
      <c r="O56" s="2636"/>
      <c r="P56" s="2636"/>
      <c r="Q56" s="2636"/>
      <c r="R56" s="2636"/>
      <c r="S56" s="2636"/>
      <c r="V56"/>
      <c r="W56"/>
      <c r="X56"/>
      <c r="Y56"/>
      <c r="Z56"/>
      <c r="AA56"/>
      <c r="AB56"/>
      <c r="AC56"/>
      <c r="AD56"/>
      <c r="AE56"/>
      <c r="AF56"/>
      <c r="AG56"/>
      <c r="AH56"/>
      <c r="AI56"/>
      <c r="AJ56"/>
    </row>
    <row r="57" spans="1:36" s="2" customFormat="1">
      <c r="A57" s="2382"/>
      <c r="B57" s="2406"/>
      <c r="C57" s="2407"/>
      <c r="D57" s="2408"/>
      <c r="E57" s="2409"/>
      <c r="F57" s="2407"/>
      <c r="G57" s="2383"/>
      <c r="H57" s="2384"/>
      <c r="I57" s="2384"/>
      <c r="J57" s="2384"/>
      <c r="K57" s="2384"/>
      <c r="L57" s="2384"/>
      <c r="M57" s="2384"/>
      <c r="N57" s="2384"/>
      <c r="O57" s="2384"/>
      <c r="P57" s="2384"/>
      <c r="Q57" s="2384"/>
      <c r="R57" s="2384"/>
      <c r="S57" s="2384"/>
      <c r="V57"/>
      <c r="W57"/>
      <c r="X57"/>
      <c r="Y57"/>
      <c r="Z57"/>
      <c r="AA57"/>
      <c r="AB57"/>
      <c r="AC57"/>
      <c r="AD57"/>
      <c r="AE57"/>
      <c r="AF57"/>
      <c r="AG57"/>
      <c r="AH57"/>
      <c r="AI57"/>
      <c r="AJ57"/>
    </row>
    <row r="58" spans="1:36" s="2" customFormat="1" ht="15.75" thickBot="1">
      <c r="A58" s="2385"/>
      <c r="B58" s="2386"/>
      <c r="C58" s="2407"/>
      <c r="D58" s="2408"/>
      <c r="E58" s="2409"/>
      <c r="F58" s="2407"/>
      <c r="G58" s="2383"/>
      <c r="H58" s="2387"/>
      <c r="I58" s="2387"/>
      <c r="J58" s="2387"/>
      <c r="K58" s="2387"/>
      <c r="L58" s="2387"/>
      <c r="M58" s="2387"/>
      <c r="N58" s="2387"/>
      <c r="O58" s="2387"/>
      <c r="P58" s="2387"/>
      <c r="Q58" s="2387"/>
      <c r="R58" s="2387"/>
      <c r="S58" s="2387"/>
    </row>
    <row r="59" spans="1:36" s="2" customFormat="1" ht="16.5" thickTop="1" thickBot="1">
      <c r="A59" s="830" t="s">
        <v>2983</v>
      </c>
      <c r="B59" s="831"/>
      <c r="C59" s="12"/>
      <c r="D59" s="169"/>
      <c r="E59" s="177"/>
      <c r="F59" s="12"/>
      <c r="G59" s="228"/>
      <c r="H59" s="20"/>
      <c r="I59" s="20"/>
      <c r="J59" s="20"/>
      <c r="K59" s="20"/>
      <c r="L59" s="20"/>
      <c r="M59" s="20"/>
      <c r="N59" s="20"/>
      <c r="O59" s="20"/>
      <c r="P59" s="20"/>
      <c r="Q59" s="20"/>
      <c r="R59" s="20"/>
      <c r="S59" s="20"/>
      <c r="V59"/>
      <c r="W59"/>
      <c r="X59"/>
      <c r="Y59"/>
      <c r="Z59"/>
      <c r="AA59"/>
      <c r="AB59"/>
      <c r="AC59"/>
      <c r="AD59"/>
      <c r="AE59"/>
      <c r="AF59"/>
      <c r="AG59"/>
      <c r="AH59"/>
      <c r="AI59"/>
      <c r="AJ59"/>
    </row>
    <row r="60" spans="1:36" ht="15.75" thickTop="1">
      <c r="A60" s="2637"/>
      <c r="B60" s="2631"/>
      <c r="C60" s="2634"/>
      <c r="D60" s="2632"/>
      <c r="E60" s="2633"/>
      <c r="F60" s="2634"/>
      <c r="G60" s="2635"/>
      <c r="H60" s="2636"/>
      <c r="I60" s="2636"/>
      <c r="J60" s="2636"/>
      <c r="K60" s="2636"/>
      <c r="L60" s="2636"/>
      <c r="M60" s="2636"/>
      <c r="N60" s="2636"/>
      <c r="O60" s="2636"/>
      <c r="P60" s="2636"/>
      <c r="Q60" s="2636"/>
      <c r="R60" s="2636"/>
      <c r="S60" s="2636"/>
      <c r="V60" s="2"/>
      <c r="W60" s="2"/>
      <c r="X60" s="2"/>
      <c r="Y60" s="2"/>
      <c r="Z60" s="2"/>
      <c r="AA60" s="2"/>
      <c r="AB60" s="2"/>
      <c r="AC60" s="2"/>
      <c r="AD60" s="2"/>
      <c r="AE60" s="2"/>
      <c r="AF60" s="2"/>
      <c r="AG60" s="2"/>
      <c r="AH60" s="2"/>
      <c r="AI60" s="2"/>
      <c r="AJ60" s="2"/>
    </row>
    <row r="61" spans="1:36">
      <c r="A61" s="2385"/>
      <c r="B61" s="2386"/>
      <c r="C61" s="2407"/>
      <c r="D61" s="2408"/>
      <c r="E61" s="2409"/>
      <c r="F61" s="2407"/>
      <c r="G61" s="2383"/>
      <c r="H61" s="2390"/>
      <c r="I61" s="2390"/>
      <c r="J61" s="2390"/>
      <c r="K61" s="2390"/>
      <c r="L61" s="2390"/>
      <c r="M61" s="2390"/>
      <c r="N61" s="2390"/>
      <c r="O61" s="2390"/>
      <c r="P61" s="2390"/>
      <c r="Q61" s="2390"/>
      <c r="R61" s="2390"/>
      <c r="S61" s="2390"/>
      <c r="V61" s="2"/>
      <c r="W61" s="2"/>
      <c r="X61" s="2"/>
      <c r="Y61" s="2"/>
      <c r="Z61" s="2"/>
      <c r="AA61" s="2"/>
      <c r="AB61" s="2"/>
      <c r="AC61" s="2"/>
      <c r="AD61" s="2"/>
      <c r="AE61" s="2"/>
      <c r="AF61" s="2"/>
      <c r="AG61" s="2"/>
      <c r="AH61" s="2"/>
      <c r="AI61" s="2"/>
      <c r="AJ61" s="2"/>
    </row>
    <row r="62" spans="1:36" ht="15.75" thickBot="1">
      <c r="A62" s="2385"/>
      <c r="B62" s="2386"/>
      <c r="C62" s="2407"/>
      <c r="D62" s="2408"/>
      <c r="E62" s="2409"/>
      <c r="F62" s="2407"/>
      <c r="G62" s="2383"/>
      <c r="H62" s="2390"/>
      <c r="I62" s="2390"/>
      <c r="J62" s="2390"/>
      <c r="K62" s="2390"/>
      <c r="L62" s="2390"/>
      <c r="M62" s="2390"/>
      <c r="N62" s="2390"/>
      <c r="O62" s="2390"/>
      <c r="P62" s="2390"/>
      <c r="Q62" s="2390"/>
      <c r="R62" s="2390"/>
      <c r="S62" s="2390"/>
      <c r="V62" s="2"/>
      <c r="W62" s="2"/>
      <c r="X62" s="2"/>
      <c r="Y62" s="2"/>
      <c r="Z62" s="2"/>
      <c r="AA62" s="2"/>
      <c r="AB62" s="2"/>
      <c r="AC62" s="2"/>
      <c r="AD62" s="2"/>
      <c r="AE62" s="2"/>
      <c r="AF62" s="2"/>
      <c r="AG62" s="2"/>
      <c r="AH62" s="2"/>
      <c r="AI62" s="2"/>
      <c r="AJ62" s="2"/>
    </row>
    <row r="63" spans="1:36" ht="16.5" thickTop="1" thickBot="1">
      <c r="A63" s="830" t="s">
        <v>2984</v>
      </c>
      <c r="B63" s="831"/>
      <c r="C63" s="12"/>
      <c r="D63" s="169"/>
      <c r="E63" s="177"/>
      <c r="F63" s="12"/>
      <c r="G63" s="228"/>
      <c r="H63" s="20"/>
      <c r="I63" s="20"/>
      <c r="J63" s="20"/>
      <c r="K63" s="20"/>
      <c r="L63" s="20"/>
      <c r="M63" s="20"/>
      <c r="N63" s="20"/>
      <c r="O63" s="20"/>
      <c r="P63" s="20"/>
      <c r="Q63" s="20"/>
      <c r="R63" s="20"/>
      <c r="S63" s="20"/>
    </row>
    <row r="64" spans="1:36" ht="15.75" thickTop="1">
      <c r="A64" s="2382"/>
      <c r="B64" s="2406" t="s">
        <v>2985</v>
      </c>
      <c r="C64" s="2407"/>
      <c r="D64" s="2408"/>
      <c r="E64" s="2409"/>
      <c r="F64" s="2407"/>
      <c r="G64" s="2383"/>
      <c r="H64" s="2390"/>
      <c r="I64" s="2390"/>
      <c r="J64" s="2390"/>
      <c r="K64" s="2390"/>
      <c r="L64" s="2390"/>
      <c r="M64" s="2390"/>
      <c r="N64" s="2390"/>
      <c r="O64" s="2390"/>
      <c r="P64" s="2390"/>
      <c r="Q64" s="2390"/>
      <c r="R64" s="2390"/>
      <c r="S64" s="2390"/>
    </row>
    <row r="65" spans="1:19">
      <c r="A65" s="2382"/>
      <c r="B65" s="2406" t="s">
        <v>2986</v>
      </c>
      <c r="C65" s="2407"/>
      <c r="D65" s="2408"/>
      <c r="E65" s="2409"/>
      <c r="F65" s="2407"/>
      <c r="G65" s="2383"/>
      <c r="H65" s="2390"/>
      <c r="I65" s="2390"/>
      <c r="J65" s="2390"/>
      <c r="K65" s="2390"/>
      <c r="L65" s="2390"/>
      <c r="M65" s="2390"/>
      <c r="N65" s="2390"/>
      <c r="O65" s="2390"/>
      <c r="P65" s="2390"/>
      <c r="Q65" s="2390"/>
      <c r="R65" s="2390"/>
      <c r="S65" s="2390"/>
    </row>
    <row r="66" spans="1:19">
      <c r="A66" s="2382"/>
      <c r="B66" s="2406" t="s">
        <v>2987</v>
      </c>
      <c r="C66" s="2407"/>
      <c r="D66" s="2408"/>
      <c r="E66" s="2409"/>
      <c r="F66" s="2407"/>
      <c r="G66" s="2383"/>
      <c r="H66" s="2390"/>
      <c r="I66" s="2390"/>
      <c r="J66" s="2390"/>
      <c r="K66" s="2390"/>
      <c r="L66" s="2390"/>
      <c r="M66" s="2390"/>
      <c r="N66" s="2390"/>
      <c r="O66" s="2390"/>
      <c r="P66" s="2390"/>
      <c r="Q66" s="2390"/>
      <c r="R66" s="2390"/>
      <c r="S66" s="2390"/>
    </row>
    <row r="67" spans="1:19">
      <c r="A67" s="2382"/>
      <c r="B67" s="2406" t="s">
        <v>2988</v>
      </c>
      <c r="C67" s="2407"/>
      <c r="D67" s="2408"/>
      <c r="E67" s="2409"/>
      <c r="F67" s="2407"/>
      <c r="G67" s="2383"/>
      <c r="H67" s="2390"/>
      <c r="I67" s="2390"/>
      <c r="J67" s="2390"/>
      <c r="K67" s="2390"/>
      <c r="L67" s="2390"/>
      <c r="M67" s="2390"/>
      <c r="N67" s="2390"/>
      <c r="O67" s="2390"/>
      <c r="P67" s="2390"/>
      <c r="Q67" s="2390"/>
      <c r="R67" s="2390"/>
      <c r="S67" s="2390"/>
    </row>
    <row r="68" spans="1:19" ht="15.75" thickBot="1">
      <c r="A68" s="646"/>
      <c r="B68" s="619"/>
      <c r="C68" s="616"/>
      <c r="D68" s="621"/>
      <c r="E68" s="622"/>
      <c r="F68" s="616"/>
      <c r="G68" s="620"/>
      <c r="H68" s="647"/>
      <c r="I68" s="647"/>
      <c r="J68" s="647"/>
      <c r="K68" s="647"/>
      <c r="L68" s="647"/>
      <c r="M68" s="647"/>
      <c r="N68" s="647"/>
      <c r="O68" s="647"/>
      <c r="P68" s="647"/>
      <c r="Q68" s="647"/>
      <c r="R68" s="647"/>
      <c r="S68" s="647"/>
    </row>
    <row r="69" spans="1:19" ht="16.5" thickTop="1" thickBot="1">
      <c r="A69" s="7" t="s">
        <v>2989</v>
      </c>
      <c r="B69" s="8"/>
      <c r="C69" s="12"/>
      <c r="D69" s="169"/>
      <c r="E69" s="177"/>
      <c r="F69" s="12"/>
      <c r="G69" s="228"/>
      <c r="H69" s="20"/>
      <c r="I69" s="20"/>
      <c r="J69" s="20"/>
      <c r="K69" s="20"/>
      <c r="L69" s="20"/>
      <c r="M69" s="20"/>
      <c r="N69" s="20"/>
      <c r="O69" s="20"/>
      <c r="P69" s="20"/>
      <c r="Q69" s="20"/>
      <c r="R69" s="20"/>
      <c r="S69" s="20"/>
    </row>
    <row r="70" spans="1:19" ht="15.75" thickTop="1">
      <c r="A70" s="2630"/>
      <c r="B70" s="2638" t="s">
        <v>2990</v>
      </c>
      <c r="C70" s="2634"/>
      <c r="D70" s="2632"/>
      <c r="E70" s="2633"/>
      <c r="F70" s="2634"/>
      <c r="G70" s="2635"/>
      <c r="H70" s="2639"/>
      <c r="I70" s="2639"/>
      <c r="J70" s="2639"/>
      <c r="K70" s="2639"/>
      <c r="L70" s="2639"/>
      <c r="M70" s="2639"/>
      <c r="N70" s="2639"/>
      <c r="O70" s="2639"/>
      <c r="P70" s="2639"/>
      <c r="Q70" s="2639"/>
      <c r="R70" s="2639"/>
      <c r="S70" s="2639"/>
    </row>
    <row r="71" spans="1:19">
      <c r="A71" s="2382"/>
      <c r="B71" s="2406" t="s">
        <v>2991</v>
      </c>
      <c r="C71" s="2407"/>
      <c r="D71" s="2408"/>
      <c r="E71" s="2409"/>
      <c r="F71" s="2407"/>
      <c r="G71" s="2383"/>
      <c r="H71" s="2391"/>
      <c r="I71" s="2391"/>
      <c r="J71" s="2391"/>
      <c r="K71" s="2391"/>
      <c r="L71" s="2391"/>
      <c r="M71" s="2391"/>
      <c r="N71" s="2391"/>
      <c r="O71" s="2391"/>
      <c r="P71" s="2391"/>
      <c r="Q71" s="2391"/>
      <c r="R71" s="2391"/>
      <c r="S71" s="2391"/>
    </row>
    <row r="72" spans="1:19" ht="15.75" thickBot="1">
      <c r="A72" s="2392"/>
      <c r="B72" s="2424" t="s">
        <v>2992</v>
      </c>
      <c r="C72" s="2425"/>
      <c r="D72" s="2393"/>
      <c r="E72" s="2394"/>
      <c r="F72" s="2425"/>
      <c r="G72" s="2395"/>
      <c r="H72" s="2396"/>
      <c r="I72" s="2396"/>
      <c r="J72" s="2396"/>
      <c r="K72" s="2396"/>
      <c r="L72" s="2396"/>
      <c r="M72" s="2396"/>
      <c r="N72" s="2396"/>
      <c r="O72" s="2396"/>
      <c r="P72" s="2396"/>
      <c r="Q72" s="2396"/>
      <c r="R72" s="2396"/>
      <c r="S72" s="2396"/>
    </row>
    <row r="73" spans="1:19" ht="16.5" thickTop="1" thickBot="1"/>
    <row r="74" spans="1:19" ht="16.5" thickTop="1" thickBot="1">
      <c r="A74" s="59" t="s">
        <v>2993</v>
      </c>
      <c r="B74" s="61"/>
      <c r="C74" s="299" t="s">
        <v>5197</v>
      </c>
      <c r="D74" s="165" t="s">
        <v>3235</v>
      </c>
      <c r="E74" s="535" t="s">
        <v>5204</v>
      </c>
    </row>
    <row r="75" spans="1:19" ht="15.75" thickTop="1">
      <c r="A75" s="60" t="s">
        <v>2936</v>
      </c>
      <c r="B75" s="2398"/>
    </row>
    <row r="76" spans="1:19">
      <c r="A76" s="2399" t="s">
        <v>2939</v>
      </c>
      <c r="B76" s="2398"/>
    </row>
    <row r="77" spans="1:19">
      <c r="A77" s="2400" t="s">
        <v>2941</v>
      </c>
      <c r="B77" s="2401"/>
    </row>
    <row r="78" spans="1:19">
      <c r="A78" s="2400" t="s">
        <v>2943</v>
      </c>
      <c r="B78" s="2402"/>
    </row>
    <row r="79" spans="1:19" ht="15.75" thickBot="1">
      <c r="A79" s="2403" t="s">
        <v>2994</v>
      </c>
      <c r="B79" s="2404">
        <f>J9</f>
        <v>1646175</v>
      </c>
      <c r="C79" s="447">
        <f>SUM(K21:K33)</f>
        <v>1536725</v>
      </c>
      <c r="D79" s="165">
        <f>SUM(K34:K35)</f>
        <v>2960</v>
      </c>
      <c r="E79" s="536">
        <f>SUM(K36:K38)</f>
        <v>106490</v>
      </c>
    </row>
    <row r="80" spans="1:19" ht="15.75" thickTop="1"/>
    <row r="81" spans="1:2">
      <c r="A81" s="62"/>
      <c r="B81" s="1" t="s">
        <v>2995</v>
      </c>
    </row>
    <row r="82" spans="1:2">
      <c r="A82" s="63"/>
      <c r="B82" s="1" t="s">
        <v>2996</v>
      </c>
    </row>
  </sheetData>
  <mergeCells count="35">
    <mergeCell ref="H6:I6"/>
    <mergeCell ref="H5:I5"/>
    <mergeCell ref="R5:S5"/>
    <mergeCell ref="P5:Q5"/>
    <mergeCell ref="J5:K5"/>
    <mergeCell ref="N5:O5"/>
    <mergeCell ref="R6:S6"/>
    <mergeCell ref="P6:Q6"/>
    <mergeCell ref="J6:K6"/>
    <mergeCell ref="N6:O6"/>
    <mergeCell ref="L5:M5"/>
    <mergeCell ref="L6:M6"/>
    <mergeCell ref="H8:I8"/>
    <mergeCell ref="R8:S8"/>
    <mergeCell ref="P8:Q8"/>
    <mergeCell ref="J8:K8"/>
    <mergeCell ref="N8:O8"/>
    <mergeCell ref="L8:M8"/>
    <mergeCell ref="H7:I7"/>
    <mergeCell ref="R7:S7"/>
    <mergeCell ref="P7:Q7"/>
    <mergeCell ref="J7:K7"/>
    <mergeCell ref="N7:O7"/>
    <mergeCell ref="L7:M7"/>
    <mergeCell ref="A63:B63"/>
    <mergeCell ref="H9:I9"/>
    <mergeCell ref="R9:S9"/>
    <mergeCell ref="P9:Q9"/>
    <mergeCell ref="J9:K9"/>
    <mergeCell ref="N9:O9"/>
    <mergeCell ref="A47:B47"/>
    <mergeCell ref="A51:B51"/>
    <mergeCell ref="A55:B55"/>
    <mergeCell ref="A59:B59"/>
    <mergeCell ref="L9:M9"/>
  </mergeCells>
  <conditionalFormatting sqref="H11:H18">
    <cfRule type="cellIs" dxfId="167" priority="9" operator="equal">
      <formula>"X"</formula>
    </cfRule>
    <cfRule type="cellIs" dxfId="166" priority="10" operator="equal">
      <formula>"I"</formula>
    </cfRule>
  </conditionalFormatting>
  <conditionalFormatting sqref="J11:J18">
    <cfRule type="cellIs" dxfId="165" priority="7" operator="equal">
      <formula>"X"</formula>
    </cfRule>
    <cfRule type="cellIs" dxfId="164" priority="8" operator="equal">
      <formula>"I"</formula>
    </cfRule>
  </conditionalFormatting>
  <conditionalFormatting sqref="L11:L18">
    <cfRule type="cellIs" dxfId="163" priority="5" operator="equal">
      <formula>"X"</formula>
    </cfRule>
    <cfRule type="cellIs" dxfId="162" priority="6" operator="equal">
      <formula>"I"</formula>
    </cfRule>
  </conditionalFormatting>
  <conditionalFormatting sqref="L48:L49">
    <cfRule type="cellIs" dxfId="161" priority="11" operator="equal">
      <formula>"X"</formula>
    </cfRule>
    <cfRule type="cellIs" dxfId="160" priority="12" operator="equal">
      <formula>"I"</formula>
    </cfRule>
  </conditionalFormatting>
  <conditionalFormatting sqref="N11:N18">
    <cfRule type="cellIs" dxfId="159" priority="3" operator="equal">
      <formula>"X"</formula>
    </cfRule>
    <cfRule type="cellIs" dxfId="158" priority="4" operator="equal">
      <formula>"I"</formula>
    </cfRule>
  </conditionalFormatting>
  <conditionalFormatting sqref="P11:P18">
    <cfRule type="cellIs" dxfId="157" priority="1" operator="equal">
      <formula>"X"</formula>
    </cfRule>
    <cfRule type="cellIs" dxfId="156" priority="2" operator="equal">
      <formula>"I"</formula>
    </cfRule>
  </conditionalFormatting>
  <conditionalFormatting sqref="R11:R18 H20:H39 J20:J39 L20:L39 N20:N39 P20:P39 R20:R39">
    <cfRule type="cellIs" dxfId="155" priority="25" operator="equal">
      <formula>"X"</formula>
    </cfRule>
    <cfRule type="cellIs" dxfId="154" priority="26" operator="equal">
      <formula>"I"</formula>
    </cfRule>
  </conditionalFormatting>
  <hyperlinks>
    <hyperlink ref="B4" location="'Cost Summary'!A1" display="BACK TO SUMMARY SHEET" xr:uid="{AA2EE1D8-7D40-4709-B962-542A2AB1708B}"/>
    <hyperlink ref="P8:Q8" r:id="rId1" display="martinoffice@martinacoustics.net" xr:uid="{D98B33DE-125B-4953-9333-1AB6DDB87302}"/>
    <hyperlink ref="J8:K8" r:id="rId2" display="aloymagarcia@acousti.com" xr:uid="{FF4EC510-0622-40B1-8611-6EB5F17ADF04}"/>
    <hyperlink ref="N8:O8" r:id="rId3" display="James@doradodrywall.com" xr:uid="{4769089A-10FB-45BD-9F9B-01379A2EE537}"/>
  </hyperlinks>
  <pageMargins left="0.2" right="0.2" top="0.5" bottom="0.75" header="0.3" footer="0.3"/>
  <pageSetup paperSize="3" scale="77" fitToHeight="0" orientation="landscape" r:id="rId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rgb="FF92D050"/>
    <pageSetUpPr fitToPage="1"/>
  </sheetPr>
  <dimension ref="A1:AA97"/>
  <sheetViews>
    <sheetView zoomScale="90" zoomScaleNormal="90" workbookViewId="0">
      <pane ySplit="10" topLeftCell="A36" activePane="bottomLeft" state="frozen"/>
      <selection pane="bottomLeft" activeCell="B36" sqref="B36"/>
      <selection activeCell="B4" sqref="B4"/>
    </sheetView>
  </sheetViews>
  <sheetFormatPr defaultColWidth="8.85546875" defaultRowHeight="15"/>
  <cols>
    <col min="1" max="1" width="10.7109375" customWidth="1"/>
    <col min="2" max="2" width="70.7109375" style="1" customWidth="1"/>
    <col min="3" max="3" width="13.7109375" style="2" customWidth="1"/>
    <col min="4" max="4" width="15.7109375" style="165" customWidth="1"/>
    <col min="5" max="5" width="13" style="79" customWidth="1"/>
    <col min="6" max="6" width="16.42578125" style="2" bestFit="1" customWidth="1"/>
    <col min="7" max="7" width="15.28515625" style="2" bestFit="1" customWidth="1"/>
    <col min="8" max="8" width="7.42578125" style="2" bestFit="1" customWidth="1"/>
    <col min="9" max="9" width="14.85546875" style="2" customWidth="1"/>
    <col min="10" max="10" width="7.28515625" style="2" customWidth="1"/>
    <col min="11" max="11" width="14.85546875" style="2" customWidth="1"/>
    <col min="12" max="12" width="7.42578125" style="2" bestFit="1" customWidth="1"/>
    <col min="13" max="13" width="14.85546875" style="2" customWidth="1"/>
    <col min="14" max="14" width="7.42578125" style="2" customWidth="1"/>
    <col min="15" max="15" width="14.85546875" style="2" customWidth="1"/>
    <col min="16" max="16" width="7.42578125" style="2" customWidth="1"/>
    <col min="17" max="17" width="14.85546875" style="2" customWidth="1"/>
  </cols>
  <sheetData>
    <row r="1" spans="1:15">
      <c r="F1" s="178"/>
      <c r="G1" s="56" t="s">
        <v>2928</v>
      </c>
      <c r="J1"/>
      <c r="K1"/>
      <c r="N1"/>
      <c r="O1"/>
    </row>
    <row r="2" spans="1:15">
      <c r="F2" s="179" t="s">
        <v>2929</v>
      </c>
      <c r="G2" s="56" t="s">
        <v>2930</v>
      </c>
      <c r="J2"/>
      <c r="K2"/>
      <c r="N2"/>
      <c r="O2"/>
    </row>
    <row r="3" spans="1:15">
      <c r="F3" s="180" t="s">
        <v>2931</v>
      </c>
      <c r="G3" s="56" t="s">
        <v>2932</v>
      </c>
      <c r="J3"/>
      <c r="K3"/>
      <c r="N3"/>
      <c r="O3"/>
    </row>
    <row r="4" spans="1:15">
      <c r="B4" s="181" t="s">
        <v>2933</v>
      </c>
      <c r="F4" s="170"/>
      <c r="G4" s="2" t="s">
        <v>2934</v>
      </c>
      <c r="J4" s="984"/>
      <c r="K4" s="984"/>
      <c r="L4" s="968" t="s">
        <v>5766</v>
      </c>
      <c r="M4" s="968"/>
      <c r="N4" s="984"/>
      <c r="O4" s="984"/>
    </row>
    <row r="5" spans="1:15" ht="15.75" customHeight="1">
      <c r="A5" s="3" t="s">
        <v>2935</v>
      </c>
      <c r="B5" s="4" t="str">
        <f>'Area Calculations'!B4</f>
        <v>Atlantic Fields Club Core / Dock Bar / Spa Pods / Water Features</v>
      </c>
      <c r="C5" s="5"/>
      <c r="D5" s="166"/>
      <c r="E5" s="171"/>
      <c r="F5" s="5"/>
      <c r="G5" s="6" t="s">
        <v>2936</v>
      </c>
      <c r="H5" s="982" t="s">
        <v>5525</v>
      </c>
      <c r="I5" s="982"/>
      <c r="J5" s="841" t="s">
        <v>5527</v>
      </c>
      <c r="K5" s="841"/>
      <c r="L5" s="841" t="s">
        <v>5526</v>
      </c>
      <c r="M5" s="841"/>
      <c r="N5" s="841" t="s">
        <v>5528</v>
      </c>
      <c r="O5" s="841"/>
    </row>
    <row r="6" spans="1:15">
      <c r="A6" s="2405" t="s">
        <v>2938</v>
      </c>
      <c r="B6" s="2406" t="s">
        <v>2577</v>
      </c>
      <c r="C6" s="2407"/>
      <c r="D6" s="2408"/>
      <c r="E6" s="2409"/>
      <c r="F6" s="2407"/>
      <c r="G6" s="657" t="s">
        <v>2939</v>
      </c>
      <c r="H6" s="2410" t="s">
        <v>5532</v>
      </c>
      <c r="I6" s="2410"/>
      <c r="J6" s="2410" t="s">
        <v>5767</v>
      </c>
      <c r="K6" s="2410"/>
      <c r="L6" s="2410" t="s">
        <v>5533</v>
      </c>
      <c r="M6" s="2410"/>
      <c r="N6" s="2410" t="s">
        <v>5535</v>
      </c>
      <c r="O6" s="2410"/>
    </row>
    <row r="7" spans="1:15">
      <c r="A7" s="2405" t="s">
        <v>2940</v>
      </c>
      <c r="B7" s="2413" t="s">
        <v>2720</v>
      </c>
      <c r="C7" s="2407"/>
      <c r="D7" s="2408"/>
      <c r="E7" s="2409"/>
      <c r="F7" s="2407"/>
      <c r="G7" s="2414" t="s">
        <v>2941</v>
      </c>
      <c r="H7" s="2415" t="s">
        <v>5537</v>
      </c>
      <c r="I7" s="2415"/>
      <c r="J7" s="2415" t="s">
        <v>5539</v>
      </c>
      <c r="K7" s="2415"/>
      <c r="L7" s="2608" t="s">
        <v>5538</v>
      </c>
      <c r="M7" s="2608"/>
      <c r="N7" s="2415" t="s">
        <v>5540</v>
      </c>
      <c r="O7" s="2415"/>
    </row>
    <row r="8" spans="1:15">
      <c r="A8" s="2405" t="s">
        <v>2942</v>
      </c>
      <c r="B8" s="2418"/>
      <c r="C8" s="2407"/>
      <c r="D8" s="2408"/>
      <c r="E8" s="2409"/>
      <c r="F8" s="2407"/>
      <c r="G8" s="2414" t="s">
        <v>2943</v>
      </c>
      <c r="H8" s="2419" t="s">
        <v>5542</v>
      </c>
      <c r="I8" s="2419"/>
      <c r="J8" s="2419" t="s">
        <v>5544</v>
      </c>
      <c r="K8" s="2419"/>
      <c r="L8" s="2419" t="s">
        <v>5543</v>
      </c>
      <c r="M8" s="2419"/>
      <c r="N8" s="2419" t="s">
        <v>5545</v>
      </c>
      <c r="O8" s="2419"/>
    </row>
    <row r="9" spans="1:15" ht="15.75" customHeight="1">
      <c r="A9" s="2423"/>
      <c r="B9" s="2424"/>
      <c r="C9" s="616"/>
      <c r="D9" s="621"/>
      <c r="E9" s="622"/>
      <c r="F9" s="2425"/>
      <c r="G9" s="2426" t="s">
        <v>2944</v>
      </c>
      <c r="H9" s="2427">
        <f>I60</f>
        <v>291259.59000000003</v>
      </c>
      <c r="I9" s="2427"/>
      <c r="J9" s="2427">
        <f>K60</f>
        <v>293964.32999999996</v>
      </c>
      <c r="K9" s="2427"/>
      <c r="L9" s="2427">
        <f>M60</f>
        <v>687175</v>
      </c>
      <c r="M9" s="2427"/>
      <c r="N9" s="2427">
        <f>O60</f>
        <v>0</v>
      </c>
      <c r="O9" s="2427"/>
    </row>
    <row r="10" spans="1:15" s="175" customFormat="1" ht="30">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row>
    <row r="11" spans="1:15">
      <c r="A11" s="2609"/>
      <c r="B11" s="1618" t="s">
        <v>2953</v>
      </c>
      <c r="C11" s="659"/>
      <c r="D11" s="2408"/>
      <c r="E11" s="2409"/>
      <c r="F11" s="2407"/>
      <c r="G11" s="660"/>
      <c r="H11" s="2431"/>
      <c r="I11" s="2338"/>
      <c r="J11" s="2431"/>
      <c r="K11" s="2339"/>
      <c r="L11" s="2431"/>
      <c r="M11" s="182"/>
      <c r="N11" s="2431"/>
      <c r="O11" s="2339"/>
    </row>
    <row r="12" spans="1:15">
      <c r="A12" s="2610"/>
      <c r="B12" s="1622" t="s">
        <v>2954</v>
      </c>
      <c r="C12" s="2407"/>
      <c r="D12" s="2408"/>
      <c r="E12" s="2409"/>
      <c r="F12" s="2407"/>
      <c r="G12" s="660"/>
      <c r="H12" s="790" t="s">
        <v>3028</v>
      </c>
      <c r="I12" s="2338"/>
      <c r="J12" s="790" t="s">
        <v>3028</v>
      </c>
      <c r="K12" s="2339"/>
      <c r="L12" s="790" t="s">
        <v>3028</v>
      </c>
      <c r="M12" s="2339"/>
      <c r="N12" s="2431"/>
      <c r="O12" s="2339"/>
    </row>
    <row r="13" spans="1:15">
      <c r="A13" s="2432"/>
      <c r="B13" s="2611" t="s">
        <v>2955</v>
      </c>
      <c r="C13" s="2407"/>
      <c r="D13" s="2408"/>
      <c r="E13" s="2409"/>
      <c r="F13" s="2407"/>
      <c r="G13" s="660"/>
      <c r="H13" s="790" t="s">
        <v>3028</v>
      </c>
      <c r="I13" s="2338"/>
      <c r="J13" s="790" t="s">
        <v>3028</v>
      </c>
      <c r="K13" s="2339"/>
      <c r="L13" s="790" t="s">
        <v>3028</v>
      </c>
      <c r="M13" s="2339"/>
      <c r="N13" s="2431"/>
      <c r="O13" s="2339"/>
    </row>
    <row r="14" spans="1:15">
      <c r="A14" s="2432"/>
      <c r="B14" s="2612" t="s">
        <v>2956</v>
      </c>
      <c r="C14" s="2407"/>
      <c r="D14" s="2408"/>
      <c r="E14" s="2409"/>
      <c r="F14" s="2407"/>
      <c r="G14" s="660"/>
      <c r="H14" s="790" t="s">
        <v>3807</v>
      </c>
      <c r="I14" s="2338"/>
      <c r="J14" s="790" t="s">
        <v>3807</v>
      </c>
      <c r="K14" s="2339"/>
      <c r="L14" s="790" t="s">
        <v>3807</v>
      </c>
      <c r="M14" s="2339"/>
      <c r="N14" s="2431"/>
      <c r="O14" s="2339"/>
    </row>
    <row r="15" spans="1:15">
      <c r="A15" s="2432"/>
      <c r="B15" s="2612" t="s">
        <v>2957</v>
      </c>
      <c r="C15" s="2407"/>
      <c r="D15" s="2408"/>
      <c r="E15" s="2409"/>
      <c r="F15" s="2407"/>
      <c r="G15" s="660"/>
      <c r="H15" s="790" t="s">
        <v>3028</v>
      </c>
      <c r="I15" s="2338"/>
      <c r="J15" s="790" t="s">
        <v>3028</v>
      </c>
      <c r="K15" s="2338"/>
      <c r="L15" s="790" t="s">
        <v>3028</v>
      </c>
      <c r="M15" s="2338"/>
      <c r="N15" s="2431"/>
      <c r="O15" s="2338"/>
    </row>
    <row r="16" spans="1:15">
      <c r="A16" s="2432"/>
      <c r="B16" s="2612" t="s">
        <v>2958</v>
      </c>
      <c r="C16" s="2407"/>
      <c r="D16" s="2408"/>
      <c r="E16" s="2409"/>
      <c r="F16" s="2407"/>
      <c r="G16" s="660"/>
      <c r="H16" s="790" t="s">
        <v>3028</v>
      </c>
      <c r="I16" s="2338"/>
      <c r="J16" s="790" t="s">
        <v>3028</v>
      </c>
      <c r="K16" s="2339"/>
      <c r="L16" s="790" t="s">
        <v>3028</v>
      </c>
      <c r="M16" s="2339"/>
      <c r="N16" s="2431"/>
      <c r="O16" s="2339"/>
    </row>
    <row r="17" spans="1:15">
      <c r="A17" s="2432"/>
      <c r="B17" s="2612" t="s">
        <v>2959</v>
      </c>
      <c r="C17" s="2407"/>
      <c r="D17" s="2408"/>
      <c r="E17" s="2409"/>
      <c r="F17" s="2407"/>
      <c r="G17" s="660"/>
      <c r="H17" s="790" t="s">
        <v>3028</v>
      </c>
      <c r="I17" s="2338"/>
      <c r="J17" s="790" t="s">
        <v>3028</v>
      </c>
      <c r="K17" s="2339"/>
      <c r="L17" s="790" t="s">
        <v>3028</v>
      </c>
      <c r="M17" s="2339"/>
      <c r="N17" s="2431"/>
      <c r="O17" s="2339"/>
    </row>
    <row r="18" spans="1:15">
      <c r="A18" s="2432"/>
      <c r="B18" s="2613" t="s">
        <v>2960</v>
      </c>
      <c r="C18" s="2407"/>
      <c r="D18" s="2408"/>
      <c r="E18" s="2409"/>
      <c r="F18" s="2407"/>
      <c r="G18" s="660"/>
      <c r="H18" s="2431"/>
      <c r="I18" s="2338"/>
      <c r="J18" s="2431"/>
      <c r="K18" s="2453"/>
      <c r="L18" s="2431"/>
      <c r="M18" s="2339"/>
      <c r="N18" s="2431"/>
      <c r="O18" s="2339"/>
    </row>
    <row r="19" spans="1:15">
      <c r="A19" s="2432"/>
      <c r="B19" s="2614" t="s">
        <v>2961</v>
      </c>
      <c r="C19" s="2433"/>
      <c r="D19" s="2434"/>
      <c r="E19" s="2435"/>
      <c r="F19" s="2436"/>
      <c r="G19" s="661"/>
      <c r="H19" s="2437"/>
      <c r="I19" s="2347"/>
      <c r="J19" s="2437"/>
      <c r="K19" s="2346"/>
      <c r="L19" s="2437"/>
      <c r="M19" s="2346"/>
      <c r="N19" s="2437"/>
      <c r="O19" s="2346"/>
    </row>
    <row r="20" spans="1:15">
      <c r="A20" s="2432"/>
      <c r="B20" s="2615"/>
      <c r="C20" s="2407"/>
      <c r="D20" s="2408"/>
      <c r="E20" s="2409"/>
      <c r="F20" s="2438"/>
      <c r="G20" s="660"/>
      <c r="H20" s="2431"/>
      <c r="I20" s="2349"/>
      <c r="J20" s="2431"/>
      <c r="K20" s="2349"/>
      <c r="L20" s="2431"/>
      <c r="M20" s="2350"/>
      <c r="N20" s="2431"/>
      <c r="O20" s="2349"/>
    </row>
    <row r="21" spans="1:15">
      <c r="A21" s="2432"/>
      <c r="B21" s="2617" t="s">
        <v>5548</v>
      </c>
      <c r="C21" s="2407"/>
      <c r="D21" s="2408"/>
      <c r="E21" s="2409"/>
      <c r="F21" s="2438"/>
      <c r="G21" s="662"/>
      <c r="H21" s="2431" t="s">
        <v>3028</v>
      </c>
      <c r="I21" s="2350">
        <f>18112.19</f>
        <v>18112.189999999999</v>
      </c>
      <c r="J21" s="2431" t="s">
        <v>3028</v>
      </c>
      <c r="K21" s="2349">
        <f>9089+29455.1+118075.23</f>
        <v>156619.32999999999</v>
      </c>
      <c r="L21" s="2431" t="s">
        <v>3028</v>
      </c>
      <c r="M21" s="2350">
        <v>149400</v>
      </c>
      <c r="N21" s="2431"/>
      <c r="O21" s="2349"/>
    </row>
    <row r="22" spans="1:15">
      <c r="A22" s="2432"/>
      <c r="B22" s="2618" t="s">
        <v>2577</v>
      </c>
      <c r="C22" s="2407"/>
      <c r="D22" s="2408"/>
      <c r="E22" s="2409"/>
      <c r="F22" s="2438"/>
      <c r="G22" s="662"/>
      <c r="H22" s="2431" t="s">
        <v>3028</v>
      </c>
      <c r="I22" s="2350"/>
      <c r="J22" s="2431" t="s">
        <v>3028</v>
      </c>
      <c r="K22" s="2349"/>
      <c r="L22" s="2431" t="s">
        <v>3028</v>
      </c>
      <c r="M22" s="2350"/>
      <c r="N22" s="2431"/>
      <c r="O22" s="2349"/>
    </row>
    <row r="23" spans="1:15">
      <c r="A23" s="2432"/>
      <c r="B23" s="2646" t="s">
        <v>5768</v>
      </c>
      <c r="C23" s="2407"/>
      <c r="D23" s="2441">
        <v>76</v>
      </c>
      <c r="E23" s="2409" t="s">
        <v>5769</v>
      </c>
      <c r="F23" s="2438">
        <v>85</v>
      </c>
      <c r="G23" s="669">
        <f>D23*F23</f>
        <v>6460</v>
      </c>
      <c r="H23" s="2431" t="s">
        <v>3028</v>
      </c>
      <c r="I23" s="2444"/>
      <c r="J23" s="2431" t="s">
        <v>3028</v>
      </c>
      <c r="K23" s="2443"/>
      <c r="L23" s="2431" t="s">
        <v>3028</v>
      </c>
      <c r="M23" s="2444"/>
      <c r="N23" s="2442"/>
      <c r="O23" s="2443"/>
    </row>
    <row r="24" spans="1:15">
      <c r="A24" s="2432"/>
      <c r="B24" s="2627" t="s">
        <v>4283</v>
      </c>
      <c r="C24" s="2407"/>
      <c r="D24" s="2441"/>
      <c r="E24" s="2409"/>
      <c r="F24" s="2438"/>
      <c r="G24" s="669"/>
      <c r="H24" s="2431" t="s">
        <v>3028</v>
      </c>
      <c r="I24" s="2444"/>
      <c r="J24" s="2431" t="s">
        <v>3028</v>
      </c>
      <c r="K24" s="2443"/>
      <c r="L24" s="2431" t="s">
        <v>3028</v>
      </c>
      <c r="M24" s="2444"/>
      <c r="N24" s="2442"/>
      <c r="O24" s="2443"/>
    </row>
    <row r="25" spans="1:15">
      <c r="A25" s="2432"/>
      <c r="B25" s="2646" t="s">
        <v>5770</v>
      </c>
      <c r="C25" s="2407"/>
      <c r="D25" s="2441">
        <v>76</v>
      </c>
      <c r="E25" s="2409" t="s">
        <v>5769</v>
      </c>
      <c r="F25" s="2438">
        <v>60</v>
      </c>
      <c r="G25" s="669">
        <f>D25*F25</f>
        <v>4560</v>
      </c>
      <c r="H25" s="2431" t="s">
        <v>3028</v>
      </c>
      <c r="I25" s="2350"/>
      <c r="J25" s="2448" t="s">
        <v>4877</v>
      </c>
      <c r="K25" s="2622">
        <f>M25</f>
        <v>4560</v>
      </c>
      <c r="L25" s="2448" t="s">
        <v>4877</v>
      </c>
      <c r="M25" s="2622">
        <f>G25</f>
        <v>4560</v>
      </c>
      <c r="N25" s="2442"/>
      <c r="O25" s="2443"/>
    </row>
    <row r="26" spans="1:15">
      <c r="A26" s="2432"/>
      <c r="B26" s="2627" t="s">
        <v>4283</v>
      </c>
      <c r="C26" s="2407"/>
      <c r="D26" s="2441"/>
      <c r="E26" s="2409"/>
      <c r="F26" s="2438"/>
      <c r="G26" s="669"/>
      <c r="H26" s="2431" t="s">
        <v>3028</v>
      </c>
      <c r="I26" s="2444"/>
      <c r="J26" s="2448" t="s">
        <v>4877</v>
      </c>
      <c r="K26" s="2444"/>
      <c r="L26" s="2448" t="s">
        <v>4877</v>
      </c>
      <c r="M26" s="2444"/>
      <c r="N26" s="2442"/>
      <c r="O26" s="2443"/>
    </row>
    <row r="27" spans="1:15">
      <c r="A27" s="2432"/>
      <c r="B27" s="2616" t="s">
        <v>5771</v>
      </c>
      <c r="C27" s="2407"/>
      <c r="D27" s="2408">
        <v>1241</v>
      </c>
      <c r="E27" s="2409" t="s">
        <v>3112</v>
      </c>
      <c r="F27" s="2438">
        <v>13</v>
      </c>
      <c r="G27" s="669">
        <f>D27*F27</f>
        <v>16133</v>
      </c>
      <c r="H27" s="2431" t="s">
        <v>3028</v>
      </c>
      <c r="I27" s="2350"/>
      <c r="J27" s="2431" t="s">
        <v>3028</v>
      </c>
      <c r="K27" s="2349"/>
      <c r="L27" s="2431" t="s">
        <v>3028</v>
      </c>
      <c r="M27" s="2350"/>
      <c r="N27" s="2431"/>
      <c r="O27" s="2349"/>
    </row>
    <row r="28" spans="1:15">
      <c r="A28" s="2432"/>
      <c r="B28" s="2615" t="s">
        <v>5772</v>
      </c>
      <c r="C28" s="2407"/>
      <c r="D28" s="2408"/>
      <c r="E28" s="2409"/>
      <c r="F28" s="2438"/>
      <c r="G28" s="662"/>
      <c r="H28" s="2431" t="s">
        <v>3028</v>
      </c>
      <c r="I28" s="2350"/>
      <c r="J28" s="2431" t="s">
        <v>3028</v>
      </c>
      <c r="K28" s="2349"/>
      <c r="L28" s="2431" t="s">
        <v>3028</v>
      </c>
      <c r="M28" s="2350"/>
      <c r="N28" s="2431"/>
      <c r="O28" s="2349"/>
    </row>
    <row r="29" spans="1:15">
      <c r="A29" s="2432"/>
      <c r="B29" s="2618" t="s">
        <v>5576</v>
      </c>
      <c r="C29" s="2407"/>
      <c r="D29" s="2408"/>
      <c r="E29" s="2409"/>
      <c r="F29" s="2438"/>
      <c r="G29" s="662"/>
      <c r="H29" s="2431" t="s">
        <v>3028</v>
      </c>
      <c r="I29" s="2350"/>
      <c r="J29" s="2431" t="s">
        <v>3028</v>
      </c>
      <c r="K29" s="2349"/>
      <c r="L29" s="2431" t="s">
        <v>3807</v>
      </c>
      <c r="M29" s="2350"/>
      <c r="N29" s="2431"/>
      <c r="O29" s="2349"/>
    </row>
    <row r="30" spans="1:15">
      <c r="A30" s="2432"/>
      <c r="B30" s="2616" t="s">
        <v>5773</v>
      </c>
      <c r="C30" s="2407"/>
      <c r="D30" s="2408">
        <f>150+93+186</f>
        <v>429</v>
      </c>
      <c r="E30" s="2409" t="s">
        <v>48</v>
      </c>
      <c r="F30" s="2438">
        <v>1.5</v>
      </c>
      <c r="G30" s="669">
        <f>D30*F30</f>
        <v>643.5</v>
      </c>
      <c r="H30" s="2431" t="s">
        <v>3028</v>
      </c>
      <c r="I30" s="2350"/>
      <c r="J30" s="2431" t="s">
        <v>3028</v>
      </c>
      <c r="K30" s="2349"/>
      <c r="L30" s="2431" t="s">
        <v>3807</v>
      </c>
      <c r="M30" s="2350"/>
      <c r="N30" s="2431"/>
      <c r="O30" s="2349"/>
    </row>
    <row r="31" spans="1:15" ht="30">
      <c r="A31" s="2432"/>
      <c r="B31" s="2620" t="s">
        <v>5717</v>
      </c>
      <c r="C31" s="2407"/>
      <c r="D31" s="2408"/>
      <c r="E31" s="2409"/>
      <c r="F31" s="2438"/>
      <c r="G31" s="662"/>
      <c r="H31" s="2431" t="s">
        <v>3028</v>
      </c>
      <c r="I31" s="2350"/>
      <c r="J31" s="2431" t="s">
        <v>3028</v>
      </c>
      <c r="K31" s="2349"/>
      <c r="L31" s="2431" t="s">
        <v>3807</v>
      </c>
      <c r="M31" s="2350"/>
      <c r="N31" s="2431"/>
      <c r="O31" s="2349"/>
    </row>
    <row r="32" spans="1:15">
      <c r="A32" s="2432"/>
      <c r="B32" s="2617" t="s">
        <v>5774</v>
      </c>
      <c r="C32" s="2407"/>
      <c r="D32" s="2408"/>
      <c r="E32" s="2409"/>
      <c r="F32" s="2438"/>
      <c r="G32" s="662"/>
      <c r="H32" s="2431" t="s">
        <v>3028</v>
      </c>
      <c r="I32" s="2350">
        <f>98754.14</f>
        <v>98754.14</v>
      </c>
      <c r="J32" s="2431" t="s">
        <v>3028</v>
      </c>
      <c r="K32" s="2349"/>
      <c r="L32" s="2431" t="s">
        <v>3028</v>
      </c>
      <c r="M32" s="2350">
        <v>8030</v>
      </c>
      <c r="N32" s="2431"/>
      <c r="O32" s="2349"/>
    </row>
    <row r="33" spans="1:15">
      <c r="A33" s="2432"/>
      <c r="B33" s="2616" t="s">
        <v>5775</v>
      </c>
      <c r="C33" s="2407"/>
      <c r="D33" s="2408">
        <v>3380</v>
      </c>
      <c r="E33" s="2409" t="s">
        <v>3112</v>
      </c>
      <c r="F33" s="2438">
        <v>20</v>
      </c>
      <c r="G33" s="669">
        <f>D33*F33</f>
        <v>67600</v>
      </c>
      <c r="H33" s="2431" t="s">
        <v>3028</v>
      </c>
      <c r="I33" s="2444"/>
      <c r="J33" s="2431" t="s">
        <v>3028</v>
      </c>
      <c r="K33" s="2443"/>
      <c r="L33" s="2431" t="s">
        <v>3028</v>
      </c>
      <c r="M33" s="2444"/>
      <c r="N33" s="2442"/>
      <c r="O33" s="2443"/>
    </row>
    <row r="34" spans="1:15">
      <c r="A34" s="2432"/>
      <c r="B34" s="2615" t="s">
        <v>579</v>
      </c>
      <c r="C34" s="2407"/>
      <c r="D34" s="2408"/>
      <c r="E34" s="2409"/>
      <c r="F34" s="2438"/>
      <c r="G34" s="662"/>
      <c r="H34" s="2431" t="s">
        <v>3028</v>
      </c>
      <c r="I34" s="2444"/>
      <c r="J34" s="2431" t="s">
        <v>3028</v>
      </c>
      <c r="K34" s="2443"/>
      <c r="L34" s="2431" t="s">
        <v>3028</v>
      </c>
      <c r="M34" s="2444"/>
      <c r="N34" s="2442"/>
      <c r="O34" s="2443"/>
    </row>
    <row r="35" spans="1:15">
      <c r="A35" s="2432"/>
      <c r="B35" s="2616" t="s">
        <v>5776</v>
      </c>
      <c r="C35" s="2407"/>
      <c r="D35" s="2408">
        <v>597</v>
      </c>
      <c r="E35" s="2409" t="s">
        <v>3112</v>
      </c>
      <c r="F35" s="2438">
        <v>20</v>
      </c>
      <c r="G35" s="669">
        <f>D35*F35</f>
        <v>11940</v>
      </c>
      <c r="H35" s="2431" t="s">
        <v>3028</v>
      </c>
      <c r="I35" s="2350"/>
      <c r="J35" s="2431" t="s">
        <v>3028</v>
      </c>
      <c r="K35" s="2349"/>
      <c r="L35" s="2431" t="s">
        <v>3028</v>
      </c>
      <c r="M35" s="2350"/>
      <c r="N35" s="2431"/>
      <c r="O35" s="2349"/>
    </row>
    <row r="36" spans="1:15">
      <c r="A36" s="2432"/>
      <c r="B36" s="2615" t="s">
        <v>579</v>
      </c>
      <c r="C36" s="2407"/>
      <c r="D36" s="2408"/>
      <c r="E36" s="2409"/>
      <c r="F36" s="2438"/>
      <c r="G36" s="662"/>
      <c r="H36" s="2431" t="s">
        <v>3028</v>
      </c>
      <c r="I36" s="2350"/>
      <c r="J36" s="2431" t="s">
        <v>3028</v>
      </c>
      <c r="K36" s="2349"/>
      <c r="L36" s="2431" t="s">
        <v>3028</v>
      </c>
      <c r="M36" s="2350"/>
      <c r="N36" s="2431"/>
      <c r="O36" s="2349"/>
    </row>
    <row r="37" spans="1:15" ht="30">
      <c r="A37" s="2432"/>
      <c r="B37" s="2619" t="s">
        <v>5777</v>
      </c>
      <c r="C37" s="2407"/>
      <c r="D37" s="2408">
        <v>6459</v>
      </c>
      <c r="E37" s="2409" t="s">
        <v>3112</v>
      </c>
      <c r="F37" s="2438">
        <v>2.5</v>
      </c>
      <c r="G37" s="669">
        <f>D37*F37</f>
        <v>16147.5</v>
      </c>
      <c r="H37" s="2431" t="s">
        <v>3028</v>
      </c>
      <c r="I37" s="2350"/>
      <c r="J37" s="2431" t="s">
        <v>3028</v>
      </c>
      <c r="K37" s="2349"/>
      <c r="L37" s="2431" t="s">
        <v>3028</v>
      </c>
      <c r="M37" s="2350"/>
      <c r="N37" s="2431"/>
      <c r="O37" s="2349"/>
    </row>
    <row r="38" spans="1:15">
      <c r="A38" s="2432"/>
      <c r="B38" s="2615" t="s">
        <v>5778</v>
      </c>
      <c r="C38" s="2407"/>
      <c r="D38" s="2408"/>
      <c r="E38" s="2409"/>
      <c r="F38" s="2438"/>
      <c r="G38" s="662"/>
      <c r="H38" s="2431" t="s">
        <v>3028</v>
      </c>
      <c r="I38" s="2350"/>
      <c r="J38" s="2431" t="s">
        <v>3028</v>
      </c>
      <c r="K38" s="2349"/>
      <c r="L38" s="2431" t="s">
        <v>3028</v>
      </c>
      <c r="M38" s="2350"/>
      <c r="N38" s="2431"/>
      <c r="O38" s="2349"/>
    </row>
    <row r="39" spans="1:15">
      <c r="A39" s="2432"/>
      <c r="B39" s="2618" t="s">
        <v>5576</v>
      </c>
      <c r="C39" s="2407"/>
      <c r="D39" s="2408"/>
      <c r="E39" s="2409"/>
      <c r="F39" s="2438"/>
      <c r="G39" s="662"/>
      <c r="H39" s="2431" t="s">
        <v>3028</v>
      </c>
      <c r="I39" s="2350"/>
      <c r="J39" s="2431" t="s">
        <v>3028</v>
      </c>
      <c r="K39" s="2349"/>
      <c r="L39" s="2431" t="s">
        <v>3807</v>
      </c>
      <c r="M39" s="2350"/>
      <c r="N39" s="2431"/>
      <c r="O39" s="2349"/>
    </row>
    <row r="40" spans="1:15">
      <c r="A40" s="2432"/>
      <c r="B40" s="2616" t="s">
        <v>5773</v>
      </c>
      <c r="C40" s="2407"/>
      <c r="D40" s="2408">
        <v>1200</v>
      </c>
      <c r="E40" s="2409" t="s">
        <v>48</v>
      </c>
      <c r="F40" s="2438">
        <v>1.5</v>
      </c>
      <c r="G40" s="669">
        <f>D40*F40</f>
        <v>1800</v>
      </c>
      <c r="H40" s="2431" t="s">
        <v>3028</v>
      </c>
      <c r="I40" s="2350"/>
      <c r="J40" s="2431" t="s">
        <v>3028</v>
      </c>
      <c r="K40" s="2349"/>
      <c r="L40" s="2431" t="s">
        <v>3807</v>
      </c>
      <c r="M40" s="2350"/>
      <c r="N40" s="2431"/>
      <c r="O40" s="2349"/>
    </row>
    <row r="41" spans="1:15" ht="45">
      <c r="A41" s="2432"/>
      <c r="B41" s="2620" t="s">
        <v>5718</v>
      </c>
      <c r="C41" s="2407"/>
      <c r="D41" s="2408"/>
      <c r="E41" s="2409"/>
      <c r="F41" s="2438"/>
      <c r="G41" s="669"/>
      <c r="H41" s="2431" t="s">
        <v>3028</v>
      </c>
      <c r="I41" s="2350"/>
      <c r="J41" s="2431" t="s">
        <v>3028</v>
      </c>
      <c r="K41" s="2349"/>
      <c r="L41" s="2431" t="s">
        <v>3807</v>
      </c>
      <c r="M41" s="2350"/>
      <c r="N41" s="2431"/>
      <c r="O41" s="2349"/>
    </row>
    <row r="42" spans="1:15">
      <c r="A42" s="2432"/>
      <c r="B42" s="2617" t="s">
        <v>5599</v>
      </c>
      <c r="C42" s="2407"/>
      <c r="D42" s="2408"/>
      <c r="E42" s="2409"/>
      <c r="F42" s="2438"/>
      <c r="G42" s="662"/>
      <c r="H42" s="2431" t="s">
        <v>3028</v>
      </c>
      <c r="I42" s="2350">
        <f>29842.08</f>
        <v>29842.080000000002</v>
      </c>
      <c r="J42" s="2431" t="s">
        <v>3028</v>
      </c>
      <c r="K42" s="2349"/>
      <c r="L42" s="2431" t="s">
        <v>3807</v>
      </c>
      <c r="M42" s="2350">
        <v>392400</v>
      </c>
      <c r="N42" s="2431"/>
      <c r="O42" s="2349"/>
    </row>
    <row r="43" spans="1:15" ht="30">
      <c r="A43" s="2432"/>
      <c r="B43" s="2619" t="s">
        <v>5777</v>
      </c>
      <c r="C43" s="2407"/>
      <c r="D43" s="2408"/>
      <c r="E43" s="2409" t="s">
        <v>3112</v>
      </c>
      <c r="F43" s="2438"/>
      <c r="G43" s="669"/>
      <c r="H43" s="2431" t="s">
        <v>3028</v>
      </c>
      <c r="I43" s="2350"/>
      <c r="J43" s="2431" t="s">
        <v>3028</v>
      </c>
      <c r="K43" s="2349"/>
      <c r="L43" s="2431" t="s">
        <v>3807</v>
      </c>
      <c r="M43" s="2350"/>
      <c r="N43" s="2431"/>
      <c r="O43" s="2349"/>
    </row>
    <row r="44" spans="1:15" ht="45">
      <c r="A44" s="2432"/>
      <c r="B44" s="2620" t="s">
        <v>5779</v>
      </c>
      <c r="C44" s="2407"/>
      <c r="D44" s="2408"/>
      <c r="E44" s="2409"/>
      <c r="F44" s="2438"/>
      <c r="G44" s="662"/>
      <c r="H44" s="2431" t="s">
        <v>3028</v>
      </c>
      <c r="I44" s="2350"/>
      <c r="J44" s="2431" t="s">
        <v>3028</v>
      </c>
      <c r="K44" s="2349"/>
      <c r="L44" s="2431" t="s">
        <v>3807</v>
      </c>
      <c r="M44" s="2350"/>
      <c r="N44" s="2431"/>
      <c r="O44" s="2349"/>
    </row>
    <row r="45" spans="1:15">
      <c r="A45" s="2432"/>
      <c r="B45" s="2618" t="s">
        <v>5576</v>
      </c>
      <c r="C45" s="2407"/>
      <c r="D45" s="2408"/>
      <c r="E45" s="2409"/>
      <c r="F45" s="2438"/>
      <c r="G45" s="662"/>
      <c r="H45" s="2431" t="s">
        <v>3028</v>
      </c>
      <c r="I45" s="2350"/>
      <c r="J45" s="2431" t="s">
        <v>3028</v>
      </c>
      <c r="K45" s="2349"/>
      <c r="L45" s="2431" t="s">
        <v>3807</v>
      </c>
      <c r="M45" s="2350"/>
      <c r="N45" s="2431"/>
      <c r="O45" s="2349"/>
    </row>
    <row r="46" spans="1:15">
      <c r="A46" s="2432"/>
      <c r="B46" s="2616" t="s">
        <v>5773</v>
      </c>
      <c r="C46" s="2407"/>
      <c r="D46" s="2408"/>
      <c r="E46" s="2409"/>
      <c r="F46" s="2438"/>
      <c r="G46" s="662"/>
      <c r="H46" s="2431" t="s">
        <v>3028</v>
      </c>
      <c r="I46" s="2350"/>
      <c r="J46" s="2431" t="s">
        <v>3028</v>
      </c>
      <c r="K46" s="2349"/>
      <c r="L46" s="2431" t="s">
        <v>3807</v>
      </c>
      <c r="M46" s="2350"/>
      <c r="N46" s="2431"/>
      <c r="O46" s="2349"/>
    </row>
    <row r="47" spans="1:15" ht="30">
      <c r="A47" s="2432"/>
      <c r="B47" s="2620" t="s">
        <v>5780</v>
      </c>
      <c r="C47" s="2407"/>
      <c r="D47" s="2408"/>
      <c r="E47" s="2409"/>
      <c r="F47" s="2438"/>
      <c r="G47" s="662"/>
      <c r="H47" s="2431" t="s">
        <v>3028</v>
      </c>
      <c r="I47" s="2350"/>
      <c r="J47" s="2431" t="s">
        <v>3028</v>
      </c>
      <c r="K47" s="2349"/>
      <c r="L47" s="2431" t="s">
        <v>3807</v>
      </c>
      <c r="M47" s="2350"/>
      <c r="N47" s="2431"/>
      <c r="O47" s="2349"/>
    </row>
    <row r="48" spans="1:15">
      <c r="A48" s="2432"/>
      <c r="B48" s="2615" t="s">
        <v>5781</v>
      </c>
      <c r="C48" s="2407"/>
      <c r="D48" s="2408">
        <v>1</v>
      </c>
      <c r="E48" s="2409" t="s">
        <v>5208</v>
      </c>
      <c r="F48" s="2438">
        <v>132785</v>
      </c>
      <c r="G48" s="662">
        <f>ROUND(D48*F48,0)</f>
        <v>132785</v>
      </c>
      <c r="H48" s="2448" t="s">
        <v>3028</v>
      </c>
      <c r="I48" s="2444">
        <v>132785</v>
      </c>
      <c r="J48" s="2448" t="s">
        <v>4877</v>
      </c>
      <c r="K48" s="2622">
        <f>G48</f>
        <v>132785</v>
      </c>
      <c r="L48" s="2448" t="s">
        <v>4877</v>
      </c>
      <c r="M48" s="2622">
        <f>G48</f>
        <v>132785</v>
      </c>
      <c r="N48" s="2431"/>
      <c r="O48" s="2349"/>
    </row>
    <row r="49" spans="1:15">
      <c r="A49" s="2432"/>
      <c r="B49" s="2617" t="s">
        <v>5761</v>
      </c>
      <c r="C49" s="2407"/>
      <c r="D49" s="2408"/>
      <c r="E49" s="2409"/>
      <c r="F49" s="2438"/>
      <c r="G49" s="662"/>
      <c r="H49" s="2431" t="s">
        <v>3028</v>
      </c>
      <c r="I49" s="2350">
        <f>11766.18</f>
        <v>11766.18</v>
      </c>
      <c r="J49" s="2431" t="s">
        <v>3028</v>
      </c>
      <c r="K49" s="2349"/>
      <c r="L49" s="2431" t="s">
        <v>3807</v>
      </c>
      <c r="M49" s="2350"/>
      <c r="N49" s="2431"/>
      <c r="O49" s="2349"/>
    </row>
    <row r="50" spans="1:15">
      <c r="A50" s="2432"/>
      <c r="B50" s="2618" t="s">
        <v>2577</v>
      </c>
      <c r="C50" s="2407"/>
      <c r="D50" s="2408"/>
      <c r="E50" s="2409"/>
      <c r="F50" s="2438"/>
      <c r="G50" s="662"/>
      <c r="H50" s="2431" t="s">
        <v>3028</v>
      </c>
      <c r="I50" s="2350"/>
      <c r="J50" s="2431" t="s">
        <v>3028</v>
      </c>
      <c r="K50" s="2349"/>
      <c r="L50" s="2431" t="s">
        <v>3807</v>
      </c>
      <c r="M50" s="2350"/>
      <c r="N50" s="2431"/>
      <c r="O50" s="2349"/>
    </row>
    <row r="51" spans="1:15">
      <c r="A51" s="2432"/>
      <c r="B51" s="2616" t="s">
        <v>5782</v>
      </c>
      <c r="C51" s="2407"/>
      <c r="D51" s="2408"/>
      <c r="E51" s="2409" t="s">
        <v>3112</v>
      </c>
      <c r="F51" s="2438"/>
      <c r="G51" s="662"/>
      <c r="H51" s="2431" t="s">
        <v>3028</v>
      </c>
      <c r="I51" s="2350"/>
      <c r="J51" s="2431" t="s">
        <v>3028</v>
      </c>
      <c r="K51" s="2349"/>
      <c r="L51" s="2431" t="s">
        <v>3807</v>
      </c>
      <c r="M51" s="2350"/>
      <c r="N51" s="2431"/>
      <c r="O51" s="2349"/>
    </row>
    <row r="52" spans="1:15" ht="30">
      <c r="A52" s="2432"/>
      <c r="B52" s="2620" t="s">
        <v>5783</v>
      </c>
      <c r="C52" s="2407"/>
      <c r="D52" s="2408"/>
      <c r="E52" s="2409"/>
      <c r="F52" s="2438"/>
      <c r="G52" s="662"/>
      <c r="H52" s="2431" t="s">
        <v>3028</v>
      </c>
      <c r="I52" s="2350"/>
      <c r="J52" s="2431" t="s">
        <v>3028</v>
      </c>
      <c r="K52" s="2349"/>
      <c r="L52" s="2431" t="s">
        <v>3807</v>
      </c>
      <c r="M52" s="2350"/>
      <c r="N52" s="2431"/>
      <c r="O52" s="2349"/>
    </row>
    <row r="53" spans="1:15">
      <c r="A53" s="2432"/>
      <c r="B53" s="2616" t="s">
        <v>5784</v>
      </c>
      <c r="C53" s="2407"/>
      <c r="D53" s="2408"/>
      <c r="E53" s="2409"/>
      <c r="F53" s="2438"/>
      <c r="G53" s="662"/>
      <c r="H53" s="2431" t="s">
        <v>3028</v>
      </c>
      <c r="I53" s="2350"/>
      <c r="J53" s="2431" t="s">
        <v>3028</v>
      </c>
      <c r="K53" s="2349"/>
      <c r="L53" s="2431" t="s">
        <v>3028</v>
      </c>
      <c r="M53" s="2350"/>
      <c r="N53" s="2431"/>
      <c r="O53" s="2349"/>
    </row>
    <row r="54" spans="1:15">
      <c r="A54" s="2432"/>
      <c r="B54" s="2615" t="s">
        <v>5785</v>
      </c>
      <c r="C54" s="2407"/>
      <c r="D54" s="2408">
        <v>1</v>
      </c>
      <c r="E54" s="2409" t="s">
        <v>5208</v>
      </c>
      <c r="F54" s="2438">
        <v>2000</v>
      </c>
      <c r="G54" s="662">
        <f t="shared" ref="G54" si="0">ROUND(D54*F54,0)</f>
        <v>2000</v>
      </c>
      <c r="H54" s="2431" t="s">
        <v>3028</v>
      </c>
      <c r="I54" s="2350"/>
      <c r="J54" s="2431" t="s">
        <v>3028</v>
      </c>
      <c r="K54" s="2349"/>
      <c r="L54" s="2431" t="s">
        <v>3028</v>
      </c>
      <c r="M54" s="2350"/>
      <c r="N54" s="2431"/>
      <c r="O54" s="2349"/>
    </row>
    <row r="55" spans="1:15">
      <c r="A55" s="2432"/>
      <c r="B55" s="2615"/>
      <c r="C55" s="2407"/>
      <c r="D55" s="2408"/>
      <c r="E55" s="2409"/>
      <c r="F55" s="2438"/>
      <c r="G55" s="662"/>
      <c r="H55" s="2431"/>
      <c r="I55" s="2350"/>
      <c r="J55" s="2431"/>
      <c r="K55" s="2349"/>
      <c r="L55" s="2431"/>
      <c r="M55" s="2350"/>
      <c r="N55" s="2431"/>
      <c r="O55" s="2349"/>
    </row>
    <row r="56" spans="1:15">
      <c r="A56" s="13"/>
      <c r="B56" s="226" t="s">
        <v>3265</v>
      </c>
      <c r="C56" s="15"/>
      <c r="D56" s="168"/>
      <c r="E56" s="176"/>
      <c r="F56" s="17"/>
      <c r="G56" s="227">
        <f>SUBTOTAL(9,G21:G55)</f>
        <v>260069</v>
      </c>
      <c r="H56" s="19"/>
      <c r="I56" s="164">
        <f>SUBTOTAL(9,I19:I55)</f>
        <v>291259.59000000003</v>
      </c>
      <c r="J56" s="19"/>
      <c r="K56" s="164">
        <f>SUM(K19:K55)</f>
        <v>293964.32999999996</v>
      </c>
      <c r="L56" s="19"/>
      <c r="M56" s="164">
        <f>SUM(M19:M55)</f>
        <v>687175</v>
      </c>
      <c r="N56" s="19"/>
      <c r="O56" s="164">
        <f>SUM(O19:O55)</f>
        <v>0</v>
      </c>
    </row>
    <row r="57" spans="1:15">
      <c r="A57" s="2358"/>
      <c r="B57" s="2359" t="s">
        <v>2976</v>
      </c>
      <c r="C57" s="2360"/>
      <c r="D57" s="2361"/>
      <c r="E57" s="2362"/>
      <c r="F57" s="2363"/>
      <c r="G57" s="654"/>
      <c r="H57" s="2364">
        <v>0</v>
      </c>
      <c r="I57" s="645"/>
      <c r="J57" s="2364">
        <v>0</v>
      </c>
      <c r="K57" s="645"/>
      <c r="L57" s="2364">
        <v>0</v>
      </c>
      <c r="M57" s="645"/>
      <c r="N57" s="2364">
        <v>0</v>
      </c>
      <c r="O57" s="645"/>
    </row>
    <row r="58" spans="1:15">
      <c r="A58" s="2358"/>
      <c r="B58" s="2359" t="s">
        <v>2977</v>
      </c>
      <c r="C58" s="2360"/>
      <c r="D58" s="2361"/>
      <c r="E58" s="2362"/>
      <c r="F58" s="2363"/>
      <c r="G58" s="654">
        <f>F57*G56</f>
        <v>0</v>
      </c>
      <c r="H58" s="2365"/>
      <c r="I58" s="2366">
        <f>H57*I56</f>
        <v>0</v>
      </c>
      <c r="J58" s="2365"/>
      <c r="K58" s="2366">
        <f>J57*K56</f>
        <v>0</v>
      </c>
      <c r="L58" s="2365"/>
      <c r="M58" s="2366">
        <f>L57*M56</f>
        <v>0</v>
      </c>
      <c r="N58" s="2365"/>
      <c r="O58" s="2366">
        <f>N57*O56</f>
        <v>0</v>
      </c>
    </row>
    <row r="59" spans="1:15">
      <c r="A59" s="2358"/>
      <c r="B59" s="2359"/>
      <c r="C59" s="2360"/>
      <c r="D59" s="2361"/>
      <c r="E59" s="2362"/>
      <c r="F59" s="2363"/>
      <c r="G59" s="654"/>
      <c r="H59" s="2365"/>
      <c r="I59" s="2366"/>
      <c r="J59" s="2365"/>
      <c r="K59" s="2366"/>
      <c r="L59" s="2365"/>
      <c r="M59" s="2366"/>
      <c r="N59" s="2365"/>
      <c r="O59" s="2366"/>
    </row>
    <row r="60" spans="1:15">
      <c r="A60" s="2358"/>
      <c r="B60" s="2359" t="s">
        <v>2978</v>
      </c>
      <c r="C60" s="2360"/>
      <c r="D60" s="2361"/>
      <c r="E60" s="2362"/>
      <c r="F60" s="2363"/>
      <c r="G60" s="654">
        <f>SUM(G56:G58)</f>
        <v>260069</v>
      </c>
      <c r="H60" s="2367"/>
      <c r="I60" s="2366">
        <f>SUM(I56:I58)</f>
        <v>291259.59000000003</v>
      </c>
      <c r="J60" s="2367"/>
      <c r="K60" s="2366">
        <f>SUM(K56:K58)</f>
        <v>293964.32999999996</v>
      </c>
      <c r="L60" s="2367"/>
      <c r="M60" s="2366">
        <f>SUM(M56:M58)</f>
        <v>687175</v>
      </c>
      <c r="N60" s="2367"/>
      <c r="O60" s="2366">
        <f>SUM(O56:O58)</f>
        <v>0</v>
      </c>
    </row>
    <row r="61" spans="1:15">
      <c r="A61" s="2358"/>
      <c r="B61" s="2368" t="s">
        <v>2979</v>
      </c>
      <c r="C61" s="2360"/>
      <c r="D61" s="2361"/>
      <c r="E61" s="2362"/>
      <c r="F61" s="2368"/>
      <c r="G61" s="655">
        <f>G60/'Area Calculations'!$F$5</f>
        <v>2.9329326055575606</v>
      </c>
      <c r="H61" s="2369"/>
      <c r="I61" s="2370">
        <f>I60/'Area Calculations'!$F$5</f>
        <v>3.2846850189462291</v>
      </c>
      <c r="J61" s="2371"/>
      <c r="K61" s="2370">
        <f>K60/'Area Calculations'!$F$5</f>
        <v>3.3151877706604109</v>
      </c>
      <c r="L61" s="2369"/>
      <c r="M61" s="2370">
        <f>M60/'Area Calculations'!$F$5</f>
        <v>7.7496278419343199</v>
      </c>
      <c r="N61" s="2371"/>
      <c r="O61" s="2370">
        <f>O60/'Area Calculations'!$F$5</f>
        <v>0</v>
      </c>
    </row>
    <row r="62" spans="1:15">
      <c r="A62" s="2358"/>
      <c r="B62" s="2372"/>
      <c r="C62" s="2360"/>
      <c r="D62" s="2361"/>
      <c r="E62" s="2362"/>
      <c r="F62" s="2363"/>
      <c r="G62" s="656"/>
      <c r="H62" s="2373"/>
      <c r="I62" s="2374"/>
      <c r="J62" s="2373"/>
      <c r="K62" s="2373"/>
      <c r="L62" s="2373"/>
      <c r="M62" s="2373"/>
      <c r="N62" s="2373"/>
      <c r="O62" s="2373"/>
    </row>
    <row r="63" spans="1:15">
      <c r="A63" s="830" t="s">
        <v>2980</v>
      </c>
      <c r="B63" s="831"/>
      <c r="C63" s="12"/>
      <c r="D63" s="169"/>
      <c r="E63" s="177"/>
      <c r="F63" s="12"/>
      <c r="G63" s="228"/>
      <c r="H63" s="20"/>
      <c r="I63" s="20"/>
      <c r="J63" s="20"/>
      <c r="K63" s="20"/>
      <c r="L63" s="20"/>
      <c r="M63" s="20"/>
      <c r="N63" s="20"/>
      <c r="O63" s="20"/>
    </row>
    <row r="64" spans="1:15">
      <c r="A64" s="2630"/>
      <c r="B64" s="2406" t="s">
        <v>67</v>
      </c>
      <c r="C64" s="2634"/>
      <c r="D64" s="2632"/>
      <c r="E64" s="2633"/>
      <c r="F64" s="2634"/>
      <c r="G64" s="2635"/>
      <c r="H64" s="2636"/>
      <c r="I64" s="2636"/>
      <c r="J64" s="2636"/>
      <c r="K64" s="2636"/>
      <c r="L64" s="2636"/>
      <c r="M64" s="2636"/>
      <c r="N64" s="2636"/>
      <c r="O64" s="2636"/>
    </row>
    <row r="65" spans="1:27">
      <c r="A65" s="2630"/>
      <c r="B65" s="2406" t="s">
        <v>5786</v>
      </c>
      <c r="C65" s="2634"/>
      <c r="D65" s="2632"/>
      <c r="E65" s="2633"/>
      <c r="F65" s="2634"/>
      <c r="G65" s="2635"/>
      <c r="H65" s="2636"/>
      <c r="I65" s="2636"/>
      <c r="J65" s="2636"/>
      <c r="K65" s="2636"/>
      <c r="L65" s="2636"/>
      <c r="M65" s="2636"/>
      <c r="N65" s="2636"/>
      <c r="O65" s="2636"/>
    </row>
    <row r="66" spans="1:27" s="2" customFormat="1">
      <c r="A66" s="830" t="s">
        <v>2981</v>
      </c>
      <c r="B66" s="831"/>
      <c r="C66" s="12"/>
      <c r="D66" s="169"/>
      <c r="E66" s="177"/>
      <c r="F66" s="12"/>
      <c r="G66" s="228"/>
      <c r="H66" s="20"/>
      <c r="I66" s="20"/>
      <c r="J66" s="20"/>
      <c r="K66" s="20"/>
      <c r="L66" s="20"/>
      <c r="M66" s="20"/>
      <c r="N66" s="20"/>
      <c r="O66" s="20"/>
      <c r="S66"/>
      <c r="T66"/>
      <c r="U66"/>
      <c r="V66"/>
      <c r="W66"/>
      <c r="X66"/>
      <c r="Y66"/>
      <c r="Z66"/>
      <c r="AA66"/>
    </row>
    <row r="67" spans="1:27" s="2" customFormat="1">
      <c r="A67" s="2630"/>
      <c r="B67" s="2406"/>
      <c r="C67" s="2634"/>
      <c r="D67" s="2632"/>
      <c r="E67" s="2633"/>
      <c r="F67" s="2634"/>
      <c r="G67" s="2635"/>
      <c r="H67" s="2636"/>
      <c r="I67" s="2636"/>
      <c r="J67" s="2636"/>
      <c r="K67" s="2636"/>
      <c r="L67" s="2636"/>
      <c r="M67" s="2636"/>
      <c r="N67" s="2636"/>
      <c r="O67" s="2636"/>
      <c r="S67"/>
      <c r="T67"/>
      <c r="U67"/>
      <c r="V67"/>
      <c r="W67"/>
      <c r="X67"/>
      <c r="Y67"/>
      <c r="Z67"/>
      <c r="AA67"/>
    </row>
    <row r="68" spans="1:27" s="2" customFormat="1">
      <c r="A68" s="2630"/>
      <c r="B68" s="2406"/>
      <c r="C68" s="2634"/>
      <c r="D68" s="2632"/>
      <c r="E68" s="2633"/>
      <c r="F68" s="2634"/>
      <c r="G68" s="2635"/>
      <c r="H68" s="2636"/>
      <c r="I68" s="2636"/>
      <c r="J68" s="2636"/>
      <c r="K68" s="2636"/>
      <c r="L68" s="2636"/>
      <c r="M68" s="2636"/>
      <c r="N68" s="2636"/>
      <c r="O68" s="2636"/>
      <c r="S68"/>
      <c r="T68"/>
      <c r="U68"/>
      <c r="V68"/>
      <c r="W68"/>
      <c r="X68"/>
      <c r="Y68"/>
      <c r="Z68"/>
      <c r="AA68"/>
    </row>
    <row r="69" spans="1:27">
      <c r="A69" s="2630"/>
      <c r="B69" s="2406"/>
      <c r="C69" s="2634"/>
      <c r="D69" s="2632"/>
      <c r="E69" s="2633"/>
      <c r="F69" s="2634"/>
      <c r="G69" s="2635"/>
      <c r="H69" s="2636"/>
      <c r="I69" s="2636"/>
      <c r="J69" s="2636"/>
      <c r="K69" s="2636"/>
      <c r="L69" s="2636"/>
      <c r="M69" s="2636"/>
      <c r="N69" s="2636"/>
      <c r="O69" s="2636"/>
    </row>
    <row r="70" spans="1:27" s="2" customFormat="1">
      <c r="A70" s="830" t="s">
        <v>2982</v>
      </c>
      <c r="B70" s="831"/>
      <c r="C70" s="12"/>
      <c r="D70" s="169"/>
      <c r="E70" s="177"/>
      <c r="F70" s="12"/>
      <c r="G70" s="228"/>
      <c r="H70" s="20"/>
      <c r="I70" s="20"/>
      <c r="J70" s="20"/>
      <c r="K70" s="20"/>
      <c r="L70" s="20"/>
      <c r="M70" s="20"/>
      <c r="N70" s="20"/>
      <c r="O70" s="20"/>
      <c r="S70"/>
      <c r="T70"/>
      <c r="U70"/>
      <c r="V70"/>
      <c r="W70"/>
      <c r="X70"/>
      <c r="Y70"/>
      <c r="Z70"/>
      <c r="AA70"/>
    </row>
    <row r="71" spans="1:27" s="2" customFormat="1">
      <c r="A71" s="2630"/>
      <c r="B71" s="2406"/>
      <c r="C71" s="2634"/>
      <c r="D71" s="2632"/>
      <c r="E71" s="2633"/>
      <c r="F71" s="2634"/>
      <c r="G71" s="2635"/>
      <c r="H71" s="2636"/>
      <c r="I71" s="2636"/>
      <c r="J71" s="2636"/>
      <c r="K71" s="2636"/>
      <c r="L71" s="2636"/>
      <c r="M71" s="2636"/>
      <c r="N71" s="2636"/>
      <c r="O71" s="2636"/>
      <c r="S71"/>
      <c r="T71"/>
      <c r="U71"/>
      <c r="V71"/>
      <c r="W71"/>
      <c r="X71"/>
      <c r="Y71"/>
      <c r="Z71"/>
      <c r="AA71"/>
    </row>
    <row r="72" spans="1:27" s="2" customFormat="1">
      <c r="A72" s="2382"/>
      <c r="B72" s="2406"/>
      <c r="C72" s="2407"/>
      <c r="D72" s="2408"/>
      <c r="E72" s="2409"/>
      <c r="F72" s="2407"/>
      <c r="G72" s="2383"/>
      <c r="H72" s="2384"/>
      <c r="I72" s="2384"/>
      <c r="J72" s="2384"/>
      <c r="K72" s="2384"/>
      <c r="L72" s="2384"/>
      <c r="M72" s="2384"/>
      <c r="N72" s="2384"/>
      <c r="O72" s="2384"/>
      <c r="S72"/>
      <c r="T72"/>
      <c r="U72"/>
      <c r="V72"/>
      <c r="W72"/>
      <c r="X72"/>
      <c r="Y72"/>
      <c r="Z72"/>
      <c r="AA72"/>
    </row>
    <row r="73" spans="1:27" s="2" customFormat="1">
      <c r="A73" s="2385"/>
      <c r="B73" s="2386"/>
      <c r="C73" s="2407"/>
      <c r="D73" s="2408"/>
      <c r="E73" s="2409"/>
      <c r="F73" s="2407"/>
      <c r="G73" s="2383"/>
      <c r="H73" s="2387"/>
      <c r="I73" s="2387"/>
      <c r="J73" s="2387"/>
      <c r="K73" s="2387"/>
      <c r="L73" s="2387"/>
      <c r="M73" s="2387"/>
      <c r="N73" s="2387"/>
      <c r="O73" s="2387"/>
    </row>
    <row r="74" spans="1:27" s="2" customFormat="1">
      <c r="A74" s="830" t="s">
        <v>2983</v>
      </c>
      <c r="B74" s="831"/>
      <c r="C74" s="12"/>
      <c r="D74" s="169"/>
      <c r="E74" s="177"/>
      <c r="F74" s="12"/>
      <c r="G74" s="228"/>
      <c r="H74" s="20"/>
      <c r="I74" s="20"/>
      <c r="J74" s="20"/>
      <c r="K74" s="20"/>
      <c r="L74" s="20"/>
      <c r="M74" s="20"/>
      <c r="N74" s="20"/>
      <c r="O74" s="20"/>
      <c r="S74"/>
      <c r="T74"/>
      <c r="U74"/>
      <c r="V74"/>
      <c r="W74"/>
      <c r="X74"/>
      <c r="Y74"/>
      <c r="Z74"/>
      <c r="AA74"/>
    </row>
    <row r="75" spans="1:27">
      <c r="A75" s="2637"/>
      <c r="B75" s="2631"/>
      <c r="C75" s="2634"/>
      <c r="D75" s="2632"/>
      <c r="E75" s="2633"/>
      <c r="F75" s="2634"/>
      <c r="G75" s="2635"/>
      <c r="H75" s="2636"/>
      <c r="I75" s="2636"/>
      <c r="J75" s="2636"/>
      <c r="K75" s="2636"/>
      <c r="L75" s="2636"/>
      <c r="M75" s="2636"/>
      <c r="N75" s="2636"/>
      <c r="O75" s="2636"/>
      <c r="S75" s="2"/>
      <c r="T75" s="2"/>
      <c r="U75" s="2"/>
      <c r="V75" s="2"/>
      <c r="W75" s="2"/>
      <c r="X75" s="2"/>
      <c r="Y75" s="2"/>
      <c r="Z75" s="2"/>
      <c r="AA75" s="2"/>
    </row>
    <row r="76" spans="1:27">
      <c r="A76" s="2385"/>
      <c r="B76" s="2386"/>
      <c r="C76" s="2407"/>
      <c r="D76" s="2408"/>
      <c r="E76" s="2409"/>
      <c r="F76" s="2407"/>
      <c r="G76" s="2383"/>
      <c r="H76" s="2390"/>
      <c r="I76" s="2390"/>
      <c r="J76" s="2390"/>
      <c r="K76" s="2390"/>
      <c r="L76" s="2390"/>
      <c r="M76" s="2390"/>
      <c r="N76" s="2390"/>
      <c r="O76" s="2390"/>
      <c r="S76" s="2"/>
      <c r="T76" s="2"/>
      <c r="U76" s="2"/>
      <c r="V76" s="2"/>
      <c r="W76" s="2"/>
      <c r="X76" s="2"/>
      <c r="Y76" s="2"/>
      <c r="Z76" s="2"/>
      <c r="AA76" s="2"/>
    </row>
    <row r="77" spans="1:27">
      <c r="A77" s="2385"/>
      <c r="B77" s="2386"/>
      <c r="C77" s="2407"/>
      <c r="D77" s="2408"/>
      <c r="E77" s="2409"/>
      <c r="F77" s="2407"/>
      <c r="G77" s="2383"/>
      <c r="H77" s="2390"/>
      <c r="I77" s="2390"/>
      <c r="J77" s="2390"/>
      <c r="K77" s="2390"/>
      <c r="L77" s="2390"/>
      <c r="M77" s="2390"/>
      <c r="N77" s="2390"/>
      <c r="O77" s="2390"/>
      <c r="S77" s="2"/>
      <c r="T77" s="2"/>
      <c r="U77" s="2"/>
      <c r="V77" s="2"/>
      <c r="W77" s="2"/>
      <c r="X77" s="2"/>
      <c r="Y77" s="2"/>
      <c r="Z77" s="2"/>
      <c r="AA77" s="2"/>
    </row>
    <row r="78" spans="1:27">
      <c r="A78" s="830" t="s">
        <v>2984</v>
      </c>
      <c r="B78" s="831"/>
      <c r="C78" s="12"/>
      <c r="D78" s="169"/>
      <c r="E78" s="177"/>
      <c r="F78" s="12"/>
      <c r="G78" s="228"/>
      <c r="H78" s="20"/>
      <c r="I78" s="20"/>
      <c r="J78" s="20"/>
      <c r="K78" s="20"/>
      <c r="L78" s="20"/>
      <c r="M78" s="20"/>
      <c r="N78" s="20"/>
      <c r="O78" s="20"/>
    </row>
    <row r="79" spans="1:27">
      <c r="A79" s="2382"/>
      <c r="B79" s="2406" t="s">
        <v>2985</v>
      </c>
      <c r="C79" s="2407"/>
      <c r="D79" s="2408"/>
      <c r="E79" s="2409"/>
      <c r="F79" s="2407"/>
      <c r="G79" s="2383"/>
      <c r="H79" s="2390"/>
      <c r="I79" s="2390"/>
      <c r="J79" s="2390"/>
      <c r="K79" s="2390"/>
      <c r="L79" s="2390"/>
      <c r="M79" s="2390"/>
      <c r="N79" s="2390"/>
      <c r="O79" s="2390"/>
    </row>
    <row r="80" spans="1:27">
      <c r="A80" s="2382"/>
      <c r="B80" s="2406" t="s">
        <v>2986</v>
      </c>
      <c r="C80" s="2407"/>
      <c r="D80" s="2408"/>
      <c r="E80" s="2409"/>
      <c r="F80" s="2407"/>
      <c r="G80" s="2383"/>
      <c r="H80" s="2390"/>
      <c r="I80" s="2390"/>
      <c r="J80" s="2390"/>
      <c r="K80" s="2390"/>
      <c r="L80" s="2390"/>
      <c r="M80" s="2390"/>
      <c r="N80" s="2390"/>
      <c r="O80" s="2390"/>
    </row>
    <row r="81" spans="1:15">
      <c r="A81" s="2382"/>
      <c r="B81" s="2406" t="s">
        <v>2987</v>
      </c>
      <c r="C81" s="2407"/>
      <c r="D81" s="2408"/>
      <c r="E81" s="2409"/>
      <c r="F81" s="2407"/>
      <c r="G81" s="2383"/>
      <c r="H81" s="2390"/>
      <c r="I81" s="2390"/>
      <c r="J81" s="2390"/>
      <c r="K81" s="2390"/>
      <c r="L81" s="2390"/>
      <c r="M81" s="2390"/>
      <c r="N81" s="2390"/>
      <c r="O81" s="2390"/>
    </row>
    <row r="82" spans="1:15">
      <c r="A82" s="2382"/>
      <c r="B82" s="2406" t="s">
        <v>2988</v>
      </c>
      <c r="C82" s="2407"/>
      <c r="D82" s="2408"/>
      <c r="E82" s="2409"/>
      <c r="F82" s="2407"/>
      <c r="G82" s="2383"/>
      <c r="H82" s="2390"/>
      <c r="I82" s="2390"/>
      <c r="J82" s="2390"/>
      <c r="K82" s="2390"/>
      <c r="L82" s="2390"/>
      <c r="M82" s="2390"/>
      <c r="N82" s="2390"/>
      <c r="O82" s="2390"/>
    </row>
    <row r="83" spans="1:15">
      <c r="A83" s="646"/>
      <c r="B83" s="619"/>
      <c r="C83" s="616"/>
      <c r="D83" s="621"/>
      <c r="E83" s="622"/>
      <c r="F83" s="616"/>
      <c r="G83" s="620"/>
      <c r="H83" s="647"/>
      <c r="I83" s="647"/>
      <c r="J83" s="647"/>
      <c r="K83" s="647"/>
      <c r="L83" s="647"/>
      <c r="M83" s="647"/>
      <c r="N83" s="647"/>
      <c r="O83" s="647"/>
    </row>
    <row r="84" spans="1:15">
      <c r="A84" s="7" t="s">
        <v>2989</v>
      </c>
      <c r="B84" s="8"/>
      <c r="C84" s="12"/>
      <c r="D84" s="169"/>
      <c r="E84" s="177"/>
      <c r="F84" s="12"/>
      <c r="G84" s="228"/>
      <c r="H84" s="20"/>
      <c r="I84" s="20"/>
      <c r="J84" s="20"/>
      <c r="K84" s="20"/>
      <c r="L84" s="20"/>
      <c r="M84" s="20"/>
      <c r="N84" s="20"/>
      <c r="O84" s="20"/>
    </row>
    <row r="85" spans="1:15">
      <c r="A85" s="2630"/>
      <c r="B85" s="2647" t="s">
        <v>2990</v>
      </c>
      <c r="C85" s="2634"/>
      <c r="D85" s="2632"/>
      <c r="E85" s="2633"/>
      <c r="F85" s="2634"/>
      <c r="G85" s="2635"/>
      <c r="H85" s="2648"/>
      <c r="I85" s="2648"/>
      <c r="J85" s="2648"/>
      <c r="K85" s="2648"/>
      <c r="L85" s="2648"/>
      <c r="M85" s="2648"/>
      <c r="N85" s="2648"/>
      <c r="O85" s="2648"/>
    </row>
    <row r="86" spans="1:15">
      <c r="A86" s="2382"/>
      <c r="B86" s="2406" t="s">
        <v>2991</v>
      </c>
      <c r="C86" s="2407"/>
      <c r="D86" s="2408"/>
      <c r="E86" s="2409"/>
      <c r="F86" s="2407"/>
      <c r="G86" s="2383"/>
      <c r="H86" s="2391"/>
      <c r="I86" s="2391"/>
      <c r="J86" s="2391"/>
      <c r="K86" s="2391"/>
      <c r="L86" s="2391"/>
      <c r="M86" s="2391"/>
      <c r="N86" s="2391"/>
      <c r="O86" s="2391"/>
    </row>
    <row r="87" spans="1:15">
      <c r="A87" s="2392"/>
      <c r="B87" s="2424" t="s">
        <v>2992</v>
      </c>
      <c r="C87" s="2425"/>
      <c r="D87" s="2393"/>
      <c r="E87" s="2394"/>
      <c r="F87" s="2425"/>
      <c r="G87" s="2395"/>
      <c r="H87" s="2396"/>
      <c r="I87" s="2396"/>
      <c r="J87" s="2396"/>
      <c r="K87" s="2396"/>
      <c r="L87" s="2396"/>
      <c r="M87" s="2396"/>
      <c r="N87" s="2396"/>
      <c r="O87" s="2396"/>
    </row>
    <row r="88" spans="1:15">
      <c r="J88"/>
      <c r="K88"/>
      <c r="N88"/>
      <c r="O88"/>
    </row>
    <row r="89" spans="1:15">
      <c r="A89" s="59" t="s">
        <v>2993</v>
      </c>
      <c r="B89" s="61"/>
      <c r="C89" s="299" t="s">
        <v>5197</v>
      </c>
      <c r="D89" s="165" t="s">
        <v>3235</v>
      </c>
      <c r="E89" s="535" t="s">
        <v>5204</v>
      </c>
      <c r="J89"/>
      <c r="K89"/>
      <c r="N89"/>
      <c r="O89"/>
    </row>
    <row r="90" spans="1:15">
      <c r="A90" s="60" t="s">
        <v>2936</v>
      </c>
      <c r="B90" s="2398"/>
      <c r="J90"/>
      <c r="K90"/>
      <c r="N90"/>
      <c r="O90"/>
    </row>
    <row r="91" spans="1:15">
      <c r="A91" s="2399" t="s">
        <v>2939</v>
      </c>
      <c r="B91" s="2398"/>
      <c r="J91"/>
      <c r="K91"/>
      <c r="N91"/>
      <c r="O91"/>
    </row>
    <row r="92" spans="1:15">
      <c r="A92" s="2400" t="s">
        <v>2941</v>
      </c>
      <c r="B92" s="2401"/>
      <c r="J92"/>
      <c r="K92"/>
      <c r="N92"/>
      <c r="O92"/>
    </row>
    <row r="93" spans="1:15">
      <c r="A93" s="2400" t="s">
        <v>2943</v>
      </c>
      <c r="B93" s="2402"/>
      <c r="J93"/>
      <c r="K93"/>
      <c r="N93"/>
      <c r="O93"/>
    </row>
    <row r="94" spans="1:15">
      <c r="A94" s="2403" t="s">
        <v>2994</v>
      </c>
      <c r="B94" s="2404">
        <f>$I$60</f>
        <v>291259.59000000003</v>
      </c>
      <c r="C94" s="447">
        <f>SUM(I21:I48)</f>
        <v>279493.41000000003</v>
      </c>
      <c r="D94" s="165">
        <v>0</v>
      </c>
      <c r="E94" s="536">
        <f>SUM(I49:I55)</f>
        <v>11766.18</v>
      </c>
      <c r="J94"/>
      <c r="K94"/>
      <c r="N94"/>
      <c r="O94"/>
    </row>
    <row r="95" spans="1:15">
      <c r="J95"/>
      <c r="K95"/>
      <c r="N95"/>
      <c r="O95"/>
    </row>
    <row r="96" spans="1:15">
      <c r="A96" s="62"/>
      <c r="B96" s="1" t="s">
        <v>2995</v>
      </c>
      <c r="J96"/>
      <c r="K96"/>
      <c r="N96"/>
      <c r="O96"/>
    </row>
    <row r="97" spans="1:15">
      <c r="A97" s="63"/>
      <c r="B97" s="1" t="s">
        <v>2996</v>
      </c>
      <c r="J97"/>
      <c r="K97"/>
      <c r="N97"/>
      <c r="O97"/>
    </row>
  </sheetData>
  <mergeCells count="28">
    <mergeCell ref="L4:M4"/>
    <mergeCell ref="N4:O4"/>
    <mergeCell ref="J4:K4"/>
    <mergeCell ref="A78:B78"/>
    <mergeCell ref="A63:B63"/>
    <mergeCell ref="A66:B66"/>
    <mergeCell ref="A70:B70"/>
    <mergeCell ref="A74:B74"/>
    <mergeCell ref="H6:I6"/>
    <mergeCell ref="H5:I5"/>
    <mergeCell ref="L5:M5"/>
    <mergeCell ref="L6:M6"/>
    <mergeCell ref="L7:M7"/>
    <mergeCell ref="H9:I9"/>
    <mergeCell ref="L9:M9"/>
    <mergeCell ref="N5:O5"/>
    <mergeCell ref="N9:O9"/>
    <mergeCell ref="J9:K9"/>
    <mergeCell ref="N7:O7"/>
    <mergeCell ref="J7:K7"/>
    <mergeCell ref="N8:O8"/>
    <mergeCell ref="J8:K8"/>
    <mergeCell ref="H7:I7"/>
    <mergeCell ref="H8:I8"/>
    <mergeCell ref="L8:M8"/>
    <mergeCell ref="J5:K5"/>
    <mergeCell ref="N6:O6"/>
    <mergeCell ref="J6:K6"/>
  </mergeCells>
  <conditionalFormatting sqref="H11:H18">
    <cfRule type="cellIs" dxfId="153" priority="5" operator="equal">
      <formula>"X"</formula>
    </cfRule>
    <cfRule type="cellIs" dxfId="152" priority="6" operator="equal">
      <formula>"I"</formula>
    </cfRule>
  </conditionalFormatting>
  <conditionalFormatting sqref="H20:H55 J20:J55 L20:L55 N20:N55">
    <cfRule type="cellIs" dxfId="151" priority="19" operator="equal">
      <formula>"X"</formula>
    </cfRule>
    <cfRule type="cellIs" dxfId="150" priority="20" operator="equal">
      <formula>"I"</formula>
    </cfRule>
  </conditionalFormatting>
  <conditionalFormatting sqref="J11:J18">
    <cfRule type="cellIs" dxfId="149" priority="1" operator="equal">
      <formula>"X"</formula>
    </cfRule>
    <cfRule type="cellIs" dxfId="148" priority="2" operator="equal">
      <formula>"I"</formula>
    </cfRule>
  </conditionalFormatting>
  <conditionalFormatting sqref="L11:L18">
    <cfRule type="cellIs" dxfId="147" priority="3" operator="equal">
      <formula>"X"</formula>
    </cfRule>
    <cfRule type="cellIs" dxfId="146" priority="4" operator="equal">
      <formula>"I"</formula>
    </cfRule>
  </conditionalFormatting>
  <conditionalFormatting sqref="N11:N18">
    <cfRule type="cellIs" dxfId="145" priority="11" operator="equal">
      <formula>"X"</formula>
    </cfRule>
    <cfRule type="cellIs" dxfId="144" priority="12" operator="equal">
      <formula>"I"</formula>
    </cfRule>
  </conditionalFormatting>
  <hyperlinks>
    <hyperlink ref="B4" location="'Cost Summary'!A1" display="BACK TO SUMMARY SHEET" xr:uid="{2AD4CCF7-6882-4418-9E5F-72CE3B14380D}"/>
    <hyperlink ref="H8:I8" r:id="rId1" display="michael@jackwalshcarpets.com" xr:uid="{65E0368A-18DC-442E-ADE2-435C8BB40DFD}"/>
    <hyperlink ref="N8:O8" r:id="rId2" display="kkillian@profastflooring.com" xr:uid="{39569387-1B5F-42F7-9F58-483FA2083305}"/>
    <hyperlink ref="J8:K8" r:id="rId3" display="scolado@totalflooring.net" xr:uid="{2535C42D-3D23-476B-8D51-5A713F74BD7C}"/>
  </hyperlinks>
  <pageMargins left="0.2" right="0.2" top="0.5" bottom="0.75" header="0.3" footer="0.3"/>
  <pageSetup paperSize="3" scale="77" fitToHeight="0" orientation="landscape" r:id="rId4"/>
  <legacy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762D-CD4A-4045-B6D2-59A682895541}">
  <sheetPr>
    <tabColor rgb="FF92D050"/>
    <pageSetUpPr fitToPage="1"/>
  </sheetPr>
  <dimension ref="A1:AH87"/>
  <sheetViews>
    <sheetView zoomScale="90" zoomScaleNormal="90" workbookViewId="0">
      <pane ySplit="10" topLeftCell="A24" activePane="bottomLeft" state="frozen"/>
      <selection pane="bottomLeft" activeCell="P8" sqref="P8:Q8"/>
      <selection activeCell="B4" sqref="B4"/>
    </sheetView>
  </sheetViews>
  <sheetFormatPr defaultColWidth="8.85546875" defaultRowHeight="15"/>
  <cols>
    <col min="1" max="1" width="10.7109375" customWidth="1"/>
    <col min="2" max="2" width="71.42578125" style="1" customWidth="1"/>
    <col min="3" max="3" width="14.42578125" style="2" customWidth="1"/>
    <col min="4" max="4" width="13" style="165" customWidth="1"/>
    <col min="5" max="5" width="12.28515625" style="79" customWidth="1"/>
    <col min="6" max="6" width="16.42578125" style="2" bestFit="1" customWidth="1"/>
    <col min="7" max="7" width="15.28515625" style="2" bestFit="1" customWidth="1"/>
    <col min="8" max="8" width="7.42578125" style="2" customWidth="1"/>
    <col min="9" max="9" width="15.28515625" style="2" customWidth="1"/>
    <col min="10" max="10" width="7.7109375" style="2" customWidth="1"/>
    <col min="11" max="11" width="15.28515625" style="2" customWidth="1"/>
    <col min="12" max="12" width="9.28515625" style="2" customWidth="1"/>
    <col min="13" max="13" width="15.28515625" style="2" customWidth="1"/>
    <col min="14" max="14" width="7.7109375" style="2" customWidth="1"/>
    <col min="15" max="15" width="15.2851562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c r="I2" s="447"/>
    </row>
    <row r="3" spans="1:19">
      <c r="F3" s="180" t="s">
        <v>2931</v>
      </c>
      <c r="G3" s="56" t="s">
        <v>2932</v>
      </c>
    </row>
    <row r="4" spans="1:19">
      <c r="B4" s="181" t="s">
        <v>2933</v>
      </c>
      <c r="F4" s="170"/>
      <c r="G4" s="2" t="s">
        <v>2934</v>
      </c>
      <c r="H4" s="987"/>
      <c r="I4" s="987"/>
      <c r="J4" s="968"/>
      <c r="K4" s="968"/>
      <c r="L4" s="968"/>
      <c r="M4" s="968"/>
      <c r="N4" s="968" t="s">
        <v>5787</v>
      </c>
      <c r="O4" s="968"/>
      <c r="P4" s="987" t="s">
        <v>5788</v>
      </c>
      <c r="Q4" s="987"/>
    </row>
    <row r="5" spans="1:19">
      <c r="A5" s="3" t="s">
        <v>2935</v>
      </c>
      <c r="B5" s="4" t="str">
        <f>'Area Calculations'!B4</f>
        <v>Atlantic Fields Club Core / Dock Bar / Spa Pods / Water Features</v>
      </c>
      <c r="C5" s="5"/>
      <c r="D5" s="166"/>
      <c r="E5" s="171"/>
      <c r="F5" s="5"/>
      <c r="G5" s="6" t="s">
        <v>2936</v>
      </c>
      <c r="H5" s="982" t="s">
        <v>5525</v>
      </c>
      <c r="I5" s="983"/>
      <c r="J5" s="841" t="s">
        <v>5789</v>
      </c>
      <c r="K5" s="842"/>
      <c r="L5" s="841" t="s">
        <v>5527</v>
      </c>
      <c r="M5" s="841"/>
      <c r="N5" s="841" t="s">
        <v>5790</v>
      </c>
      <c r="O5" s="842"/>
      <c r="P5" s="985" t="s">
        <v>5791</v>
      </c>
      <c r="Q5" s="986"/>
      <c r="R5" s="841"/>
      <c r="S5" s="842"/>
    </row>
    <row r="6" spans="1:19">
      <c r="A6" s="2405" t="s">
        <v>2938</v>
      </c>
      <c r="B6" s="2406" t="s">
        <v>2578</v>
      </c>
      <c r="C6" s="2407"/>
      <c r="D6" s="2408"/>
      <c r="E6" s="2409"/>
      <c r="F6" s="2407"/>
      <c r="G6" s="657" t="s">
        <v>2939</v>
      </c>
      <c r="H6" s="2410" t="s">
        <v>5532</v>
      </c>
      <c r="I6" s="843"/>
      <c r="J6" s="2415" t="s">
        <v>5792</v>
      </c>
      <c r="K6" s="844"/>
      <c r="L6" s="2410" t="s">
        <v>5767</v>
      </c>
      <c r="M6" s="2410"/>
      <c r="N6" s="2410" t="s">
        <v>5793</v>
      </c>
      <c r="O6" s="843"/>
      <c r="P6" s="2410" t="s">
        <v>5794</v>
      </c>
      <c r="Q6" s="843"/>
      <c r="R6" s="2410"/>
      <c r="S6" s="843"/>
    </row>
    <row r="7" spans="1:19">
      <c r="A7" s="2405" t="s">
        <v>2940</v>
      </c>
      <c r="B7" s="2413" t="s">
        <v>2721</v>
      </c>
      <c r="C7" s="2407"/>
      <c r="D7" s="2408"/>
      <c r="E7" s="2409"/>
      <c r="F7" s="2407"/>
      <c r="G7" s="2414" t="s">
        <v>2941</v>
      </c>
      <c r="H7" s="2415" t="s">
        <v>5537</v>
      </c>
      <c r="I7" s="844"/>
      <c r="J7" s="2415" t="s">
        <v>5795</v>
      </c>
      <c r="K7" s="844"/>
      <c r="L7" s="2415" t="s">
        <v>5539</v>
      </c>
      <c r="M7" s="2415"/>
      <c r="N7" s="2415" t="s">
        <v>5538</v>
      </c>
      <c r="O7" s="844"/>
      <c r="P7" s="2415" t="s">
        <v>5796</v>
      </c>
      <c r="Q7" s="844"/>
      <c r="R7" s="2415"/>
      <c r="S7" s="844"/>
    </row>
    <row r="8" spans="1:19">
      <c r="A8" s="2405" t="s">
        <v>2942</v>
      </c>
      <c r="B8" s="2418"/>
      <c r="C8" s="2407"/>
      <c r="D8" s="2408"/>
      <c r="E8" s="2409"/>
      <c r="F8" s="2407"/>
      <c r="G8" s="2414" t="s">
        <v>2943</v>
      </c>
      <c r="H8" s="2419" t="s">
        <v>5542</v>
      </c>
      <c r="I8" s="845"/>
      <c r="J8" s="2419" t="s">
        <v>5797</v>
      </c>
      <c r="K8" s="845"/>
      <c r="L8" s="2419" t="s">
        <v>5544</v>
      </c>
      <c r="M8" s="2419"/>
      <c r="N8" s="2419" t="s">
        <v>5798</v>
      </c>
      <c r="O8" s="845"/>
      <c r="P8" s="2419" t="s">
        <v>5799</v>
      </c>
      <c r="Q8" s="845"/>
      <c r="R8" s="2419"/>
      <c r="S8" s="845"/>
    </row>
    <row r="9" spans="1:19">
      <c r="A9" s="2423"/>
      <c r="B9" s="2424"/>
      <c r="C9" s="616"/>
      <c r="D9" s="621"/>
      <c r="E9" s="622"/>
      <c r="F9" s="2425"/>
      <c r="G9" s="2426" t="s">
        <v>2944</v>
      </c>
      <c r="H9" s="2427">
        <f>I46</f>
        <v>893873.96</v>
      </c>
      <c r="I9" s="2458"/>
      <c r="J9" s="2428">
        <f>K$46</f>
        <v>946800</v>
      </c>
      <c r="K9" s="2457"/>
      <c r="L9" s="2428">
        <f>M$46</f>
        <v>950627.97</v>
      </c>
      <c r="M9" s="2457"/>
      <c r="N9" s="2428">
        <f>O$46</f>
        <v>0</v>
      </c>
      <c r="O9" s="2457"/>
      <c r="P9" s="2428">
        <f>Q$46</f>
        <v>446748.56</v>
      </c>
      <c r="Q9" s="2457"/>
      <c r="R9" s="2428">
        <f t="shared" ref="R9" si="0">S$46</f>
        <v>0</v>
      </c>
      <c r="S9" s="2457"/>
    </row>
    <row r="10" spans="1:19" s="175" customFormat="1" ht="30">
      <c r="A10" s="160" t="s">
        <v>2945</v>
      </c>
      <c r="B10" s="172"/>
      <c r="C10" s="173" t="s">
        <v>2946</v>
      </c>
      <c r="D10" s="167" t="s">
        <v>2947</v>
      </c>
      <c r="E10" s="173" t="s">
        <v>2948</v>
      </c>
      <c r="F10" s="173" t="s">
        <v>2949</v>
      </c>
      <c r="G10" s="174" t="s">
        <v>2950</v>
      </c>
      <c r="H10" s="161"/>
      <c r="I10" s="161"/>
      <c r="J10" s="161" t="s">
        <v>2951</v>
      </c>
      <c r="K10" s="161" t="s">
        <v>2952</v>
      </c>
      <c r="L10" s="161"/>
      <c r="M10" s="161"/>
      <c r="N10" s="161" t="s">
        <v>2951</v>
      </c>
      <c r="O10" s="161" t="s">
        <v>2952</v>
      </c>
      <c r="P10" s="161" t="s">
        <v>2951</v>
      </c>
      <c r="Q10" s="161" t="s">
        <v>2952</v>
      </c>
      <c r="R10" s="161" t="s">
        <v>2951</v>
      </c>
      <c r="S10" s="161" t="s">
        <v>2952</v>
      </c>
    </row>
    <row r="11" spans="1:19">
      <c r="A11" s="2649"/>
      <c r="B11" s="1618" t="s">
        <v>2953</v>
      </c>
      <c r="C11" s="659"/>
      <c r="D11" s="2408"/>
      <c r="E11" s="2409"/>
      <c r="F11" s="2407"/>
      <c r="G11" s="660"/>
      <c r="H11" s="2431"/>
      <c r="I11" s="2338"/>
      <c r="J11" s="2431"/>
      <c r="K11" s="2339"/>
      <c r="L11" s="2431"/>
      <c r="M11" s="182"/>
      <c r="N11" s="2431"/>
      <c r="O11" s="182"/>
      <c r="P11" s="2431"/>
      <c r="Q11" s="2338"/>
      <c r="R11" s="2431"/>
      <c r="S11" s="2339"/>
    </row>
    <row r="12" spans="1:19">
      <c r="A12" s="2650"/>
      <c r="B12" s="1622" t="s">
        <v>2954</v>
      </c>
      <c r="C12" s="2407"/>
      <c r="D12" s="2408"/>
      <c r="E12" s="2409"/>
      <c r="F12" s="2407"/>
      <c r="G12" s="660"/>
      <c r="H12" s="790" t="s">
        <v>3028</v>
      </c>
      <c r="I12" s="2338"/>
      <c r="J12" s="790" t="s">
        <v>3028</v>
      </c>
      <c r="K12" s="2339"/>
      <c r="L12" s="2339"/>
      <c r="M12" s="2339"/>
      <c r="N12" s="790" t="s">
        <v>3028</v>
      </c>
      <c r="O12" s="2339"/>
      <c r="P12" s="790" t="s">
        <v>3028</v>
      </c>
      <c r="Q12" s="2338"/>
      <c r="R12" s="2431"/>
      <c r="S12" s="2339"/>
    </row>
    <row r="13" spans="1:19">
      <c r="A13" s="2432"/>
      <c r="B13" s="2651" t="s">
        <v>2955</v>
      </c>
      <c r="C13" s="2407"/>
      <c r="D13" s="2408"/>
      <c r="E13" s="2409"/>
      <c r="F13" s="2407"/>
      <c r="G13" s="660"/>
      <c r="H13" s="790" t="s">
        <v>3028</v>
      </c>
      <c r="I13" s="2338"/>
      <c r="J13" s="790" t="s">
        <v>3028</v>
      </c>
      <c r="K13" s="2339"/>
      <c r="L13" s="2339"/>
      <c r="M13" s="2339"/>
      <c r="N13" s="790" t="s">
        <v>3028</v>
      </c>
      <c r="O13" s="2339"/>
      <c r="P13" s="790" t="s">
        <v>3028</v>
      </c>
      <c r="Q13" s="2338"/>
      <c r="R13" s="2431"/>
      <c r="S13" s="2339"/>
    </row>
    <row r="14" spans="1:19">
      <c r="A14" s="2432"/>
      <c r="B14" s="2652" t="s">
        <v>2956</v>
      </c>
      <c r="C14" s="2407"/>
      <c r="D14" s="2408"/>
      <c r="E14" s="2409"/>
      <c r="F14" s="2407"/>
      <c r="G14" s="660"/>
      <c r="H14" s="790" t="s">
        <v>3807</v>
      </c>
      <c r="I14" s="2338"/>
      <c r="J14" s="790" t="s">
        <v>3807</v>
      </c>
      <c r="K14" s="2339"/>
      <c r="L14" s="2339"/>
      <c r="M14" s="2339"/>
      <c r="N14" s="790" t="s">
        <v>3807</v>
      </c>
      <c r="O14" s="2339"/>
      <c r="P14" s="790" t="s">
        <v>3807</v>
      </c>
      <c r="Q14" s="2338"/>
      <c r="R14" s="2431"/>
      <c r="S14" s="2339"/>
    </row>
    <row r="15" spans="1:19">
      <c r="A15" s="2432"/>
      <c r="B15" s="2652" t="s">
        <v>2957</v>
      </c>
      <c r="C15" s="2407"/>
      <c r="D15" s="2408"/>
      <c r="E15" s="2409"/>
      <c r="F15" s="2407"/>
      <c r="G15" s="660"/>
      <c r="H15" s="790" t="s">
        <v>3028</v>
      </c>
      <c r="I15" s="2338"/>
      <c r="J15" s="790" t="s">
        <v>3028</v>
      </c>
      <c r="K15" s="2338"/>
      <c r="L15" s="2338"/>
      <c r="M15" s="2338"/>
      <c r="N15" s="790" t="s">
        <v>3028</v>
      </c>
      <c r="O15" s="2338"/>
      <c r="P15" s="790" t="s">
        <v>3028</v>
      </c>
      <c r="Q15" s="2338"/>
      <c r="R15" s="2431"/>
      <c r="S15" s="2338"/>
    </row>
    <row r="16" spans="1:19">
      <c r="A16" s="2432"/>
      <c r="B16" s="2652" t="s">
        <v>2958</v>
      </c>
      <c r="C16" s="2407"/>
      <c r="D16" s="2408"/>
      <c r="E16" s="2409"/>
      <c r="F16" s="2407"/>
      <c r="G16" s="660"/>
      <c r="H16" s="790" t="s">
        <v>3028</v>
      </c>
      <c r="I16" s="2338"/>
      <c r="J16" s="790" t="s">
        <v>3028</v>
      </c>
      <c r="K16" s="2339"/>
      <c r="L16" s="2339"/>
      <c r="M16" s="2339"/>
      <c r="N16" s="790" t="s">
        <v>3028</v>
      </c>
      <c r="O16" s="2339"/>
      <c r="P16" s="790" t="s">
        <v>3028</v>
      </c>
      <c r="Q16" s="2338"/>
      <c r="R16" s="2431"/>
      <c r="S16" s="2339"/>
    </row>
    <row r="17" spans="1:19">
      <c r="A17" s="2432"/>
      <c r="B17" s="2652" t="s">
        <v>2959</v>
      </c>
      <c r="C17" s="2407"/>
      <c r="D17" s="2408"/>
      <c r="E17" s="2409"/>
      <c r="F17" s="2407"/>
      <c r="G17" s="660"/>
      <c r="H17" s="790" t="s">
        <v>3028</v>
      </c>
      <c r="I17" s="2338"/>
      <c r="J17" s="790" t="s">
        <v>3028</v>
      </c>
      <c r="K17" s="2339"/>
      <c r="L17" s="2339"/>
      <c r="M17" s="2339"/>
      <c r="N17" s="790" t="s">
        <v>3028</v>
      </c>
      <c r="O17" s="2339"/>
      <c r="P17" s="790" t="s">
        <v>3028</v>
      </c>
      <c r="Q17" s="2338"/>
      <c r="R17" s="2431"/>
      <c r="S17" s="2339"/>
    </row>
    <row r="18" spans="1:19">
      <c r="A18" s="2432"/>
      <c r="B18" s="2653" t="s">
        <v>2960</v>
      </c>
      <c r="C18" s="2407"/>
      <c r="D18" s="2408"/>
      <c r="E18" s="2409"/>
      <c r="F18" s="2407"/>
      <c r="G18" s="660"/>
      <c r="H18" s="2431"/>
      <c r="I18" s="2338"/>
      <c r="J18" s="2431"/>
      <c r="K18" s="2339"/>
      <c r="L18" s="2339"/>
      <c r="M18" s="2339"/>
      <c r="N18" s="2431"/>
      <c r="O18" s="2339"/>
      <c r="P18" s="2431"/>
      <c r="Q18" s="2338"/>
      <c r="R18" s="2431"/>
      <c r="S18" s="2339"/>
    </row>
    <row r="19" spans="1:19">
      <c r="A19" s="2432"/>
      <c r="B19" s="2654" t="s">
        <v>2961</v>
      </c>
      <c r="C19" s="2433"/>
      <c r="D19" s="2434"/>
      <c r="E19" s="2435"/>
      <c r="F19" s="2436"/>
      <c r="G19" s="661"/>
      <c r="H19" s="2437"/>
      <c r="I19" s="2347"/>
      <c r="J19" s="2437"/>
      <c r="K19" s="2346"/>
      <c r="L19" s="2346"/>
      <c r="M19" s="2346"/>
      <c r="N19" s="2437"/>
      <c r="O19" s="2346"/>
      <c r="P19" s="2437"/>
      <c r="Q19" s="2347">
        <v>483640.67</v>
      </c>
      <c r="R19" s="2437"/>
      <c r="S19" s="2346"/>
    </row>
    <row r="20" spans="1:19">
      <c r="A20" s="2432"/>
      <c r="B20" s="2655"/>
      <c r="C20" s="2407"/>
      <c r="D20" s="2408"/>
      <c r="E20" s="2409"/>
      <c r="F20" s="2438"/>
      <c r="G20" s="660"/>
      <c r="H20" s="2431"/>
      <c r="I20" s="2349"/>
      <c r="J20" s="2431"/>
      <c r="K20" s="2349"/>
      <c r="L20" s="2350"/>
      <c r="M20" s="2350"/>
      <c r="N20" s="2431"/>
      <c r="O20" s="2350"/>
      <c r="P20" s="2431"/>
      <c r="Q20" s="2349"/>
      <c r="R20" s="2431"/>
      <c r="S20" s="2349"/>
    </row>
    <row r="21" spans="1:19">
      <c r="A21" s="2432"/>
      <c r="B21" s="2656" t="s">
        <v>5197</v>
      </c>
      <c r="C21" s="2407"/>
      <c r="D21" s="2408"/>
      <c r="E21" s="2409"/>
      <c r="F21" s="2438"/>
      <c r="G21" s="660"/>
      <c r="H21" s="2431"/>
      <c r="I21" s="2349">
        <f>408223.32+471216.61</f>
        <v>879439.92999999993</v>
      </c>
      <c r="J21" s="2431"/>
      <c r="K21" s="2349"/>
      <c r="L21" s="2350"/>
      <c r="M21" s="2350">
        <v>915627.97</v>
      </c>
      <c r="N21" s="2431"/>
      <c r="O21" s="2350"/>
      <c r="P21" s="2431"/>
      <c r="Q21" s="2349"/>
      <c r="R21" s="2431"/>
      <c r="S21" s="2349"/>
    </row>
    <row r="22" spans="1:19" ht="30">
      <c r="A22" s="2432"/>
      <c r="B22" s="2657" t="s">
        <v>5800</v>
      </c>
      <c r="C22" s="2407"/>
      <c r="D22" s="2408">
        <v>3567</v>
      </c>
      <c r="E22" s="2409" t="s">
        <v>3112</v>
      </c>
      <c r="F22" s="2438">
        <v>90</v>
      </c>
      <c r="G22" s="706">
        <f>F22*D22</f>
        <v>321030</v>
      </c>
      <c r="H22" s="2431" t="s">
        <v>3028</v>
      </c>
      <c r="I22" s="2349"/>
      <c r="J22" s="2431" t="s">
        <v>3028</v>
      </c>
      <c r="K22" s="2349">
        <v>472550</v>
      </c>
      <c r="L22" s="2431" t="s">
        <v>3028</v>
      </c>
      <c r="M22" s="2350"/>
      <c r="N22" s="2431" t="s">
        <v>3028</v>
      </c>
      <c r="O22" s="2350"/>
      <c r="P22" s="2431" t="s">
        <v>3028</v>
      </c>
      <c r="Q22" s="2349"/>
      <c r="R22" s="2431"/>
      <c r="S22" s="2349"/>
    </row>
    <row r="23" spans="1:19">
      <c r="A23" s="2432"/>
      <c r="B23" s="2655" t="s">
        <v>5801</v>
      </c>
      <c r="C23" s="2407"/>
      <c r="D23" s="2408"/>
      <c r="E23" s="2409"/>
      <c r="F23" s="2438"/>
      <c r="G23" s="660"/>
      <c r="H23" s="2431" t="s">
        <v>3028</v>
      </c>
      <c r="I23" s="2349"/>
      <c r="J23" s="2431" t="s">
        <v>3028</v>
      </c>
      <c r="K23" s="2349"/>
      <c r="L23" s="2431" t="s">
        <v>3028</v>
      </c>
      <c r="M23" s="2350"/>
      <c r="N23" s="2431" t="s">
        <v>3028</v>
      </c>
      <c r="O23" s="2350"/>
      <c r="P23" s="2431" t="s">
        <v>3028</v>
      </c>
      <c r="Q23" s="2349"/>
      <c r="R23" s="2431"/>
      <c r="S23" s="2349"/>
    </row>
    <row r="24" spans="1:19" ht="30">
      <c r="A24" s="2432"/>
      <c r="B24" s="2658" t="s">
        <v>5802</v>
      </c>
      <c r="C24" s="2407"/>
      <c r="D24" s="2408"/>
      <c r="E24" s="2409"/>
      <c r="F24" s="2438"/>
      <c r="G24" s="660"/>
      <c r="H24" s="2431" t="s">
        <v>3028</v>
      </c>
      <c r="I24" s="2349"/>
      <c r="J24" s="2431" t="s">
        <v>3028</v>
      </c>
      <c r="K24" s="2349"/>
      <c r="L24" s="2431" t="s">
        <v>3028</v>
      </c>
      <c r="M24" s="2350"/>
      <c r="N24" s="2431" t="s">
        <v>3807</v>
      </c>
      <c r="O24" s="2350"/>
      <c r="P24" s="2431" t="s">
        <v>3028</v>
      </c>
      <c r="Q24" s="2349"/>
      <c r="R24" s="2431"/>
      <c r="S24" s="2349"/>
    </row>
    <row r="25" spans="1:19">
      <c r="A25" s="2432"/>
      <c r="B25" s="2657" t="s">
        <v>5803</v>
      </c>
      <c r="C25" s="2407"/>
      <c r="D25" s="2408">
        <v>242</v>
      </c>
      <c r="E25" s="2409" t="s">
        <v>3112</v>
      </c>
      <c r="F25" s="2438">
        <v>90</v>
      </c>
      <c r="G25" s="706">
        <f>F25*D25</f>
        <v>21780</v>
      </c>
      <c r="H25" s="2431" t="s">
        <v>3028</v>
      </c>
      <c r="I25" s="2349"/>
      <c r="J25" s="2431" t="s">
        <v>3028</v>
      </c>
      <c r="K25" s="2349">
        <v>46150</v>
      </c>
      <c r="L25" s="2431" t="s">
        <v>3028</v>
      </c>
      <c r="M25" s="2350"/>
      <c r="N25" s="2431" t="s">
        <v>3807</v>
      </c>
      <c r="O25" s="2350"/>
      <c r="P25" s="2431" t="s">
        <v>3028</v>
      </c>
      <c r="Q25" s="2349"/>
      <c r="R25" s="2431"/>
      <c r="S25" s="2349"/>
    </row>
    <row r="26" spans="1:19">
      <c r="A26" s="2432"/>
      <c r="B26" s="2658" t="s">
        <v>4228</v>
      </c>
      <c r="C26" s="2407"/>
      <c r="D26" s="2408"/>
      <c r="E26" s="2409"/>
      <c r="F26" s="2438"/>
      <c r="G26" s="660"/>
      <c r="H26" s="2431" t="s">
        <v>3028</v>
      </c>
      <c r="I26" s="2349"/>
      <c r="J26" s="2431" t="s">
        <v>3028</v>
      </c>
      <c r="K26" s="2349"/>
      <c r="L26" s="2431" t="s">
        <v>3028</v>
      </c>
      <c r="M26" s="2350"/>
      <c r="N26" s="2431" t="s">
        <v>3807</v>
      </c>
      <c r="O26" s="2350"/>
      <c r="P26" s="2431" t="s">
        <v>3028</v>
      </c>
      <c r="Q26" s="2349"/>
      <c r="R26" s="2431"/>
      <c r="S26" s="2349"/>
    </row>
    <row r="27" spans="1:19" ht="30">
      <c r="A27" s="2432"/>
      <c r="B27" s="2657" t="s">
        <v>5804</v>
      </c>
      <c r="C27" s="2407"/>
      <c r="D27" s="2408">
        <v>1872</v>
      </c>
      <c r="E27" s="2409" t="s">
        <v>3112</v>
      </c>
      <c r="F27" s="2438">
        <v>90</v>
      </c>
      <c r="G27" s="706">
        <f>F27*D27</f>
        <v>168480</v>
      </c>
      <c r="H27" s="2431" t="s">
        <v>3028</v>
      </c>
      <c r="I27" s="2349"/>
      <c r="J27" s="2431" t="s">
        <v>3028</v>
      </c>
      <c r="K27" s="2349">
        <v>149990</v>
      </c>
      <c r="L27" s="2431" t="s">
        <v>3028</v>
      </c>
      <c r="M27" s="2350"/>
      <c r="N27" s="2431" t="s">
        <v>3028</v>
      </c>
      <c r="O27" s="2350"/>
      <c r="P27" s="2431" t="s">
        <v>3028</v>
      </c>
      <c r="Q27" s="2349"/>
      <c r="R27" s="2431"/>
      <c r="S27" s="2349"/>
    </row>
    <row r="28" spans="1:19">
      <c r="A28" s="2432"/>
      <c r="B28" s="2655" t="s">
        <v>4382</v>
      </c>
      <c r="C28" s="2407"/>
      <c r="D28" s="2408"/>
      <c r="E28" s="2409"/>
      <c r="F28" s="2438"/>
      <c r="G28" s="660"/>
      <c r="H28" s="2431" t="s">
        <v>3028</v>
      </c>
      <c r="I28" s="2349"/>
      <c r="J28" s="2431" t="s">
        <v>3028</v>
      </c>
      <c r="K28" s="2349"/>
      <c r="L28" s="2431" t="s">
        <v>3028</v>
      </c>
      <c r="M28" s="2350"/>
      <c r="N28" s="2431" t="s">
        <v>3028</v>
      </c>
      <c r="O28" s="2350"/>
      <c r="P28" s="2431" t="s">
        <v>3028</v>
      </c>
      <c r="Q28" s="2349"/>
      <c r="R28" s="2431"/>
      <c r="S28" s="2349"/>
    </row>
    <row r="29" spans="1:19" ht="15.75" customHeight="1">
      <c r="A29" s="2432"/>
      <c r="B29" s="2657" t="s">
        <v>5805</v>
      </c>
      <c r="C29" s="2407"/>
      <c r="D29" s="2408">
        <v>2831</v>
      </c>
      <c r="E29" s="2409" t="s">
        <v>3112</v>
      </c>
      <c r="F29" s="2438">
        <v>90</v>
      </c>
      <c r="G29" s="706">
        <f>F29*D29</f>
        <v>254790</v>
      </c>
      <c r="H29" s="2431" t="s">
        <v>3028</v>
      </c>
      <c r="I29" s="2349"/>
      <c r="J29" s="2431" t="s">
        <v>3028</v>
      </c>
      <c r="K29" s="2349">
        <v>278110</v>
      </c>
      <c r="L29" s="2431" t="s">
        <v>3028</v>
      </c>
      <c r="M29" s="2350"/>
      <c r="N29" s="2431" t="s">
        <v>3028</v>
      </c>
      <c r="O29" s="2350"/>
      <c r="P29" s="2431" t="s">
        <v>3028</v>
      </c>
      <c r="Q29" s="2349"/>
      <c r="R29" s="2431"/>
      <c r="S29" s="2349"/>
    </row>
    <row r="30" spans="1:19">
      <c r="A30" s="2432"/>
      <c r="B30" s="2655" t="s">
        <v>5806</v>
      </c>
      <c r="C30" s="2407"/>
      <c r="D30" s="2408"/>
      <c r="E30" s="2409"/>
      <c r="F30" s="2438"/>
      <c r="G30" s="660"/>
      <c r="H30" s="2431" t="s">
        <v>3028</v>
      </c>
      <c r="I30" s="2349"/>
      <c r="J30" s="2431" t="s">
        <v>3028</v>
      </c>
      <c r="K30" s="2349"/>
      <c r="L30" s="2431" t="s">
        <v>3028</v>
      </c>
      <c r="M30" s="2350"/>
      <c r="N30" s="2431" t="s">
        <v>3028</v>
      </c>
      <c r="O30" s="2350"/>
      <c r="P30" s="2431" t="s">
        <v>3028</v>
      </c>
      <c r="Q30" s="2349"/>
      <c r="R30" s="2431"/>
      <c r="S30" s="2349"/>
    </row>
    <row r="31" spans="1:19">
      <c r="A31" s="2432"/>
      <c r="B31" s="2659" t="s">
        <v>5206</v>
      </c>
      <c r="C31" s="2407"/>
      <c r="D31" s="2408"/>
      <c r="E31" s="2409"/>
      <c r="F31" s="2438"/>
      <c r="G31" s="660"/>
      <c r="H31" s="2431" t="s">
        <v>3028</v>
      </c>
      <c r="I31" s="2349"/>
      <c r="J31" s="2431" t="s">
        <v>3028</v>
      </c>
      <c r="K31" s="2349"/>
      <c r="L31" s="2431" t="s">
        <v>3028</v>
      </c>
      <c r="M31" s="2350"/>
      <c r="N31" s="2431" t="s">
        <v>3807</v>
      </c>
      <c r="O31" s="2350"/>
      <c r="P31" s="2431" t="s">
        <v>3028</v>
      </c>
      <c r="Q31" s="2349"/>
      <c r="R31" s="2431"/>
      <c r="S31" s="2349"/>
    </row>
    <row r="32" spans="1:19">
      <c r="A32" s="2660"/>
      <c r="B32" s="2655" t="s">
        <v>5807</v>
      </c>
      <c r="C32" s="2407"/>
      <c r="D32" s="2408">
        <v>1</v>
      </c>
      <c r="E32" s="2409" t="s">
        <v>5208</v>
      </c>
      <c r="F32" s="2438">
        <v>5000</v>
      </c>
      <c r="G32" s="662">
        <f t="shared" ref="G32:G35" si="1">ROUND(D32*F32,0)</f>
        <v>5000</v>
      </c>
      <c r="H32" s="2431" t="s">
        <v>3028</v>
      </c>
      <c r="I32" s="2350"/>
      <c r="J32" s="2431" t="s">
        <v>3807</v>
      </c>
      <c r="K32" s="2349"/>
      <c r="L32" s="2431" t="s">
        <v>3807</v>
      </c>
      <c r="M32" s="2350"/>
      <c r="N32" s="2431" t="s">
        <v>3807</v>
      </c>
      <c r="O32" s="2350"/>
      <c r="P32" s="2431" t="s">
        <v>3028</v>
      </c>
      <c r="Q32" s="2349">
        <f>-25584-6216-450-9120-450</f>
        <v>-41820</v>
      </c>
      <c r="R32" s="2431"/>
      <c r="S32" s="2349"/>
    </row>
    <row r="33" spans="1:19">
      <c r="A33" s="2660"/>
      <c r="B33" s="2655" t="s">
        <v>5808</v>
      </c>
      <c r="C33" s="2407"/>
      <c r="D33" s="2408"/>
      <c r="E33" s="2409"/>
      <c r="F33" s="2438"/>
      <c r="G33" s="662"/>
      <c r="H33" s="2431" t="s">
        <v>3807</v>
      </c>
      <c r="I33" s="2350"/>
      <c r="J33" s="2431" t="s">
        <v>3807</v>
      </c>
      <c r="K33" s="2349"/>
      <c r="L33" s="2431" t="s">
        <v>3807</v>
      </c>
      <c r="M33" s="2350"/>
      <c r="N33" s="2431" t="s">
        <v>3807</v>
      </c>
      <c r="O33" s="2350"/>
      <c r="P33" s="2431" t="s">
        <v>3028</v>
      </c>
      <c r="Q33" s="2349"/>
      <c r="R33" s="2431"/>
      <c r="S33" s="2349"/>
    </row>
    <row r="34" spans="1:19">
      <c r="A34" s="2432"/>
      <c r="B34" s="2655" t="s">
        <v>5809</v>
      </c>
      <c r="C34" s="2407"/>
      <c r="D34" s="2408">
        <f>SUM(D22:D29)</f>
        <v>8512</v>
      </c>
      <c r="E34" s="2409" t="s">
        <v>3112</v>
      </c>
      <c r="F34" s="2438">
        <v>3.5</v>
      </c>
      <c r="G34" s="662">
        <f t="shared" si="1"/>
        <v>29792</v>
      </c>
      <c r="H34" s="2431" t="s">
        <v>3028</v>
      </c>
      <c r="I34" s="2349"/>
      <c r="J34" s="2431" t="s">
        <v>3028</v>
      </c>
      <c r="K34" s="2349"/>
      <c r="L34" s="2431" t="s">
        <v>3028</v>
      </c>
      <c r="M34" s="2350"/>
      <c r="N34" s="2431" t="s">
        <v>3807</v>
      </c>
      <c r="O34" s="2350"/>
      <c r="P34" s="2431" t="s">
        <v>3028</v>
      </c>
      <c r="Q34" s="2349"/>
      <c r="R34" s="2431"/>
      <c r="S34" s="2349"/>
    </row>
    <row r="35" spans="1:19">
      <c r="A35" s="2432"/>
      <c r="B35" s="2655" t="s">
        <v>5810</v>
      </c>
      <c r="C35" s="2407"/>
      <c r="D35" s="2408">
        <v>8512</v>
      </c>
      <c r="E35" s="2409" t="s">
        <v>3112</v>
      </c>
      <c r="F35" s="2438">
        <v>2</v>
      </c>
      <c r="G35" s="662">
        <f t="shared" si="1"/>
        <v>17024</v>
      </c>
      <c r="H35" s="2431" t="s">
        <v>3028</v>
      </c>
      <c r="I35" s="2349"/>
      <c r="J35" s="2431" t="s">
        <v>3028</v>
      </c>
      <c r="K35" s="2349"/>
      <c r="L35" s="2431" t="s">
        <v>3028</v>
      </c>
      <c r="M35" s="2350"/>
      <c r="N35" s="2431" t="s">
        <v>3807</v>
      </c>
      <c r="O35" s="2350"/>
      <c r="P35" s="2431" t="s">
        <v>3028</v>
      </c>
      <c r="Q35" s="2349"/>
      <c r="R35" s="2431"/>
      <c r="S35" s="2349"/>
    </row>
    <row r="36" spans="1:19">
      <c r="A36" s="2432"/>
      <c r="B36" s="2656" t="s">
        <v>3235</v>
      </c>
      <c r="C36" s="2407"/>
      <c r="D36" s="2408"/>
      <c r="E36" s="2409"/>
      <c r="F36" s="2438"/>
      <c r="G36" s="662"/>
      <c r="H36" s="2431" t="s">
        <v>3028</v>
      </c>
      <c r="I36" s="2350">
        <f>14434.03</f>
        <v>14434.03</v>
      </c>
      <c r="J36" s="2431" t="s">
        <v>3028</v>
      </c>
      <c r="K36" s="2349"/>
      <c r="L36" s="2431" t="s">
        <v>3028</v>
      </c>
      <c r="M36" s="2350"/>
      <c r="N36" s="2431" t="s">
        <v>3807</v>
      </c>
      <c r="O36" s="2350"/>
      <c r="P36" s="2431"/>
      <c r="Q36" s="2350"/>
      <c r="R36" s="2431"/>
      <c r="S36" s="2349"/>
    </row>
    <row r="37" spans="1:19">
      <c r="A37" s="2432"/>
      <c r="B37" s="2659" t="s">
        <v>5811</v>
      </c>
      <c r="C37" s="2407"/>
      <c r="D37" s="2408">
        <v>3700</v>
      </c>
      <c r="E37" s="2409" t="s">
        <v>3112</v>
      </c>
      <c r="F37" s="2408">
        <v>75</v>
      </c>
      <c r="G37" s="662"/>
      <c r="H37" s="2431" t="s">
        <v>3807</v>
      </c>
      <c r="I37" s="2350"/>
      <c r="J37" s="2431" t="s">
        <v>3807</v>
      </c>
      <c r="K37" s="2349"/>
      <c r="L37" s="2431" t="s">
        <v>3807</v>
      </c>
      <c r="M37" s="2350"/>
      <c r="N37" s="2431" t="s">
        <v>3807</v>
      </c>
      <c r="O37" s="2350"/>
      <c r="P37" s="2431" t="s">
        <v>3807</v>
      </c>
      <c r="Q37" s="2350"/>
      <c r="R37" s="2431"/>
      <c r="S37" s="2349"/>
    </row>
    <row r="38" spans="1:19">
      <c r="A38" s="2432"/>
      <c r="B38" s="2655" t="s">
        <v>571</v>
      </c>
      <c r="C38" s="2407"/>
      <c r="D38" s="2408"/>
      <c r="E38" s="2409"/>
      <c r="F38" s="2408"/>
      <c r="G38" s="662"/>
      <c r="H38" s="2431" t="s">
        <v>3807</v>
      </c>
      <c r="I38" s="2350"/>
      <c r="J38" s="2431" t="s">
        <v>3807</v>
      </c>
      <c r="K38" s="2349"/>
      <c r="L38" s="2431" t="s">
        <v>3807</v>
      </c>
      <c r="M38" s="2350"/>
      <c r="N38" s="2431" t="s">
        <v>3807</v>
      </c>
      <c r="O38" s="2350"/>
      <c r="P38" s="2431" t="s">
        <v>3807</v>
      </c>
      <c r="Q38" s="2350"/>
      <c r="R38" s="2431"/>
      <c r="S38" s="2349"/>
    </row>
    <row r="39" spans="1:19">
      <c r="A39" s="2432"/>
      <c r="B39" s="2659" t="s">
        <v>5812</v>
      </c>
      <c r="C39" s="2407"/>
      <c r="D39" s="2408">
        <v>370</v>
      </c>
      <c r="E39" s="2409" t="s">
        <v>3112</v>
      </c>
      <c r="F39" s="2438"/>
      <c r="G39" s="662"/>
      <c r="H39" s="2431" t="s">
        <v>3028</v>
      </c>
      <c r="I39" s="2350"/>
      <c r="J39" s="2431" t="s">
        <v>3807</v>
      </c>
      <c r="K39" s="2349"/>
      <c r="L39" s="2448" t="s">
        <v>4877</v>
      </c>
      <c r="M39" s="2622">
        <v>35000</v>
      </c>
      <c r="N39" s="2431" t="s">
        <v>3807</v>
      </c>
      <c r="O39" s="2350"/>
      <c r="P39" s="2431" t="s">
        <v>3028</v>
      </c>
      <c r="Q39" s="2350">
        <v>4927.8900000000003</v>
      </c>
      <c r="R39" s="2431"/>
      <c r="S39" s="2349"/>
    </row>
    <row r="40" spans="1:19" ht="30">
      <c r="A40" s="2432"/>
      <c r="B40" s="2658" t="s">
        <v>5813</v>
      </c>
      <c r="C40" s="2407"/>
      <c r="D40" s="2408"/>
      <c r="E40" s="2409"/>
      <c r="F40" s="2438"/>
      <c r="G40" s="662"/>
      <c r="H40" s="2431" t="s">
        <v>3028</v>
      </c>
      <c r="I40" s="2350"/>
      <c r="J40" s="2431" t="s">
        <v>3807</v>
      </c>
      <c r="K40" s="2349"/>
      <c r="L40" s="2448" t="s">
        <v>4877</v>
      </c>
      <c r="M40" s="2350"/>
      <c r="N40" s="2431" t="s">
        <v>3807</v>
      </c>
      <c r="O40" s="2350"/>
      <c r="P40" s="2431" t="s">
        <v>3028</v>
      </c>
      <c r="Q40" s="2350"/>
      <c r="R40" s="2431"/>
      <c r="S40" s="2349"/>
    </row>
    <row r="41" spans="1:19">
      <c r="A41" s="2432"/>
      <c r="B41" s="2655"/>
      <c r="C41" s="2407"/>
      <c r="D41" s="2408"/>
      <c r="E41" s="2409"/>
      <c r="F41" s="2438"/>
      <c r="G41" s="662"/>
      <c r="H41" s="2431"/>
      <c r="I41" s="2350"/>
      <c r="J41" s="2431"/>
      <c r="K41" s="2349"/>
      <c r="L41" s="2350"/>
      <c r="M41" s="2350"/>
      <c r="N41" s="2431"/>
      <c r="O41" s="2350"/>
      <c r="P41" s="2431"/>
      <c r="Q41" s="2350"/>
      <c r="R41" s="2431"/>
      <c r="S41" s="2349"/>
    </row>
    <row r="42" spans="1:19">
      <c r="A42" s="13"/>
      <c r="B42" s="226" t="s">
        <v>3265</v>
      </c>
      <c r="C42" s="15"/>
      <c r="D42" s="168"/>
      <c r="E42" s="176"/>
      <c r="F42" s="17"/>
      <c r="G42" s="227">
        <f>SUBTOTAL(9,G22:G41)</f>
        <v>817896</v>
      </c>
      <c r="H42" s="19"/>
      <c r="I42" s="164">
        <f>SUBTOTAL(9,I19:I41)</f>
        <v>893873.96</v>
      </c>
      <c r="J42" s="19"/>
      <c r="K42" s="164">
        <f>SUM(K19:K41)</f>
        <v>946800</v>
      </c>
      <c r="L42" s="19"/>
      <c r="M42" s="164">
        <f>SUM(M19:M41)</f>
        <v>950627.97</v>
      </c>
      <c r="N42" s="19"/>
      <c r="O42" s="164">
        <f>SUM(O19:O41)</f>
        <v>0</v>
      </c>
      <c r="P42" s="19"/>
      <c r="Q42" s="164">
        <f>SUBTOTAL(9,Q19:Q41)</f>
        <v>446748.56</v>
      </c>
      <c r="R42" s="19"/>
      <c r="S42" s="164">
        <f>SUM(S19:S41)</f>
        <v>0</v>
      </c>
    </row>
    <row r="43" spans="1:19">
      <c r="A43" s="2358"/>
      <c r="B43" s="2359" t="s">
        <v>2976</v>
      </c>
      <c r="C43" s="2360"/>
      <c r="D43" s="2361"/>
      <c r="E43" s="2362"/>
      <c r="F43" s="2363"/>
      <c r="G43" s="654"/>
      <c r="H43" s="2364">
        <v>0</v>
      </c>
      <c r="I43" s="645"/>
      <c r="J43" s="2364">
        <v>0</v>
      </c>
      <c r="K43" s="645"/>
      <c r="L43" s="2364">
        <v>0</v>
      </c>
      <c r="M43" s="645"/>
      <c r="N43" s="2364">
        <v>0</v>
      </c>
      <c r="O43" s="645"/>
      <c r="P43" s="2364">
        <v>0</v>
      </c>
      <c r="Q43" s="645"/>
      <c r="R43" s="2364">
        <v>0</v>
      </c>
      <c r="S43" s="645"/>
    </row>
    <row r="44" spans="1:19">
      <c r="A44" s="2358"/>
      <c r="B44" s="2359" t="s">
        <v>2977</v>
      </c>
      <c r="C44" s="2360"/>
      <c r="D44" s="2361"/>
      <c r="E44" s="2362"/>
      <c r="F44" s="2363"/>
      <c r="G44" s="654">
        <f>F43*G42</f>
        <v>0</v>
      </c>
      <c r="H44" s="2365"/>
      <c r="I44" s="2366">
        <f>I42*H43</f>
        <v>0</v>
      </c>
      <c r="J44" s="2365"/>
      <c r="K44" s="2366">
        <f>J43*K42</f>
        <v>0</v>
      </c>
      <c r="L44" s="2365"/>
      <c r="M44" s="2366">
        <f>L43*M42</f>
        <v>0</v>
      </c>
      <c r="N44" s="2365"/>
      <c r="O44" s="2366">
        <f>N43*O42</f>
        <v>0</v>
      </c>
      <c r="P44" s="2365"/>
      <c r="Q44" s="2366">
        <f>P43*Q42</f>
        <v>0</v>
      </c>
      <c r="R44" s="2365"/>
      <c r="S44" s="2366">
        <f>R43*S42</f>
        <v>0</v>
      </c>
    </row>
    <row r="45" spans="1:19">
      <c r="A45" s="2358"/>
      <c r="B45" s="2359"/>
      <c r="C45" s="2360"/>
      <c r="D45" s="2361"/>
      <c r="E45" s="2362"/>
      <c r="F45" s="2363"/>
      <c r="G45" s="654"/>
      <c r="H45" s="2365"/>
      <c r="I45" s="2366"/>
      <c r="J45" s="2365"/>
      <c r="K45" s="2366"/>
      <c r="L45" s="2365"/>
      <c r="M45" s="2366"/>
      <c r="N45" s="2365"/>
      <c r="O45" s="2366"/>
      <c r="P45" s="2365"/>
      <c r="Q45" s="2366"/>
      <c r="R45" s="2365"/>
      <c r="S45" s="2366"/>
    </row>
    <row r="46" spans="1:19">
      <c r="A46" s="2358"/>
      <c r="B46" s="2359" t="s">
        <v>2978</v>
      </c>
      <c r="C46" s="2360"/>
      <c r="D46" s="2361"/>
      <c r="E46" s="2362"/>
      <c r="F46" s="2363"/>
      <c r="G46" s="654">
        <f>SUM(G42:G44)</f>
        <v>817896</v>
      </c>
      <c r="H46" s="2367"/>
      <c r="I46" s="2366">
        <f>SUM(I42:I44)</f>
        <v>893873.96</v>
      </c>
      <c r="J46" s="2367"/>
      <c r="K46" s="2366">
        <f>SUM(K42:K44)</f>
        <v>946800</v>
      </c>
      <c r="L46" s="2367"/>
      <c r="M46" s="2366">
        <f>SUM(M42:M44)</f>
        <v>950627.97</v>
      </c>
      <c r="N46" s="2367"/>
      <c r="O46" s="2366">
        <f>SUM(O42:O44)</f>
        <v>0</v>
      </c>
      <c r="P46" s="2367"/>
      <c r="Q46" s="2366">
        <f>SUM(Q42:Q44)</f>
        <v>446748.56</v>
      </c>
      <c r="R46" s="2367"/>
      <c r="S46" s="2366">
        <f>SUM(S42:S44)</f>
        <v>0</v>
      </c>
    </row>
    <row r="47" spans="1:19">
      <c r="A47" s="2358"/>
      <c r="B47" s="2368" t="s">
        <v>2979</v>
      </c>
      <c r="C47" s="2360"/>
      <c r="D47" s="2361"/>
      <c r="E47" s="2362"/>
      <c r="F47" s="2368"/>
      <c r="G47" s="655">
        <f>G46/'Area Calculations'!$F$5</f>
        <v>9.2238361602309631</v>
      </c>
      <c r="H47" s="2369"/>
      <c r="I47" s="2370">
        <f>I46/'Area Calculations'!$F$5</f>
        <v>10.080678906531938</v>
      </c>
      <c r="J47" s="2369"/>
      <c r="K47" s="2370">
        <f>K46/'Area Calculations'!$F$5</f>
        <v>10.677553229880909</v>
      </c>
      <c r="L47" s="2369"/>
      <c r="M47" s="2370">
        <f>M46/'Area Calculations'!$F$5</f>
        <v>10.720723227174306</v>
      </c>
      <c r="N47" s="2369"/>
      <c r="O47" s="2370">
        <f>O46/'Area Calculations'!$F$5</f>
        <v>0</v>
      </c>
      <c r="P47" s="2369"/>
      <c r="Q47" s="2370">
        <f>Q46/'Area Calculations'!$F$5</f>
        <v>5.0382145434861059</v>
      </c>
      <c r="R47" s="2371"/>
      <c r="S47" s="2370">
        <f>S46/'Area Calculations'!$F$5</f>
        <v>0</v>
      </c>
    </row>
    <row r="48" spans="1:19">
      <c r="A48" s="2358"/>
      <c r="B48" s="2372"/>
      <c r="C48" s="2360"/>
      <c r="D48" s="2361"/>
      <c r="E48" s="2362"/>
      <c r="F48" s="2363"/>
      <c r="G48" s="656"/>
      <c r="H48" s="2373"/>
      <c r="I48" s="2374"/>
      <c r="J48" s="2373"/>
      <c r="K48" s="2373"/>
      <c r="L48" s="2373"/>
      <c r="M48" s="2373"/>
      <c r="N48" s="2373"/>
      <c r="O48" s="2373"/>
      <c r="P48" s="2373"/>
      <c r="Q48" s="2374"/>
      <c r="R48" s="2373"/>
      <c r="S48" s="2373"/>
    </row>
    <row r="49" spans="1:34">
      <c r="A49" s="830" t="s">
        <v>2980</v>
      </c>
      <c r="B49" s="831"/>
      <c r="C49" s="12"/>
      <c r="D49" s="169"/>
      <c r="E49" s="177"/>
      <c r="F49" s="12"/>
      <c r="G49" s="228"/>
      <c r="H49" s="20"/>
      <c r="I49" s="20"/>
      <c r="J49" s="20"/>
      <c r="K49" s="20"/>
      <c r="L49" s="20"/>
      <c r="M49" s="20"/>
      <c r="N49" s="20"/>
      <c r="O49" s="20"/>
      <c r="P49" s="20"/>
      <c r="Q49" s="20"/>
      <c r="R49" s="20"/>
      <c r="S49" s="20"/>
    </row>
    <row r="50" spans="1:34">
      <c r="A50" s="2661"/>
      <c r="B50" s="2406" t="s">
        <v>5814</v>
      </c>
      <c r="C50" s="2662"/>
      <c r="D50" s="2663"/>
      <c r="E50" s="2664"/>
      <c r="F50" s="2662"/>
      <c r="G50" s="2665"/>
      <c r="H50" s="2666"/>
      <c r="I50" s="2666"/>
      <c r="J50" s="2666"/>
      <c r="K50" s="2666"/>
      <c r="L50" s="2666"/>
      <c r="M50" s="2666"/>
      <c r="N50" s="2666"/>
      <c r="O50" s="2666"/>
      <c r="P50" s="2666"/>
      <c r="Q50" s="2666"/>
      <c r="R50" s="2666"/>
      <c r="S50" s="2666"/>
    </row>
    <row r="51" spans="1:34">
      <c r="A51" s="2661"/>
      <c r="B51" s="2406"/>
      <c r="C51" s="2662"/>
      <c r="D51" s="2663"/>
      <c r="E51" s="2664"/>
      <c r="F51" s="2662"/>
      <c r="G51" s="2665"/>
      <c r="H51" s="2666"/>
      <c r="I51" s="2666"/>
      <c r="J51" s="2666"/>
      <c r="K51" s="2666"/>
      <c r="L51" s="2666"/>
      <c r="M51" s="2666"/>
      <c r="N51" s="2666"/>
      <c r="O51" s="2666"/>
      <c r="P51" s="2666"/>
      <c r="Q51" s="2666"/>
      <c r="R51" s="2666"/>
      <c r="S51" s="2666"/>
    </row>
    <row r="52" spans="1:34" ht="30">
      <c r="A52" s="2661"/>
      <c r="B52" s="2406" t="s">
        <v>68</v>
      </c>
      <c r="C52" s="2662"/>
      <c r="D52" s="2663"/>
      <c r="E52" s="2664"/>
      <c r="F52" s="2662"/>
      <c r="G52" s="2665"/>
      <c r="H52" s="2666"/>
      <c r="I52" s="2666"/>
      <c r="J52" s="2666"/>
      <c r="K52" s="2666"/>
      <c r="L52" s="2666"/>
      <c r="M52" s="2666"/>
      <c r="N52" s="2666"/>
      <c r="O52" s="2666"/>
      <c r="P52" s="2666"/>
      <c r="Q52" s="2666"/>
      <c r="R52" s="2666"/>
      <c r="S52" s="2666"/>
    </row>
    <row r="53" spans="1:34" ht="30">
      <c r="A53" s="2661"/>
      <c r="B53" s="2406" t="s">
        <v>5691</v>
      </c>
      <c r="C53" s="2662"/>
      <c r="D53" s="2663"/>
      <c r="E53" s="2664"/>
      <c r="F53" s="2662"/>
      <c r="G53" s="2665"/>
      <c r="H53" s="2666"/>
      <c r="I53" s="2666"/>
      <c r="J53" s="2666"/>
      <c r="K53" s="2666"/>
      <c r="L53" s="2666"/>
      <c r="M53" s="2666"/>
      <c r="N53" s="2666"/>
      <c r="O53" s="2666"/>
      <c r="P53" s="2666"/>
      <c r="Q53" s="2666"/>
      <c r="R53" s="2666"/>
      <c r="S53" s="2666"/>
    </row>
    <row r="54" spans="1:34">
      <c r="A54" s="2661"/>
      <c r="B54" s="2406"/>
      <c r="C54" s="2662"/>
      <c r="D54" s="2663"/>
      <c r="E54" s="2664"/>
      <c r="F54" s="2662"/>
      <c r="G54" s="2665"/>
      <c r="H54" s="2666"/>
      <c r="I54" s="2666"/>
      <c r="J54" s="2666"/>
      <c r="K54" s="2666"/>
      <c r="L54" s="2666"/>
      <c r="M54" s="2666"/>
      <c r="N54" s="2666"/>
      <c r="O54" s="2666"/>
      <c r="P54" s="2666"/>
      <c r="Q54" s="2666"/>
      <c r="R54" s="2666"/>
      <c r="S54" s="2666"/>
    </row>
    <row r="55" spans="1:34" s="2" customFormat="1">
      <c r="A55" s="830" t="s">
        <v>2981</v>
      </c>
      <c r="B55" s="831"/>
      <c r="C55" s="12"/>
      <c r="D55" s="169"/>
      <c r="E55" s="177"/>
      <c r="F55" s="12"/>
      <c r="G55" s="228"/>
      <c r="H55" s="20"/>
      <c r="I55" s="20"/>
      <c r="J55" s="20"/>
      <c r="K55" s="20"/>
      <c r="L55" s="20"/>
      <c r="M55" s="20"/>
      <c r="N55" s="20"/>
      <c r="O55" s="20"/>
      <c r="P55" s="20"/>
      <c r="Q55" s="20"/>
      <c r="R55" s="20"/>
      <c r="S55" s="20"/>
      <c r="T55"/>
      <c r="U55"/>
      <c r="V55"/>
      <c r="W55"/>
      <c r="X55"/>
      <c r="Y55"/>
      <c r="Z55"/>
      <c r="AA55"/>
      <c r="AB55"/>
      <c r="AC55"/>
      <c r="AD55"/>
      <c r="AE55"/>
      <c r="AF55"/>
      <c r="AG55"/>
      <c r="AH55"/>
    </row>
    <row r="56" spans="1:34" s="2" customFormat="1">
      <c r="A56" s="2661"/>
      <c r="B56" s="2406"/>
      <c r="C56" s="2662"/>
      <c r="D56" s="2663"/>
      <c r="E56" s="2664"/>
      <c r="F56" s="2662"/>
      <c r="G56" s="2665"/>
      <c r="H56" s="2666"/>
      <c r="I56" s="2666"/>
      <c r="J56" s="2666"/>
      <c r="K56" s="2666"/>
      <c r="L56" s="2666"/>
      <c r="M56" s="2666"/>
      <c r="N56" s="2666"/>
      <c r="O56" s="2666"/>
      <c r="P56" s="2666"/>
      <c r="Q56" s="2666"/>
      <c r="R56" s="2666"/>
      <c r="S56" s="2666"/>
      <c r="T56"/>
      <c r="U56"/>
      <c r="V56"/>
      <c r="W56"/>
      <c r="X56"/>
      <c r="Y56"/>
      <c r="Z56"/>
      <c r="AA56"/>
      <c r="AB56"/>
      <c r="AC56"/>
      <c r="AD56"/>
      <c r="AE56"/>
      <c r="AF56"/>
      <c r="AG56"/>
      <c r="AH56"/>
    </row>
    <row r="57" spans="1:34" s="2" customFormat="1">
      <c r="A57" s="2661"/>
      <c r="B57" s="2406"/>
      <c r="C57" s="2662"/>
      <c r="D57" s="2663"/>
      <c r="E57" s="2664"/>
      <c r="F57" s="2662"/>
      <c r="G57" s="2665"/>
      <c r="H57" s="2666"/>
      <c r="I57" s="2666"/>
      <c r="J57" s="2666"/>
      <c r="K57" s="2666"/>
      <c r="L57" s="2666"/>
      <c r="M57" s="2666"/>
      <c r="N57" s="2666"/>
      <c r="O57" s="2666"/>
      <c r="P57" s="2666"/>
      <c r="Q57" s="2666"/>
      <c r="R57" s="2666"/>
      <c r="S57" s="2666"/>
      <c r="T57"/>
      <c r="U57"/>
      <c r="V57"/>
      <c r="W57"/>
      <c r="X57"/>
      <c r="Y57"/>
      <c r="Z57"/>
      <c r="AA57"/>
      <c r="AB57"/>
      <c r="AC57"/>
      <c r="AD57"/>
      <c r="AE57"/>
      <c r="AF57"/>
      <c r="AG57"/>
      <c r="AH57"/>
    </row>
    <row r="58" spans="1:34">
      <c r="A58" s="2661"/>
      <c r="B58" s="2406"/>
      <c r="C58" s="2662"/>
      <c r="D58" s="2663"/>
      <c r="E58" s="2664"/>
      <c r="F58" s="2662"/>
      <c r="G58" s="2665"/>
      <c r="H58" s="2666"/>
      <c r="I58" s="2666"/>
      <c r="J58" s="2666"/>
      <c r="K58" s="2666"/>
      <c r="L58" s="2666"/>
      <c r="M58" s="2666"/>
      <c r="N58" s="2666"/>
      <c r="O58" s="2666"/>
      <c r="P58" s="2666"/>
      <c r="Q58" s="2666"/>
      <c r="R58" s="2666"/>
      <c r="S58" s="2666"/>
    </row>
    <row r="59" spans="1:34" s="2" customFormat="1">
      <c r="A59" s="830" t="s">
        <v>2982</v>
      </c>
      <c r="B59" s="831"/>
      <c r="C59" s="12"/>
      <c r="D59" s="169"/>
      <c r="E59" s="177"/>
      <c r="F59" s="12"/>
      <c r="G59" s="228"/>
      <c r="H59" s="20"/>
      <c r="I59" s="20"/>
      <c r="J59" s="20"/>
      <c r="K59" s="20"/>
      <c r="L59" s="20"/>
      <c r="M59" s="20"/>
      <c r="N59" s="20"/>
      <c r="O59" s="20"/>
      <c r="P59" s="20"/>
      <c r="Q59" s="20"/>
      <c r="R59" s="20"/>
      <c r="S59" s="20"/>
      <c r="T59"/>
      <c r="U59"/>
      <c r="V59"/>
      <c r="W59"/>
      <c r="X59"/>
      <c r="Y59"/>
      <c r="Z59"/>
      <c r="AA59"/>
      <c r="AB59"/>
      <c r="AC59"/>
      <c r="AD59"/>
      <c r="AE59"/>
      <c r="AF59"/>
      <c r="AG59"/>
      <c r="AH59"/>
    </row>
    <row r="60" spans="1:34" s="2" customFormat="1">
      <c r="A60" s="2661"/>
      <c r="B60" s="2406"/>
      <c r="C60" s="2662"/>
      <c r="D60" s="2663"/>
      <c r="E60" s="2664"/>
      <c r="F60" s="2662"/>
      <c r="G60" s="2665"/>
      <c r="H60" s="2666"/>
      <c r="I60" s="2666"/>
      <c r="J60" s="2666"/>
      <c r="K60" s="2666"/>
      <c r="L60" s="2666"/>
      <c r="M60" s="2666"/>
      <c r="N60" s="2666"/>
      <c r="O60" s="2666"/>
      <c r="P60" s="2666"/>
      <c r="Q60" s="2666"/>
      <c r="R60" s="2666"/>
      <c r="S60" s="2666"/>
      <c r="T60"/>
      <c r="U60"/>
      <c r="V60"/>
      <c r="W60"/>
      <c r="X60"/>
      <c r="Y60"/>
      <c r="Z60"/>
      <c r="AA60"/>
      <c r="AB60"/>
      <c r="AC60"/>
      <c r="AD60"/>
      <c r="AE60"/>
      <c r="AF60"/>
      <c r="AG60"/>
      <c r="AH60"/>
    </row>
    <row r="61" spans="1:34" s="2" customFormat="1">
      <c r="A61" s="2382"/>
      <c r="B61" s="2406"/>
      <c r="C61" s="2407"/>
      <c r="D61" s="2408"/>
      <c r="E61" s="2409"/>
      <c r="F61" s="2407"/>
      <c r="G61" s="2383"/>
      <c r="H61" s="2384"/>
      <c r="I61" s="2384"/>
      <c r="J61" s="2384"/>
      <c r="K61" s="2384"/>
      <c r="L61" s="2384"/>
      <c r="M61" s="2384"/>
      <c r="N61" s="2384"/>
      <c r="O61" s="2384"/>
      <c r="P61" s="2384"/>
      <c r="Q61" s="2384"/>
      <c r="R61" s="2384"/>
      <c r="S61" s="2384"/>
      <c r="T61"/>
      <c r="U61"/>
      <c r="V61"/>
      <c r="W61"/>
      <c r="X61"/>
      <c r="Y61"/>
      <c r="Z61"/>
      <c r="AA61"/>
      <c r="AB61"/>
      <c r="AC61"/>
      <c r="AD61"/>
      <c r="AE61"/>
      <c r="AF61"/>
      <c r="AG61"/>
      <c r="AH61"/>
    </row>
    <row r="62" spans="1:34" s="2" customFormat="1">
      <c r="A62" s="2385"/>
      <c r="B62" s="2386"/>
      <c r="C62" s="2407"/>
      <c r="D62" s="2408"/>
      <c r="E62" s="2409"/>
      <c r="F62" s="2407"/>
      <c r="G62" s="2383"/>
      <c r="H62" s="2387"/>
      <c r="I62" s="2387"/>
      <c r="J62" s="2387"/>
      <c r="K62" s="2387"/>
      <c r="L62" s="2387"/>
      <c r="M62" s="2387"/>
      <c r="N62" s="2387"/>
      <c r="O62" s="2387"/>
      <c r="P62" s="2387"/>
      <c r="Q62" s="2387"/>
      <c r="R62" s="2387"/>
      <c r="S62" s="2387"/>
    </row>
    <row r="63" spans="1:34" s="2" customFormat="1">
      <c r="A63" s="830" t="s">
        <v>2983</v>
      </c>
      <c r="B63" s="831"/>
      <c r="C63" s="12"/>
      <c r="D63" s="169"/>
      <c r="E63" s="177"/>
      <c r="F63" s="12"/>
      <c r="G63" s="228"/>
      <c r="H63" s="20"/>
      <c r="I63" s="20"/>
      <c r="J63" s="20"/>
      <c r="K63" s="20"/>
      <c r="L63" s="20"/>
      <c r="M63" s="20"/>
      <c r="N63" s="20"/>
      <c r="O63" s="20"/>
      <c r="P63" s="20"/>
      <c r="Q63" s="20"/>
      <c r="R63" s="20"/>
      <c r="S63" s="20"/>
      <c r="T63"/>
      <c r="U63"/>
      <c r="V63"/>
      <c r="W63"/>
      <c r="X63"/>
      <c r="Y63"/>
      <c r="Z63"/>
      <c r="AA63"/>
      <c r="AB63"/>
      <c r="AC63"/>
      <c r="AD63"/>
      <c r="AE63"/>
      <c r="AF63"/>
      <c r="AG63"/>
      <c r="AH63"/>
    </row>
    <row r="64" spans="1:34">
      <c r="A64" s="2667"/>
      <c r="B64" s="2668" t="s">
        <v>5815</v>
      </c>
      <c r="C64" s="2662"/>
      <c r="D64" s="2663"/>
      <c r="E64" s="2664"/>
      <c r="F64" s="2662"/>
      <c r="G64" s="2665"/>
      <c r="H64" s="2666"/>
      <c r="I64" s="2666">
        <v>-250000</v>
      </c>
      <c r="J64" s="2666"/>
      <c r="K64" s="2666"/>
      <c r="L64" s="2666"/>
      <c r="M64" s="2666"/>
      <c r="N64" s="2666"/>
      <c r="O64" s="2666"/>
      <c r="P64" s="2666"/>
      <c r="Q64" s="2666"/>
      <c r="R64" s="2666"/>
      <c r="S64" s="2666"/>
      <c r="T64" s="2"/>
      <c r="U64" s="2"/>
      <c r="V64" s="2"/>
      <c r="W64" s="2"/>
      <c r="X64" s="2"/>
      <c r="Y64" s="2"/>
      <c r="Z64" s="2"/>
      <c r="AA64" s="2"/>
      <c r="AB64" s="2"/>
      <c r="AC64" s="2"/>
      <c r="AD64" s="2"/>
      <c r="AE64" s="2"/>
      <c r="AF64" s="2"/>
      <c r="AG64" s="2"/>
      <c r="AH64" s="2"/>
    </row>
    <row r="65" spans="1:34">
      <c r="A65" s="2385"/>
      <c r="B65" s="2668" t="s">
        <v>5816</v>
      </c>
      <c r="C65" s="2407"/>
      <c r="D65" s="2408"/>
      <c r="E65" s="2409"/>
      <c r="F65" s="2407"/>
      <c r="G65" s="2383"/>
      <c r="H65" s="2390"/>
      <c r="I65" s="2390">
        <v>-330000</v>
      </c>
      <c r="J65" s="2390"/>
      <c r="K65" s="2390"/>
      <c r="L65" s="2390"/>
      <c r="M65" s="2390"/>
      <c r="N65" s="2390"/>
      <c r="O65" s="2390"/>
      <c r="P65" s="2390"/>
      <c r="Q65" s="2390"/>
      <c r="R65" s="2390"/>
      <c r="S65" s="2390"/>
      <c r="T65" s="2"/>
      <c r="U65" s="2"/>
      <c r="V65" s="2"/>
      <c r="W65" s="2"/>
      <c r="X65" s="2"/>
      <c r="Y65" s="2"/>
      <c r="Z65" s="2"/>
      <c r="AA65" s="2"/>
      <c r="AB65" s="2"/>
      <c r="AC65" s="2"/>
      <c r="AD65" s="2"/>
      <c r="AE65" s="2"/>
      <c r="AF65" s="2"/>
      <c r="AG65" s="2"/>
      <c r="AH65" s="2"/>
    </row>
    <row r="66" spans="1:34" ht="30">
      <c r="A66" s="2385"/>
      <c r="B66" s="2386" t="s">
        <v>5817</v>
      </c>
      <c r="C66" s="2407"/>
      <c r="D66" s="2408"/>
      <c r="E66" s="2409"/>
      <c r="F66" s="2407"/>
      <c r="G66" s="2383"/>
      <c r="H66" s="2390"/>
      <c r="I66" s="2390">
        <v>-43363</v>
      </c>
      <c r="J66" s="2390"/>
      <c r="K66" s="2390"/>
      <c r="L66" s="2390"/>
      <c r="M66" s="2390"/>
      <c r="N66" s="2390"/>
      <c r="O66" s="2390"/>
      <c r="P66" s="2390"/>
      <c r="Q66" s="2390"/>
      <c r="R66" s="2390"/>
      <c r="S66" s="2390"/>
      <c r="T66" s="2"/>
      <c r="U66" s="2"/>
      <c r="V66" s="2"/>
      <c r="W66" s="2"/>
      <c r="X66" s="2"/>
      <c r="Y66" s="2"/>
      <c r="Z66" s="2"/>
      <c r="AA66" s="2"/>
      <c r="AB66" s="2"/>
      <c r="AC66" s="2"/>
      <c r="AD66" s="2"/>
      <c r="AE66" s="2"/>
      <c r="AF66" s="2"/>
      <c r="AG66" s="2"/>
      <c r="AH66" s="2"/>
    </row>
    <row r="67" spans="1:34" ht="30">
      <c r="A67" s="2385"/>
      <c r="B67" s="2386" t="s">
        <v>5818</v>
      </c>
      <c r="C67" s="2407"/>
      <c r="D67" s="2408"/>
      <c r="E67" s="2409"/>
      <c r="F67" s="2407"/>
      <c r="G67" s="2383"/>
      <c r="H67" s="2390"/>
      <c r="I67" s="2390"/>
      <c r="J67" s="2390"/>
      <c r="K67" s="2390"/>
      <c r="L67" s="2390"/>
      <c r="M67" s="2390"/>
      <c r="N67" s="2390"/>
      <c r="O67" s="2390"/>
      <c r="P67" s="2390"/>
      <c r="Q67" s="2390">
        <f>-Q46</f>
        <v>-446748.56</v>
      </c>
      <c r="R67" s="2390"/>
      <c r="S67" s="2390"/>
      <c r="T67" s="2"/>
      <c r="U67" s="2"/>
      <c r="V67" s="2"/>
      <c r="W67" s="2"/>
      <c r="X67" s="2"/>
      <c r="Y67" s="2"/>
      <c r="Z67" s="2"/>
      <c r="AA67" s="2"/>
      <c r="AB67" s="2"/>
      <c r="AC67" s="2"/>
      <c r="AD67" s="2"/>
      <c r="AE67" s="2"/>
      <c r="AF67" s="2"/>
      <c r="AG67" s="2"/>
      <c r="AH67" s="2"/>
    </row>
    <row r="68" spans="1:34">
      <c r="A68" s="830" t="s">
        <v>2984</v>
      </c>
      <c r="B68" s="831"/>
      <c r="C68" s="12"/>
      <c r="D68" s="169"/>
      <c r="E68" s="177"/>
      <c r="F68" s="12"/>
      <c r="G68" s="228"/>
      <c r="H68" s="20"/>
      <c r="I68" s="20"/>
      <c r="J68" s="20"/>
      <c r="K68" s="20"/>
      <c r="L68" s="20"/>
      <c r="M68" s="20"/>
      <c r="N68" s="20"/>
      <c r="O68" s="20"/>
      <c r="P68" s="20"/>
      <c r="Q68" s="20"/>
      <c r="R68" s="20"/>
      <c r="S68" s="20"/>
    </row>
    <row r="69" spans="1:34">
      <c r="A69" s="2382"/>
      <c r="B69" s="2406" t="s">
        <v>2985</v>
      </c>
      <c r="C69" s="2407"/>
      <c r="D69" s="2408"/>
      <c r="E69" s="2409"/>
      <c r="F69" s="2407"/>
      <c r="G69" s="2383"/>
      <c r="H69" s="2390"/>
      <c r="I69" s="2390"/>
      <c r="J69" s="2390"/>
      <c r="K69" s="2390"/>
      <c r="L69" s="2390"/>
      <c r="M69" s="2390"/>
      <c r="N69" s="2390"/>
      <c r="O69" s="2390"/>
      <c r="P69" s="2390"/>
      <c r="Q69" s="2390"/>
      <c r="R69" s="2390"/>
      <c r="S69" s="2390"/>
    </row>
    <row r="70" spans="1:34">
      <c r="A70" s="2382"/>
      <c r="B70" s="2406" t="s">
        <v>2986</v>
      </c>
      <c r="C70" s="2407"/>
      <c r="D70" s="2408"/>
      <c r="E70" s="2409"/>
      <c r="F70" s="2407"/>
      <c r="G70" s="2383"/>
      <c r="H70" s="2390"/>
      <c r="I70" s="2390"/>
      <c r="J70" s="2390"/>
      <c r="K70" s="2390"/>
      <c r="L70" s="2390"/>
      <c r="M70" s="2390"/>
      <c r="N70" s="2390"/>
      <c r="O70" s="2390"/>
      <c r="P70" s="2390"/>
      <c r="Q70" s="2390"/>
      <c r="R70" s="2390"/>
      <c r="S70" s="2390"/>
    </row>
    <row r="71" spans="1:34">
      <c r="A71" s="2382"/>
      <c r="B71" s="2406" t="s">
        <v>2987</v>
      </c>
      <c r="C71" s="2407"/>
      <c r="D71" s="2408"/>
      <c r="E71" s="2409"/>
      <c r="F71" s="2407"/>
      <c r="G71" s="2383"/>
      <c r="H71" s="2390"/>
      <c r="I71" s="2390"/>
      <c r="J71" s="2390"/>
      <c r="K71" s="2390"/>
      <c r="L71" s="2390"/>
      <c r="M71" s="2390"/>
      <c r="N71" s="2390"/>
      <c r="O71" s="2390"/>
      <c r="P71" s="2390"/>
      <c r="Q71" s="2390"/>
      <c r="R71" s="2390"/>
      <c r="S71" s="2390"/>
    </row>
    <row r="72" spans="1:34">
      <c r="A72" s="2382"/>
      <c r="B72" s="2406" t="s">
        <v>2988</v>
      </c>
      <c r="C72" s="2407"/>
      <c r="D72" s="2408"/>
      <c r="E72" s="2409"/>
      <c r="F72" s="2407"/>
      <c r="G72" s="2383"/>
      <c r="H72" s="2390"/>
      <c r="I72" s="2390"/>
      <c r="J72" s="2390"/>
      <c r="K72" s="2390"/>
      <c r="L72" s="2390"/>
      <c r="M72" s="2390"/>
      <c r="N72" s="2390"/>
      <c r="O72" s="2390"/>
      <c r="P72" s="2390"/>
      <c r="Q72" s="2390"/>
      <c r="R72" s="2390"/>
      <c r="S72" s="2390"/>
    </row>
    <row r="73" spans="1:34">
      <c r="A73" s="646"/>
      <c r="B73" s="619"/>
      <c r="C73" s="616"/>
      <c r="D73" s="621"/>
      <c r="E73" s="622"/>
      <c r="F73" s="616"/>
      <c r="G73" s="620"/>
      <c r="H73" s="647"/>
      <c r="I73" s="647"/>
      <c r="J73" s="647"/>
      <c r="K73" s="647"/>
      <c r="L73" s="647"/>
      <c r="M73" s="647"/>
      <c r="N73" s="647"/>
      <c r="O73" s="647"/>
      <c r="P73" s="647"/>
      <c r="Q73" s="647"/>
      <c r="R73" s="647"/>
      <c r="S73" s="647"/>
    </row>
    <row r="74" spans="1:34">
      <c r="A74" s="7" t="s">
        <v>2989</v>
      </c>
      <c r="B74" s="8"/>
      <c r="C74" s="12"/>
      <c r="D74" s="169"/>
      <c r="E74" s="177"/>
      <c r="F74" s="12"/>
      <c r="G74" s="228"/>
      <c r="H74" s="20"/>
      <c r="I74" s="20"/>
      <c r="J74" s="20"/>
      <c r="K74" s="20"/>
      <c r="L74" s="20"/>
      <c r="M74" s="20"/>
      <c r="N74" s="20"/>
      <c r="O74" s="20"/>
      <c r="P74" s="20"/>
      <c r="Q74" s="20"/>
      <c r="R74" s="20"/>
      <c r="S74" s="20"/>
    </row>
    <row r="75" spans="1:34">
      <c r="A75" s="2661"/>
      <c r="B75" s="2647" t="s">
        <v>2990</v>
      </c>
      <c r="C75" s="2662"/>
      <c r="D75" s="2663"/>
      <c r="E75" s="2664"/>
      <c r="F75" s="2662"/>
      <c r="G75" s="2665"/>
      <c r="H75" s="2648"/>
      <c r="I75" s="2648"/>
      <c r="J75" s="2648"/>
      <c r="K75" s="2648"/>
      <c r="L75" s="2648"/>
      <c r="M75" s="2648"/>
      <c r="N75" s="2648"/>
      <c r="O75" s="2648"/>
      <c r="P75" s="2648"/>
      <c r="Q75" s="2648"/>
      <c r="R75" s="2648"/>
      <c r="S75" s="2648"/>
    </row>
    <row r="76" spans="1:34">
      <c r="A76" s="2382"/>
      <c r="B76" s="2406" t="s">
        <v>2991</v>
      </c>
      <c r="C76" s="2407"/>
      <c r="D76" s="2408"/>
      <c r="E76" s="2409"/>
      <c r="F76" s="2407"/>
      <c r="G76" s="2383"/>
      <c r="H76" s="2391"/>
      <c r="I76" s="2391"/>
      <c r="J76" s="2391"/>
      <c r="K76" s="2391"/>
      <c r="L76" s="2391"/>
      <c r="M76" s="2391"/>
      <c r="N76" s="2391"/>
      <c r="O76" s="2391"/>
      <c r="P76" s="2391"/>
      <c r="Q76" s="2391"/>
      <c r="R76" s="2391"/>
      <c r="S76" s="2391"/>
    </row>
    <row r="77" spans="1:34">
      <c r="A77" s="2392"/>
      <c r="B77" s="2424" t="s">
        <v>2992</v>
      </c>
      <c r="C77" s="2425"/>
      <c r="D77" s="2393"/>
      <c r="E77" s="2394"/>
      <c r="F77" s="2425"/>
      <c r="G77" s="2395"/>
      <c r="H77" s="2396"/>
      <c r="I77" s="2396"/>
      <c r="J77" s="2396"/>
      <c r="K77" s="2396"/>
      <c r="L77" s="2396"/>
      <c r="M77" s="2396"/>
      <c r="N77" s="2396"/>
      <c r="O77" s="2396"/>
      <c r="P77" s="2396"/>
      <c r="Q77" s="2396"/>
      <c r="R77" s="2396"/>
      <c r="S77" s="2396"/>
    </row>
    <row r="79" spans="1:34">
      <c r="A79" s="59" t="s">
        <v>2993</v>
      </c>
      <c r="B79" s="61"/>
      <c r="C79" s="299" t="s">
        <v>5197</v>
      </c>
      <c r="D79" s="165" t="s">
        <v>3235</v>
      </c>
      <c r="E79" s="535" t="s">
        <v>5204</v>
      </c>
    </row>
    <row r="80" spans="1:34">
      <c r="A80" s="60" t="s">
        <v>2936</v>
      </c>
      <c r="B80" s="2398" t="str">
        <f>H5</f>
        <v>Jack Walsh Carpets &amp; Rugs, Inc.</v>
      </c>
    </row>
    <row r="81" spans="1:4">
      <c r="A81" s="2399" t="s">
        <v>2939</v>
      </c>
      <c r="B81" s="2398"/>
    </row>
    <row r="82" spans="1:4">
      <c r="A82" s="2400" t="s">
        <v>2941</v>
      </c>
      <c r="B82" s="2401"/>
    </row>
    <row r="83" spans="1:4">
      <c r="A83" s="2400" t="s">
        <v>2943</v>
      </c>
      <c r="B83" s="2402"/>
    </row>
    <row r="84" spans="1:4">
      <c r="A84" s="2403" t="s">
        <v>2994</v>
      </c>
      <c r="B84" s="2404">
        <f>H9</f>
        <v>893873.96</v>
      </c>
      <c r="C84" s="447">
        <f>SUM(I21:I35)</f>
        <v>879439.92999999993</v>
      </c>
      <c r="D84" s="165">
        <f>SUM(I36:I40)</f>
        <v>14434.03</v>
      </c>
    </row>
    <row r="86" spans="1:4">
      <c r="A86" s="62"/>
      <c r="B86" s="1" t="s">
        <v>2995</v>
      </c>
    </row>
    <row r="87" spans="1:4">
      <c r="A87" s="63"/>
      <c r="B87" s="1" t="s">
        <v>2996</v>
      </c>
    </row>
  </sheetData>
  <mergeCells count="40">
    <mergeCell ref="P4:Q4"/>
    <mergeCell ref="A49:B49"/>
    <mergeCell ref="A55:B55"/>
    <mergeCell ref="A59:B59"/>
    <mergeCell ref="A63:B63"/>
    <mergeCell ref="H5:I5"/>
    <mergeCell ref="H6:I6"/>
    <mergeCell ref="H7:I7"/>
    <mergeCell ref="H4:I4"/>
    <mergeCell ref="N4:O4"/>
    <mergeCell ref="L4:M4"/>
    <mergeCell ref="J4:K4"/>
    <mergeCell ref="A68:B68"/>
    <mergeCell ref="R9:S9"/>
    <mergeCell ref="P8:Q8"/>
    <mergeCell ref="N8:O8"/>
    <mergeCell ref="J8:K8"/>
    <mergeCell ref="R8:S8"/>
    <mergeCell ref="P9:Q9"/>
    <mergeCell ref="N9:O9"/>
    <mergeCell ref="J9:K9"/>
    <mergeCell ref="H8:I8"/>
    <mergeCell ref="H9:I9"/>
    <mergeCell ref="L8:M8"/>
    <mergeCell ref="L9:M9"/>
    <mergeCell ref="R5:S5"/>
    <mergeCell ref="P5:Q5"/>
    <mergeCell ref="N5:O5"/>
    <mergeCell ref="J5:K5"/>
    <mergeCell ref="R7:S7"/>
    <mergeCell ref="P6:Q6"/>
    <mergeCell ref="N6:O6"/>
    <mergeCell ref="J6:K6"/>
    <mergeCell ref="R6:S6"/>
    <mergeCell ref="P7:Q7"/>
    <mergeCell ref="N7:O7"/>
    <mergeCell ref="J7:K7"/>
    <mergeCell ref="L5:M5"/>
    <mergeCell ref="L6:M6"/>
    <mergeCell ref="L7:M7"/>
  </mergeCells>
  <conditionalFormatting sqref="H11:H18">
    <cfRule type="cellIs" dxfId="143" priority="11" operator="equal">
      <formula>"X"</formula>
    </cfRule>
    <cfRule type="cellIs" dxfId="142" priority="12" operator="equal">
      <formula>"I"</formula>
    </cfRule>
  </conditionalFormatting>
  <conditionalFormatting sqref="H20:H41 J20:J41 P20:P41 R20:R41">
    <cfRule type="cellIs" dxfId="141" priority="15" operator="equal">
      <formula>"X"</formula>
    </cfRule>
    <cfRule type="cellIs" dxfId="140" priority="16" operator="equal">
      <formula>"I"</formula>
    </cfRule>
  </conditionalFormatting>
  <conditionalFormatting sqref="J11:J18">
    <cfRule type="cellIs" dxfId="139" priority="9" operator="equal">
      <formula>"X"</formula>
    </cfRule>
    <cfRule type="cellIs" dxfId="138" priority="10" operator="equal">
      <formula>"I"</formula>
    </cfRule>
  </conditionalFormatting>
  <conditionalFormatting sqref="L11">
    <cfRule type="cellIs" dxfId="137" priority="13" operator="equal">
      <formula>"X"</formula>
    </cfRule>
    <cfRule type="cellIs" dxfId="136" priority="14" operator="equal">
      <formula>"I"</formula>
    </cfRule>
  </conditionalFormatting>
  <conditionalFormatting sqref="L22:L40">
    <cfRule type="cellIs" dxfId="135" priority="3" operator="equal">
      <formula>"X"</formula>
    </cfRule>
    <cfRule type="cellIs" dxfId="134" priority="4" operator="equal">
      <formula>"I"</formula>
    </cfRule>
  </conditionalFormatting>
  <conditionalFormatting sqref="N11:N18">
    <cfRule type="cellIs" dxfId="133" priority="7" operator="equal">
      <formula>"X"</formula>
    </cfRule>
    <cfRule type="cellIs" dxfId="132" priority="8" operator="equal">
      <formula>"I"</formula>
    </cfRule>
  </conditionalFormatting>
  <conditionalFormatting sqref="N20:N41">
    <cfRule type="cellIs" dxfId="131" priority="1" operator="equal">
      <formula>"X"</formula>
    </cfRule>
    <cfRule type="cellIs" dxfId="130" priority="2" operator="equal">
      <formula>"I"</formula>
    </cfRule>
  </conditionalFormatting>
  <conditionalFormatting sqref="P11:P18">
    <cfRule type="cellIs" dxfId="129" priority="5" operator="equal">
      <formula>"X"</formula>
    </cfRule>
    <cfRule type="cellIs" dxfId="128" priority="6" operator="equal">
      <formula>"I"</formula>
    </cfRule>
  </conditionalFormatting>
  <conditionalFormatting sqref="R11:R18">
    <cfRule type="cellIs" dxfId="127" priority="21" operator="equal">
      <formula>"X"</formula>
    </cfRule>
    <cfRule type="cellIs" dxfId="126" priority="22" operator="equal">
      <formula>"I"</formula>
    </cfRule>
  </conditionalFormatting>
  <hyperlinks>
    <hyperlink ref="B4" location="'Cost Summary'!A1" display="BACK TO SUMMARY SHEET" xr:uid="{AFC6D432-65DF-4BE7-AE26-0DEAAB71E35B}"/>
    <hyperlink ref="P8:Q8" r:id="rId1" display="nahlbrecht@europeanflooring.com" xr:uid="{A2858894-8702-4086-897C-4BAAE4587D75}"/>
    <hyperlink ref="N8:O8" r:id="rId2" display="lisa@oneillbrothersflooring.com" xr:uid="{D06D7118-D7E7-4D87-A09A-25EF82F4AAD1}"/>
    <hyperlink ref="J8:K8" r:id="rId3" display="kellum@absolutehardwoodflooring.com" xr:uid="{1FAFA5FC-56D3-434C-8ACB-8BD4826C6E36}"/>
    <hyperlink ref="H8:I8" r:id="rId4" display="michael@jackwalshcarpets.com" xr:uid="{21D0E69C-AAE3-46F1-97EA-1FC4C508740F}"/>
    <hyperlink ref="L8:M8" r:id="rId5" display="scolado@totalflooring.net" xr:uid="{B1A70E8A-2FEE-4099-8846-9C6BEEA4F85F}"/>
  </hyperlinks>
  <pageMargins left="0.2" right="0.2" top="0.5" bottom="0.75" header="0.3" footer="0.3"/>
  <pageSetup paperSize="3" scale="77" fitToHeight="0" orientation="landscape"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rgb="FF92D050"/>
    <pageSetUpPr fitToPage="1"/>
  </sheetPr>
  <dimension ref="A1:AF158"/>
  <sheetViews>
    <sheetView zoomScale="90" zoomScaleNormal="90" workbookViewId="0">
      <pane ySplit="10" topLeftCell="A50" activePane="bottomLeft" state="frozen"/>
      <selection pane="bottomLeft" activeCell="I50" sqref="I50"/>
      <selection activeCell="B4" sqref="B4"/>
    </sheetView>
  </sheetViews>
  <sheetFormatPr defaultColWidth="8.85546875" defaultRowHeight="15"/>
  <cols>
    <col min="1" max="1" width="10.7109375" customWidth="1"/>
    <col min="2" max="2" width="73" style="1" customWidth="1"/>
    <col min="3" max="3" width="12.140625" style="2" customWidth="1"/>
    <col min="4" max="4" width="11.28515625" style="165" customWidth="1"/>
    <col min="5" max="5" width="13.140625" style="79" customWidth="1"/>
    <col min="6" max="6" width="16.42578125" style="2" bestFit="1" customWidth="1"/>
    <col min="7" max="7" width="15.28515625" style="2" bestFit="1" customWidth="1"/>
    <col min="8" max="8" width="7.42578125" style="2" bestFit="1" customWidth="1"/>
    <col min="9" max="9" width="14.85546875" style="2" customWidth="1"/>
    <col min="10" max="10" width="7.140625" style="2"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9" max="19" width="15" customWidth="1"/>
  </cols>
  <sheetData>
    <row r="1" spans="1:19">
      <c r="F1" s="178"/>
      <c r="G1" s="56" t="s">
        <v>2928</v>
      </c>
      <c r="R1" s="2"/>
      <c r="S1" s="2"/>
    </row>
    <row r="2" spans="1:19">
      <c r="F2" s="179" t="s">
        <v>2929</v>
      </c>
      <c r="G2" s="56" t="s">
        <v>2930</v>
      </c>
      <c r="R2" s="2"/>
      <c r="S2" s="2"/>
    </row>
    <row r="3" spans="1:19">
      <c r="F3" s="180" t="s">
        <v>2931</v>
      </c>
      <c r="G3" s="56" t="s">
        <v>2932</v>
      </c>
      <c r="L3" s="959" t="s">
        <v>5819</v>
      </c>
      <c r="M3" s="959"/>
      <c r="R3" s="2"/>
      <c r="S3" s="2"/>
    </row>
    <row r="4" spans="1:19" ht="15.75" customHeight="1" thickBot="1">
      <c r="B4" s="181" t="s">
        <v>2933</v>
      </c>
      <c r="F4" s="170"/>
      <c r="G4" s="2" t="s">
        <v>2934</v>
      </c>
      <c r="H4" s="968"/>
      <c r="I4" s="968"/>
      <c r="J4" s="988" t="s">
        <v>5820</v>
      </c>
      <c r="K4" s="988"/>
      <c r="L4" s="968" t="s">
        <v>5821</v>
      </c>
      <c r="M4" s="968"/>
      <c r="N4" s="968" t="s">
        <v>5822</v>
      </c>
      <c r="O4" s="968"/>
      <c r="R4" s="968"/>
      <c r="S4" s="968"/>
    </row>
    <row r="5" spans="1:19" ht="15.75" customHeight="1" thickTop="1">
      <c r="A5" s="3" t="s">
        <v>2935</v>
      </c>
      <c r="B5" s="4" t="str">
        <f>'Area Calculations'!B4</f>
        <v>Atlantic Fields Club Core / Dock Bar / Spa Pods / Water Features</v>
      </c>
      <c r="C5" s="5"/>
      <c r="D5" s="166"/>
      <c r="E5" s="171"/>
      <c r="F5" s="5"/>
      <c r="G5" s="6" t="s">
        <v>2936</v>
      </c>
      <c r="H5" s="982" t="s">
        <v>5823</v>
      </c>
      <c r="I5" s="982"/>
      <c r="J5" s="841" t="s">
        <v>5824</v>
      </c>
      <c r="K5" s="841"/>
      <c r="L5" s="841" t="s">
        <v>5825</v>
      </c>
      <c r="M5" s="841"/>
      <c r="N5" s="841" t="s">
        <v>5826</v>
      </c>
      <c r="O5" s="841"/>
      <c r="P5" s="841" t="s">
        <v>5827</v>
      </c>
      <c r="Q5" s="969"/>
      <c r="R5" s="841" t="s">
        <v>5828</v>
      </c>
      <c r="S5" s="969"/>
    </row>
    <row r="6" spans="1:19">
      <c r="A6" s="2405" t="s">
        <v>2938</v>
      </c>
      <c r="B6" s="2406" t="s">
        <v>5829</v>
      </c>
      <c r="C6" s="2407"/>
      <c r="D6" s="2408"/>
      <c r="E6" s="2409"/>
      <c r="F6" s="2407"/>
      <c r="G6" s="657" t="s">
        <v>2939</v>
      </c>
      <c r="H6" s="2410" t="s">
        <v>5830</v>
      </c>
      <c r="I6" s="2410"/>
      <c r="J6" s="2410" t="s">
        <v>5831</v>
      </c>
      <c r="K6" s="2410"/>
      <c r="L6" s="2410" t="s">
        <v>5832</v>
      </c>
      <c r="M6" s="2410"/>
      <c r="N6" s="2410" t="s">
        <v>5833</v>
      </c>
      <c r="O6" s="2410"/>
      <c r="P6" s="2410" t="s">
        <v>5834</v>
      </c>
      <c r="Q6" s="2461"/>
      <c r="R6" s="2410" t="s">
        <v>5243</v>
      </c>
      <c r="S6" s="2461"/>
    </row>
    <row r="7" spans="1:19">
      <c r="A7" s="2405" t="s">
        <v>2940</v>
      </c>
      <c r="B7" s="2413" t="s">
        <v>2722</v>
      </c>
      <c r="C7" s="2407"/>
      <c r="D7" s="2408"/>
      <c r="E7" s="2409"/>
      <c r="F7" s="2407"/>
      <c r="G7" s="2414" t="s">
        <v>2941</v>
      </c>
      <c r="H7" s="2415" t="s">
        <v>5835</v>
      </c>
      <c r="I7" s="2415"/>
      <c r="J7" s="2415" t="s">
        <v>5836</v>
      </c>
      <c r="K7" s="2415"/>
      <c r="L7" s="2415" t="s">
        <v>5837</v>
      </c>
      <c r="M7" s="2415"/>
      <c r="N7" s="2415" t="s">
        <v>5838</v>
      </c>
      <c r="O7" s="2415"/>
      <c r="P7" s="2415" t="s">
        <v>5839</v>
      </c>
      <c r="Q7" s="2462"/>
      <c r="R7" s="2415" t="s">
        <v>5248</v>
      </c>
      <c r="S7" s="2462"/>
    </row>
    <row r="8" spans="1:19">
      <c r="A8" s="2405" t="s">
        <v>2942</v>
      </c>
      <c r="B8" s="2418"/>
      <c r="C8" s="2407"/>
      <c r="D8" s="2408"/>
      <c r="E8" s="2409"/>
      <c r="F8" s="2407"/>
      <c r="G8" s="2414" t="s">
        <v>2943</v>
      </c>
      <c r="H8" s="2419" t="s">
        <v>5840</v>
      </c>
      <c r="I8" s="2419"/>
      <c r="J8" s="2419" t="s">
        <v>5841</v>
      </c>
      <c r="K8" s="2419"/>
      <c r="L8" s="2419" t="s">
        <v>5842</v>
      </c>
      <c r="M8" s="2419"/>
      <c r="N8" s="2419" t="s">
        <v>5843</v>
      </c>
      <c r="O8" s="2419"/>
      <c r="P8" s="2419" t="s">
        <v>5844</v>
      </c>
      <c r="Q8" s="2463"/>
      <c r="R8" s="2419" t="s">
        <v>5845</v>
      </c>
      <c r="S8" s="2463"/>
    </row>
    <row r="9" spans="1:19" ht="15.75" thickBot="1">
      <c r="A9" s="2423"/>
      <c r="B9" s="2424"/>
      <c r="C9" s="616"/>
      <c r="D9" s="621"/>
      <c r="E9" s="622"/>
      <c r="F9" s="2425"/>
      <c r="G9" s="2426" t="s">
        <v>2944</v>
      </c>
      <c r="H9" s="2427">
        <f>I$117</f>
        <v>975539.34</v>
      </c>
      <c r="I9" s="2427"/>
      <c r="J9" s="2428">
        <f t="shared" ref="J9" si="0">K$117</f>
        <v>1295796</v>
      </c>
      <c r="K9" s="2428"/>
      <c r="L9" s="2428">
        <f t="shared" ref="L9" si="1">M$117</f>
        <v>335498.37</v>
      </c>
      <c r="M9" s="2428"/>
      <c r="N9" s="2428">
        <f>O$117</f>
        <v>178000</v>
      </c>
      <c r="O9" s="2428"/>
      <c r="P9" s="2428">
        <f t="shared" ref="P9" si="2">Q$117</f>
        <v>98768</v>
      </c>
      <c r="Q9" s="2669"/>
      <c r="R9" s="2428">
        <f>S$117</f>
        <v>0</v>
      </c>
      <c r="S9" s="2669"/>
    </row>
    <row r="10" spans="1:19" s="175" customFormat="1" ht="31.5" customHeight="1"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customHeight="1" thickTop="1" thickBot="1">
      <c r="A11" s="2649"/>
      <c r="B11" s="1618" t="s">
        <v>2953</v>
      </c>
      <c r="C11" s="659"/>
      <c r="D11" s="2408"/>
      <c r="E11" s="2409"/>
      <c r="F11" s="2407"/>
      <c r="G11" s="660"/>
      <c r="H11" s="2431"/>
      <c r="I11" s="2338"/>
      <c r="J11" s="2431"/>
      <c r="K11" s="182"/>
      <c r="L11" s="2431"/>
      <c r="M11" s="2339"/>
      <c r="N11" s="2431"/>
      <c r="O11" s="2339"/>
      <c r="P11" s="2431"/>
      <c r="Q11" s="2339"/>
      <c r="R11" s="2431"/>
      <c r="S11" s="2339"/>
    </row>
    <row r="12" spans="1:19">
      <c r="A12" s="2650"/>
      <c r="B12" s="1622" t="s">
        <v>2954</v>
      </c>
      <c r="C12" s="2407"/>
      <c r="D12" s="2408"/>
      <c r="E12" s="2409"/>
      <c r="F12" s="2407"/>
      <c r="G12" s="660"/>
      <c r="H12" s="790" t="s">
        <v>3028</v>
      </c>
      <c r="I12" s="2338"/>
      <c r="J12" s="790" t="s">
        <v>3028</v>
      </c>
      <c r="K12" s="2339"/>
      <c r="L12" s="790" t="s">
        <v>3028</v>
      </c>
      <c r="M12" s="2339"/>
      <c r="N12" s="790" t="s">
        <v>3028</v>
      </c>
      <c r="O12" s="2339"/>
      <c r="P12" s="790" t="s">
        <v>3028</v>
      </c>
      <c r="Q12" s="2339"/>
      <c r="R12" s="790" t="s">
        <v>3028</v>
      </c>
      <c r="S12" s="2339"/>
    </row>
    <row r="13" spans="1:19">
      <c r="A13" s="2432"/>
      <c r="B13" s="2651" t="s">
        <v>2955</v>
      </c>
      <c r="C13" s="2407"/>
      <c r="D13" s="2408"/>
      <c r="E13" s="2409"/>
      <c r="F13" s="2407"/>
      <c r="G13" s="660"/>
      <c r="H13" s="790" t="s">
        <v>3028</v>
      </c>
      <c r="I13" s="2338"/>
      <c r="J13" s="790" t="s">
        <v>3028</v>
      </c>
      <c r="K13" s="2339"/>
      <c r="L13" s="790" t="s">
        <v>3028</v>
      </c>
      <c r="M13" s="2339"/>
      <c r="N13" s="790" t="s">
        <v>3028</v>
      </c>
      <c r="O13" s="2339"/>
      <c r="P13" s="790" t="s">
        <v>3028</v>
      </c>
      <c r="Q13" s="2339"/>
      <c r="R13" s="790" t="s">
        <v>3028</v>
      </c>
      <c r="S13" s="2339"/>
    </row>
    <row r="14" spans="1:19">
      <c r="A14" s="2432"/>
      <c r="B14" s="2652" t="s">
        <v>2956</v>
      </c>
      <c r="C14" s="2407"/>
      <c r="D14" s="2408"/>
      <c r="E14" s="2409"/>
      <c r="F14" s="2407"/>
      <c r="G14" s="660"/>
      <c r="H14" s="790" t="s">
        <v>3807</v>
      </c>
      <c r="I14" s="2338"/>
      <c r="J14" s="790" t="s">
        <v>3807</v>
      </c>
      <c r="K14" s="2339"/>
      <c r="L14" s="790" t="s">
        <v>3807</v>
      </c>
      <c r="M14" s="2339"/>
      <c r="N14" s="790" t="s">
        <v>3807</v>
      </c>
      <c r="O14" s="2339"/>
      <c r="P14" s="790" t="s">
        <v>3807</v>
      </c>
      <c r="Q14" s="2339"/>
      <c r="R14" s="790" t="s">
        <v>3807</v>
      </c>
      <c r="S14" s="2339"/>
    </row>
    <row r="15" spans="1:19">
      <c r="A15" s="2432"/>
      <c r="B15" s="2652" t="s">
        <v>2957</v>
      </c>
      <c r="C15" s="2407"/>
      <c r="D15" s="2408"/>
      <c r="E15" s="2409"/>
      <c r="F15" s="2407"/>
      <c r="G15" s="660"/>
      <c r="H15" s="790" t="s">
        <v>3028</v>
      </c>
      <c r="I15" s="2338"/>
      <c r="J15" s="790" t="s">
        <v>3028</v>
      </c>
      <c r="K15" s="2338"/>
      <c r="L15" s="790" t="s">
        <v>3028</v>
      </c>
      <c r="M15" s="2338"/>
      <c r="N15" s="790" t="s">
        <v>3028</v>
      </c>
      <c r="O15" s="2338"/>
      <c r="P15" s="790" t="s">
        <v>3028</v>
      </c>
      <c r="Q15" s="2338"/>
      <c r="R15" s="790" t="s">
        <v>3028</v>
      </c>
      <c r="S15" s="2338"/>
    </row>
    <row r="16" spans="1:19">
      <c r="A16" s="2432"/>
      <c r="B16" s="2652" t="s">
        <v>2958</v>
      </c>
      <c r="C16" s="2407"/>
      <c r="D16" s="2408"/>
      <c r="E16" s="2409"/>
      <c r="F16" s="2407"/>
      <c r="G16" s="660"/>
      <c r="H16" s="790" t="s">
        <v>3028</v>
      </c>
      <c r="I16" s="2338"/>
      <c r="J16" s="790" t="s">
        <v>3028</v>
      </c>
      <c r="K16" s="2339"/>
      <c r="L16" s="790" t="s">
        <v>3028</v>
      </c>
      <c r="M16" s="2339"/>
      <c r="N16" s="790" t="s">
        <v>3028</v>
      </c>
      <c r="O16" s="2339"/>
      <c r="P16" s="790" t="s">
        <v>3028</v>
      </c>
      <c r="Q16" s="2339"/>
      <c r="R16" s="790" t="s">
        <v>3028</v>
      </c>
      <c r="S16" s="2339"/>
    </row>
    <row r="17" spans="1:19">
      <c r="A17" s="2432"/>
      <c r="B17" s="2652" t="s">
        <v>2959</v>
      </c>
      <c r="C17" s="2407"/>
      <c r="D17" s="2408"/>
      <c r="E17" s="2409"/>
      <c r="F17" s="2407"/>
      <c r="G17" s="660"/>
      <c r="H17" s="790" t="s">
        <v>3028</v>
      </c>
      <c r="I17" s="2338"/>
      <c r="J17" s="790" t="s">
        <v>3028</v>
      </c>
      <c r="K17" s="2339"/>
      <c r="L17" s="790" t="s">
        <v>3028</v>
      </c>
      <c r="M17" s="2339"/>
      <c r="N17" s="790" t="s">
        <v>3028</v>
      </c>
      <c r="O17" s="2339"/>
      <c r="P17" s="790" t="s">
        <v>3028</v>
      </c>
      <c r="Q17" s="2339"/>
      <c r="R17" s="790" t="s">
        <v>3028</v>
      </c>
      <c r="S17" s="2339"/>
    </row>
    <row r="18" spans="1:19">
      <c r="A18" s="2432"/>
      <c r="B18" s="2653" t="s">
        <v>2960</v>
      </c>
      <c r="C18" s="2407"/>
      <c r="D18" s="2408"/>
      <c r="E18" s="2409"/>
      <c r="F18" s="2407"/>
      <c r="G18" s="660"/>
      <c r="H18" s="2431"/>
      <c r="I18" s="2338"/>
      <c r="J18" s="2431"/>
      <c r="K18" s="2339"/>
      <c r="L18" s="2431"/>
      <c r="M18" s="2339"/>
      <c r="N18" s="2431"/>
      <c r="O18" s="2339"/>
      <c r="P18" s="2431"/>
      <c r="Q18" s="2339"/>
      <c r="R18" s="2431"/>
      <c r="S18" s="2339"/>
    </row>
    <row r="19" spans="1:19">
      <c r="A19" s="2432"/>
      <c r="B19" s="2654" t="s">
        <v>2961</v>
      </c>
      <c r="C19" s="2433"/>
      <c r="D19" s="2434"/>
      <c r="E19" s="2435"/>
      <c r="F19" s="2436"/>
      <c r="G19" s="661"/>
      <c r="H19" s="2437"/>
      <c r="I19" s="2347"/>
      <c r="J19" s="2437"/>
      <c r="K19" s="2346"/>
      <c r="L19" s="2437"/>
      <c r="M19" s="2346"/>
      <c r="N19" s="2437"/>
      <c r="O19" s="2346">
        <v>178000</v>
      </c>
      <c r="P19" s="2437"/>
      <c r="Q19" s="2346"/>
      <c r="R19" s="2437"/>
      <c r="S19" s="2346"/>
    </row>
    <row r="20" spans="1:19">
      <c r="A20" s="2432"/>
      <c r="B20" s="315"/>
      <c r="C20" s="2407"/>
      <c r="D20" s="2441"/>
      <c r="E20" s="2409"/>
      <c r="F20" s="2438"/>
      <c r="G20" s="660"/>
      <c r="H20" s="2391"/>
      <c r="I20" s="2444"/>
      <c r="J20" s="2391"/>
      <c r="K20" s="2443"/>
      <c r="L20" s="2391"/>
      <c r="M20" s="2443"/>
      <c r="N20" s="2391"/>
      <c r="O20" s="2443"/>
      <c r="P20" s="2391"/>
      <c r="Q20" s="2443"/>
      <c r="R20" s="2391"/>
      <c r="S20" s="2349"/>
    </row>
    <row r="21" spans="1:19">
      <c r="A21" s="2432"/>
      <c r="B21" s="2670" t="s">
        <v>5846</v>
      </c>
      <c r="C21" s="2407"/>
      <c r="D21" s="2408"/>
      <c r="E21" s="2409"/>
      <c r="F21" s="2438"/>
      <c r="G21" s="660"/>
      <c r="H21" s="2431" t="s">
        <v>3028</v>
      </c>
      <c r="I21" s="2349"/>
      <c r="J21" s="2431" t="s">
        <v>3028</v>
      </c>
      <c r="K21" s="2350"/>
      <c r="L21" s="2431" t="s">
        <v>3028</v>
      </c>
      <c r="M21" s="2349"/>
      <c r="N21" s="2431"/>
      <c r="O21" s="2349"/>
      <c r="P21" s="2431"/>
      <c r="Q21" s="2349"/>
      <c r="R21" s="2431"/>
      <c r="S21" s="2349"/>
    </row>
    <row r="22" spans="1:19">
      <c r="A22" s="2432"/>
      <c r="B22" s="2671" t="s">
        <v>5847</v>
      </c>
      <c r="C22" s="2407"/>
      <c r="D22" s="2408"/>
      <c r="E22" s="2409"/>
      <c r="F22" s="2438"/>
      <c r="G22" s="660"/>
      <c r="H22" s="2431" t="s">
        <v>3028</v>
      </c>
      <c r="I22" s="2349"/>
      <c r="J22" s="2431" t="s">
        <v>3028</v>
      </c>
      <c r="K22" s="2350"/>
      <c r="L22" s="2431" t="s">
        <v>3028</v>
      </c>
      <c r="M22" s="2349"/>
      <c r="N22" s="2431"/>
      <c r="O22" s="2349"/>
      <c r="P22" s="2431" t="s">
        <v>3028</v>
      </c>
      <c r="Q22" s="2349"/>
      <c r="R22" s="2431"/>
      <c r="S22" s="2349"/>
    </row>
    <row r="23" spans="1:19">
      <c r="A23" s="2432"/>
      <c r="B23" s="2671" t="s">
        <v>5848</v>
      </c>
      <c r="C23" s="2407"/>
      <c r="D23" s="2408"/>
      <c r="E23" s="2409"/>
      <c r="F23" s="2438"/>
      <c r="G23" s="660"/>
      <c r="H23" s="2431" t="s">
        <v>3028</v>
      </c>
      <c r="I23" s="2349"/>
      <c r="J23" s="2431" t="s">
        <v>3028</v>
      </c>
      <c r="K23" s="2350"/>
      <c r="L23" s="2431" t="s">
        <v>3028</v>
      </c>
      <c r="M23" s="2349"/>
      <c r="N23" s="2431"/>
      <c r="O23" s="2349"/>
      <c r="P23" s="2431" t="s">
        <v>3028</v>
      </c>
      <c r="Q23" s="2349"/>
      <c r="R23" s="2431"/>
      <c r="S23" s="2349"/>
    </row>
    <row r="24" spans="1:19">
      <c r="A24" s="2432"/>
      <c r="B24" s="2671" t="s">
        <v>5849</v>
      </c>
      <c r="C24" s="2407"/>
      <c r="D24" s="2408"/>
      <c r="E24" s="2409"/>
      <c r="F24" s="2438"/>
      <c r="G24" s="660"/>
      <c r="H24" s="2431" t="s">
        <v>3028</v>
      </c>
      <c r="I24" s="2349"/>
      <c r="J24" s="2431" t="s">
        <v>3028</v>
      </c>
      <c r="K24" s="2350"/>
      <c r="L24" s="2431" t="s">
        <v>3028</v>
      </c>
      <c r="M24" s="2349"/>
      <c r="N24" s="2431"/>
      <c r="O24" s="2349"/>
      <c r="P24" s="2431" t="s">
        <v>3028</v>
      </c>
      <c r="Q24" s="2349"/>
      <c r="R24" s="2431"/>
      <c r="S24" s="2349"/>
    </row>
    <row r="25" spans="1:19">
      <c r="A25" s="2432"/>
      <c r="B25" s="2671" t="s">
        <v>5850</v>
      </c>
      <c r="C25" s="2407"/>
      <c r="D25" s="2408"/>
      <c r="E25" s="2409"/>
      <c r="F25" s="2438"/>
      <c r="G25" s="660"/>
      <c r="H25" s="2431" t="s">
        <v>3028</v>
      </c>
      <c r="I25" s="2349"/>
      <c r="J25" s="2431" t="s">
        <v>3028</v>
      </c>
      <c r="K25" s="2350"/>
      <c r="L25" s="2431" t="s">
        <v>3028</v>
      </c>
      <c r="M25" s="2349"/>
      <c r="N25" s="2431"/>
      <c r="O25" s="2349"/>
      <c r="P25" s="2431" t="s">
        <v>3028</v>
      </c>
      <c r="Q25" s="2349"/>
      <c r="R25" s="2431"/>
      <c r="S25" s="2349"/>
    </row>
    <row r="26" spans="1:19">
      <c r="A26" s="2432"/>
      <c r="B26" s="2671" t="s">
        <v>5851</v>
      </c>
      <c r="C26" s="2407"/>
      <c r="D26" s="2408"/>
      <c r="E26" s="2409"/>
      <c r="F26" s="2438"/>
      <c r="G26" s="660"/>
      <c r="H26" s="2431" t="s">
        <v>3028</v>
      </c>
      <c r="I26" s="2349"/>
      <c r="J26" s="2431" t="s">
        <v>3028</v>
      </c>
      <c r="K26" s="2350"/>
      <c r="L26" s="2431" t="s">
        <v>3028</v>
      </c>
      <c r="M26" s="2349"/>
      <c r="N26" s="2431"/>
      <c r="O26" s="2349"/>
      <c r="P26" s="2431" t="s">
        <v>3028</v>
      </c>
      <c r="Q26" s="2349"/>
      <c r="R26" s="2431"/>
      <c r="S26" s="2349"/>
    </row>
    <row r="27" spans="1:19">
      <c r="A27" s="2432"/>
      <c r="B27" s="2671" t="s">
        <v>5852</v>
      </c>
      <c r="C27" s="2407"/>
      <c r="D27" s="2408"/>
      <c r="E27" s="2409"/>
      <c r="F27" s="2438"/>
      <c r="G27" s="660"/>
      <c r="H27" s="2431" t="s">
        <v>3028</v>
      </c>
      <c r="I27" s="2349"/>
      <c r="J27" s="2431" t="s">
        <v>3028</v>
      </c>
      <c r="K27" s="2350"/>
      <c r="L27" s="2431" t="s">
        <v>3028</v>
      </c>
      <c r="M27" s="2349"/>
      <c r="N27" s="2431"/>
      <c r="O27" s="2349"/>
      <c r="P27" s="2431" t="s">
        <v>3028</v>
      </c>
      <c r="Q27" s="2349"/>
      <c r="R27" s="2431"/>
      <c r="S27" s="2349"/>
    </row>
    <row r="28" spans="1:19">
      <c r="A28" s="2432"/>
      <c r="B28" s="2671" t="s">
        <v>5853</v>
      </c>
      <c r="C28" s="2407"/>
      <c r="D28" s="2408"/>
      <c r="E28" s="2409"/>
      <c r="F28" s="2438"/>
      <c r="G28" s="660"/>
      <c r="H28" s="2431" t="s">
        <v>3028</v>
      </c>
      <c r="I28" s="2349"/>
      <c r="J28" s="2431" t="s">
        <v>3028</v>
      </c>
      <c r="K28" s="2350"/>
      <c r="L28" s="2431" t="s">
        <v>3028</v>
      </c>
      <c r="M28" s="2349"/>
      <c r="N28" s="2431"/>
      <c r="O28" s="2349"/>
      <c r="P28" s="2431" t="s">
        <v>3028</v>
      </c>
      <c r="Q28" s="2349"/>
      <c r="R28" s="2431"/>
      <c r="S28" s="2349"/>
    </row>
    <row r="29" spans="1:19">
      <c r="A29" s="2432"/>
      <c r="B29" s="2656" t="s">
        <v>5317</v>
      </c>
      <c r="C29" s="2407"/>
      <c r="D29" s="2408"/>
      <c r="E29" s="2409"/>
      <c r="F29" s="2438"/>
      <c r="G29" s="660"/>
      <c r="H29" s="2431" t="s">
        <v>3028</v>
      </c>
      <c r="I29" s="2349">
        <f>270250+151750+442550</f>
        <v>864550</v>
      </c>
      <c r="J29" s="2431" t="s">
        <v>3028</v>
      </c>
      <c r="K29" s="2451">
        <f>961358+33700+46948</f>
        <v>1042006</v>
      </c>
      <c r="L29" s="2431" t="s">
        <v>3807</v>
      </c>
      <c r="M29" s="2349">
        <f>6558.14+22522.29+9296+3325.2+8658.56+9251.54+60686.26</f>
        <v>120297.98999999999</v>
      </c>
      <c r="N29" s="2431"/>
      <c r="O29" s="2349"/>
      <c r="P29" s="2431" t="s">
        <v>3807</v>
      </c>
      <c r="Q29" s="2349">
        <v>98768</v>
      </c>
      <c r="R29" s="2431"/>
      <c r="S29" s="2349"/>
    </row>
    <row r="30" spans="1:19">
      <c r="A30" s="2432"/>
      <c r="B30" s="2670" t="s">
        <v>5854</v>
      </c>
      <c r="C30" s="2407"/>
      <c r="D30" s="2408"/>
      <c r="E30" s="2409"/>
      <c r="F30" s="2438"/>
      <c r="G30" s="660"/>
      <c r="H30" s="2431" t="s">
        <v>3028</v>
      </c>
      <c r="I30" s="2349"/>
      <c r="J30" s="2431" t="s">
        <v>3028</v>
      </c>
      <c r="K30" s="2451"/>
      <c r="L30" s="2431" t="s">
        <v>3807</v>
      </c>
      <c r="M30" s="2349"/>
      <c r="N30" s="2431"/>
      <c r="O30" s="2349"/>
      <c r="P30" s="2431" t="s">
        <v>3807</v>
      </c>
      <c r="Q30" s="2349"/>
      <c r="R30" s="2431"/>
      <c r="S30" s="2349"/>
    </row>
    <row r="31" spans="1:19">
      <c r="A31" s="2432"/>
      <c r="B31" s="2672" t="s">
        <v>5855</v>
      </c>
      <c r="C31" s="2407"/>
      <c r="D31" s="2408"/>
      <c r="E31" s="2409"/>
      <c r="F31" s="2438"/>
      <c r="G31" s="2438"/>
      <c r="H31" s="2431" t="s">
        <v>3028</v>
      </c>
      <c r="I31" s="2349"/>
      <c r="J31" s="2431" t="s">
        <v>3028</v>
      </c>
      <c r="K31" s="2350"/>
      <c r="L31" s="2431" t="s">
        <v>3807</v>
      </c>
      <c r="M31" s="2349"/>
      <c r="N31" s="2431"/>
      <c r="O31" s="2349"/>
      <c r="P31" s="2431" t="s">
        <v>3028</v>
      </c>
      <c r="Q31" s="2349"/>
      <c r="R31" s="2431"/>
      <c r="S31" s="2349"/>
    </row>
    <row r="32" spans="1:19">
      <c r="A32" s="2432"/>
      <c r="B32" s="2672" t="s">
        <v>5856</v>
      </c>
      <c r="C32" s="2407" t="s">
        <v>813</v>
      </c>
      <c r="D32" s="2408">
        <v>5762</v>
      </c>
      <c r="E32" s="2409" t="s">
        <v>3112</v>
      </c>
      <c r="F32" s="2438">
        <v>2</v>
      </c>
      <c r="G32" s="2438">
        <f t="shared" ref="G32:G34" si="3">D32*F32</f>
        <v>11524</v>
      </c>
      <c r="H32" s="2448" t="s">
        <v>4877</v>
      </c>
      <c r="I32" s="2642">
        <f>G32</f>
        <v>11524</v>
      </c>
      <c r="J32" s="2431" t="s">
        <v>3028</v>
      </c>
      <c r="K32" s="2350"/>
      <c r="L32" s="2431" t="s">
        <v>3807</v>
      </c>
      <c r="M32" s="2349"/>
      <c r="N32" s="2431"/>
      <c r="O32" s="2349"/>
      <c r="P32" s="2431" t="s">
        <v>3807</v>
      </c>
      <c r="Q32" s="2349"/>
      <c r="R32" s="2431"/>
      <c r="S32" s="2349"/>
    </row>
    <row r="33" spans="1:19">
      <c r="A33" s="2432"/>
      <c r="B33" s="2672" t="s">
        <v>5857</v>
      </c>
      <c r="C33" s="2407"/>
      <c r="D33" s="2408">
        <v>520</v>
      </c>
      <c r="E33" s="2409" t="s">
        <v>3112</v>
      </c>
      <c r="F33" s="2438">
        <v>2</v>
      </c>
      <c r="G33" s="2438">
        <f t="shared" si="3"/>
        <v>1040</v>
      </c>
      <c r="H33" s="2448" t="s">
        <v>4877</v>
      </c>
      <c r="I33" s="2642">
        <f>G33</f>
        <v>1040</v>
      </c>
      <c r="J33" s="2431" t="s">
        <v>3028</v>
      </c>
      <c r="K33" s="2350"/>
      <c r="L33" s="2431" t="s">
        <v>3807</v>
      </c>
      <c r="M33" s="2349"/>
      <c r="N33" s="2431"/>
      <c r="O33" s="2349"/>
      <c r="P33" s="2431" t="s">
        <v>3807</v>
      </c>
      <c r="Q33" s="2349"/>
      <c r="R33" s="2431"/>
      <c r="S33" s="2349"/>
    </row>
    <row r="34" spans="1:19">
      <c r="A34" s="2432"/>
      <c r="B34" s="2672" t="s">
        <v>5858</v>
      </c>
      <c r="C34" s="2407"/>
      <c r="D34" s="2408">
        <v>3095.17</v>
      </c>
      <c r="E34" s="2409" t="s">
        <v>3112</v>
      </c>
      <c r="F34" s="2438">
        <v>2</v>
      </c>
      <c r="G34" s="2438">
        <f t="shared" si="3"/>
        <v>6190.34</v>
      </c>
      <c r="H34" s="2448" t="s">
        <v>4877</v>
      </c>
      <c r="I34" s="2642">
        <f>G34</f>
        <v>6190.34</v>
      </c>
      <c r="J34" s="2431" t="s">
        <v>3028</v>
      </c>
      <c r="K34" s="2350"/>
      <c r="L34" s="2431" t="s">
        <v>3807</v>
      </c>
      <c r="M34" s="2349"/>
      <c r="N34" s="2431"/>
      <c r="O34" s="2349"/>
      <c r="P34" s="2431" t="s">
        <v>3807</v>
      </c>
      <c r="Q34" s="2349"/>
      <c r="R34" s="2431"/>
      <c r="S34" s="2349"/>
    </row>
    <row r="35" spans="1:19">
      <c r="A35" s="2432"/>
      <c r="B35" s="2673" t="s">
        <v>5859</v>
      </c>
      <c r="C35" s="2407"/>
      <c r="D35" s="2408"/>
      <c r="E35" s="2409"/>
      <c r="F35" s="2438"/>
      <c r="G35" s="2438"/>
      <c r="H35" s="2431" t="s">
        <v>3028</v>
      </c>
      <c r="I35" s="2349"/>
      <c r="J35" s="2431" t="s">
        <v>3028</v>
      </c>
      <c r="K35" s="2350"/>
      <c r="L35" s="2431" t="s">
        <v>3807</v>
      </c>
      <c r="M35" s="2349"/>
      <c r="N35" s="2431"/>
      <c r="O35" s="2349"/>
      <c r="P35" s="2431" t="s">
        <v>3807</v>
      </c>
      <c r="Q35" s="2349"/>
      <c r="R35" s="2431"/>
      <c r="S35" s="2349"/>
    </row>
    <row r="36" spans="1:19">
      <c r="A36" s="2432"/>
      <c r="B36" s="2672" t="s">
        <v>5855</v>
      </c>
      <c r="C36" s="2407"/>
      <c r="D36" s="2408">
        <v>183</v>
      </c>
      <c r="E36" s="2409" t="s">
        <v>3041</v>
      </c>
      <c r="F36" s="2438">
        <v>100</v>
      </c>
      <c r="G36" s="2438">
        <f>F36*D36</f>
        <v>18300</v>
      </c>
      <c r="H36" s="2431" t="s">
        <v>3028</v>
      </c>
      <c r="I36" s="2349"/>
      <c r="J36" s="2431" t="s">
        <v>3028</v>
      </c>
      <c r="K36" s="2350"/>
      <c r="L36" s="2431" t="s">
        <v>3807</v>
      </c>
      <c r="M36" s="2349"/>
      <c r="N36" s="2431"/>
      <c r="O36" s="2349"/>
      <c r="P36" s="2431" t="s">
        <v>3028</v>
      </c>
      <c r="Q36" s="2349"/>
      <c r="R36" s="2431"/>
      <c r="S36" s="2349"/>
    </row>
    <row r="37" spans="1:19">
      <c r="A37" s="2432"/>
      <c r="B37" s="2672" t="s">
        <v>5860</v>
      </c>
      <c r="C37" s="2407"/>
      <c r="D37" s="2408">
        <v>60411</v>
      </c>
      <c r="E37" s="2409" t="s">
        <v>3112</v>
      </c>
      <c r="F37" s="2438">
        <v>2</v>
      </c>
      <c r="G37" s="2438">
        <f t="shared" ref="G37:G44" si="4">D37*F37</f>
        <v>120822</v>
      </c>
      <c r="H37" s="2431" t="s">
        <v>3028</v>
      </c>
      <c r="I37" s="2349"/>
      <c r="J37" s="2431" t="s">
        <v>3028</v>
      </c>
      <c r="K37" s="2350"/>
      <c r="L37" s="2431" t="s">
        <v>3807</v>
      </c>
      <c r="M37" s="2349"/>
      <c r="N37" s="2431"/>
      <c r="O37" s="2349"/>
      <c r="P37" s="2431" t="s">
        <v>3028</v>
      </c>
      <c r="Q37" s="2349"/>
      <c r="R37" s="2431"/>
      <c r="S37" s="2349"/>
    </row>
    <row r="38" spans="1:19">
      <c r="A38" s="2432"/>
      <c r="B38" s="2672" t="s">
        <v>5861</v>
      </c>
      <c r="C38" s="2407"/>
      <c r="D38" s="2408">
        <v>10000</v>
      </c>
      <c r="E38" s="2409" t="s">
        <v>3112</v>
      </c>
      <c r="F38" s="2438">
        <v>2.5</v>
      </c>
      <c r="G38" s="2438">
        <f t="shared" si="4"/>
        <v>25000</v>
      </c>
      <c r="H38" s="2431" t="s">
        <v>3028</v>
      </c>
      <c r="I38" s="2349"/>
      <c r="J38" s="2431" t="s">
        <v>3028</v>
      </c>
      <c r="K38" s="2350"/>
      <c r="L38" s="2431"/>
      <c r="M38" s="2349"/>
      <c r="N38" s="2431"/>
      <c r="O38" s="2349"/>
      <c r="P38" s="2431"/>
      <c r="Q38" s="2349"/>
      <c r="R38" s="2431"/>
      <c r="S38" s="2349"/>
    </row>
    <row r="39" spans="1:19">
      <c r="A39" s="2432"/>
      <c r="B39" s="2672" t="s">
        <v>5862</v>
      </c>
      <c r="C39" s="2407"/>
      <c r="D39" s="2408">
        <v>4862</v>
      </c>
      <c r="E39" s="2409" t="s">
        <v>3112</v>
      </c>
      <c r="F39" s="2438">
        <v>2</v>
      </c>
      <c r="G39" s="2438">
        <f t="shared" si="4"/>
        <v>9724</v>
      </c>
      <c r="H39" s="2431" t="s">
        <v>3028</v>
      </c>
      <c r="I39" s="2349"/>
      <c r="J39" s="2431" t="s">
        <v>3028</v>
      </c>
      <c r="K39" s="2350"/>
      <c r="L39" s="2431" t="s">
        <v>3807</v>
      </c>
      <c r="M39" s="2349"/>
      <c r="N39" s="2431"/>
      <c r="O39" s="2349"/>
      <c r="P39" s="2431" t="s">
        <v>3028</v>
      </c>
      <c r="Q39" s="2349"/>
      <c r="R39" s="2431"/>
      <c r="S39" s="2349"/>
    </row>
    <row r="40" spans="1:19">
      <c r="A40" s="2432"/>
      <c r="B40" s="2672" t="s">
        <v>5863</v>
      </c>
      <c r="C40" s="2407"/>
      <c r="D40" s="2408">
        <v>24228</v>
      </c>
      <c r="E40" s="2409" t="s">
        <v>3112</v>
      </c>
      <c r="F40" s="2438">
        <v>2.5</v>
      </c>
      <c r="G40" s="2438">
        <f t="shared" si="4"/>
        <v>60570</v>
      </c>
      <c r="H40" s="2431" t="s">
        <v>3028</v>
      </c>
      <c r="I40" s="2349"/>
      <c r="J40" s="2431" t="s">
        <v>3028</v>
      </c>
      <c r="K40" s="2350"/>
      <c r="L40" s="2431"/>
      <c r="M40" s="2349"/>
      <c r="N40" s="2431"/>
      <c r="O40" s="2349"/>
      <c r="P40" s="2431"/>
      <c r="Q40" s="2349"/>
      <c r="R40" s="2431"/>
      <c r="S40" s="2349"/>
    </row>
    <row r="41" spans="1:19">
      <c r="A41" s="2432"/>
      <c r="B41" s="2672" t="s">
        <v>5864</v>
      </c>
      <c r="C41" s="2407"/>
      <c r="D41" s="2408">
        <v>561</v>
      </c>
      <c r="E41" s="2409" t="s">
        <v>48</v>
      </c>
      <c r="F41" s="2438">
        <v>3</v>
      </c>
      <c r="G41" s="2438">
        <f t="shared" si="4"/>
        <v>1683</v>
      </c>
      <c r="H41" s="2431" t="s">
        <v>3028</v>
      </c>
      <c r="I41" s="2349"/>
      <c r="J41" s="2431" t="s">
        <v>3028</v>
      </c>
      <c r="K41" s="2350"/>
      <c r="L41" s="2431" t="s">
        <v>3807</v>
      </c>
      <c r="M41" s="2349"/>
      <c r="N41" s="2431"/>
      <c r="O41" s="2349"/>
      <c r="P41" s="2431" t="s">
        <v>3807</v>
      </c>
      <c r="Q41" s="2349"/>
      <c r="R41" s="2431"/>
      <c r="S41" s="2349"/>
    </row>
    <row r="42" spans="1:19">
      <c r="A42" s="2432"/>
      <c r="B42" s="2672" t="s">
        <v>5865</v>
      </c>
      <c r="C42" s="2407"/>
      <c r="D42" s="2408">
        <f>15*4*250</f>
        <v>15000</v>
      </c>
      <c r="E42" s="2409" t="s">
        <v>3112</v>
      </c>
      <c r="F42" s="2438">
        <v>2</v>
      </c>
      <c r="G42" s="2438">
        <f t="shared" si="4"/>
        <v>30000</v>
      </c>
      <c r="H42" s="2431" t="s">
        <v>3028</v>
      </c>
      <c r="I42" s="2349"/>
      <c r="J42" s="2431" t="s">
        <v>3028</v>
      </c>
      <c r="K42" s="2350"/>
      <c r="L42" s="2431" t="s">
        <v>3807</v>
      </c>
      <c r="M42" s="2349"/>
      <c r="N42" s="2431"/>
      <c r="O42" s="2349"/>
      <c r="P42" s="2431" t="s">
        <v>3807</v>
      </c>
      <c r="Q42" s="2349"/>
      <c r="R42" s="2431"/>
      <c r="S42" s="2349"/>
    </row>
    <row r="43" spans="1:19">
      <c r="A43" s="2432"/>
      <c r="B43" s="2672" t="s">
        <v>5725</v>
      </c>
      <c r="C43" s="2407"/>
      <c r="D43" s="2408"/>
      <c r="E43" s="2409"/>
      <c r="F43" s="2438"/>
      <c r="G43" s="2438"/>
      <c r="H43" s="2431" t="s">
        <v>3807</v>
      </c>
      <c r="I43" s="2349"/>
      <c r="J43" s="2431" t="s">
        <v>3807</v>
      </c>
      <c r="K43" s="2350"/>
      <c r="L43" s="2431" t="s">
        <v>3807</v>
      </c>
      <c r="M43" s="2349"/>
      <c r="N43" s="2431"/>
      <c r="O43" s="2349"/>
      <c r="P43" s="2431" t="s">
        <v>3807</v>
      </c>
      <c r="Q43" s="2349"/>
      <c r="R43" s="2431"/>
      <c r="S43" s="2349"/>
    </row>
    <row r="44" spans="1:19">
      <c r="A44" s="2432"/>
      <c r="B44" s="2672" t="s">
        <v>5866</v>
      </c>
      <c r="C44" s="2386" t="s">
        <v>5867</v>
      </c>
      <c r="D44" s="2408">
        <v>400</v>
      </c>
      <c r="E44" s="2409" t="s">
        <v>48</v>
      </c>
      <c r="F44" s="2438">
        <v>2</v>
      </c>
      <c r="G44" s="2438">
        <f t="shared" si="4"/>
        <v>800</v>
      </c>
      <c r="H44" s="2431" t="s">
        <v>3028</v>
      </c>
      <c r="I44" s="2349"/>
      <c r="J44" s="2431" t="s">
        <v>3028</v>
      </c>
      <c r="K44" s="2350"/>
      <c r="L44" s="2431" t="s">
        <v>3807</v>
      </c>
      <c r="M44" s="2349"/>
      <c r="N44" s="2431"/>
      <c r="O44" s="2349"/>
      <c r="P44" s="2431" t="s">
        <v>3807</v>
      </c>
      <c r="Q44" s="2349"/>
      <c r="R44" s="2431"/>
      <c r="S44" s="2349"/>
    </row>
    <row r="45" spans="1:19" ht="30" customHeight="1">
      <c r="A45" s="2432"/>
      <c r="B45" s="2674" t="s">
        <v>5868</v>
      </c>
      <c r="C45" s="2386" t="s">
        <v>5869</v>
      </c>
      <c r="D45" s="2408">
        <v>5046</v>
      </c>
      <c r="E45" s="2409" t="s">
        <v>3112</v>
      </c>
      <c r="F45" s="2438">
        <v>1</v>
      </c>
      <c r="G45" s="2438">
        <f>D45*F45</f>
        <v>5046</v>
      </c>
      <c r="H45" s="2448" t="s">
        <v>4877</v>
      </c>
      <c r="I45" s="2642">
        <f>G45</f>
        <v>5046</v>
      </c>
      <c r="J45" s="2431" t="s">
        <v>3028</v>
      </c>
      <c r="K45" s="2350"/>
      <c r="L45" s="2431" t="s">
        <v>3807</v>
      </c>
      <c r="M45" s="2349"/>
      <c r="N45" s="2431"/>
      <c r="O45" s="2349"/>
      <c r="P45" s="2431" t="s">
        <v>3807</v>
      </c>
      <c r="Q45" s="2349"/>
      <c r="R45" s="2431"/>
      <c r="S45" s="2349"/>
    </row>
    <row r="46" spans="1:19">
      <c r="A46" s="2432"/>
      <c r="B46" s="2672" t="s">
        <v>5870</v>
      </c>
      <c r="C46" s="2386"/>
      <c r="D46" s="2408">
        <v>1</v>
      </c>
      <c r="E46" s="2409" t="s">
        <v>48</v>
      </c>
      <c r="F46" s="2438">
        <v>3000</v>
      </c>
      <c r="G46" s="2438">
        <f>D46*F46</f>
        <v>3000</v>
      </c>
      <c r="H46" s="2448" t="s">
        <v>4877</v>
      </c>
      <c r="I46" s="2642">
        <f>G46</f>
        <v>3000</v>
      </c>
      <c r="J46" s="2431" t="s">
        <v>3028</v>
      </c>
      <c r="K46" s="2350"/>
      <c r="L46" s="2431" t="s">
        <v>3807</v>
      </c>
      <c r="M46" s="2349"/>
      <c r="N46" s="2431"/>
      <c r="O46" s="2349"/>
      <c r="P46" s="2431" t="s">
        <v>3807</v>
      </c>
      <c r="Q46" s="2349"/>
      <c r="R46" s="2431"/>
      <c r="S46" s="2349"/>
    </row>
    <row r="47" spans="1:19">
      <c r="A47" s="2432"/>
      <c r="B47" s="2672" t="s">
        <v>5871</v>
      </c>
      <c r="C47" s="2386" t="s">
        <v>921</v>
      </c>
      <c r="D47" s="2408">
        <v>1</v>
      </c>
      <c r="E47" s="2409" t="s">
        <v>3041</v>
      </c>
      <c r="F47" s="2438">
        <v>10000</v>
      </c>
      <c r="G47" s="2438">
        <f>D47*F47</f>
        <v>10000</v>
      </c>
      <c r="H47" s="2448" t="s">
        <v>4877</v>
      </c>
      <c r="I47" s="2642">
        <f>G47</f>
        <v>10000</v>
      </c>
      <c r="J47" s="2431" t="s">
        <v>3028</v>
      </c>
      <c r="K47" s="2350"/>
      <c r="L47" s="2431" t="s">
        <v>3807</v>
      </c>
      <c r="M47" s="2349"/>
      <c r="N47" s="2431"/>
      <c r="O47" s="2349"/>
      <c r="P47" s="2431" t="s">
        <v>3807</v>
      </c>
      <c r="Q47" s="2349"/>
      <c r="R47" s="2431"/>
      <c r="S47" s="2349"/>
    </row>
    <row r="48" spans="1:19">
      <c r="A48" s="2432"/>
      <c r="B48" s="2673" t="s">
        <v>5872</v>
      </c>
      <c r="C48" s="2407"/>
      <c r="D48" s="2408"/>
      <c r="E48" s="2409"/>
      <c r="F48" s="2438"/>
      <c r="G48" s="2438"/>
      <c r="H48" s="2431" t="s">
        <v>3028</v>
      </c>
      <c r="I48" s="2349"/>
      <c r="J48" s="2431" t="s">
        <v>3028</v>
      </c>
      <c r="K48" s="2350"/>
      <c r="L48" s="2431" t="s">
        <v>3807</v>
      </c>
      <c r="M48" s="2349"/>
      <c r="N48" s="2431"/>
      <c r="O48" s="2349"/>
      <c r="P48" s="2431" t="s">
        <v>3807</v>
      </c>
      <c r="Q48" s="2349"/>
      <c r="R48" s="2431"/>
      <c r="S48" s="2349"/>
    </row>
    <row r="49" spans="1:19" ht="17.25" customHeight="1">
      <c r="A49" s="2432"/>
      <c r="B49" s="2673" t="s">
        <v>5873</v>
      </c>
      <c r="C49" s="2407"/>
      <c r="D49" s="2408"/>
      <c r="E49" s="2409"/>
      <c r="F49" s="2438"/>
      <c r="G49" s="2438"/>
      <c r="H49" s="2431" t="s">
        <v>3028</v>
      </c>
      <c r="I49" s="2349"/>
      <c r="J49" s="2431" t="s">
        <v>3028</v>
      </c>
      <c r="K49" s="2350"/>
      <c r="L49" s="2431"/>
      <c r="M49" s="2349"/>
      <c r="N49" s="2431"/>
      <c r="O49" s="2349"/>
      <c r="P49" s="2431"/>
      <c r="Q49" s="2349"/>
      <c r="R49" s="2431"/>
      <c r="S49" s="2349"/>
    </row>
    <row r="50" spans="1:19">
      <c r="A50" s="2432"/>
      <c r="B50" s="2673" t="s">
        <v>5874</v>
      </c>
      <c r="C50" s="2407"/>
      <c r="D50" s="2408">
        <f>D38+D40</f>
        <v>34228</v>
      </c>
      <c r="E50" s="2409" t="s">
        <v>3112</v>
      </c>
      <c r="F50" s="2438">
        <v>1</v>
      </c>
      <c r="G50" s="2438">
        <f>D50*F50</f>
        <v>34228</v>
      </c>
      <c r="H50" s="2448" t="s">
        <v>4877</v>
      </c>
      <c r="I50" s="2642">
        <f>G50</f>
        <v>34228</v>
      </c>
      <c r="J50" s="2431" t="s">
        <v>3028</v>
      </c>
      <c r="K50" s="2350"/>
      <c r="L50" s="2431" t="s">
        <v>3807</v>
      </c>
      <c r="M50" s="2349"/>
      <c r="N50" s="2431"/>
      <c r="O50" s="2349"/>
      <c r="P50" s="2431" t="s">
        <v>3807</v>
      </c>
      <c r="Q50" s="2349"/>
      <c r="R50" s="2431"/>
      <c r="S50" s="2349"/>
    </row>
    <row r="51" spans="1:19">
      <c r="A51" s="2432"/>
      <c r="B51" s="2675" t="s">
        <v>5875</v>
      </c>
      <c r="C51" s="2407"/>
      <c r="D51" s="2408"/>
      <c r="E51" s="2409"/>
      <c r="F51" s="2438"/>
      <c r="G51" s="660"/>
      <c r="H51" s="2431" t="s">
        <v>3028</v>
      </c>
      <c r="I51" s="2349"/>
      <c r="J51" s="2431" t="s">
        <v>3028</v>
      </c>
      <c r="K51" s="2350">
        <v>124350</v>
      </c>
      <c r="L51" s="2431" t="s">
        <v>3028</v>
      </c>
      <c r="M51" s="2349">
        <v>155988</v>
      </c>
      <c r="N51" s="2431"/>
      <c r="O51" s="2349"/>
      <c r="P51" s="2431" t="s">
        <v>3807</v>
      </c>
      <c r="Q51" s="2349"/>
      <c r="R51" s="2431"/>
      <c r="S51" s="2349"/>
    </row>
    <row r="52" spans="1:19">
      <c r="A52" s="2432"/>
      <c r="B52" s="2676" t="s">
        <v>5876</v>
      </c>
      <c r="C52" s="2407"/>
      <c r="D52" s="2441"/>
      <c r="E52" s="2409"/>
      <c r="F52" s="2438"/>
      <c r="G52" s="660"/>
      <c r="H52" s="2442" t="s">
        <v>3028</v>
      </c>
      <c r="I52" s="2443"/>
      <c r="J52" s="2431" t="s">
        <v>3028</v>
      </c>
      <c r="K52" s="2444" t="s">
        <v>5877</v>
      </c>
      <c r="L52" s="2431" t="s">
        <v>3028</v>
      </c>
      <c r="M52" s="2444" t="s">
        <v>5877</v>
      </c>
      <c r="N52" s="2442"/>
      <c r="O52" s="2443"/>
      <c r="P52" s="2431" t="s">
        <v>3807</v>
      </c>
      <c r="Q52" s="2443"/>
      <c r="R52" s="2431"/>
      <c r="S52" s="2349"/>
    </row>
    <row r="53" spans="1:19" ht="30" customHeight="1">
      <c r="A53" s="2432"/>
      <c r="B53" s="2657" t="s">
        <v>5878</v>
      </c>
      <c r="C53" s="2407"/>
      <c r="D53" s="2441"/>
      <c r="E53" s="2409" t="s">
        <v>3112</v>
      </c>
      <c r="F53" s="2446">
        <v>50</v>
      </c>
      <c r="G53" s="660"/>
      <c r="H53" s="2442" t="s">
        <v>3028</v>
      </c>
      <c r="I53" s="2443"/>
      <c r="J53" s="2431" t="s">
        <v>3028</v>
      </c>
      <c r="K53" s="2444"/>
      <c r="L53" s="2431" t="s">
        <v>3028</v>
      </c>
      <c r="M53" s="2443"/>
      <c r="N53" s="2442"/>
      <c r="O53" s="2443"/>
      <c r="P53" s="2431" t="s">
        <v>3807</v>
      </c>
      <c r="Q53" s="2443"/>
      <c r="R53" s="2431"/>
      <c r="S53" s="2349"/>
    </row>
    <row r="54" spans="1:19">
      <c r="A54" s="2432"/>
      <c r="B54" s="2655" t="s">
        <v>5569</v>
      </c>
      <c r="C54" s="2407"/>
      <c r="D54" s="2441"/>
      <c r="E54" s="2409"/>
      <c r="F54" s="2409"/>
      <c r="G54" s="660"/>
      <c r="H54" s="2442" t="s">
        <v>3028</v>
      </c>
      <c r="I54" s="2443"/>
      <c r="J54" s="2431" t="s">
        <v>3028</v>
      </c>
      <c r="K54" s="2444"/>
      <c r="L54" s="2431" t="s">
        <v>3028</v>
      </c>
      <c r="M54" s="2443"/>
      <c r="N54" s="2442"/>
      <c r="O54" s="2443"/>
      <c r="P54" s="2431" t="s">
        <v>3807</v>
      </c>
      <c r="Q54" s="2443"/>
      <c r="R54" s="2431"/>
      <c r="S54" s="2349"/>
    </row>
    <row r="55" spans="1:19">
      <c r="A55" s="2432"/>
      <c r="B55" s="2659" t="s">
        <v>5879</v>
      </c>
      <c r="C55" s="2407"/>
      <c r="D55" s="2441"/>
      <c r="E55" s="2409"/>
      <c r="F55" s="2409"/>
      <c r="G55" s="660"/>
      <c r="H55" s="2442" t="s">
        <v>3028</v>
      </c>
      <c r="I55" s="2443"/>
      <c r="J55" s="2431" t="s">
        <v>3028</v>
      </c>
      <c r="K55" s="2444"/>
      <c r="L55" s="2431" t="s">
        <v>3028</v>
      </c>
      <c r="M55" s="2443"/>
      <c r="N55" s="2442"/>
      <c r="O55" s="2443"/>
      <c r="P55" s="2431" t="s">
        <v>3807</v>
      </c>
      <c r="Q55" s="2443"/>
      <c r="R55" s="2431"/>
      <c r="S55" s="2349"/>
    </row>
    <row r="56" spans="1:19">
      <c r="A56" s="2432"/>
      <c r="B56" s="2655" t="s">
        <v>5880</v>
      </c>
      <c r="C56" s="2407"/>
      <c r="D56" s="2441"/>
      <c r="E56" s="2409"/>
      <c r="F56" s="2409"/>
      <c r="G56" s="660"/>
      <c r="H56" s="2442" t="s">
        <v>3028</v>
      </c>
      <c r="I56" s="2443"/>
      <c r="J56" s="2431" t="s">
        <v>3028</v>
      </c>
      <c r="K56" s="2444"/>
      <c r="L56" s="2431" t="s">
        <v>3028</v>
      </c>
      <c r="M56" s="2443"/>
      <c r="N56" s="2442"/>
      <c r="O56" s="2443"/>
      <c r="P56" s="2431" t="s">
        <v>3807</v>
      </c>
      <c r="Q56" s="2443"/>
      <c r="R56" s="2431"/>
      <c r="S56" s="2349"/>
    </row>
    <row r="57" spans="1:19" ht="30" customHeight="1">
      <c r="A57" s="2432"/>
      <c r="B57" s="2657" t="s">
        <v>5881</v>
      </c>
      <c r="C57" s="2407"/>
      <c r="D57" s="2441"/>
      <c r="E57" s="2409" t="s">
        <v>3112</v>
      </c>
      <c r="F57" s="2446">
        <v>50</v>
      </c>
      <c r="G57" s="660"/>
      <c r="H57" s="2442" t="s">
        <v>3028</v>
      </c>
      <c r="I57" s="2443"/>
      <c r="J57" s="2431" t="s">
        <v>3028</v>
      </c>
      <c r="K57" s="2444"/>
      <c r="L57" s="2431" t="s">
        <v>3028</v>
      </c>
      <c r="M57" s="2443"/>
      <c r="N57" s="2442"/>
      <c r="O57" s="2443"/>
      <c r="P57" s="2431" t="s">
        <v>3807</v>
      </c>
      <c r="Q57" s="2443"/>
      <c r="R57" s="2431"/>
      <c r="S57" s="2349"/>
    </row>
    <row r="58" spans="1:19">
      <c r="A58" s="2432"/>
      <c r="B58" s="2658" t="s">
        <v>5882</v>
      </c>
      <c r="C58" s="2407"/>
      <c r="D58" s="2441"/>
      <c r="E58" s="2409"/>
      <c r="F58" s="2409"/>
      <c r="G58" s="660"/>
      <c r="H58" s="2442" t="s">
        <v>3028</v>
      </c>
      <c r="I58" s="2443"/>
      <c r="J58" s="2431" t="s">
        <v>3028</v>
      </c>
      <c r="K58" s="2444"/>
      <c r="L58" s="2431" t="s">
        <v>3028</v>
      </c>
      <c r="M58" s="2443"/>
      <c r="N58" s="2442"/>
      <c r="O58" s="2443"/>
      <c r="P58" s="2431" t="s">
        <v>3807</v>
      </c>
      <c r="Q58" s="2443"/>
      <c r="R58" s="2431"/>
      <c r="S58" s="2349"/>
    </row>
    <row r="59" spans="1:19" ht="30" customHeight="1">
      <c r="A59" s="2432"/>
      <c r="B59" s="2657" t="s">
        <v>5883</v>
      </c>
      <c r="C59" s="2407"/>
      <c r="D59" s="2441"/>
      <c r="E59" s="2409" t="s">
        <v>3112</v>
      </c>
      <c r="F59" s="2446">
        <v>50</v>
      </c>
      <c r="G59" s="660"/>
      <c r="H59" s="2442" t="s">
        <v>3028</v>
      </c>
      <c r="I59" s="2443"/>
      <c r="J59" s="2431" t="s">
        <v>3028</v>
      </c>
      <c r="K59" s="2444"/>
      <c r="L59" s="2431" t="s">
        <v>3028</v>
      </c>
      <c r="M59" s="2443"/>
      <c r="N59" s="2442"/>
      <c r="O59" s="2443"/>
      <c r="P59" s="2431" t="s">
        <v>3807</v>
      </c>
      <c r="Q59" s="2443"/>
      <c r="R59" s="2431"/>
      <c r="S59" s="2349"/>
    </row>
    <row r="60" spans="1:19">
      <c r="A60" s="2432"/>
      <c r="B60" s="2655" t="s">
        <v>5884</v>
      </c>
      <c r="C60" s="2407"/>
      <c r="D60" s="2441"/>
      <c r="E60" s="2409"/>
      <c r="F60" s="2409"/>
      <c r="G60" s="660"/>
      <c r="H60" s="2442" t="s">
        <v>3028</v>
      </c>
      <c r="I60" s="2443"/>
      <c r="J60" s="2431" t="s">
        <v>3028</v>
      </c>
      <c r="K60" s="2444"/>
      <c r="L60" s="2431" t="s">
        <v>3028</v>
      </c>
      <c r="M60" s="2443"/>
      <c r="N60" s="2442"/>
      <c r="O60" s="2443"/>
      <c r="P60" s="2431" t="s">
        <v>3807</v>
      </c>
      <c r="Q60" s="2443"/>
      <c r="R60" s="2431"/>
      <c r="S60" s="2349"/>
    </row>
    <row r="61" spans="1:19" ht="14.25" customHeight="1">
      <c r="A61" s="2432"/>
      <c r="B61" s="2657" t="s">
        <v>5885</v>
      </c>
      <c r="C61" s="2407"/>
      <c r="D61" s="2441"/>
      <c r="E61" s="2409" t="s">
        <v>3112</v>
      </c>
      <c r="F61" s="2446">
        <v>50</v>
      </c>
      <c r="G61" s="660"/>
      <c r="H61" s="2442" t="s">
        <v>3028</v>
      </c>
      <c r="I61" s="2443"/>
      <c r="J61" s="2431" t="s">
        <v>3028</v>
      </c>
      <c r="K61" s="2444"/>
      <c r="L61" s="2431" t="s">
        <v>3028</v>
      </c>
      <c r="M61" s="2443"/>
      <c r="N61" s="2442"/>
      <c r="O61" s="2443"/>
      <c r="P61" s="2431" t="s">
        <v>3807</v>
      </c>
      <c r="Q61" s="2443"/>
      <c r="R61" s="2431"/>
      <c r="S61" s="2349"/>
    </row>
    <row r="62" spans="1:19">
      <c r="A62" s="2432"/>
      <c r="B62" s="2655" t="s">
        <v>5886</v>
      </c>
      <c r="C62" s="2407"/>
      <c r="D62" s="2441"/>
      <c r="E62" s="2409"/>
      <c r="F62" s="2409"/>
      <c r="G62" s="660"/>
      <c r="H62" s="2442" t="s">
        <v>3028</v>
      </c>
      <c r="I62" s="2443"/>
      <c r="J62" s="2431" t="s">
        <v>3028</v>
      </c>
      <c r="K62" s="2444"/>
      <c r="L62" s="2431" t="s">
        <v>3028</v>
      </c>
      <c r="M62" s="2443"/>
      <c r="N62" s="2442"/>
      <c r="O62" s="2443"/>
      <c r="P62" s="2431" t="s">
        <v>3807</v>
      </c>
      <c r="Q62" s="2443"/>
      <c r="R62" s="2431"/>
      <c r="S62" s="2349"/>
    </row>
    <row r="63" spans="1:19">
      <c r="A63" s="2432"/>
      <c r="B63" s="2676" t="s">
        <v>5887</v>
      </c>
      <c r="C63" s="2407"/>
      <c r="D63" s="2441"/>
      <c r="E63" s="2409" t="s">
        <v>3112</v>
      </c>
      <c r="F63" s="2446">
        <v>50</v>
      </c>
      <c r="G63" s="660"/>
      <c r="H63" s="2442" t="s">
        <v>3028</v>
      </c>
      <c r="I63" s="2443"/>
      <c r="J63" s="2442" t="s">
        <v>3028</v>
      </c>
      <c r="K63" s="2444"/>
      <c r="L63" s="2442" t="s">
        <v>3028</v>
      </c>
      <c r="M63" s="2443"/>
      <c r="N63" s="2442"/>
      <c r="O63" s="2443"/>
      <c r="P63" s="2431" t="s">
        <v>3807</v>
      </c>
      <c r="Q63" s="2443"/>
      <c r="R63" s="2431"/>
      <c r="S63" s="2349"/>
    </row>
    <row r="64" spans="1:19">
      <c r="A64" s="2432"/>
      <c r="B64" s="2655" t="s">
        <v>5886</v>
      </c>
      <c r="C64" s="2407"/>
      <c r="D64" s="2441"/>
      <c r="E64" s="2409"/>
      <c r="F64" s="2438"/>
      <c r="G64" s="660"/>
      <c r="H64" s="2442" t="s">
        <v>3028</v>
      </c>
      <c r="I64" s="2443"/>
      <c r="J64" s="2442" t="s">
        <v>3028</v>
      </c>
      <c r="K64" s="2444"/>
      <c r="L64" s="2442" t="s">
        <v>3028</v>
      </c>
      <c r="M64" s="2443"/>
      <c r="N64" s="2442"/>
      <c r="O64" s="2443"/>
      <c r="P64" s="2431" t="s">
        <v>3807</v>
      </c>
      <c r="Q64" s="2443"/>
      <c r="R64" s="2431"/>
      <c r="S64" s="2349"/>
    </row>
    <row r="65" spans="1:19">
      <c r="A65" s="2432"/>
      <c r="B65" s="2659" t="s">
        <v>5879</v>
      </c>
      <c r="C65" s="2407"/>
      <c r="D65" s="2441"/>
      <c r="E65" s="2409" t="s">
        <v>3112</v>
      </c>
      <c r="F65" s="2446">
        <v>50</v>
      </c>
      <c r="G65" s="660"/>
      <c r="H65" s="2442" t="s">
        <v>3028</v>
      </c>
      <c r="I65" s="2443"/>
      <c r="J65" s="2431" t="s">
        <v>3028</v>
      </c>
      <c r="K65" s="2444"/>
      <c r="L65" s="2431" t="s">
        <v>3028</v>
      </c>
      <c r="M65" s="2443"/>
      <c r="N65" s="2442"/>
      <c r="O65" s="2443"/>
      <c r="P65" s="2431" t="s">
        <v>3807</v>
      </c>
      <c r="Q65" s="2443"/>
      <c r="R65" s="2431"/>
      <c r="S65" s="2349"/>
    </row>
    <row r="66" spans="1:19">
      <c r="A66" s="2432"/>
      <c r="B66" s="2655" t="s">
        <v>5880</v>
      </c>
      <c r="C66" s="2407"/>
      <c r="D66" s="2441"/>
      <c r="E66" s="2409"/>
      <c r="F66" s="2438"/>
      <c r="G66" s="660"/>
      <c r="H66" s="2442" t="s">
        <v>3028</v>
      </c>
      <c r="I66" s="2443"/>
      <c r="J66" s="2431" t="s">
        <v>3028</v>
      </c>
      <c r="K66" s="2444"/>
      <c r="L66" s="2431" t="s">
        <v>3028</v>
      </c>
      <c r="M66" s="2443"/>
      <c r="N66" s="2442"/>
      <c r="O66" s="2443"/>
      <c r="P66" s="2431" t="s">
        <v>3807</v>
      </c>
      <c r="Q66" s="2443"/>
      <c r="R66" s="2431"/>
      <c r="S66" s="2349"/>
    </row>
    <row r="67" spans="1:19">
      <c r="A67" s="2432"/>
      <c r="B67" s="2676" t="s">
        <v>5888</v>
      </c>
      <c r="C67" s="2407"/>
      <c r="D67" s="2408"/>
      <c r="E67" s="2409"/>
      <c r="F67" s="2438"/>
      <c r="G67" s="660"/>
      <c r="H67" s="2442" t="s">
        <v>3028</v>
      </c>
      <c r="I67" s="2349"/>
      <c r="J67" s="2431" t="s">
        <v>3028</v>
      </c>
      <c r="K67" s="2350"/>
      <c r="L67" s="2431" t="s">
        <v>3028</v>
      </c>
      <c r="M67" s="2349"/>
      <c r="N67" s="2431"/>
      <c r="O67" s="2349"/>
      <c r="P67" s="2431" t="s">
        <v>3807</v>
      </c>
      <c r="Q67" s="2349"/>
      <c r="R67" s="2431"/>
      <c r="S67" s="2349"/>
    </row>
    <row r="68" spans="1:19" ht="30" customHeight="1">
      <c r="A68" s="2432"/>
      <c r="B68" s="2657" t="s">
        <v>5889</v>
      </c>
      <c r="C68" s="2407"/>
      <c r="D68" s="2408"/>
      <c r="E68" s="2409" t="s">
        <v>3112</v>
      </c>
      <c r="F68" s="2446">
        <v>50</v>
      </c>
      <c r="G68" s="660"/>
      <c r="H68" s="2442" t="s">
        <v>3028</v>
      </c>
      <c r="I68" s="2349"/>
      <c r="J68" s="2431" t="s">
        <v>3028</v>
      </c>
      <c r="K68" s="2350"/>
      <c r="L68" s="2431" t="s">
        <v>3028</v>
      </c>
      <c r="M68" s="2349"/>
      <c r="N68" s="2431"/>
      <c r="O68" s="2349"/>
      <c r="P68" s="2431" t="s">
        <v>3807</v>
      </c>
      <c r="Q68" s="2349"/>
      <c r="R68" s="2431"/>
      <c r="S68" s="2349"/>
    </row>
    <row r="69" spans="1:19">
      <c r="A69" s="2432"/>
      <c r="B69" s="2677" t="s">
        <v>5890</v>
      </c>
      <c r="C69" s="2407"/>
      <c r="D69" s="2408"/>
      <c r="E69" s="2409"/>
      <c r="F69" s="2438"/>
      <c r="G69" s="660"/>
      <c r="H69" s="2442" t="s">
        <v>3028</v>
      </c>
      <c r="I69" s="2349"/>
      <c r="J69" s="2431" t="s">
        <v>3028</v>
      </c>
      <c r="K69" s="2451"/>
      <c r="L69" s="2431" t="s">
        <v>3028</v>
      </c>
      <c r="M69" s="2349"/>
      <c r="N69" s="2431"/>
      <c r="O69" s="2349"/>
      <c r="P69" s="2431" t="s">
        <v>3807</v>
      </c>
      <c r="Q69" s="2349"/>
      <c r="R69" s="2431"/>
      <c r="S69" s="2349"/>
    </row>
    <row r="70" spans="1:19">
      <c r="A70" s="2432"/>
      <c r="B70" s="2676" t="s">
        <v>5891</v>
      </c>
      <c r="C70" s="2407"/>
      <c r="D70" s="2408"/>
      <c r="E70" s="2409"/>
      <c r="F70" s="2438"/>
      <c r="G70" s="660"/>
      <c r="H70" s="2442" t="s">
        <v>3028</v>
      </c>
      <c r="I70" s="2349"/>
      <c r="J70" s="2431" t="s">
        <v>3028</v>
      </c>
      <c r="K70" s="2451" t="s">
        <v>5892</v>
      </c>
      <c r="L70" s="2431" t="s">
        <v>3028</v>
      </c>
      <c r="M70" s="2451" t="s">
        <v>5892</v>
      </c>
      <c r="N70" s="2431"/>
      <c r="O70" s="2349"/>
      <c r="P70" s="2431" t="s">
        <v>3807</v>
      </c>
      <c r="Q70" s="2349"/>
      <c r="R70" s="2431"/>
      <c r="S70" s="2349"/>
    </row>
    <row r="71" spans="1:19" ht="30" customHeight="1">
      <c r="A71" s="2432"/>
      <c r="B71" s="2657" t="s">
        <v>5881</v>
      </c>
      <c r="C71" s="2407"/>
      <c r="D71" s="2408"/>
      <c r="E71" s="2409" t="s">
        <v>3112</v>
      </c>
      <c r="F71" s="2446">
        <v>50</v>
      </c>
      <c r="G71" s="660"/>
      <c r="H71" s="2442" t="s">
        <v>3028</v>
      </c>
      <c r="I71" s="2349"/>
      <c r="J71" s="2431" t="s">
        <v>3028</v>
      </c>
      <c r="K71" s="2350"/>
      <c r="L71" s="2431" t="s">
        <v>3028</v>
      </c>
      <c r="M71" s="2349"/>
      <c r="N71" s="2431"/>
      <c r="O71" s="2349"/>
      <c r="P71" s="2431" t="s">
        <v>3807</v>
      </c>
      <c r="Q71" s="2349"/>
      <c r="R71" s="2431"/>
      <c r="S71" s="2349"/>
    </row>
    <row r="72" spans="1:19" ht="60" customHeight="1">
      <c r="A72" s="2432"/>
      <c r="B72" s="2658" t="s">
        <v>5893</v>
      </c>
      <c r="C72" s="2407"/>
      <c r="D72" s="2408"/>
      <c r="E72" s="2409"/>
      <c r="F72" s="2438"/>
      <c r="G72" s="660"/>
      <c r="H72" s="2442" t="s">
        <v>3028</v>
      </c>
      <c r="I72" s="2349"/>
      <c r="J72" s="2431" t="s">
        <v>3028</v>
      </c>
      <c r="K72" s="2350"/>
      <c r="L72" s="2431" t="s">
        <v>3028</v>
      </c>
      <c r="M72" s="2349"/>
      <c r="N72" s="2431"/>
      <c r="O72" s="2349"/>
      <c r="P72" s="2431" t="s">
        <v>3807</v>
      </c>
      <c r="Q72" s="2349"/>
      <c r="R72" s="2431"/>
      <c r="S72" s="2349"/>
    </row>
    <row r="73" spans="1:19" ht="30" customHeight="1">
      <c r="A73" s="2432"/>
      <c r="B73" s="2657" t="s">
        <v>5894</v>
      </c>
      <c r="C73" s="2407"/>
      <c r="D73" s="2408"/>
      <c r="E73" s="2409" t="s">
        <v>3112</v>
      </c>
      <c r="F73" s="2446">
        <v>50</v>
      </c>
      <c r="G73" s="660"/>
      <c r="H73" s="2442" t="s">
        <v>3028</v>
      </c>
      <c r="I73" s="2349"/>
      <c r="J73" s="2431" t="s">
        <v>3028</v>
      </c>
      <c r="K73" s="2350"/>
      <c r="L73" s="2431" t="s">
        <v>3028</v>
      </c>
      <c r="M73" s="2349"/>
      <c r="N73" s="2431"/>
      <c r="O73" s="2349"/>
      <c r="P73" s="2431" t="s">
        <v>3807</v>
      </c>
      <c r="Q73" s="2349"/>
      <c r="R73" s="2431"/>
      <c r="S73" s="2349"/>
    </row>
    <row r="74" spans="1:19">
      <c r="A74" s="2432"/>
      <c r="B74" s="2655" t="s">
        <v>5895</v>
      </c>
      <c r="C74" s="2407"/>
      <c r="D74" s="2408"/>
      <c r="E74" s="2409"/>
      <c r="F74" s="2438"/>
      <c r="G74" s="660"/>
      <c r="H74" s="2442" t="s">
        <v>3028</v>
      </c>
      <c r="I74" s="2349"/>
      <c r="J74" s="2431" t="s">
        <v>3028</v>
      </c>
      <c r="K74" s="2350"/>
      <c r="L74" s="2431" t="s">
        <v>3028</v>
      </c>
      <c r="M74" s="2349"/>
      <c r="N74" s="2431"/>
      <c r="O74" s="2349"/>
      <c r="P74" s="2431" t="s">
        <v>3807</v>
      </c>
      <c r="Q74" s="2349"/>
      <c r="R74" s="2431"/>
      <c r="S74" s="2349"/>
    </row>
    <row r="75" spans="1:19" ht="30" customHeight="1">
      <c r="A75" s="2432"/>
      <c r="B75" s="2657" t="s">
        <v>5896</v>
      </c>
      <c r="C75" s="2407"/>
      <c r="D75" s="2408"/>
      <c r="E75" s="2409" t="s">
        <v>3112</v>
      </c>
      <c r="F75" s="2446">
        <v>50</v>
      </c>
      <c r="G75" s="660"/>
      <c r="H75" s="2442" t="s">
        <v>3028</v>
      </c>
      <c r="I75" s="2349"/>
      <c r="J75" s="2431" t="s">
        <v>3028</v>
      </c>
      <c r="K75" s="2350"/>
      <c r="L75" s="2431" t="s">
        <v>3028</v>
      </c>
      <c r="M75" s="2349"/>
      <c r="N75" s="2431"/>
      <c r="O75" s="2349"/>
      <c r="P75" s="2431" t="s">
        <v>3807</v>
      </c>
      <c r="Q75" s="2349"/>
      <c r="R75" s="2431"/>
      <c r="S75" s="2349"/>
    </row>
    <row r="76" spans="1:19" ht="39" customHeight="1">
      <c r="A76" s="2432"/>
      <c r="B76" s="2658" t="s">
        <v>5897</v>
      </c>
      <c r="C76" s="2407"/>
      <c r="D76" s="2408"/>
      <c r="E76" s="2409"/>
      <c r="F76" s="2438"/>
      <c r="G76" s="660"/>
      <c r="H76" s="2442" t="s">
        <v>3028</v>
      </c>
      <c r="I76" s="2349"/>
      <c r="J76" s="2431" t="s">
        <v>3028</v>
      </c>
      <c r="K76" s="2350"/>
      <c r="L76" s="2431" t="s">
        <v>3028</v>
      </c>
      <c r="M76" s="2349"/>
      <c r="N76" s="2431"/>
      <c r="O76" s="2349"/>
      <c r="P76" s="2431" t="s">
        <v>3807</v>
      </c>
      <c r="Q76" s="2349"/>
      <c r="R76" s="2431"/>
      <c r="S76" s="2349"/>
    </row>
    <row r="77" spans="1:19" ht="30" customHeight="1">
      <c r="A77" s="2432"/>
      <c r="B77" s="2657" t="s">
        <v>5898</v>
      </c>
      <c r="C77" s="2407"/>
      <c r="D77" s="2408"/>
      <c r="E77" s="2409" t="s">
        <v>3112</v>
      </c>
      <c r="F77" s="2446">
        <v>50</v>
      </c>
      <c r="G77" s="660"/>
      <c r="H77" s="2442" t="s">
        <v>3028</v>
      </c>
      <c r="I77" s="2349"/>
      <c r="J77" s="2431" t="s">
        <v>3028</v>
      </c>
      <c r="K77" s="2350"/>
      <c r="L77" s="2431" t="s">
        <v>3028</v>
      </c>
      <c r="M77" s="2349"/>
      <c r="N77" s="2431"/>
      <c r="O77" s="2349"/>
      <c r="P77" s="2431" t="s">
        <v>3807</v>
      </c>
      <c r="Q77" s="2349"/>
      <c r="R77" s="2431"/>
      <c r="S77" s="2349"/>
    </row>
    <row r="78" spans="1:19">
      <c r="A78" s="2432"/>
      <c r="B78" s="2655" t="s">
        <v>5899</v>
      </c>
      <c r="C78" s="2407"/>
      <c r="D78" s="2408"/>
      <c r="E78" s="2409"/>
      <c r="F78" s="2438"/>
      <c r="G78" s="660"/>
      <c r="H78" s="2442" t="s">
        <v>3028</v>
      </c>
      <c r="I78" s="2349"/>
      <c r="J78" s="2431" t="s">
        <v>3028</v>
      </c>
      <c r="K78" s="2350"/>
      <c r="L78" s="2431" t="s">
        <v>3028</v>
      </c>
      <c r="M78" s="2349"/>
      <c r="N78" s="2431"/>
      <c r="O78" s="2349"/>
      <c r="P78" s="2431" t="s">
        <v>3807</v>
      </c>
      <c r="Q78" s="2349"/>
      <c r="R78" s="2431"/>
      <c r="S78" s="2349"/>
    </row>
    <row r="79" spans="1:19" ht="30" customHeight="1">
      <c r="A79" s="2432"/>
      <c r="B79" s="2657" t="s">
        <v>5900</v>
      </c>
      <c r="C79" s="2407"/>
      <c r="D79" s="2408"/>
      <c r="E79" s="2409" t="s">
        <v>3112</v>
      </c>
      <c r="F79" s="2446">
        <v>50</v>
      </c>
      <c r="G79" s="660"/>
      <c r="H79" s="2442" t="s">
        <v>3028</v>
      </c>
      <c r="I79" s="2349"/>
      <c r="J79" s="2431" t="s">
        <v>3028</v>
      </c>
      <c r="K79" s="2350"/>
      <c r="L79" s="2431" t="s">
        <v>3028</v>
      </c>
      <c r="M79" s="2349"/>
      <c r="N79" s="2431"/>
      <c r="O79" s="2349"/>
      <c r="P79" s="2431" t="s">
        <v>3807</v>
      </c>
      <c r="Q79" s="2349"/>
      <c r="R79" s="2431"/>
      <c r="S79" s="2349"/>
    </row>
    <row r="80" spans="1:19">
      <c r="A80" s="2432"/>
      <c r="B80" s="2655" t="s">
        <v>5901</v>
      </c>
      <c r="C80" s="2407"/>
      <c r="D80" s="2408"/>
      <c r="E80" s="2409"/>
      <c r="F80" s="2438"/>
      <c r="G80" s="660"/>
      <c r="H80" s="2442" t="s">
        <v>3028</v>
      </c>
      <c r="I80" s="2349"/>
      <c r="J80" s="2431" t="s">
        <v>3028</v>
      </c>
      <c r="K80" s="2350"/>
      <c r="L80" s="2431" t="s">
        <v>3028</v>
      </c>
      <c r="M80" s="2349"/>
      <c r="N80" s="2431"/>
      <c r="O80" s="2349"/>
      <c r="P80" s="2431" t="s">
        <v>3807</v>
      </c>
      <c r="Q80" s="2349"/>
      <c r="R80" s="2431"/>
      <c r="S80" s="2349"/>
    </row>
    <row r="81" spans="1:19" ht="30" customHeight="1">
      <c r="A81" s="2432"/>
      <c r="B81" s="2657" t="s">
        <v>5902</v>
      </c>
      <c r="C81" s="2407"/>
      <c r="D81" s="2408"/>
      <c r="E81" s="2409" t="s">
        <v>3112</v>
      </c>
      <c r="F81" s="2446">
        <v>50</v>
      </c>
      <c r="G81" s="660"/>
      <c r="H81" s="2442" t="s">
        <v>3028</v>
      </c>
      <c r="I81" s="2349"/>
      <c r="J81" s="2431" t="s">
        <v>3028</v>
      </c>
      <c r="K81" s="2350"/>
      <c r="L81" s="2431" t="s">
        <v>3028</v>
      </c>
      <c r="M81" s="2349"/>
      <c r="N81" s="2431"/>
      <c r="O81" s="2349"/>
      <c r="P81" s="2431" t="s">
        <v>3807</v>
      </c>
      <c r="Q81" s="2349"/>
      <c r="R81" s="2431"/>
      <c r="S81" s="2349"/>
    </row>
    <row r="82" spans="1:19">
      <c r="A82" s="2432"/>
      <c r="B82" s="2655" t="s">
        <v>5903</v>
      </c>
      <c r="C82" s="2407"/>
      <c r="D82" s="2408"/>
      <c r="E82" s="2409"/>
      <c r="F82" s="2438"/>
      <c r="G82" s="660"/>
      <c r="H82" s="2442" t="s">
        <v>3028</v>
      </c>
      <c r="I82" s="2349"/>
      <c r="J82" s="2431" t="s">
        <v>3028</v>
      </c>
      <c r="K82" s="2350"/>
      <c r="L82" s="2431" t="s">
        <v>3028</v>
      </c>
      <c r="M82" s="2349"/>
      <c r="N82" s="2431"/>
      <c r="O82" s="2349"/>
      <c r="P82" s="2431" t="s">
        <v>3807</v>
      </c>
      <c r="Q82" s="2349"/>
      <c r="R82" s="2431"/>
      <c r="S82" s="2349"/>
    </row>
    <row r="83" spans="1:19">
      <c r="A83" s="2432"/>
      <c r="B83" s="2659" t="s">
        <v>5904</v>
      </c>
      <c r="C83" s="2407"/>
      <c r="D83" s="2408"/>
      <c r="E83" s="2409" t="s">
        <v>3112</v>
      </c>
      <c r="F83" s="2446">
        <v>50</v>
      </c>
      <c r="G83" s="660"/>
      <c r="H83" s="2442" t="s">
        <v>3028</v>
      </c>
      <c r="I83" s="2349"/>
      <c r="J83" s="2431" t="s">
        <v>3028</v>
      </c>
      <c r="K83" s="2350"/>
      <c r="L83" s="2431" t="s">
        <v>3028</v>
      </c>
      <c r="M83" s="2349"/>
      <c r="N83" s="2431"/>
      <c r="O83" s="2349"/>
      <c r="P83" s="2431" t="s">
        <v>3807</v>
      </c>
      <c r="Q83" s="2349"/>
      <c r="R83" s="2431"/>
      <c r="S83" s="2349"/>
    </row>
    <row r="84" spans="1:19">
      <c r="A84" s="2432"/>
      <c r="B84" s="2655" t="s">
        <v>4040</v>
      </c>
      <c r="C84" s="2407"/>
      <c r="D84" s="2408"/>
      <c r="E84" s="2409"/>
      <c r="F84" s="2438"/>
      <c r="G84" s="660"/>
      <c r="H84" s="2442" t="s">
        <v>3028</v>
      </c>
      <c r="I84" s="2349"/>
      <c r="J84" s="2431" t="s">
        <v>3028</v>
      </c>
      <c r="K84" s="2350"/>
      <c r="L84" s="2431" t="s">
        <v>3028</v>
      </c>
      <c r="M84" s="2349"/>
      <c r="N84" s="2431"/>
      <c r="O84" s="2349"/>
      <c r="P84" s="2431" t="s">
        <v>3807</v>
      </c>
      <c r="Q84" s="2349"/>
      <c r="R84" s="2431"/>
      <c r="S84" s="2349"/>
    </row>
    <row r="85" spans="1:19">
      <c r="A85" s="2432"/>
      <c r="B85" s="2659" t="s">
        <v>5905</v>
      </c>
      <c r="C85" s="2407"/>
      <c r="D85" s="2408"/>
      <c r="E85" s="2409" t="s">
        <v>3112</v>
      </c>
      <c r="F85" s="2446">
        <v>50</v>
      </c>
      <c r="G85" s="660"/>
      <c r="H85" s="2442" t="s">
        <v>3028</v>
      </c>
      <c r="I85" s="2349"/>
      <c r="J85" s="2431" t="s">
        <v>3028</v>
      </c>
      <c r="K85" s="2350"/>
      <c r="L85" s="2431" t="s">
        <v>3028</v>
      </c>
      <c r="M85" s="2349"/>
      <c r="N85" s="2431"/>
      <c r="O85" s="2349"/>
      <c r="P85" s="2431" t="s">
        <v>3807</v>
      </c>
      <c r="Q85" s="2349"/>
      <c r="R85" s="2431"/>
      <c r="S85" s="2349"/>
    </row>
    <row r="86" spans="1:19">
      <c r="A86" s="2432"/>
      <c r="B86" s="2655" t="s">
        <v>4040</v>
      </c>
      <c r="C86" s="2407"/>
      <c r="D86" s="2408"/>
      <c r="E86" s="2409"/>
      <c r="F86" s="2438"/>
      <c r="G86" s="660"/>
      <c r="H86" s="2442" t="s">
        <v>3028</v>
      </c>
      <c r="I86" s="2349"/>
      <c r="J86" s="2431" t="s">
        <v>3028</v>
      </c>
      <c r="K86" s="2350"/>
      <c r="L86" s="2431" t="s">
        <v>3028</v>
      </c>
      <c r="M86" s="2349"/>
      <c r="N86" s="2431"/>
      <c r="O86" s="2349"/>
      <c r="P86" s="2431" t="s">
        <v>3807</v>
      </c>
      <c r="Q86" s="2349"/>
      <c r="R86" s="2431"/>
      <c r="S86" s="2349"/>
    </row>
    <row r="87" spans="1:19">
      <c r="A87" s="2432"/>
      <c r="B87" s="2676" t="s">
        <v>5906</v>
      </c>
      <c r="C87" s="2407"/>
      <c r="D87" s="2408"/>
      <c r="E87" s="2409"/>
      <c r="F87" s="2438"/>
      <c r="G87" s="660"/>
      <c r="H87" s="2442" t="s">
        <v>3028</v>
      </c>
      <c r="I87" s="2349"/>
      <c r="J87" s="2431" t="s">
        <v>3028</v>
      </c>
      <c r="K87" s="2350"/>
      <c r="L87" s="2431" t="s">
        <v>3028</v>
      </c>
      <c r="M87" s="2349"/>
      <c r="N87" s="2431"/>
      <c r="O87" s="2349"/>
      <c r="P87" s="2431" t="s">
        <v>3807</v>
      </c>
      <c r="Q87" s="2349"/>
      <c r="R87" s="2431"/>
      <c r="S87" s="2349"/>
    </row>
    <row r="88" spans="1:19" ht="30" customHeight="1">
      <c r="A88" s="2432"/>
      <c r="B88" s="2657" t="s">
        <v>5881</v>
      </c>
      <c r="C88" s="2407"/>
      <c r="D88" s="2408"/>
      <c r="E88" s="2409" t="s">
        <v>3112</v>
      </c>
      <c r="F88" s="2446">
        <v>50</v>
      </c>
      <c r="G88" s="660"/>
      <c r="H88" s="2442" t="s">
        <v>3028</v>
      </c>
      <c r="I88" s="2349"/>
      <c r="J88" s="2431" t="s">
        <v>3028</v>
      </c>
      <c r="K88" s="2350"/>
      <c r="L88" s="2431" t="s">
        <v>3028</v>
      </c>
      <c r="M88" s="2349"/>
      <c r="N88" s="2431"/>
      <c r="O88" s="2349"/>
      <c r="P88" s="2431" t="s">
        <v>3807</v>
      </c>
      <c r="Q88" s="2349"/>
      <c r="R88" s="2431"/>
      <c r="S88" s="2349"/>
    </row>
    <row r="89" spans="1:19">
      <c r="A89" s="2432"/>
      <c r="B89" s="2658" t="s">
        <v>5907</v>
      </c>
      <c r="C89" s="2407"/>
      <c r="D89" s="2408"/>
      <c r="E89" s="2409"/>
      <c r="F89" s="2438"/>
      <c r="G89" s="660"/>
      <c r="H89" s="2442" t="s">
        <v>3028</v>
      </c>
      <c r="I89" s="2349"/>
      <c r="J89" s="2431" t="s">
        <v>3028</v>
      </c>
      <c r="K89" s="2350"/>
      <c r="L89" s="2431" t="s">
        <v>3028</v>
      </c>
      <c r="M89" s="2349"/>
      <c r="N89" s="2431"/>
      <c r="O89" s="2349"/>
      <c r="P89" s="2431" t="s">
        <v>3807</v>
      </c>
      <c r="Q89" s="2349"/>
      <c r="R89" s="2431"/>
      <c r="S89" s="2349"/>
    </row>
    <row r="90" spans="1:19">
      <c r="A90" s="2432"/>
      <c r="B90" s="2656" t="s">
        <v>3235</v>
      </c>
      <c r="C90" s="2407"/>
      <c r="D90" s="2408"/>
      <c r="E90" s="2409"/>
      <c r="F90" s="2438"/>
      <c r="G90" s="662"/>
      <c r="H90" s="2431" t="s">
        <v>3028</v>
      </c>
      <c r="I90" s="2350">
        <f>22610</f>
        <v>22610</v>
      </c>
      <c r="J90" s="2431" t="s">
        <v>3028</v>
      </c>
      <c r="K90" s="2350">
        <f>2880+90580</f>
        <v>93460</v>
      </c>
      <c r="L90" s="2431" t="s">
        <v>3028</v>
      </c>
      <c r="M90" s="2349">
        <f>37672.64+4286.4</f>
        <v>41959.040000000001</v>
      </c>
      <c r="N90" s="2431"/>
      <c r="O90" s="2349"/>
      <c r="P90" s="2431" t="s">
        <v>3807</v>
      </c>
      <c r="Q90" s="2349"/>
      <c r="R90" s="2431"/>
      <c r="S90" s="2349"/>
    </row>
    <row r="91" spans="1:19">
      <c r="A91" s="2432"/>
      <c r="B91" s="2670" t="s">
        <v>5854</v>
      </c>
      <c r="C91" s="2407"/>
      <c r="D91" s="2441"/>
      <c r="E91" s="2409"/>
      <c r="F91" s="2438"/>
      <c r="G91" s="669"/>
      <c r="H91" s="2442" t="s">
        <v>3028</v>
      </c>
      <c r="I91" s="2444"/>
      <c r="J91" s="2431" t="s">
        <v>3028</v>
      </c>
      <c r="K91" s="2444"/>
      <c r="L91" s="2442" t="s">
        <v>3028</v>
      </c>
      <c r="M91" s="2443"/>
      <c r="N91" s="2442"/>
      <c r="O91" s="2443"/>
      <c r="P91" s="2431" t="s">
        <v>3807</v>
      </c>
      <c r="Q91" s="2443"/>
      <c r="R91" s="2431"/>
      <c r="S91" s="2349"/>
    </row>
    <row r="92" spans="1:19">
      <c r="A92" s="2432"/>
      <c r="B92" s="2672" t="s">
        <v>5908</v>
      </c>
      <c r="C92" s="2407" t="s">
        <v>813</v>
      </c>
      <c r="D92" s="2441">
        <v>630</v>
      </c>
      <c r="E92" s="2409" t="s">
        <v>3112</v>
      </c>
      <c r="F92" s="2438">
        <v>3</v>
      </c>
      <c r="G92" s="2438">
        <f t="shared" ref="G92:G100" si="5">D92*F92</f>
        <v>1890</v>
      </c>
      <c r="H92" s="2442" t="s">
        <v>3028</v>
      </c>
      <c r="I92" s="2444"/>
      <c r="J92" s="2431" t="s">
        <v>3028</v>
      </c>
      <c r="K92" s="2444"/>
      <c r="L92" s="2442" t="s">
        <v>3807</v>
      </c>
      <c r="M92" s="2443"/>
      <c r="N92" s="2442"/>
      <c r="O92" s="2443"/>
      <c r="P92" s="2431" t="s">
        <v>3807</v>
      </c>
      <c r="Q92" s="2443"/>
      <c r="R92" s="2431"/>
      <c r="S92" s="2349"/>
    </row>
    <row r="93" spans="1:19">
      <c r="A93" s="2432"/>
      <c r="B93" s="2673" t="s">
        <v>5859</v>
      </c>
      <c r="C93" s="2407"/>
      <c r="D93" s="2441"/>
      <c r="E93" s="2409"/>
      <c r="F93" s="2438"/>
      <c r="G93" s="2438">
        <f t="shared" si="5"/>
        <v>0</v>
      </c>
      <c r="H93" s="2442" t="s">
        <v>3028</v>
      </c>
      <c r="I93" s="2444"/>
      <c r="J93" s="2431" t="s">
        <v>3028</v>
      </c>
      <c r="K93" s="2444"/>
      <c r="L93" s="2431" t="s">
        <v>3028</v>
      </c>
      <c r="M93" s="2443"/>
      <c r="N93" s="2442"/>
      <c r="O93" s="2443"/>
      <c r="P93" s="2431" t="s">
        <v>3807</v>
      </c>
      <c r="Q93" s="2443"/>
      <c r="R93" s="2431"/>
      <c r="S93" s="2349"/>
    </row>
    <row r="94" spans="1:19">
      <c r="A94" s="2432"/>
      <c r="B94" s="2672" t="s">
        <v>5855</v>
      </c>
      <c r="C94" s="2407"/>
      <c r="D94" s="2441">
        <v>7</v>
      </c>
      <c r="E94" s="2409" t="s">
        <v>3041</v>
      </c>
      <c r="F94" s="2438">
        <v>100</v>
      </c>
      <c r="G94" s="2438">
        <f t="shared" si="5"/>
        <v>700</v>
      </c>
      <c r="H94" s="2442" t="s">
        <v>3028</v>
      </c>
      <c r="I94" s="2444"/>
      <c r="J94" s="2431" t="s">
        <v>3028</v>
      </c>
      <c r="K94" s="2444"/>
      <c r="L94" s="2431" t="s">
        <v>3028</v>
      </c>
      <c r="M94" s="2443"/>
      <c r="N94" s="2442"/>
      <c r="O94" s="2443"/>
      <c r="P94" s="2431" t="s">
        <v>3807</v>
      </c>
      <c r="Q94" s="2443"/>
      <c r="R94" s="2431"/>
      <c r="S94" s="2349"/>
    </row>
    <row r="95" spans="1:19">
      <c r="A95" s="2432"/>
      <c r="B95" s="2672" t="s">
        <v>5909</v>
      </c>
      <c r="C95" s="2407"/>
      <c r="D95" s="2441">
        <v>1700</v>
      </c>
      <c r="E95" s="2409" t="s">
        <v>3112</v>
      </c>
      <c r="F95" s="2438">
        <v>2</v>
      </c>
      <c r="G95" s="2438">
        <f t="shared" si="5"/>
        <v>3400</v>
      </c>
      <c r="H95" s="2442" t="s">
        <v>3028</v>
      </c>
      <c r="I95" s="2444"/>
      <c r="J95" s="2431" t="s">
        <v>3028</v>
      </c>
      <c r="K95" s="2444"/>
      <c r="L95" s="2431" t="s">
        <v>3028</v>
      </c>
      <c r="M95" s="2443"/>
      <c r="N95" s="2442"/>
      <c r="O95" s="2443"/>
      <c r="P95" s="2431" t="s">
        <v>3807</v>
      </c>
      <c r="Q95" s="2443"/>
      <c r="R95" s="2431"/>
      <c r="S95" s="2349"/>
    </row>
    <row r="96" spans="1:19">
      <c r="A96" s="2432"/>
      <c r="B96" s="2672" t="s">
        <v>5910</v>
      </c>
      <c r="C96" s="2407"/>
      <c r="D96" s="2441">
        <v>117</v>
      </c>
      <c r="E96" s="2409" t="s">
        <v>3112</v>
      </c>
      <c r="F96" s="2438">
        <v>2</v>
      </c>
      <c r="G96" s="2438">
        <f t="shared" si="5"/>
        <v>234</v>
      </c>
      <c r="H96" s="2442" t="s">
        <v>3028</v>
      </c>
      <c r="I96" s="2444"/>
      <c r="J96" s="2431" t="s">
        <v>3028</v>
      </c>
      <c r="K96" s="2444"/>
      <c r="L96" s="2431"/>
      <c r="M96" s="2443"/>
      <c r="N96" s="2442"/>
      <c r="O96" s="2443"/>
      <c r="P96" s="2431"/>
      <c r="Q96" s="2443"/>
      <c r="R96" s="2431"/>
      <c r="S96" s="2349"/>
    </row>
    <row r="97" spans="1:19">
      <c r="A97" s="2432"/>
      <c r="B97" s="2672" t="s">
        <v>5911</v>
      </c>
      <c r="C97" s="2407"/>
      <c r="D97" s="2441">
        <v>10</v>
      </c>
      <c r="E97" s="2409" t="s">
        <v>3112</v>
      </c>
      <c r="F97" s="2438">
        <v>2</v>
      </c>
      <c r="G97" s="2438">
        <f t="shared" si="5"/>
        <v>20</v>
      </c>
      <c r="H97" s="2442" t="s">
        <v>3028</v>
      </c>
      <c r="I97" s="2444"/>
      <c r="J97" s="2431" t="s">
        <v>3028</v>
      </c>
      <c r="K97" s="2444"/>
      <c r="L97" s="2431"/>
      <c r="M97" s="2443"/>
      <c r="N97" s="2442"/>
      <c r="O97" s="2443"/>
      <c r="P97" s="2431"/>
      <c r="Q97" s="2443"/>
      <c r="R97" s="2431"/>
      <c r="S97" s="2349"/>
    </row>
    <row r="98" spans="1:19">
      <c r="A98" s="2432"/>
      <c r="B98" s="2672" t="s">
        <v>5912</v>
      </c>
      <c r="C98" s="2407"/>
      <c r="D98" s="2441">
        <v>322</v>
      </c>
      <c r="E98" s="2409" t="s">
        <v>3112</v>
      </c>
      <c r="F98" s="2438">
        <v>2</v>
      </c>
      <c r="G98" s="2438">
        <f t="shared" si="5"/>
        <v>644</v>
      </c>
      <c r="H98" s="2442" t="s">
        <v>3028</v>
      </c>
      <c r="I98" s="2444"/>
      <c r="J98" s="2431" t="s">
        <v>3028</v>
      </c>
      <c r="K98" s="2444"/>
      <c r="L98" s="2431"/>
      <c r="M98" s="2443"/>
      <c r="N98" s="2442"/>
      <c r="O98" s="2443"/>
      <c r="P98" s="2431"/>
      <c r="Q98" s="2443"/>
      <c r="R98" s="2431"/>
      <c r="S98" s="2349"/>
    </row>
    <row r="99" spans="1:19">
      <c r="A99" s="2432"/>
      <c r="B99" s="2672" t="s">
        <v>5864</v>
      </c>
      <c r="C99" s="2407"/>
      <c r="D99" s="2441">
        <v>160</v>
      </c>
      <c r="E99" s="2409" t="s">
        <v>48</v>
      </c>
      <c r="F99" s="2438">
        <v>3</v>
      </c>
      <c r="G99" s="2438">
        <f t="shared" si="5"/>
        <v>480</v>
      </c>
      <c r="H99" s="2442" t="s">
        <v>3028</v>
      </c>
      <c r="I99" s="2444"/>
      <c r="J99" s="2431" t="s">
        <v>3028</v>
      </c>
      <c r="K99" s="2444"/>
      <c r="L99" s="2431" t="s">
        <v>3028</v>
      </c>
      <c r="M99" s="2443"/>
      <c r="N99" s="2442"/>
      <c r="O99" s="2443"/>
      <c r="P99" s="2431" t="s">
        <v>3807</v>
      </c>
      <c r="Q99" s="2443"/>
      <c r="R99" s="2431"/>
      <c r="S99" s="2349"/>
    </row>
    <row r="100" spans="1:19">
      <c r="A100" s="2432"/>
      <c r="B100" s="2672" t="s">
        <v>5913</v>
      </c>
      <c r="C100" s="2407"/>
      <c r="D100" s="2408">
        <v>322</v>
      </c>
      <c r="E100" s="2409" t="s">
        <v>3112</v>
      </c>
      <c r="F100" s="2438">
        <v>2</v>
      </c>
      <c r="G100" s="2438">
        <f t="shared" si="5"/>
        <v>644</v>
      </c>
      <c r="H100" s="2448" t="s">
        <v>4877</v>
      </c>
      <c r="I100" s="2643">
        <f>G100</f>
        <v>644</v>
      </c>
      <c r="J100" s="2431" t="s">
        <v>3028</v>
      </c>
      <c r="K100" s="2350"/>
      <c r="L100" s="2431" t="s">
        <v>3807</v>
      </c>
      <c r="M100" s="2349"/>
      <c r="N100" s="2431"/>
      <c r="O100" s="2349"/>
      <c r="P100" s="2431" t="s">
        <v>3807</v>
      </c>
      <c r="Q100" s="2349"/>
      <c r="R100" s="2431"/>
      <c r="S100" s="2349"/>
    </row>
    <row r="101" spans="1:19">
      <c r="A101" s="2432"/>
      <c r="B101" s="2678" t="s">
        <v>5914</v>
      </c>
      <c r="C101" s="2407"/>
      <c r="D101" s="2408"/>
      <c r="E101" s="2409"/>
      <c r="F101" s="2438"/>
      <c r="G101" s="662"/>
      <c r="H101" s="2431" t="s">
        <v>3028</v>
      </c>
      <c r="I101" s="2350"/>
      <c r="J101" s="2431" t="s">
        <v>3028</v>
      </c>
      <c r="K101" s="2350"/>
      <c r="L101" s="2431" t="s">
        <v>3028</v>
      </c>
      <c r="M101" s="2349"/>
      <c r="N101" s="2431"/>
      <c r="O101" s="2349"/>
      <c r="P101" s="2431" t="s">
        <v>3807</v>
      </c>
      <c r="Q101" s="2349"/>
      <c r="R101" s="2431"/>
      <c r="S101" s="2349"/>
    </row>
    <row r="102" spans="1:19">
      <c r="A102" s="2432"/>
      <c r="B102" s="2678" t="s">
        <v>5872</v>
      </c>
      <c r="C102" s="2386"/>
      <c r="D102" s="2408"/>
      <c r="E102" s="2409"/>
      <c r="F102" s="2438"/>
      <c r="G102" s="662"/>
      <c r="H102" s="2442" t="s">
        <v>3028</v>
      </c>
      <c r="I102" s="2350"/>
      <c r="J102" s="2431" t="s">
        <v>3028</v>
      </c>
      <c r="K102" s="2350"/>
      <c r="L102" s="2431" t="s">
        <v>3028</v>
      </c>
      <c r="M102" s="2349"/>
      <c r="N102" s="2431"/>
      <c r="O102" s="2349"/>
      <c r="P102" s="2431" t="s">
        <v>3807</v>
      </c>
      <c r="Q102" s="2349"/>
      <c r="R102" s="2431"/>
      <c r="S102" s="2349"/>
    </row>
    <row r="103" spans="1:19">
      <c r="A103" s="2432"/>
      <c r="B103" s="2678" t="s">
        <v>5874</v>
      </c>
      <c r="C103" s="2407"/>
      <c r="D103" s="2408">
        <f>D98+D95</f>
        <v>2022</v>
      </c>
      <c r="E103" s="2409" t="s">
        <v>3112</v>
      </c>
      <c r="F103" s="2438">
        <v>1</v>
      </c>
      <c r="G103" s="2438">
        <f>D103*F103</f>
        <v>2022</v>
      </c>
      <c r="H103" s="2448" t="s">
        <v>4877</v>
      </c>
      <c r="I103" s="2643">
        <f>G103</f>
        <v>2022</v>
      </c>
      <c r="J103" s="2679" t="s">
        <v>3028</v>
      </c>
      <c r="K103" s="2350"/>
      <c r="L103" s="2431" t="s">
        <v>3028</v>
      </c>
      <c r="M103" s="2349"/>
      <c r="N103" s="2431"/>
      <c r="O103" s="2349"/>
      <c r="P103" s="2431" t="s">
        <v>3807</v>
      </c>
      <c r="Q103" s="2349"/>
      <c r="R103" s="2431"/>
      <c r="S103" s="2349"/>
    </row>
    <row r="104" spans="1:19">
      <c r="A104" s="2432"/>
      <c r="B104" s="2656" t="s">
        <v>2697</v>
      </c>
      <c r="C104" s="2407"/>
      <c r="D104" s="2408"/>
      <c r="E104" s="2409"/>
      <c r="F104" s="2438"/>
      <c r="G104" s="662"/>
      <c r="H104" s="2431" t="s">
        <v>3028</v>
      </c>
      <c r="I104" s="2350">
        <v>14685</v>
      </c>
      <c r="J104" s="2431" t="s">
        <v>3028</v>
      </c>
      <c r="K104" s="2350">
        <f>26630+9350</f>
        <v>35980</v>
      </c>
      <c r="L104" s="2431" t="s">
        <v>3028</v>
      </c>
      <c r="M104" s="2349">
        <f>6493.34+10760</f>
        <v>17253.34</v>
      </c>
      <c r="N104" s="2431"/>
      <c r="O104" s="2349"/>
      <c r="P104" s="2431" t="s">
        <v>3807</v>
      </c>
      <c r="Q104" s="2349"/>
      <c r="R104" s="2431"/>
      <c r="S104" s="2349"/>
    </row>
    <row r="105" spans="1:19">
      <c r="A105" s="2432"/>
      <c r="B105" s="2670" t="s">
        <v>5854</v>
      </c>
      <c r="C105" s="2407"/>
      <c r="D105" s="2408"/>
      <c r="E105" s="2409"/>
      <c r="F105" s="2438"/>
      <c r="G105" s="662"/>
      <c r="H105" s="2431" t="s">
        <v>3028</v>
      </c>
      <c r="I105" s="2350"/>
      <c r="J105" s="2431" t="s">
        <v>3028</v>
      </c>
      <c r="K105" s="2350"/>
      <c r="L105" s="2431" t="s">
        <v>3028</v>
      </c>
      <c r="M105" s="2349"/>
      <c r="N105" s="2431"/>
      <c r="O105" s="2349"/>
      <c r="P105" s="2431" t="s">
        <v>3807</v>
      </c>
      <c r="Q105" s="2349"/>
      <c r="R105" s="2431"/>
      <c r="S105" s="2349"/>
    </row>
    <row r="106" spans="1:19">
      <c r="A106" s="2432"/>
      <c r="B106" s="2672" t="s">
        <v>5855</v>
      </c>
      <c r="C106" s="2407"/>
      <c r="D106" s="2408"/>
      <c r="E106" s="2409"/>
      <c r="F106" s="2438"/>
      <c r="G106" s="662"/>
      <c r="H106" s="2431" t="s">
        <v>3028</v>
      </c>
      <c r="I106" s="2350"/>
      <c r="J106" s="2431" t="s">
        <v>3028</v>
      </c>
      <c r="K106" s="2350"/>
      <c r="L106" s="2431" t="s">
        <v>3028</v>
      </c>
      <c r="M106" s="2349"/>
      <c r="N106" s="2431"/>
      <c r="O106" s="2349"/>
      <c r="P106" s="2431" t="s">
        <v>3807</v>
      </c>
      <c r="Q106" s="2349"/>
      <c r="R106" s="2431"/>
      <c r="S106" s="2349"/>
    </row>
    <row r="107" spans="1:19">
      <c r="A107" s="2432"/>
      <c r="B107" s="2673" t="s">
        <v>5859</v>
      </c>
      <c r="C107" s="2407"/>
      <c r="D107" s="2408"/>
      <c r="E107" s="2409"/>
      <c r="F107" s="2438"/>
      <c r="G107" s="662"/>
      <c r="H107" s="2431" t="s">
        <v>3028</v>
      </c>
      <c r="I107" s="2350"/>
      <c r="J107" s="2431" t="s">
        <v>3028</v>
      </c>
      <c r="K107" s="2350"/>
      <c r="L107" s="2431" t="s">
        <v>3028</v>
      </c>
      <c r="M107" s="2349"/>
      <c r="N107" s="2431"/>
      <c r="O107" s="2349"/>
      <c r="P107" s="2431" t="s">
        <v>3807</v>
      </c>
      <c r="Q107" s="2349"/>
      <c r="R107" s="2431"/>
      <c r="S107" s="2349"/>
    </row>
    <row r="108" spans="1:19">
      <c r="A108" s="2432"/>
      <c r="B108" s="2672" t="s">
        <v>5855</v>
      </c>
      <c r="C108" s="2407"/>
      <c r="D108" s="2408">
        <v>18</v>
      </c>
      <c r="E108" s="2409" t="s">
        <v>3041</v>
      </c>
      <c r="F108" s="2438">
        <v>100</v>
      </c>
      <c r="G108" s="2438">
        <f t="shared" ref="G108:G111" si="6">D108*F108</f>
        <v>1800</v>
      </c>
      <c r="H108" s="2431" t="s">
        <v>3028</v>
      </c>
      <c r="I108" s="2350"/>
      <c r="J108" s="2431" t="s">
        <v>3028</v>
      </c>
      <c r="K108" s="2350"/>
      <c r="L108" s="2431" t="s">
        <v>3028</v>
      </c>
      <c r="M108" s="2349"/>
      <c r="N108" s="2431"/>
      <c r="O108" s="2349"/>
      <c r="P108" s="2431" t="s">
        <v>3807</v>
      </c>
      <c r="Q108" s="2349"/>
      <c r="R108" s="2431"/>
      <c r="S108" s="2349"/>
    </row>
    <row r="109" spans="1:19">
      <c r="A109" s="2432"/>
      <c r="B109" s="2672" t="s">
        <v>5915</v>
      </c>
      <c r="C109" s="2407"/>
      <c r="D109" s="2408">
        <v>747</v>
      </c>
      <c r="E109" s="2409" t="s">
        <v>3112</v>
      </c>
      <c r="F109" s="2438">
        <v>2</v>
      </c>
      <c r="G109" s="2438">
        <f t="shared" si="6"/>
        <v>1494</v>
      </c>
      <c r="H109" s="2431" t="s">
        <v>3028</v>
      </c>
      <c r="I109" s="2350"/>
      <c r="J109" s="2431" t="s">
        <v>3028</v>
      </c>
      <c r="K109" s="2350"/>
      <c r="L109" s="2431" t="s">
        <v>3028</v>
      </c>
      <c r="M109" s="2349"/>
      <c r="N109" s="2431"/>
      <c r="O109" s="2349"/>
      <c r="P109" s="2431" t="s">
        <v>3807</v>
      </c>
      <c r="Q109" s="2349"/>
      <c r="R109" s="2431"/>
      <c r="S109" s="2349"/>
    </row>
    <row r="110" spans="1:19" ht="18" customHeight="1">
      <c r="A110" s="2432"/>
      <c r="B110" s="2672" t="s">
        <v>5916</v>
      </c>
      <c r="C110" s="2407"/>
      <c r="D110" s="2408">
        <v>201</v>
      </c>
      <c r="E110" s="2409" t="s">
        <v>3112</v>
      </c>
      <c r="F110" s="2438">
        <v>2</v>
      </c>
      <c r="G110" s="2438">
        <f t="shared" si="6"/>
        <v>402</v>
      </c>
      <c r="H110" s="2431" t="s">
        <v>3028</v>
      </c>
      <c r="I110" s="2350"/>
      <c r="J110" s="2431" t="s">
        <v>3028</v>
      </c>
      <c r="K110" s="2350"/>
      <c r="L110" s="2431" t="s">
        <v>3028</v>
      </c>
      <c r="M110" s="2349"/>
      <c r="N110" s="2431"/>
      <c r="O110" s="2349"/>
      <c r="P110" s="2431" t="s">
        <v>3807</v>
      </c>
      <c r="Q110" s="2349"/>
      <c r="R110" s="2431"/>
      <c r="S110" s="2349"/>
    </row>
    <row r="111" spans="1:19">
      <c r="A111" s="2432"/>
      <c r="B111" s="2672" t="s">
        <v>5917</v>
      </c>
      <c r="C111" s="2407"/>
      <c r="D111" s="2408">
        <v>495</v>
      </c>
      <c r="E111" s="2409" t="s">
        <v>3112</v>
      </c>
      <c r="F111" s="2438">
        <v>2.5</v>
      </c>
      <c r="G111" s="2438">
        <f t="shared" si="6"/>
        <v>1237.5</v>
      </c>
      <c r="H111" s="2431" t="s">
        <v>3028</v>
      </c>
      <c r="I111" s="2350"/>
      <c r="J111" s="2431" t="s">
        <v>3028</v>
      </c>
      <c r="K111" s="2350"/>
      <c r="L111" s="2431" t="s">
        <v>3028</v>
      </c>
      <c r="M111" s="2349"/>
      <c r="N111" s="2431"/>
      <c r="O111" s="2349"/>
      <c r="P111" s="2431"/>
      <c r="Q111" s="2349"/>
      <c r="R111" s="2431"/>
      <c r="S111" s="2349"/>
    </row>
    <row r="112" spans="1:19" ht="15.75" customHeight="1" thickBot="1">
      <c r="A112" s="2432"/>
      <c r="B112" s="2672"/>
      <c r="C112" s="2355"/>
      <c r="D112" s="2356"/>
      <c r="E112" s="2409"/>
      <c r="F112" s="2357"/>
      <c r="G112" s="662"/>
      <c r="H112" s="2431"/>
      <c r="I112" s="2350"/>
      <c r="J112" s="2431"/>
      <c r="K112" s="2350"/>
      <c r="L112" s="2431"/>
      <c r="M112" s="2350"/>
      <c r="N112" s="2431"/>
      <c r="O112" s="2350"/>
      <c r="P112" s="2431"/>
      <c r="Q112" s="2350"/>
      <c r="R112" s="2431"/>
      <c r="S112" s="2350"/>
    </row>
    <row r="113" spans="1:32" ht="15.75" customHeight="1" thickTop="1">
      <c r="A113" s="13"/>
      <c r="B113" s="226" t="s">
        <v>3265</v>
      </c>
      <c r="C113" s="15"/>
      <c r="D113" s="168"/>
      <c r="E113" s="176"/>
      <c r="F113" s="17"/>
      <c r="G113" s="227">
        <f>SUBTOTAL(9,G19:G110)</f>
        <v>351657.33999999997</v>
      </c>
      <c r="H113" s="19"/>
      <c r="I113" s="164">
        <f>SUBTOTAL(9,I19:I112)</f>
        <v>975539.34</v>
      </c>
      <c r="J113" s="19"/>
      <c r="K113" s="164">
        <f>SUM(K19:K110)</f>
        <v>1295796</v>
      </c>
      <c r="L113" s="19"/>
      <c r="M113" s="164">
        <f>SUM(M19:M110)</f>
        <v>335498.37</v>
      </c>
      <c r="N113" s="19"/>
      <c r="O113" s="164">
        <f>SUM(O19:O110)</f>
        <v>178000</v>
      </c>
      <c r="P113" s="19"/>
      <c r="Q113" s="164">
        <f>SUM(Q19:Q110)</f>
        <v>98768</v>
      </c>
      <c r="R113" s="19"/>
      <c r="S113" s="164">
        <f>SUM(S19:S110)</f>
        <v>0</v>
      </c>
    </row>
    <row r="114" spans="1:32">
      <c r="A114" s="2358"/>
      <c r="B114" s="2359" t="s">
        <v>2976</v>
      </c>
      <c r="C114" s="2360"/>
      <c r="D114" s="2361"/>
      <c r="E114" s="2362"/>
      <c r="F114" s="2363"/>
      <c r="G114" s="654"/>
      <c r="H114" s="2364">
        <v>0</v>
      </c>
      <c r="I114" s="645"/>
      <c r="J114" s="2364">
        <v>0</v>
      </c>
      <c r="K114" s="645"/>
      <c r="L114" s="2364">
        <v>0</v>
      </c>
      <c r="M114" s="645"/>
      <c r="N114" s="2364">
        <v>0</v>
      </c>
      <c r="O114" s="645"/>
      <c r="P114" s="2364">
        <v>0</v>
      </c>
      <c r="Q114" s="645"/>
      <c r="R114" s="2364">
        <v>0</v>
      </c>
      <c r="S114" s="645"/>
    </row>
    <row r="115" spans="1:32">
      <c r="A115" s="2358"/>
      <c r="B115" s="2359" t="s">
        <v>2977</v>
      </c>
      <c r="C115" s="2360"/>
      <c r="D115" s="2361"/>
      <c r="E115" s="2362"/>
      <c r="F115" s="2363"/>
      <c r="G115" s="654">
        <f>F114*G113</f>
        <v>0</v>
      </c>
      <c r="H115" s="2365"/>
      <c r="I115" s="2366">
        <f>H114*I113</f>
        <v>0</v>
      </c>
      <c r="J115" s="2365"/>
      <c r="K115" s="2366">
        <f>J114*K113</f>
        <v>0</v>
      </c>
      <c r="L115" s="2365"/>
      <c r="M115" s="2366">
        <f>L114*M113</f>
        <v>0</v>
      </c>
      <c r="N115" s="2365"/>
      <c r="O115" s="2366">
        <f>N114*O113</f>
        <v>0</v>
      </c>
      <c r="P115" s="2365"/>
      <c r="Q115" s="2366">
        <f>P114*Q113</f>
        <v>0</v>
      </c>
      <c r="R115" s="2365"/>
      <c r="S115" s="2366">
        <f>R114*S113</f>
        <v>0</v>
      </c>
    </row>
    <row r="116" spans="1:32">
      <c r="A116" s="2358"/>
      <c r="B116" s="2359"/>
      <c r="C116" s="2360"/>
      <c r="D116" s="2361"/>
      <c r="E116" s="2362"/>
      <c r="F116" s="2363"/>
      <c r="G116" s="654"/>
      <c r="H116" s="2365"/>
      <c r="I116" s="2366"/>
      <c r="J116" s="2365"/>
      <c r="K116" s="2366"/>
      <c r="L116" s="2365"/>
      <c r="M116" s="2366"/>
      <c r="N116" s="2365"/>
      <c r="O116" s="2366"/>
      <c r="P116" s="2365"/>
      <c r="Q116" s="2366"/>
      <c r="R116" s="2365"/>
      <c r="S116" s="2366"/>
    </row>
    <row r="117" spans="1:32">
      <c r="A117" s="2358"/>
      <c r="B117" s="2359" t="s">
        <v>2978</v>
      </c>
      <c r="C117" s="2360"/>
      <c r="D117" s="2361"/>
      <c r="E117" s="2362"/>
      <c r="F117" s="2363"/>
      <c r="G117" s="654">
        <f>SUM(G113:G115)</f>
        <v>351657.33999999997</v>
      </c>
      <c r="H117" s="2367"/>
      <c r="I117" s="2366">
        <f>SUM(I113:I115)</f>
        <v>975539.34</v>
      </c>
      <c r="J117" s="2367"/>
      <c r="K117" s="2366">
        <f>SUM(K113:K115)</f>
        <v>1295796</v>
      </c>
      <c r="L117" s="2367"/>
      <c r="M117" s="2366">
        <f>SUM(M113:M115)</f>
        <v>335498.37</v>
      </c>
      <c r="N117" s="2367"/>
      <c r="O117" s="2366">
        <f>SUM(O113:O115)</f>
        <v>178000</v>
      </c>
      <c r="P117" s="2367"/>
      <c r="Q117" s="2366">
        <f>SUM(Q113:Q115)</f>
        <v>98768</v>
      </c>
      <c r="R117" s="2367"/>
      <c r="S117" s="2366">
        <f>SUM(S113:S115)</f>
        <v>0</v>
      </c>
    </row>
    <row r="118" spans="1:32">
      <c r="A118" s="2358"/>
      <c r="B118" s="2368" t="s">
        <v>2979</v>
      </c>
      <c r="C118" s="2360"/>
      <c r="D118" s="2361"/>
      <c r="E118" s="2362"/>
      <c r="F118" s="2368"/>
      <c r="G118" s="655">
        <f>G117/'Area Calculations'!$F$5</f>
        <v>3.9658216798989532</v>
      </c>
      <c r="H118" s="2369"/>
      <c r="I118" s="2370">
        <f>I117/'Area Calculations'!$F$5</f>
        <v>11.001661629375675</v>
      </c>
      <c r="J118" s="2369"/>
      <c r="K118" s="2370">
        <f>K117/'Area Calculations'!$F$5</f>
        <v>14.613361602309636</v>
      </c>
      <c r="L118" s="2369"/>
      <c r="M118" s="2370">
        <f>M117/'Area Calculations'!$F$5</f>
        <v>3.7835886187297003</v>
      </c>
      <c r="N118" s="2369"/>
      <c r="O118" s="2370">
        <f>O117/'Area Calculations'!$F$5</f>
        <v>2.0073980512450378</v>
      </c>
      <c r="P118" s="2371"/>
      <c r="Q118" s="2370">
        <f>Q117/'Area Calculations'!$F$5</f>
        <v>1.1138578130638759</v>
      </c>
      <c r="R118" s="2371"/>
      <c r="S118" s="2370">
        <f>S117/'Area Calculations'!$F$5</f>
        <v>0</v>
      </c>
    </row>
    <row r="119" spans="1:32" ht="15.75" customHeight="1" thickBot="1">
      <c r="A119" s="2358"/>
      <c r="B119" s="2372"/>
      <c r="C119" s="2360"/>
      <c r="D119" s="2361"/>
      <c r="E119" s="2362"/>
      <c r="F119" s="2363"/>
      <c r="G119" s="656"/>
      <c r="H119" s="2373"/>
      <c r="I119" s="2374"/>
      <c r="J119" s="2373"/>
      <c r="K119" s="2373"/>
      <c r="L119" s="2373"/>
      <c r="M119" s="2373"/>
      <c r="N119" s="2373"/>
      <c r="O119" s="2373"/>
      <c r="P119" s="2373"/>
      <c r="Q119" s="2373"/>
      <c r="R119" s="2373"/>
      <c r="S119" s="2373"/>
    </row>
    <row r="120" spans="1:32" ht="16.5" customHeight="1" thickTop="1" thickBot="1">
      <c r="A120" s="830" t="s">
        <v>2980</v>
      </c>
      <c r="B120" s="831"/>
      <c r="C120" s="12"/>
      <c r="D120" s="169"/>
      <c r="E120" s="177"/>
      <c r="F120" s="12"/>
      <c r="G120" s="228"/>
      <c r="H120" s="20"/>
      <c r="I120" s="20"/>
      <c r="J120" s="20"/>
      <c r="K120" s="20"/>
      <c r="L120" s="20"/>
      <c r="M120" s="20"/>
      <c r="N120" s="20"/>
      <c r="O120" s="20"/>
      <c r="P120" s="20"/>
      <c r="Q120" s="20"/>
      <c r="R120" s="20"/>
      <c r="S120" s="20"/>
    </row>
    <row r="121" spans="1:32" ht="15.75" customHeight="1" thickTop="1">
      <c r="A121" s="2661"/>
      <c r="B121" s="2406" t="s">
        <v>5918</v>
      </c>
      <c r="C121" s="2662"/>
      <c r="D121" s="2663"/>
      <c r="E121" s="2664"/>
      <c r="F121" s="2662"/>
      <c r="G121" s="2665"/>
      <c r="H121" s="2666"/>
      <c r="I121" s="2666"/>
      <c r="J121" s="2666"/>
      <c r="K121" s="2666"/>
      <c r="L121" s="2666"/>
      <c r="M121" s="2666"/>
      <c r="N121" s="2666"/>
      <c r="O121" s="2666"/>
      <c r="P121" s="2666"/>
      <c r="Q121" s="2666"/>
      <c r="R121" s="2666"/>
      <c r="S121" s="2666"/>
    </row>
    <row r="122" spans="1:32">
      <c r="A122" s="2661"/>
      <c r="B122" s="2406" t="s">
        <v>5919</v>
      </c>
      <c r="C122" s="2662"/>
      <c r="D122" s="2663"/>
      <c r="E122" s="2664"/>
      <c r="F122" s="2662"/>
      <c r="G122" s="2665"/>
      <c r="H122" s="2666"/>
      <c r="I122" s="2666"/>
      <c r="J122" s="2666"/>
      <c r="K122" s="2666"/>
      <c r="L122" s="2666"/>
      <c r="M122" s="2666"/>
      <c r="N122" s="2666"/>
      <c r="O122" s="2666"/>
      <c r="P122" s="2666"/>
      <c r="Q122" s="2666"/>
      <c r="R122" s="2666"/>
      <c r="S122" s="2666"/>
    </row>
    <row r="123" spans="1:32">
      <c r="A123" s="2661"/>
      <c r="B123" s="2406" t="s">
        <v>5920</v>
      </c>
      <c r="C123" s="2662"/>
      <c r="D123" s="2663"/>
      <c r="E123" s="2664"/>
      <c r="F123" s="2662"/>
      <c r="G123" s="2665"/>
      <c r="H123" s="2666"/>
      <c r="I123" s="2666"/>
      <c r="J123" s="2666"/>
      <c r="K123" s="2666"/>
      <c r="L123" s="2666"/>
      <c r="M123" s="2666"/>
      <c r="N123" s="2666"/>
      <c r="O123" s="2666"/>
      <c r="P123" s="2666"/>
      <c r="Q123" s="2666"/>
      <c r="R123" s="2666"/>
      <c r="S123" s="2666"/>
    </row>
    <row r="124" spans="1:32">
      <c r="A124" s="2661"/>
      <c r="B124" s="2406" t="s">
        <v>5921</v>
      </c>
      <c r="C124" s="2662"/>
      <c r="D124" s="2663"/>
      <c r="E124" s="2664"/>
      <c r="F124" s="2662"/>
      <c r="G124" s="2665"/>
      <c r="H124" s="451"/>
      <c r="I124" s="451"/>
      <c r="J124" s="451"/>
      <c r="K124" s="451"/>
      <c r="L124" s="451"/>
      <c r="M124" s="451"/>
      <c r="N124" s="451"/>
      <c r="O124" s="451"/>
      <c r="P124" s="451"/>
      <c r="Q124" s="451"/>
      <c r="R124" s="451"/>
      <c r="S124" s="451"/>
    </row>
    <row r="125" spans="1:32">
      <c r="A125" s="2661"/>
      <c r="B125" s="2406" t="s">
        <v>5922</v>
      </c>
      <c r="C125" s="2662"/>
      <c r="D125" s="2663"/>
      <c r="E125" s="2664"/>
      <c r="F125" s="2662"/>
      <c r="G125" s="2665"/>
      <c r="H125" s="451"/>
      <c r="I125" s="451"/>
      <c r="J125" s="451"/>
      <c r="K125" s="451"/>
      <c r="L125" s="451"/>
      <c r="M125" s="451"/>
      <c r="N125" s="451"/>
      <c r="O125" s="451"/>
      <c r="P125" s="451"/>
      <c r="Q125" s="451"/>
      <c r="R125" s="451"/>
      <c r="S125" s="451"/>
    </row>
    <row r="126" spans="1:32" ht="15.75" thickBot="1">
      <c r="A126" s="2661"/>
      <c r="B126" s="2406"/>
      <c r="C126" s="2662"/>
      <c r="D126" s="2663"/>
      <c r="E126" s="2664"/>
      <c r="F126" s="2662"/>
      <c r="G126" s="2665"/>
      <c r="H126" s="451"/>
      <c r="I126" s="451"/>
      <c r="J126" s="451"/>
      <c r="K126" s="451"/>
      <c r="L126" s="451"/>
      <c r="M126" s="451"/>
      <c r="N126" s="451"/>
      <c r="O126" s="451"/>
      <c r="P126" s="451"/>
      <c r="Q126" s="451"/>
      <c r="R126" s="451"/>
      <c r="S126" s="451"/>
    </row>
    <row r="127" spans="1:32" s="2" customFormat="1" ht="16.5" thickTop="1" thickBot="1">
      <c r="A127" s="830" t="s">
        <v>2981</v>
      </c>
      <c r="B127" s="831"/>
      <c r="C127" s="12"/>
      <c r="D127" s="169"/>
      <c r="E127" s="177"/>
      <c r="F127" s="12"/>
      <c r="G127" s="228"/>
      <c r="H127" s="20"/>
      <c r="I127" s="20"/>
      <c r="J127" s="20"/>
      <c r="K127" s="20"/>
      <c r="L127" s="20"/>
      <c r="M127" s="20"/>
      <c r="N127" s="20"/>
      <c r="O127" s="20"/>
      <c r="P127" s="20"/>
      <c r="Q127" s="20"/>
      <c r="R127" s="20"/>
      <c r="S127" s="20"/>
      <c r="T127"/>
      <c r="U127"/>
      <c r="V127"/>
      <c r="W127"/>
      <c r="X127"/>
      <c r="Y127"/>
      <c r="Z127"/>
      <c r="AA127"/>
      <c r="AB127"/>
      <c r="AC127"/>
      <c r="AD127"/>
      <c r="AE127"/>
      <c r="AF127"/>
    </row>
    <row r="128" spans="1:32" s="2" customFormat="1" ht="15.75" customHeight="1" thickTop="1">
      <c r="A128" s="2661"/>
      <c r="B128" s="2406"/>
      <c r="C128" s="2662"/>
      <c r="D128" s="2663"/>
      <c r="E128" s="2664"/>
      <c r="F128" s="2662"/>
      <c r="G128" s="2665"/>
      <c r="H128" s="2666"/>
      <c r="I128" s="2666"/>
      <c r="J128" s="2666"/>
      <c r="K128" s="2666"/>
      <c r="L128" s="2666"/>
      <c r="M128" s="2666"/>
      <c r="N128" s="2666"/>
      <c r="O128" s="2666"/>
      <c r="P128" s="2666"/>
      <c r="Q128" s="2666"/>
      <c r="R128" s="2666"/>
      <c r="S128" s="2666"/>
      <c r="T128"/>
      <c r="U128"/>
      <c r="V128"/>
      <c r="W128"/>
      <c r="X128"/>
      <c r="Y128"/>
      <c r="Z128"/>
      <c r="AA128"/>
      <c r="AB128"/>
      <c r="AC128"/>
      <c r="AD128"/>
      <c r="AE128"/>
      <c r="AF128"/>
    </row>
    <row r="129" spans="1:32" s="2" customFormat="1">
      <c r="A129" s="2661"/>
      <c r="B129" s="2406"/>
      <c r="C129" s="2662"/>
      <c r="D129" s="2663"/>
      <c r="E129" s="2664"/>
      <c r="F129" s="2662"/>
      <c r="G129" s="2665"/>
      <c r="H129" s="2666"/>
      <c r="I129" s="2666"/>
      <c r="J129" s="2666"/>
      <c r="K129" s="2666"/>
      <c r="L129" s="2666"/>
      <c r="M129" s="2666"/>
      <c r="N129" s="2666"/>
      <c r="O129" s="2666"/>
      <c r="P129" s="2666"/>
      <c r="Q129" s="2666"/>
      <c r="R129" s="2666"/>
      <c r="S129" s="2666"/>
      <c r="T129"/>
      <c r="U129"/>
      <c r="V129"/>
      <c r="W129"/>
      <c r="X129"/>
      <c r="Y129"/>
      <c r="Z129"/>
      <c r="AA129"/>
      <c r="AB129"/>
      <c r="AC129"/>
      <c r="AD129"/>
      <c r="AE129"/>
      <c r="AF129"/>
    </row>
    <row r="130" spans="1:32" ht="15.75" customHeight="1" thickBot="1">
      <c r="A130" s="2661"/>
      <c r="B130" s="2406"/>
      <c r="C130" s="2662"/>
      <c r="D130" s="2663"/>
      <c r="E130" s="2664"/>
      <c r="F130" s="2662"/>
      <c r="G130" s="2665"/>
      <c r="H130" s="2666"/>
      <c r="I130" s="2666"/>
      <c r="J130" s="2666"/>
      <c r="K130" s="2666"/>
      <c r="L130" s="2666"/>
      <c r="M130" s="2666"/>
      <c r="N130" s="2666"/>
      <c r="O130" s="2666"/>
      <c r="P130" s="2666"/>
      <c r="Q130" s="2666"/>
      <c r="R130" s="2666"/>
      <c r="S130" s="2666"/>
    </row>
    <row r="131" spans="1:32" s="2" customFormat="1" ht="16.5" customHeight="1" thickTop="1" thickBot="1">
      <c r="A131" s="830" t="s">
        <v>2982</v>
      </c>
      <c r="B131" s="831"/>
      <c r="C131" s="12"/>
      <c r="D131" s="169"/>
      <c r="E131" s="177"/>
      <c r="F131" s="12"/>
      <c r="G131" s="228"/>
      <c r="H131" s="20"/>
      <c r="I131" s="20"/>
      <c r="J131" s="20"/>
      <c r="K131" s="20"/>
      <c r="L131" s="20"/>
      <c r="M131" s="20"/>
      <c r="N131" s="20"/>
      <c r="O131" s="20"/>
      <c r="P131" s="20"/>
      <c r="Q131" s="20"/>
      <c r="R131" s="20"/>
      <c r="S131" s="20"/>
      <c r="T131"/>
      <c r="U131"/>
      <c r="V131"/>
      <c r="W131"/>
      <c r="X131"/>
      <c r="Y131"/>
      <c r="Z131"/>
      <c r="AA131"/>
      <c r="AB131"/>
      <c r="AC131"/>
      <c r="AD131"/>
      <c r="AE131"/>
      <c r="AF131"/>
    </row>
    <row r="132" spans="1:32" s="2" customFormat="1" ht="15.75" customHeight="1" thickTop="1">
      <c r="A132" s="2661"/>
      <c r="B132" s="2406"/>
      <c r="C132" s="2662"/>
      <c r="D132" s="2663"/>
      <c r="E132" s="2664"/>
      <c r="F132" s="2662"/>
      <c r="G132" s="2665"/>
      <c r="H132" s="2666"/>
      <c r="I132" s="2666"/>
      <c r="J132" s="2666"/>
      <c r="K132" s="2666"/>
      <c r="L132" s="2666"/>
      <c r="M132" s="2666"/>
      <c r="N132" s="2666"/>
      <c r="O132" s="2666"/>
      <c r="P132" s="2666"/>
      <c r="Q132" s="2666"/>
      <c r="R132" s="2666"/>
      <c r="S132" s="2666"/>
      <c r="T132"/>
      <c r="U132"/>
      <c r="V132"/>
      <c r="W132"/>
      <c r="X132"/>
      <c r="Y132"/>
      <c r="Z132"/>
      <c r="AA132"/>
      <c r="AB132"/>
      <c r="AC132"/>
      <c r="AD132"/>
      <c r="AE132"/>
      <c r="AF132"/>
    </row>
    <row r="133" spans="1:32" s="2" customFormat="1">
      <c r="A133" s="2382"/>
      <c r="B133" s="2406"/>
      <c r="C133" s="2407"/>
      <c r="D133" s="2408"/>
      <c r="E133" s="2409"/>
      <c r="F133" s="2407"/>
      <c r="G133" s="2383"/>
      <c r="H133" s="2384"/>
      <c r="I133" s="2384"/>
      <c r="J133" s="2384"/>
      <c r="K133" s="2384"/>
      <c r="L133" s="2384"/>
      <c r="M133" s="2384"/>
      <c r="N133" s="2384"/>
      <c r="O133" s="2384"/>
      <c r="P133" s="2384"/>
      <c r="Q133" s="2384"/>
      <c r="R133" s="2384"/>
      <c r="S133" s="2384"/>
      <c r="T133"/>
      <c r="U133"/>
      <c r="V133"/>
      <c r="W133"/>
      <c r="X133"/>
      <c r="Y133"/>
      <c r="Z133"/>
      <c r="AA133"/>
      <c r="AB133"/>
      <c r="AC133"/>
      <c r="AD133"/>
      <c r="AE133"/>
      <c r="AF133"/>
    </row>
    <row r="134" spans="1:32" s="2" customFormat="1" ht="15.75" customHeight="1" thickBot="1">
      <c r="A134" s="2385"/>
      <c r="B134" s="2386"/>
      <c r="C134" s="2407"/>
      <c r="D134" s="2408"/>
      <c r="E134" s="2409"/>
      <c r="F134" s="2407"/>
      <c r="G134" s="2383"/>
      <c r="H134" s="2387"/>
      <c r="I134" s="2387"/>
      <c r="J134" s="2387"/>
      <c r="K134" s="2387"/>
      <c r="L134" s="2387"/>
      <c r="M134" s="2387"/>
      <c r="N134" s="2387"/>
      <c r="O134" s="2387"/>
      <c r="P134" s="2387"/>
      <c r="Q134" s="2387"/>
      <c r="R134" s="2387"/>
      <c r="S134" s="2387"/>
    </row>
    <row r="135" spans="1:32" s="2" customFormat="1" ht="16.5" customHeight="1" thickTop="1" thickBot="1">
      <c r="A135" s="830" t="s">
        <v>2983</v>
      </c>
      <c r="B135" s="831"/>
      <c r="C135" s="12"/>
      <c r="D135" s="169"/>
      <c r="E135" s="177"/>
      <c r="F135" s="12"/>
      <c r="G135" s="228"/>
      <c r="H135" s="20"/>
      <c r="I135" s="20"/>
      <c r="J135" s="20"/>
      <c r="K135" s="20"/>
      <c r="L135" s="20"/>
      <c r="M135" s="20"/>
      <c r="N135" s="20"/>
      <c r="O135" s="20"/>
      <c r="P135" s="20"/>
      <c r="Q135" s="20"/>
      <c r="R135" s="20"/>
      <c r="S135" s="20"/>
      <c r="T135"/>
      <c r="U135"/>
      <c r="V135"/>
      <c r="W135"/>
      <c r="X135"/>
      <c r="Y135"/>
      <c r="Z135"/>
      <c r="AA135"/>
      <c r="AB135"/>
      <c r="AC135"/>
      <c r="AD135"/>
      <c r="AE135"/>
      <c r="AF135"/>
    </row>
    <row r="136" spans="1:32" ht="15.75" customHeight="1" thickTop="1">
      <c r="A136" s="2667"/>
      <c r="B136" s="2668" t="s">
        <v>5923</v>
      </c>
      <c r="C136" s="2662"/>
      <c r="D136" s="2663"/>
      <c r="E136" s="2664"/>
      <c r="F136" s="2662"/>
      <c r="G136" s="2665"/>
      <c r="H136" s="2666"/>
      <c r="I136" s="2666"/>
      <c r="J136" s="2666"/>
      <c r="K136" s="2666"/>
      <c r="L136" s="2666"/>
      <c r="M136" s="2666"/>
      <c r="N136" s="2666"/>
      <c r="O136" s="2666"/>
      <c r="P136" s="2666"/>
      <c r="Q136" s="2666"/>
      <c r="R136" s="2666"/>
      <c r="S136" s="2666"/>
      <c r="T136" s="2"/>
      <c r="U136" s="2"/>
      <c r="V136" s="2"/>
      <c r="W136" s="2"/>
      <c r="X136" s="2"/>
      <c r="Y136" s="2"/>
      <c r="Z136" s="2"/>
      <c r="AA136" s="2"/>
      <c r="AB136" s="2"/>
      <c r="AC136" s="2"/>
      <c r="AD136" s="2"/>
      <c r="AE136" s="2"/>
      <c r="AF136" s="2"/>
    </row>
    <row r="137" spans="1:32">
      <c r="A137" s="2385"/>
      <c r="B137" s="2386" t="s">
        <v>5924</v>
      </c>
      <c r="C137" s="2407"/>
      <c r="D137" s="2408"/>
      <c r="E137" s="2409"/>
      <c r="F137" s="2407"/>
      <c r="G137" s="2383"/>
      <c r="H137" s="2390"/>
      <c r="I137" s="2390"/>
      <c r="J137" s="2390"/>
      <c r="K137" s="2390"/>
      <c r="L137" s="2390"/>
      <c r="M137" s="2390"/>
      <c r="N137" s="2390"/>
      <c r="O137" s="2390"/>
      <c r="P137" s="2390"/>
      <c r="Q137" s="2390"/>
      <c r="R137" s="2390"/>
      <c r="S137" s="2390"/>
      <c r="T137" s="2"/>
      <c r="U137" s="2"/>
      <c r="V137" s="2"/>
      <c r="W137" s="2"/>
      <c r="X137" s="2"/>
      <c r="Y137" s="2"/>
      <c r="Z137" s="2"/>
      <c r="AA137" s="2"/>
      <c r="AB137" s="2"/>
      <c r="AC137" s="2"/>
      <c r="AD137" s="2"/>
      <c r="AE137" s="2"/>
      <c r="AF137" s="2"/>
    </row>
    <row r="138" spans="1:32" ht="15.75" customHeight="1" thickBot="1">
      <c r="A138" s="2385"/>
      <c r="B138" s="2386" t="s">
        <v>5925</v>
      </c>
      <c r="C138" s="2407"/>
      <c r="D138" s="2408"/>
      <c r="E138" s="2409"/>
      <c r="F138" s="2407"/>
      <c r="G138" s="2383"/>
      <c r="H138" s="2390"/>
      <c r="I138" s="2390">
        <f>-SUM(I32:I34)</f>
        <v>-18754.34</v>
      </c>
      <c r="J138" s="2390"/>
      <c r="K138" s="2390"/>
      <c r="L138" s="2390"/>
      <c r="M138" s="2390"/>
      <c r="N138" s="2390"/>
      <c r="O138" s="2390"/>
      <c r="P138" s="2390"/>
      <c r="Q138" s="2390"/>
      <c r="R138" s="2390"/>
      <c r="S138" s="2390"/>
      <c r="T138" s="2"/>
      <c r="U138" s="2"/>
      <c r="V138" s="2"/>
      <c r="W138" s="2"/>
      <c r="X138" s="2"/>
      <c r="Y138" s="2"/>
      <c r="Z138" s="2"/>
      <c r="AA138" s="2"/>
      <c r="AB138" s="2"/>
      <c r="AC138" s="2"/>
      <c r="AD138" s="2"/>
      <c r="AE138" s="2"/>
      <c r="AF138" s="2"/>
    </row>
    <row r="139" spans="1:32" ht="16.5" customHeight="1" thickTop="1" thickBot="1">
      <c r="A139" s="830" t="s">
        <v>2984</v>
      </c>
      <c r="B139" s="831"/>
      <c r="C139" s="12"/>
      <c r="D139" s="169"/>
      <c r="E139" s="177"/>
      <c r="F139" s="12"/>
      <c r="G139" s="228"/>
      <c r="H139" s="20"/>
      <c r="I139" s="20"/>
      <c r="J139" s="20"/>
      <c r="K139" s="20"/>
      <c r="L139" s="20"/>
      <c r="M139" s="20"/>
      <c r="N139" s="20"/>
      <c r="O139" s="20"/>
      <c r="P139" s="20"/>
      <c r="Q139" s="20"/>
      <c r="R139" s="20"/>
      <c r="S139" s="20"/>
    </row>
    <row r="140" spans="1:32" ht="15.75" customHeight="1" thickTop="1">
      <c r="A140" s="2382"/>
      <c r="B140" s="2406" t="s">
        <v>2985</v>
      </c>
      <c r="C140" s="2407"/>
      <c r="D140" s="2408"/>
      <c r="E140" s="2409"/>
      <c r="F140" s="2407"/>
      <c r="G140" s="2383"/>
      <c r="H140" s="2390"/>
      <c r="I140" s="2390"/>
      <c r="J140" s="2390"/>
      <c r="K140" s="2390"/>
      <c r="L140" s="2390"/>
      <c r="M140" s="2390"/>
      <c r="N140" s="2390"/>
      <c r="O140" s="2390"/>
      <c r="P140" s="2390"/>
      <c r="Q140" s="2390"/>
      <c r="R140" s="2390"/>
      <c r="S140" s="2390"/>
    </row>
    <row r="141" spans="1:32">
      <c r="A141" s="2382"/>
      <c r="B141" s="2406" t="s">
        <v>2986</v>
      </c>
      <c r="C141" s="2407"/>
      <c r="D141" s="2408"/>
      <c r="E141" s="2409"/>
      <c r="F141" s="2407"/>
      <c r="G141" s="2383"/>
      <c r="H141" s="2390"/>
      <c r="I141" s="2390"/>
      <c r="J141" s="2390"/>
      <c r="K141" s="2390"/>
      <c r="L141" s="2390"/>
      <c r="M141" s="2390"/>
      <c r="N141" s="2390"/>
      <c r="O141" s="2390"/>
      <c r="P141" s="2390"/>
      <c r="Q141" s="2390"/>
      <c r="R141" s="2390"/>
      <c r="S141" s="2390"/>
    </row>
    <row r="142" spans="1:32">
      <c r="A142" s="2382"/>
      <c r="B142" s="2406" t="s">
        <v>2987</v>
      </c>
      <c r="C142" s="2407"/>
      <c r="D142" s="2408"/>
      <c r="E142" s="2409"/>
      <c r="F142" s="2407"/>
      <c r="G142" s="2383"/>
      <c r="H142" s="2390"/>
      <c r="I142" s="2390"/>
      <c r="J142" s="2390"/>
      <c r="K142" s="2390"/>
      <c r="L142" s="2390"/>
      <c r="M142" s="2390"/>
      <c r="N142" s="2390"/>
      <c r="O142" s="2390"/>
      <c r="P142" s="2390"/>
      <c r="Q142" s="2390"/>
      <c r="R142" s="2390"/>
      <c r="S142" s="2390"/>
    </row>
    <row r="143" spans="1:32">
      <c r="A143" s="2382"/>
      <c r="B143" s="2406" t="s">
        <v>2988</v>
      </c>
      <c r="C143" s="2407"/>
      <c r="D143" s="2408"/>
      <c r="E143" s="2409"/>
      <c r="F143" s="2407"/>
      <c r="G143" s="2383"/>
      <c r="H143" s="2390"/>
      <c r="I143" s="2390"/>
      <c r="J143" s="2390"/>
      <c r="K143" s="2390"/>
      <c r="L143" s="2390"/>
      <c r="M143" s="2390"/>
      <c r="N143" s="2390"/>
      <c r="O143" s="2390"/>
      <c r="P143" s="2390"/>
      <c r="Q143" s="2390"/>
      <c r="R143" s="2390"/>
      <c r="S143" s="2390"/>
    </row>
    <row r="144" spans="1:32" ht="15.75" customHeight="1" thickBot="1">
      <c r="A144" s="646"/>
      <c r="B144" s="619"/>
      <c r="C144" s="616"/>
      <c r="D144" s="621"/>
      <c r="E144" s="622"/>
      <c r="F144" s="616"/>
      <c r="G144" s="620"/>
      <c r="H144" s="647"/>
      <c r="I144" s="647"/>
      <c r="J144" s="647"/>
      <c r="K144" s="647"/>
      <c r="L144" s="647"/>
      <c r="M144" s="647"/>
      <c r="N144" s="647"/>
      <c r="O144" s="647"/>
      <c r="P144" s="647"/>
      <c r="Q144" s="647"/>
      <c r="R144" s="647"/>
      <c r="S144" s="647"/>
    </row>
    <row r="145" spans="1:19" ht="16.5" customHeight="1" thickTop="1" thickBot="1">
      <c r="A145" s="7" t="s">
        <v>2989</v>
      </c>
      <c r="B145" s="8"/>
      <c r="C145" s="12"/>
      <c r="D145" s="169"/>
      <c r="E145" s="177"/>
      <c r="F145" s="12"/>
      <c r="G145" s="228"/>
      <c r="H145" s="20"/>
      <c r="I145" s="20"/>
      <c r="J145" s="20"/>
      <c r="K145" s="20"/>
      <c r="L145" s="20"/>
      <c r="M145" s="20"/>
      <c r="N145" s="20"/>
      <c r="O145" s="20"/>
      <c r="P145" s="20"/>
      <c r="Q145" s="20"/>
      <c r="R145" s="20"/>
      <c r="S145" s="20"/>
    </row>
    <row r="146" spans="1:19" ht="15.75" customHeight="1" thickTop="1">
      <c r="A146" s="2661"/>
      <c r="B146" s="2647" t="s">
        <v>2990</v>
      </c>
      <c r="C146" s="2662"/>
      <c r="D146" s="2663"/>
      <c r="E146" s="2664"/>
      <c r="F146" s="2662"/>
      <c r="G146" s="2665"/>
      <c r="H146" s="2648"/>
      <c r="I146" s="2648"/>
      <c r="J146" s="2648"/>
      <c r="K146" s="2648"/>
      <c r="L146" s="2648"/>
      <c r="M146" s="2648"/>
      <c r="N146" s="2648"/>
      <c r="O146" s="2648"/>
      <c r="P146" s="2648"/>
      <c r="Q146" s="2648"/>
      <c r="R146" s="2648"/>
      <c r="S146" s="2648"/>
    </row>
    <row r="147" spans="1:19">
      <c r="A147" s="2382"/>
      <c r="B147" s="2406" t="s">
        <v>2991</v>
      </c>
      <c r="C147" s="2407"/>
      <c r="D147" s="2408"/>
      <c r="E147" s="2409"/>
      <c r="F147" s="2407"/>
      <c r="G147" s="2383"/>
      <c r="H147" s="2391"/>
      <c r="I147" s="2391"/>
      <c r="J147" s="2391"/>
      <c r="K147" s="2391"/>
      <c r="L147" s="2391"/>
      <c r="M147" s="2391"/>
      <c r="N147" s="2391"/>
      <c r="O147" s="2391"/>
      <c r="P147" s="2391"/>
      <c r="Q147" s="2391"/>
      <c r="R147" s="2391"/>
      <c r="S147" s="2391"/>
    </row>
    <row r="148" spans="1:19" ht="15.75" customHeight="1" thickBot="1">
      <c r="A148" s="2392"/>
      <c r="B148" s="2424" t="s">
        <v>2992</v>
      </c>
      <c r="C148" s="2425"/>
      <c r="D148" s="2393"/>
      <c r="E148" s="2394"/>
      <c r="F148" s="2425"/>
      <c r="G148" s="2395"/>
      <c r="H148" s="2396"/>
      <c r="I148" s="2396"/>
      <c r="J148" s="2396"/>
      <c r="K148" s="2396"/>
      <c r="L148" s="2396"/>
      <c r="M148" s="2396"/>
      <c r="N148" s="2396"/>
      <c r="O148" s="2396"/>
      <c r="P148" s="2396"/>
      <c r="Q148" s="2396"/>
      <c r="R148" s="2396"/>
      <c r="S148" s="2396"/>
    </row>
    <row r="149" spans="1:19" ht="16.5" customHeight="1" thickTop="1" thickBot="1">
      <c r="R149" s="2"/>
      <c r="S149" s="2"/>
    </row>
    <row r="150" spans="1:19" ht="16.5" customHeight="1">
      <c r="A150" s="59" t="s">
        <v>2993</v>
      </c>
      <c r="B150" s="61"/>
      <c r="C150" s="299" t="s">
        <v>5197</v>
      </c>
      <c r="D150" s="165" t="s">
        <v>3235</v>
      </c>
      <c r="E150" s="535" t="s">
        <v>5204</v>
      </c>
      <c r="R150" s="2"/>
      <c r="S150" s="2"/>
    </row>
    <row r="151" spans="1:19" ht="15.75" customHeight="1">
      <c r="A151" s="60" t="s">
        <v>2936</v>
      </c>
      <c r="B151" s="2398" t="str">
        <f>H5</f>
        <v>Advanced Painting Contractors</v>
      </c>
      <c r="R151" s="2"/>
      <c r="S151" s="2"/>
    </row>
    <row r="152" spans="1:19">
      <c r="A152" s="2399" t="s">
        <v>2939</v>
      </c>
      <c r="B152" s="2398" t="str">
        <f>H6</f>
        <v>Daniel Eggertsson</v>
      </c>
      <c r="R152" s="2"/>
      <c r="S152" s="2"/>
    </row>
    <row r="153" spans="1:19">
      <c r="A153" s="2400" t="s">
        <v>2941</v>
      </c>
      <c r="B153" s="2401" t="str">
        <f>H7</f>
        <v xml:space="preserve"> 561-845-0123</v>
      </c>
    </row>
    <row r="154" spans="1:19">
      <c r="A154" s="2400" t="s">
        <v>2943</v>
      </c>
      <c r="B154" s="2402" t="str">
        <f>H8</f>
        <v>deggertsson@advanced-painting.com</v>
      </c>
    </row>
    <row r="155" spans="1:19" ht="15.75" customHeight="1">
      <c r="A155" s="2403" t="s">
        <v>2994</v>
      </c>
      <c r="B155" s="2404">
        <f>$I$117</f>
        <v>975539.34</v>
      </c>
      <c r="C155" s="447">
        <f>SUM(I20:I89)</f>
        <v>935578.34</v>
      </c>
      <c r="D155" s="165">
        <f>SUM(I90:I103)</f>
        <v>25276</v>
      </c>
      <c r="E155" s="536">
        <f>SUM(I104:I111)</f>
        <v>14685</v>
      </c>
    </row>
    <row r="156" spans="1:19" ht="15.75" customHeight="1"/>
    <row r="157" spans="1:19">
      <c r="A157" s="62"/>
      <c r="B157" s="1" t="s">
        <v>2995</v>
      </c>
    </row>
    <row r="158" spans="1:19">
      <c r="A158" s="63"/>
      <c r="B158" s="1" t="s">
        <v>2996</v>
      </c>
    </row>
  </sheetData>
  <mergeCells count="41">
    <mergeCell ref="L3:M3"/>
    <mergeCell ref="N4:O4"/>
    <mergeCell ref="P5:Q5"/>
    <mergeCell ref="P6:Q6"/>
    <mergeCell ref="P7:Q7"/>
    <mergeCell ref="A139:B139"/>
    <mergeCell ref="L5:M5"/>
    <mergeCell ref="L6:M6"/>
    <mergeCell ref="L7:M7"/>
    <mergeCell ref="L8:M8"/>
    <mergeCell ref="J5:K5"/>
    <mergeCell ref="J6:K6"/>
    <mergeCell ref="J7:K7"/>
    <mergeCell ref="J8:K8"/>
    <mergeCell ref="H5:I5"/>
    <mergeCell ref="H6:I6"/>
    <mergeCell ref="H7:I7"/>
    <mergeCell ref="H8:I8"/>
    <mergeCell ref="A135:B135"/>
    <mergeCell ref="A131:B131"/>
    <mergeCell ref="P8:Q8"/>
    <mergeCell ref="N5:O5"/>
    <mergeCell ref="N6:O6"/>
    <mergeCell ref="N7:O7"/>
    <mergeCell ref="N8:O8"/>
    <mergeCell ref="J4:K4"/>
    <mergeCell ref="H9:I9"/>
    <mergeCell ref="J9:K9"/>
    <mergeCell ref="L9:M9"/>
    <mergeCell ref="L4:M4"/>
    <mergeCell ref="H4:I4"/>
    <mergeCell ref="R9:S9"/>
    <mergeCell ref="P9:Q9"/>
    <mergeCell ref="A120:B120"/>
    <mergeCell ref="A127:B127"/>
    <mergeCell ref="N9:O9"/>
    <mergeCell ref="R4:S4"/>
    <mergeCell ref="R5:S5"/>
    <mergeCell ref="R6:S6"/>
    <mergeCell ref="R7:S7"/>
    <mergeCell ref="R8:S8"/>
  </mergeCells>
  <conditionalFormatting sqref="H11:H18 J11:J18 L11:L18 N11:N18 P11:P18 H21:H112 J21:J112 L21:L112 N21:N112 P21:P112 R21:R112">
    <cfRule type="cellIs" dxfId="125" priority="9" operator="equal">
      <formula>"X"</formula>
    </cfRule>
    <cfRule type="cellIs" dxfId="124" priority="10" operator="equal">
      <formula>"I"</formula>
    </cfRule>
  </conditionalFormatting>
  <conditionalFormatting sqref="R11:R18">
    <cfRule type="cellIs" dxfId="123" priority="1" operator="equal">
      <formula>"X"</formula>
    </cfRule>
    <cfRule type="cellIs" dxfId="122" priority="2" operator="equal">
      <formula>"I"</formula>
    </cfRule>
  </conditionalFormatting>
  <hyperlinks>
    <hyperlink ref="B4" location="'Cost Summary'!A1" display="BACK TO SUMMARY SHEET" xr:uid="{13B14104-2578-4CF1-93C6-A9C1A298158B}"/>
    <hyperlink ref="H8:I8" r:id="rId1" display="deggertsson@advanced-painting.com" xr:uid="{B5AACD68-D649-41E8-8CBE-E972DC1BF91E}"/>
    <hyperlink ref="J8:K8" r:id="rId2" display="cquist@irawalden.com" xr:uid="{3AA154E3-F3B7-4803-9160-A62261F555C8}"/>
    <hyperlink ref="L8:M8" r:id="rId3" display="estimating@newtouchofcolorcorp.com" xr:uid="{547E97F5-37C4-4184-8685-2A14D76CDC12}"/>
    <hyperlink ref="P8:Q8" r:id="rId4" display="ricky@sunstatecontractors.com" xr:uid="{69BF5FC8-0FC1-4A6A-B438-955D28170EF2}"/>
  </hyperlinks>
  <pageMargins left="0.2" right="0.2" top="0.5" bottom="0.75" header="0.3" footer="0.3"/>
  <pageSetup paperSize="3" scale="77" fitToHeight="0" orientation="landscape" r:id="rId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BEBE-7586-49FC-BDAD-9A11938E4B20}">
  <sheetPr>
    <tabColor rgb="FF00B050"/>
    <pageSetUpPr fitToPage="1"/>
  </sheetPr>
  <dimension ref="A1:AH93"/>
  <sheetViews>
    <sheetView zoomScale="90" zoomScaleNormal="90" workbookViewId="0">
      <pane ySplit="10" topLeftCell="A11" activePane="bottomLeft" state="frozen"/>
      <selection pane="bottomLeft" activeCell="B27" sqref="B27"/>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5926</v>
      </c>
      <c r="I5" s="838"/>
      <c r="J5" s="841"/>
      <c r="K5" s="842"/>
      <c r="L5" s="841"/>
      <c r="M5" s="842"/>
      <c r="N5" s="841"/>
      <c r="O5" s="842"/>
      <c r="P5" s="841"/>
      <c r="Q5" s="842"/>
      <c r="R5" s="841"/>
      <c r="S5" s="842"/>
    </row>
    <row r="6" spans="1:19">
      <c r="A6" s="2405" t="s">
        <v>2938</v>
      </c>
      <c r="B6" s="2406" t="s">
        <v>2580</v>
      </c>
      <c r="C6" s="2407"/>
      <c r="D6" s="2408"/>
      <c r="E6" s="2409"/>
      <c r="F6" s="2407"/>
      <c r="G6" s="657" t="s">
        <v>2939</v>
      </c>
      <c r="H6" s="2454"/>
      <c r="I6" s="839"/>
      <c r="J6" s="2410"/>
      <c r="K6" s="843"/>
      <c r="L6" s="2410"/>
      <c r="M6" s="843"/>
      <c r="N6" s="2410"/>
      <c r="O6" s="843"/>
      <c r="P6" s="2410"/>
      <c r="Q6" s="843"/>
      <c r="R6" s="2410"/>
      <c r="S6" s="843"/>
    </row>
    <row r="7" spans="1:19">
      <c r="A7" s="2405" t="s">
        <v>2940</v>
      </c>
      <c r="B7" s="2413" t="s">
        <v>2653</v>
      </c>
      <c r="C7" s="2407"/>
      <c r="D7" s="2408"/>
      <c r="E7" s="2409"/>
      <c r="F7" s="2407"/>
      <c r="G7" s="2414" t="s">
        <v>2941</v>
      </c>
      <c r="H7" s="2455"/>
      <c r="I7" s="840"/>
      <c r="J7" s="2415"/>
      <c r="K7" s="844"/>
      <c r="L7" s="2415"/>
      <c r="M7" s="844"/>
      <c r="N7" s="2415"/>
      <c r="O7" s="844"/>
      <c r="P7" s="2415"/>
      <c r="Q7" s="844"/>
      <c r="R7" s="2415"/>
      <c r="S7" s="844"/>
    </row>
    <row r="8" spans="1:19">
      <c r="A8" s="2405" t="s">
        <v>2942</v>
      </c>
      <c r="B8" s="2418"/>
      <c r="C8" s="2407"/>
      <c r="D8" s="2408"/>
      <c r="E8" s="2409"/>
      <c r="F8" s="2407"/>
      <c r="G8" s="2414" t="s">
        <v>2943</v>
      </c>
      <c r="H8" s="2456"/>
      <c r="I8" s="836"/>
      <c r="J8" s="2419"/>
      <c r="K8" s="845"/>
      <c r="L8" s="2419"/>
      <c r="M8" s="845"/>
      <c r="N8" s="2419"/>
      <c r="O8" s="845"/>
      <c r="P8" s="2419"/>
      <c r="Q8" s="845"/>
      <c r="R8" s="2419"/>
      <c r="S8" s="845"/>
    </row>
    <row r="9" spans="1:19" ht="15.75" thickBot="1">
      <c r="A9" s="2423"/>
      <c r="B9" s="2424"/>
      <c r="C9" s="616"/>
      <c r="D9" s="621"/>
      <c r="E9" s="622"/>
      <c r="F9" s="2425"/>
      <c r="G9" s="2426" t="s">
        <v>2944</v>
      </c>
      <c r="H9" s="2427">
        <f>I$55</f>
        <v>47635</v>
      </c>
      <c r="I9" s="2458"/>
      <c r="J9" s="2428">
        <f ca="1">K$55</f>
        <v>0</v>
      </c>
      <c r="K9" s="2457"/>
      <c r="L9" s="2428">
        <f ca="1">M$55</f>
        <v>0</v>
      </c>
      <c r="M9" s="2457"/>
      <c r="N9" s="2428">
        <f ca="1">O$55</f>
        <v>0</v>
      </c>
      <c r="O9" s="2457"/>
      <c r="P9" s="2428">
        <f ca="1">Q$55</f>
        <v>0</v>
      </c>
      <c r="Q9" s="2457"/>
      <c r="R9" s="2428">
        <f ca="1">S$55</f>
        <v>0</v>
      </c>
      <c r="S9" s="2457"/>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49"/>
      <c r="B11" s="1618" t="s">
        <v>2953</v>
      </c>
      <c r="C11" s="659"/>
      <c r="D11" s="2408"/>
      <c r="E11" s="2409"/>
      <c r="F11" s="2407"/>
      <c r="G11" s="660"/>
      <c r="H11" s="2431"/>
      <c r="I11" s="2338"/>
      <c r="J11" s="2431"/>
      <c r="K11" s="182"/>
      <c r="L11" s="2431"/>
      <c r="M11" s="2339"/>
      <c r="N11" s="2431"/>
      <c r="O11" s="2339"/>
      <c r="P11" s="2431"/>
      <c r="Q11" s="2339"/>
      <c r="R11" s="2431"/>
      <c r="S11" s="2339"/>
    </row>
    <row r="12" spans="1:19">
      <c r="A12" s="2650"/>
      <c r="B12" s="1622" t="s">
        <v>2954</v>
      </c>
      <c r="C12" s="2407"/>
      <c r="D12" s="2408"/>
      <c r="E12" s="2409"/>
      <c r="F12" s="2407"/>
      <c r="G12" s="660"/>
      <c r="H12" s="2431"/>
      <c r="I12" s="2338"/>
      <c r="J12" s="2431"/>
      <c r="K12" s="2339"/>
      <c r="L12" s="2431"/>
      <c r="M12" s="2339"/>
      <c r="N12" s="2431"/>
      <c r="O12" s="2339"/>
      <c r="P12" s="2431"/>
      <c r="Q12" s="2339"/>
      <c r="R12" s="2431"/>
      <c r="S12" s="2339"/>
    </row>
    <row r="13" spans="1:19">
      <c r="A13" s="2432"/>
      <c r="B13" s="2651" t="s">
        <v>2955</v>
      </c>
      <c r="C13" s="2407"/>
      <c r="D13" s="2408"/>
      <c r="E13" s="2409"/>
      <c r="F13" s="2407"/>
      <c r="G13" s="660"/>
      <c r="H13" s="2431"/>
      <c r="I13" s="2338"/>
      <c r="J13" s="2431"/>
      <c r="K13" s="2339"/>
      <c r="L13" s="2431"/>
      <c r="M13" s="2339"/>
      <c r="N13" s="2431"/>
      <c r="O13" s="2339"/>
      <c r="P13" s="2431"/>
      <c r="Q13" s="2339"/>
      <c r="R13" s="2431"/>
      <c r="S13" s="2339"/>
    </row>
    <row r="14" spans="1:19">
      <c r="A14" s="2432"/>
      <c r="B14" s="2652" t="s">
        <v>2956</v>
      </c>
      <c r="C14" s="2407"/>
      <c r="D14" s="2408"/>
      <c r="E14" s="2409"/>
      <c r="F14" s="2407"/>
      <c r="G14" s="660"/>
      <c r="H14" s="2431"/>
      <c r="I14" s="2338"/>
      <c r="J14" s="2431"/>
      <c r="K14" s="2339"/>
      <c r="L14" s="2431"/>
      <c r="M14" s="2339"/>
      <c r="N14" s="2431"/>
      <c r="O14" s="2339"/>
      <c r="P14" s="2431"/>
      <c r="Q14" s="2339"/>
      <c r="R14" s="2431"/>
      <c r="S14" s="2339"/>
    </row>
    <row r="15" spans="1:19">
      <c r="A15" s="2432"/>
      <c r="B15" s="2652" t="s">
        <v>2957</v>
      </c>
      <c r="C15" s="2407"/>
      <c r="D15" s="2408"/>
      <c r="E15" s="2409"/>
      <c r="F15" s="2407"/>
      <c r="G15" s="660"/>
      <c r="H15" s="2431"/>
      <c r="I15" s="2338"/>
      <c r="J15" s="2431"/>
      <c r="K15" s="2338"/>
      <c r="L15" s="2431"/>
      <c r="M15" s="2338"/>
      <c r="N15" s="2431"/>
      <c r="O15" s="2338"/>
      <c r="P15" s="2431"/>
      <c r="Q15" s="2338"/>
      <c r="R15" s="2431"/>
      <c r="S15" s="2338"/>
    </row>
    <row r="16" spans="1:19">
      <c r="A16" s="2432"/>
      <c r="B16" s="2652" t="s">
        <v>2958</v>
      </c>
      <c r="C16" s="2407"/>
      <c r="D16" s="2408"/>
      <c r="E16" s="2409"/>
      <c r="F16" s="2407"/>
      <c r="G16" s="660"/>
      <c r="H16" s="2431"/>
      <c r="I16" s="2338"/>
      <c r="J16" s="2431"/>
      <c r="K16" s="2339"/>
      <c r="L16" s="2431"/>
      <c r="M16" s="2339"/>
      <c r="N16" s="2431"/>
      <c r="O16" s="2339"/>
      <c r="P16" s="2431"/>
      <c r="Q16" s="2339"/>
      <c r="R16" s="2431"/>
      <c r="S16" s="2339"/>
    </row>
    <row r="17" spans="1:19">
      <c r="A17" s="2432"/>
      <c r="B17" s="2652" t="s">
        <v>2959</v>
      </c>
      <c r="C17" s="2407"/>
      <c r="D17" s="2408"/>
      <c r="E17" s="2409"/>
      <c r="F17" s="2407"/>
      <c r="G17" s="660"/>
      <c r="H17" s="2431"/>
      <c r="I17" s="2338"/>
      <c r="J17" s="2431"/>
      <c r="K17" s="2339"/>
      <c r="L17" s="2431"/>
      <c r="M17" s="2339"/>
      <c r="N17" s="2431"/>
      <c r="O17" s="2339"/>
      <c r="P17" s="2431"/>
      <c r="Q17" s="2339"/>
      <c r="R17" s="2431"/>
      <c r="S17" s="2339"/>
    </row>
    <row r="18" spans="1:19">
      <c r="A18" s="2432"/>
      <c r="B18" s="2653" t="s">
        <v>2960</v>
      </c>
      <c r="C18" s="2407"/>
      <c r="D18" s="2408"/>
      <c r="E18" s="2409"/>
      <c r="F18" s="2407"/>
      <c r="G18" s="660"/>
      <c r="H18" s="2431"/>
      <c r="I18" s="2338"/>
      <c r="J18" s="2431"/>
      <c r="K18" s="2339"/>
      <c r="L18" s="2431"/>
      <c r="M18" s="2339"/>
      <c r="N18" s="2431"/>
      <c r="O18" s="2339"/>
      <c r="P18" s="2431"/>
      <c r="Q18" s="2339"/>
      <c r="R18" s="2431"/>
      <c r="S18" s="2339"/>
    </row>
    <row r="19" spans="1:19">
      <c r="A19" s="2432"/>
      <c r="B19" s="2654" t="s">
        <v>2961</v>
      </c>
      <c r="C19" s="2433"/>
      <c r="D19" s="2434"/>
      <c r="E19" s="2435"/>
      <c r="F19" s="2436"/>
      <c r="G19" s="661"/>
      <c r="H19" s="2437"/>
      <c r="I19" s="2347"/>
      <c r="J19" s="2437"/>
      <c r="K19" s="2346"/>
      <c r="L19" s="2437"/>
      <c r="M19" s="2346"/>
      <c r="N19" s="2437"/>
      <c r="O19" s="2346"/>
      <c r="P19" s="2437"/>
      <c r="Q19" s="2346"/>
      <c r="R19" s="2437"/>
      <c r="S19" s="2346"/>
    </row>
    <row r="20" spans="1:19">
      <c r="A20" s="2432"/>
      <c r="B20" s="2655"/>
      <c r="C20" s="2407"/>
      <c r="D20" s="2408"/>
      <c r="E20" s="2409"/>
      <c r="F20" s="2438"/>
      <c r="G20" s="660"/>
      <c r="H20" s="2431"/>
      <c r="I20" s="2349"/>
      <c r="J20" s="2431"/>
      <c r="K20" s="2350"/>
      <c r="L20" s="2431"/>
      <c r="M20" s="2349"/>
      <c r="N20" s="2431"/>
      <c r="O20" s="2349"/>
      <c r="P20" s="2431"/>
      <c r="Q20" s="2349"/>
      <c r="R20" s="2431"/>
      <c r="S20" s="2349"/>
    </row>
    <row r="21" spans="1:19">
      <c r="A21" s="2680"/>
      <c r="B21" s="2681" t="s">
        <v>2695</v>
      </c>
      <c r="C21" s="2407"/>
      <c r="D21" s="2408"/>
      <c r="E21" s="2409"/>
      <c r="F21" s="2438"/>
      <c r="G21" s="662"/>
      <c r="H21" s="2431"/>
      <c r="I21" s="2352">
        <f>SUBTOTAL(9,I22:I49)</f>
        <v>47635</v>
      </c>
      <c r="J21" s="2431"/>
      <c r="K21" s="2352">
        <f ca="1">SUBTOTAL(9,K22:K159)</f>
        <v>0</v>
      </c>
      <c r="L21" s="2431"/>
      <c r="M21" s="2352">
        <f ca="1">SUBTOTAL(9,M22:M159)</f>
        <v>0</v>
      </c>
      <c r="N21" s="2431"/>
      <c r="O21" s="2352">
        <f ca="1">SUBTOTAL(9,O22:O159)</f>
        <v>0</v>
      </c>
      <c r="P21" s="2431"/>
      <c r="Q21" s="2352">
        <f ca="1">SUBTOTAL(9,Q22:Q159)</f>
        <v>0</v>
      </c>
      <c r="R21" s="2431"/>
      <c r="S21" s="2352">
        <f ca="1">SUBTOTAL(9,S22:S159)</f>
        <v>0</v>
      </c>
    </row>
    <row r="22" spans="1:19">
      <c r="A22" s="2432"/>
      <c r="B22" s="2655" t="s">
        <v>5927</v>
      </c>
      <c r="C22" s="2407"/>
      <c r="D22" s="2408"/>
      <c r="E22" s="2409"/>
      <c r="F22" s="2438"/>
      <c r="G22" s="662">
        <f>ROUND(D22*F22,0)</f>
        <v>0</v>
      </c>
      <c r="H22" s="2431"/>
      <c r="I22" s="2350">
        <f>G22</f>
        <v>0</v>
      </c>
      <c r="J22" s="2431"/>
      <c r="K22" s="2350"/>
      <c r="L22" s="2431"/>
      <c r="M22" s="2349"/>
      <c r="N22" s="2431"/>
      <c r="O22" s="2349"/>
      <c r="P22" s="2431"/>
      <c r="Q22" s="2349"/>
      <c r="R22" s="2431"/>
      <c r="S22" s="2349"/>
    </row>
    <row r="23" spans="1:19">
      <c r="A23" s="2432"/>
      <c r="B23" s="2655" t="s">
        <v>2654</v>
      </c>
      <c r="C23" s="2407"/>
      <c r="D23" s="2408"/>
      <c r="E23" s="2409"/>
      <c r="F23" s="2438"/>
      <c r="G23" s="662"/>
      <c r="H23" s="2431"/>
      <c r="I23" s="2350"/>
      <c r="J23" s="2431"/>
      <c r="K23" s="2350"/>
      <c r="L23" s="2431"/>
      <c r="M23" s="2349"/>
      <c r="N23" s="2431"/>
      <c r="O23" s="2349"/>
      <c r="P23" s="2431"/>
      <c r="Q23" s="2349"/>
      <c r="R23" s="2431"/>
      <c r="S23" s="2349"/>
    </row>
    <row r="24" spans="1:19">
      <c r="A24" s="2682" t="s">
        <v>2587</v>
      </c>
      <c r="B24" s="2683" t="s">
        <v>5928</v>
      </c>
      <c r="C24" s="2407"/>
      <c r="D24" s="2441">
        <f>15.33*9</f>
        <v>137.97</v>
      </c>
      <c r="E24" s="2409" t="s">
        <v>2845</v>
      </c>
      <c r="F24" s="2438">
        <v>125</v>
      </c>
      <c r="G24" s="670">
        <f>ROUND(D24*F24,0)</f>
        <v>17246</v>
      </c>
      <c r="H24" s="2431"/>
      <c r="I24" s="2684">
        <f>$G24</f>
        <v>17246</v>
      </c>
      <c r="J24" s="2431"/>
      <c r="K24" s="2350"/>
      <c r="L24" s="2431"/>
      <c r="M24" s="2349"/>
      <c r="N24" s="2431"/>
      <c r="O24" s="2349"/>
      <c r="P24" s="2431"/>
      <c r="Q24" s="2349"/>
      <c r="R24" s="2431"/>
      <c r="S24" s="2349"/>
    </row>
    <row r="25" spans="1:19">
      <c r="A25" s="2432"/>
      <c r="B25" s="2655" t="s">
        <v>2655</v>
      </c>
      <c r="C25" s="2407"/>
      <c r="D25" s="2441"/>
      <c r="E25" s="2409"/>
      <c r="F25" s="2438"/>
      <c r="G25" s="662">
        <f t="shared" ref="G25:G27" si="0">ROUND(D25*F25,0)</f>
        <v>0</v>
      </c>
      <c r="H25" s="2431"/>
      <c r="I25" s="2350">
        <f t="shared" ref="I25" si="1">G25</f>
        <v>0</v>
      </c>
      <c r="J25" s="2431"/>
      <c r="K25" s="2350"/>
      <c r="L25" s="2431"/>
      <c r="M25" s="2349"/>
      <c r="N25" s="2431"/>
      <c r="O25" s="2349"/>
      <c r="P25" s="2431"/>
      <c r="Q25" s="2349"/>
      <c r="R25" s="2431"/>
      <c r="S25" s="2349"/>
    </row>
    <row r="26" spans="1:19">
      <c r="A26" s="2682" t="s">
        <v>2587</v>
      </c>
      <c r="B26" s="2683" t="s">
        <v>5929</v>
      </c>
      <c r="C26" s="2407"/>
      <c r="D26" s="2441">
        <f>19.75*9</f>
        <v>177.75</v>
      </c>
      <c r="E26" s="2409" t="s">
        <v>2845</v>
      </c>
      <c r="F26" s="2438">
        <v>125</v>
      </c>
      <c r="G26" s="670">
        <f t="shared" ref="G26" si="2">ROUND(D26*F26,0)</f>
        <v>22219</v>
      </c>
      <c r="H26" s="2431"/>
      <c r="I26" s="2684">
        <f>$G26</f>
        <v>22219</v>
      </c>
      <c r="J26" s="2431"/>
      <c r="K26" s="2350"/>
      <c r="L26" s="2431"/>
      <c r="M26" s="2349"/>
      <c r="N26" s="2431"/>
      <c r="O26" s="2349"/>
      <c r="P26" s="2431"/>
      <c r="Q26" s="2349"/>
      <c r="R26" s="2431"/>
      <c r="S26" s="2349"/>
    </row>
    <row r="27" spans="1:19">
      <c r="A27" s="2682" t="s">
        <v>2587</v>
      </c>
      <c r="B27" s="2683" t="s">
        <v>5930</v>
      </c>
      <c r="C27" s="2407"/>
      <c r="D27" s="2441">
        <f>8*8.17</f>
        <v>65.36</v>
      </c>
      <c r="E27" s="2409" t="s">
        <v>2845</v>
      </c>
      <c r="F27" s="2438">
        <v>125</v>
      </c>
      <c r="G27" s="670">
        <f t="shared" si="0"/>
        <v>8170</v>
      </c>
      <c r="H27" s="2431"/>
      <c r="I27" s="2684">
        <f>$G27</f>
        <v>8170</v>
      </c>
      <c r="J27" s="2431"/>
      <c r="K27" s="2350"/>
      <c r="L27" s="2431"/>
      <c r="M27" s="2349"/>
      <c r="N27" s="2431"/>
      <c r="O27" s="2349"/>
      <c r="P27" s="2431"/>
      <c r="Q27" s="2349"/>
      <c r="R27" s="2431"/>
      <c r="S27" s="2349"/>
    </row>
    <row r="28" spans="1:19">
      <c r="A28" s="2432"/>
      <c r="B28" s="2685"/>
      <c r="C28" s="2407"/>
      <c r="D28" s="2408"/>
      <c r="E28" s="2409"/>
      <c r="F28" s="2438"/>
      <c r="G28" s="662">
        <f t="shared" ref="G28:G30" si="3">ROUND(D28*F28,0)</f>
        <v>0</v>
      </c>
      <c r="H28" s="2431"/>
      <c r="I28" s="2350">
        <f t="shared" ref="I28:I30" si="4">G28</f>
        <v>0</v>
      </c>
      <c r="J28" s="2431"/>
      <c r="K28" s="2350"/>
      <c r="L28" s="2431"/>
      <c r="M28" s="2349"/>
      <c r="N28" s="2431"/>
      <c r="O28" s="2349"/>
      <c r="P28" s="2431"/>
      <c r="Q28" s="2349"/>
      <c r="R28" s="2431"/>
      <c r="S28" s="2349"/>
    </row>
    <row r="29" spans="1:19">
      <c r="A29" s="2432"/>
      <c r="B29" s="2685"/>
      <c r="C29" s="2407"/>
      <c r="D29" s="2408"/>
      <c r="E29" s="2409"/>
      <c r="F29" s="2438"/>
      <c r="G29" s="662">
        <f t="shared" si="3"/>
        <v>0</v>
      </c>
      <c r="H29" s="2431"/>
      <c r="I29" s="2350">
        <f t="shared" si="4"/>
        <v>0</v>
      </c>
      <c r="J29" s="2431"/>
      <c r="K29" s="2350"/>
      <c r="L29" s="2431"/>
      <c r="M29" s="2349"/>
      <c r="N29" s="2431"/>
      <c r="O29" s="2349"/>
      <c r="P29" s="2431"/>
      <c r="Q29" s="2349"/>
      <c r="R29" s="2431"/>
      <c r="S29" s="2349"/>
    </row>
    <row r="30" spans="1:19">
      <c r="A30" s="2432"/>
      <c r="B30" s="2685"/>
      <c r="C30" s="2407"/>
      <c r="D30" s="2408"/>
      <c r="E30" s="2409"/>
      <c r="F30" s="2438"/>
      <c r="G30" s="662">
        <f t="shared" si="3"/>
        <v>0</v>
      </c>
      <c r="H30" s="2431"/>
      <c r="I30" s="2350">
        <f t="shared" si="4"/>
        <v>0</v>
      </c>
      <c r="J30" s="2431"/>
      <c r="K30" s="2350"/>
      <c r="L30" s="2431"/>
      <c r="M30" s="2349"/>
      <c r="N30" s="2431"/>
      <c r="O30" s="2349"/>
      <c r="P30" s="2431"/>
      <c r="Q30" s="2349"/>
      <c r="R30" s="2431"/>
      <c r="S30" s="2349"/>
    </row>
    <row r="31" spans="1:19">
      <c r="A31" s="2432"/>
      <c r="B31" s="2685"/>
      <c r="C31" s="2407"/>
      <c r="D31" s="2408"/>
      <c r="E31" s="2409"/>
      <c r="F31" s="2438"/>
      <c r="G31" s="662">
        <f t="shared" ref="G31:G50" si="5">ROUND(D31*F31,0)</f>
        <v>0</v>
      </c>
      <c r="H31" s="2431"/>
      <c r="I31" s="2350">
        <f t="shared" ref="I31:I50" si="6">G31</f>
        <v>0</v>
      </c>
      <c r="J31" s="2431"/>
      <c r="K31" s="2350"/>
      <c r="L31" s="2431"/>
      <c r="M31" s="2349"/>
      <c r="N31" s="2431"/>
      <c r="O31" s="2349"/>
      <c r="P31" s="2431"/>
      <c r="Q31" s="2349"/>
      <c r="R31" s="2431"/>
      <c r="S31" s="2349"/>
    </row>
    <row r="32" spans="1:19">
      <c r="A32" s="2432"/>
      <c r="B32" s="2655"/>
      <c r="C32" s="2407"/>
      <c r="D32" s="2408"/>
      <c r="E32" s="2409"/>
      <c r="F32" s="2438"/>
      <c r="G32" s="662">
        <f t="shared" si="5"/>
        <v>0</v>
      </c>
      <c r="H32" s="2431"/>
      <c r="I32" s="2350">
        <f t="shared" si="6"/>
        <v>0</v>
      </c>
      <c r="J32" s="2431"/>
      <c r="K32" s="2350"/>
      <c r="L32" s="2431"/>
      <c r="M32" s="2349"/>
      <c r="N32" s="2431"/>
      <c r="O32" s="2349"/>
      <c r="P32" s="2431"/>
      <c r="Q32" s="2349"/>
      <c r="R32" s="2431"/>
      <c r="S32" s="2349"/>
    </row>
    <row r="33" spans="1:19">
      <c r="A33" s="2432"/>
      <c r="B33" s="2655"/>
      <c r="C33" s="2407"/>
      <c r="D33" s="2408"/>
      <c r="E33" s="2409"/>
      <c r="F33" s="2438"/>
      <c r="G33" s="662">
        <f t="shared" si="5"/>
        <v>0</v>
      </c>
      <c r="H33" s="2431"/>
      <c r="I33" s="2350">
        <f t="shared" si="6"/>
        <v>0</v>
      </c>
      <c r="J33" s="2431"/>
      <c r="K33" s="2350"/>
      <c r="L33" s="2431"/>
      <c r="M33" s="2349"/>
      <c r="N33" s="2431"/>
      <c r="O33" s="2349"/>
      <c r="P33" s="2431"/>
      <c r="Q33" s="2349"/>
      <c r="R33" s="2431"/>
      <c r="S33" s="2349"/>
    </row>
    <row r="34" spans="1:19">
      <c r="A34" s="2432"/>
      <c r="B34" s="2655"/>
      <c r="C34" s="2407"/>
      <c r="D34" s="2408"/>
      <c r="E34" s="2409"/>
      <c r="F34" s="2438"/>
      <c r="G34" s="662">
        <f t="shared" si="5"/>
        <v>0</v>
      </c>
      <c r="H34" s="2431"/>
      <c r="I34" s="2350">
        <f t="shared" si="6"/>
        <v>0</v>
      </c>
      <c r="J34" s="2431"/>
      <c r="K34" s="2350"/>
      <c r="L34" s="2431"/>
      <c r="M34" s="2349"/>
      <c r="N34" s="2431"/>
      <c r="O34" s="2349"/>
      <c r="P34" s="2431"/>
      <c r="Q34" s="2349"/>
      <c r="R34" s="2431"/>
      <c r="S34" s="2349"/>
    </row>
    <row r="35" spans="1:19">
      <c r="A35" s="2432"/>
      <c r="B35" s="2655"/>
      <c r="C35" s="2407"/>
      <c r="D35" s="2408"/>
      <c r="E35" s="2409"/>
      <c r="F35" s="2438"/>
      <c r="G35" s="662">
        <f t="shared" si="5"/>
        <v>0</v>
      </c>
      <c r="H35" s="2431"/>
      <c r="I35" s="2350">
        <f t="shared" si="6"/>
        <v>0</v>
      </c>
      <c r="J35" s="2431"/>
      <c r="K35" s="2350"/>
      <c r="L35" s="2431"/>
      <c r="M35" s="2349"/>
      <c r="N35" s="2431"/>
      <c r="O35" s="2349"/>
      <c r="P35" s="2431"/>
      <c r="Q35" s="2349"/>
      <c r="R35" s="2431"/>
      <c r="S35" s="2349"/>
    </row>
    <row r="36" spans="1:19">
      <c r="A36" s="2432"/>
      <c r="B36" s="2655"/>
      <c r="C36" s="2407"/>
      <c r="D36" s="2408"/>
      <c r="E36" s="2409"/>
      <c r="F36" s="2438"/>
      <c r="G36" s="662">
        <f t="shared" si="5"/>
        <v>0</v>
      </c>
      <c r="H36" s="2431"/>
      <c r="I36" s="2350">
        <f t="shared" si="6"/>
        <v>0</v>
      </c>
      <c r="J36" s="2431"/>
      <c r="K36" s="2350"/>
      <c r="L36" s="2431"/>
      <c r="M36" s="2349"/>
      <c r="N36" s="2431"/>
      <c r="O36" s="2349"/>
      <c r="P36" s="2431"/>
      <c r="Q36" s="2349"/>
      <c r="R36" s="2431"/>
      <c r="S36" s="2349"/>
    </row>
    <row r="37" spans="1:19">
      <c r="A37" s="2432"/>
      <c r="B37" s="2655"/>
      <c r="C37" s="2407"/>
      <c r="D37" s="2408"/>
      <c r="E37" s="2409"/>
      <c r="F37" s="2438"/>
      <c r="G37" s="662">
        <f t="shared" si="5"/>
        <v>0</v>
      </c>
      <c r="H37" s="2431"/>
      <c r="I37" s="2350">
        <f t="shared" si="6"/>
        <v>0</v>
      </c>
      <c r="J37" s="2431"/>
      <c r="K37" s="2350"/>
      <c r="L37" s="2431"/>
      <c r="M37" s="2349"/>
      <c r="N37" s="2431"/>
      <c r="O37" s="2349"/>
      <c r="P37" s="2431"/>
      <c r="Q37" s="2349"/>
      <c r="R37" s="2431"/>
      <c r="S37" s="2349"/>
    </row>
    <row r="38" spans="1:19">
      <c r="A38" s="2432"/>
      <c r="B38" s="2655"/>
      <c r="C38" s="2407"/>
      <c r="D38" s="2408"/>
      <c r="E38" s="2409"/>
      <c r="F38" s="2438"/>
      <c r="G38" s="662">
        <f t="shared" si="5"/>
        <v>0</v>
      </c>
      <c r="H38" s="2431"/>
      <c r="I38" s="2350">
        <f t="shared" si="6"/>
        <v>0</v>
      </c>
      <c r="J38" s="2431"/>
      <c r="K38" s="2350"/>
      <c r="L38" s="2431"/>
      <c r="M38" s="2349"/>
      <c r="N38" s="2431"/>
      <c r="O38" s="2349"/>
      <c r="P38" s="2431"/>
      <c r="Q38" s="2349"/>
      <c r="R38" s="2431"/>
      <c r="S38" s="2349"/>
    </row>
    <row r="39" spans="1:19">
      <c r="A39" s="2432"/>
      <c r="B39" s="2655"/>
      <c r="C39" s="2407"/>
      <c r="D39" s="2408"/>
      <c r="E39" s="2409"/>
      <c r="F39" s="2438"/>
      <c r="G39" s="662">
        <f t="shared" si="5"/>
        <v>0</v>
      </c>
      <c r="H39" s="2431"/>
      <c r="I39" s="2350">
        <f t="shared" si="6"/>
        <v>0</v>
      </c>
      <c r="J39" s="2431"/>
      <c r="K39" s="2350"/>
      <c r="L39" s="2431"/>
      <c r="M39" s="2349"/>
      <c r="N39" s="2431"/>
      <c r="O39" s="2349"/>
      <c r="P39" s="2431"/>
      <c r="Q39" s="2349"/>
      <c r="R39" s="2431"/>
      <c r="S39" s="2349"/>
    </row>
    <row r="40" spans="1:19">
      <c r="A40" s="2432"/>
      <c r="B40" s="2655"/>
      <c r="C40" s="2407"/>
      <c r="D40" s="2408"/>
      <c r="E40" s="2409"/>
      <c r="F40" s="2438"/>
      <c r="G40" s="662">
        <f t="shared" si="5"/>
        <v>0</v>
      </c>
      <c r="H40" s="2431"/>
      <c r="I40" s="2350">
        <f t="shared" si="6"/>
        <v>0</v>
      </c>
      <c r="J40" s="2431"/>
      <c r="K40" s="2350"/>
      <c r="L40" s="2431"/>
      <c r="M40" s="2349"/>
      <c r="N40" s="2431"/>
      <c r="O40" s="2349"/>
      <c r="P40" s="2431"/>
      <c r="Q40" s="2349"/>
      <c r="R40" s="2431"/>
      <c r="S40" s="2349"/>
    </row>
    <row r="41" spans="1:19">
      <c r="A41" s="2432"/>
      <c r="B41" s="2655"/>
      <c r="C41" s="2407"/>
      <c r="D41" s="2408"/>
      <c r="E41" s="2409"/>
      <c r="F41" s="2438"/>
      <c r="G41" s="662">
        <f t="shared" si="5"/>
        <v>0</v>
      </c>
      <c r="H41" s="2431"/>
      <c r="I41" s="2350">
        <f t="shared" si="6"/>
        <v>0</v>
      </c>
      <c r="J41" s="2431"/>
      <c r="K41" s="2350"/>
      <c r="L41" s="2431"/>
      <c r="M41" s="2349"/>
      <c r="N41" s="2431"/>
      <c r="O41" s="2349"/>
      <c r="P41" s="2431"/>
      <c r="Q41" s="2349"/>
      <c r="R41" s="2431"/>
      <c r="S41" s="2349"/>
    </row>
    <row r="42" spans="1:19">
      <c r="A42" s="2432"/>
      <c r="B42" s="2655"/>
      <c r="C42" s="2407"/>
      <c r="D42" s="2408"/>
      <c r="E42" s="2409"/>
      <c r="F42" s="2438"/>
      <c r="G42" s="662">
        <f t="shared" si="5"/>
        <v>0</v>
      </c>
      <c r="H42" s="2431"/>
      <c r="I42" s="2350">
        <f t="shared" si="6"/>
        <v>0</v>
      </c>
      <c r="J42" s="2431"/>
      <c r="K42" s="2350"/>
      <c r="L42" s="2431"/>
      <c r="M42" s="2349"/>
      <c r="N42" s="2431"/>
      <c r="O42" s="2349"/>
      <c r="P42" s="2431"/>
      <c r="Q42" s="2349"/>
      <c r="R42" s="2431"/>
      <c r="S42" s="2349"/>
    </row>
    <row r="43" spans="1:19">
      <c r="A43" s="2432"/>
      <c r="B43" s="2655"/>
      <c r="C43" s="2407"/>
      <c r="D43" s="2408"/>
      <c r="E43" s="2409"/>
      <c r="F43" s="2438"/>
      <c r="G43" s="662">
        <f t="shared" si="5"/>
        <v>0</v>
      </c>
      <c r="H43" s="2431"/>
      <c r="I43" s="2350">
        <f t="shared" si="6"/>
        <v>0</v>
      </c>
      <c r="J43" s="2431"/>
      <c r="K43" s="2350"/>
      <c r="L43" s="2431"/>
      <c r="M43" s="2349"/>
      <c r="N43" s="2431"/>
      <c r="O43" s="2349"/>
      <c r="P43" s="2431"/>
      <c r="Q43" s="2349"/>
      <c r="R43" s="2431"/>
      <c r="S43" s="2349"/>
    </row>
    <row r="44" spans="1:19">
      <c r="A44" s="2432"/>
      <c r="B44" s="2655"/>
      <c r="C44" s="2407"/>
      <c r="D44" s="2408"/>
      <c r="E44" s="2409"/>
      <c r="F44" s="2438"/>
      <c r="G44" s="662">
        <f t="shared" si="5"/>
        <v>0</v>
      </c>
      <c r="H44" s="2431"/>
      <c r="I44" s="2350">
        <f t="shared" si="6"/>
        <v>0</v>
      </c>
      <c r="J44" s="2431"/>
      <c r="K44" s="2350"/>
      <c r="L44" s="2431"/>
      <c r="M44" s="2349"/>
      <c r="N44" s="2431"/>
      <c r="O44" s="2349"/>
      <c r="P44" s="2431"/>
      <c r="Q44" s="2349"/>
      <c r="R44" s="2431"/>
      <c r="S44" s="2349"/>
    </row>
    <row r="45" spans="1:19">
      <c r="A45" s="2432"/>
      <c r="B45" s="2655"/>
      <c r="C45" s="2407"/>
      <c r="D45" s="2408"/>
      <c r="E45" s="2409"/>
      <c r="F45" s="2438"/>
      <c r="G45" s="662">
        <f t="shared" si="5"/>
        <v>0</v>
      </c>
      <c r="H45" s="2431"/>
      <c r="I45" s="2350">
        <f t="shared" si="6"/>
        <v>0</v>
      </c>
      <c r="J45" s="2431"/>
      <c r="K45" s="2350"/>
      <c r="L45" s="2431"/>
      <c r="M45" s="2349"/>
      <c r="N45" s="2431"/>
      <c r="O45" s="2349"/>
      <c r="P45" s="2431"/>
      <c r="Q45" s="2349"/>
      <c r="R45" s="2431"/>
      <c r="S45" s="2349"/>
    </row>
    <row r="46" spans="1:19">
      <c r="A46" s="2432"/>
      <c r="B46" s="2655"/>
      <c r="C46" s="2407"/>
      <c r="D46" s="2408"/>
      <c r="E46" s="2409"/>
      <c r="F46" s="2438"/>
      <c r="G46" s="662">
        <f t="shared" si="5"/>
        <v>0</v>
      </c>
      <c r="H46" s="2431"/>
      <c r="I46" s="2350">
        <f t="shared" si="6"/>
        <v>0</v>
      </c>
      <c r="J46" s="2431"/>
      <c r="K46" s="2350"/>
      <c r="L46" s="2431"/>
      <c r="M46" s="2349"/>
      <c r="N46" s="2431"/>
      <c r="O46" s="2349"/>
      <c r="P46" s="2431"/>
      <c r="Q46" s="2349"/>
      <c r="R46" s="2431"/>
      <c r="S46" s="2349"/>
    </row>
    <row r="47" spans="1:19">
      <c r="A47" s="2432"/>
      <c r="B47" s="2655"/>
      <c r="C47" s="2407"/>
      <c r="D47" s="2408"/>
      <c r="E47" s="2409"/>
      <c r="F47" s="2438"/>
      <c r="G47" s="662">
        <f t="shared" si="5"/>
        <v>0</v>
      </c>
      <c r="H47" s="2431"/>
      <c r="I47" s="2350">
        <f t="shared" si="6"/>
        <v>0</v>
      </c>
      <c r="J47" s="2431"/>
      <c r="K47" s="2350"/>
      <c r="L47" s="2431"/>
      <c r="M47" s="2349"/>
      <c r="N47" s="2431"/>
      <c r="O47" s="2349"/>
      <c r="P47" s="2431"/>
      <c r="Q47" s="2349"/>
      <c r="R47" s="2431"/>
      <c r="S47" s="2349"/>
    </row>
    <row r="48" spans="1:19">
      <c r="A48" s="2432"/>
      <c r="B48" s="2655"/>
      <c r="C48" s="2407"/>
      <c r="D48" s="2408"/>
      <c r="E48" s="2409"/>
      <c r="F48" s="2438"/>
      <c r="G48" s="662">
        <f t="shared" si="5"/>
        <v>0</v>
      </c>
      <c r="H48" s="2431"/>
      <c r="I48" s="2350">
        <f t="shared" si="6"/>
        <v>0</v>
      </c>
      <c r="J48" s="2431"/>
      <c r="K48" s="2350"/>
      <c r="L48" s="2431"/>
      <c r="M48" s="2349"/>
      <c r="N48" s="2431"/>
      <c r="O48" s="2349"/>
      <c r="P48" s="2431"/>
      <c r="Q48" s="2349"/>
      <c r="R48" s="2431"/>
      <c r="S48" s="2349"/>
    </row>
    <row r="49" spans="1:34">
      <c r="A49" s="2432"/>
      <c r="B49" s="2655"/>
      <c r="C49" s="2407"/>
      <c r="D49" s="2408"/>
      <c r="E49" s="2409"/>
      <c r="F49" s="2438"/>
      <c r="G49" s="662">
        <f t="shared" si="5"/>
        <v>0</v>
      </c>
      <c r="H49" s="2431"/>
      <c r="I49" s="2350">
        <f t="shared" si="6"/>
        <v>0</v>
      </c>
      <c r="J49" s="2431"/>
      <c r="K49" s="2350"/>
      <c r="L49" s="2431"/>
      <c r="M49" s="2349"/>
      <c r="N49" s="2431"/>
      <c r="O49" s="2349"/>
      <c r="P49" s="2431"/>
      <c r="Q49" s="2349"/>
      <c r="R49" s="2431"/>
      <c r="S49" s="2349"/>
    </row>
    <row r="50" spans="1:34" ht="15.75" thickBot="1">
      <c r="A50" s="2432"/>
      <c r="B50" s="2655"/>
      <c r="C50" s="2407"/>
      <c r="D50" s="2408"/>
      <c r="E50" s="2409"/>
      <c r="F50" s="2438"/>
      <c r="G50" s="662">
        <f t="shared" si="5"/>
        <v>0</v>
      </c>
      <c r="H50" s="2431"/>
      <c r="I50" s="2350">
        <f t="shared" si="6"/>
        <v>0</v>
      </c>
      <c r="J50" s="2431"/>
      <c r="K50" s="2350"/>
      <c r="L50" s="2431"/>
      <c r="M50" s="2349"/>
      <c r="N50" s="2431"/>
      <c r="O50" s="2349"/>
      <c r="P50" s="2431"/>
      <c r="Q50" s="2349"/>
      <c r="R50" s="2431"/>
      <c r="S50" s="2349"/>
    </row>
    <row r="51" spans="1:34" ht="15.75" thickTop="1">
      <c r="A51" s="13"/>
      <c r="B51" s="226" t="s">
        <v>3265</v>
      </c>
      <c r="C51" s="15"/>
      <c r="D51" s="168"/>
      <c r="E51" s="176"/>
      <c r="F51" s="17"/>
      <c r="G51" s="227">
        <f>SUBTOTAL(9,G22:G50)</f>
        <v>47635</v>
      </c>
      <c r="H51" s="19"/>
      <c r="I51" s="225">
        <f>SUBTOTAL(9,I20:I50)</f>
        <v>47635</v>
      </c>
      <c r="J51" s="19"/>
      <c r="K51" s="225">
        <f ca="1">SUBTOTAL(9,K20:K50)</f>
        <v>0</v>
      </c>
      <c r="L51" s="19"/>
      <c r="M51" s="225">
        <f ca="1">SUBTOTAL(9,M20:M50)</f>
        <v>0</v>
      </c>
      <c r="N51" s="19"/>
      <c r="O51" s="225">
        <f ca="1">SUBTOTAL(9,O20:O50)</f>
        <v>0</v>
      </c>
      <c r="P51" s="19"/>
      <c r="Q51" s="225">
        <f ca="1">SUBTOTAL(9,Q20:Q50)</f>
        <v>0</v>
      </c>
      <c r="R51" s="19"/>
      <c r="S51" s="225">
        <f ca="1">SUBTOTAL(9,S20:S50)</f>
        <v>0</v>
      </c>
    </row>
    <row r="52" spans="1:34">
      <c r="A52" s="2358"/>
      <c r="B52" s="2359" t="s">
        <v>2976</v>
      </c>
      <c r="C52" s="2360"/>
      <c r="D52" s="2361"/>
      <c r="E52" s="2362"/>
      <c r="F52" s="2363"/>
      <c r="G52" s="654"/>
      <c r="H52" s="2364">
        <v>0</v>
      </c>
      <c r="I52" s="645"/>
      <c r="J52" s="2364">
        <v>0</v>
      </c>
      <c r="K52" s="645"/>
      <c r="L52" s="2364">
        <v>0</v>
      </c>
      <c r="M52" s="645"/>
      <c r="N52" s="2364">
        <v>0</v>
      </c>
      <c r="O52" s="645"/>
      <c r="P52" s="2364">
        <v>0</v>
      </c>
      <c r="Q52" s="645"/>
      <c r="R52" s="2364">
        <v>0</v>
      </c>
      <c r="S52" s="645"/>
    </row>
    <row r="53" spans="1:34">
      <c r="A53" s="2358"/>
      <c r="B53" s="2359" t="s">
        <v>2977</v>
      </c>
      <c r="C53" s="2360"/>
      <c r="D53" s="2361"/>
      <c r="E53" s="2362"/>
      <c r="F53" s="2363"/>
      <c r="G53" s="654">
        <f>F52*G51</f>
        <v>0</v>
      </c>
      <c r="H53" s="2365"/>
      <c r="I53" s="2366">
        <f>H52*I51</f>
        <v>0</v>
      </c>
      <c r="J53" s="2365"/>
      <c r="K53" s="2366">
        <f ca="1">J52*K51</f>
        <v>0</v>
      </c>
      <c r="L53" s="2365"/>
      <c r="M53" s="2366">
        <f ca="1">L52*M51</f>
        <v>0</v>
      </c>
      <c r="N53" s="2365"/>
      <c r="O53" s="2366">
        <f ca="1">N52*O51</f>
        <v>0</v>
      </c>
      <c r="P53" s="2365"/>
      <c r="Q53" s="2366">
        <f ca="1">P52*Q51</f>
        <v>0</v>
      </c>
      <c r="R53" s="2365"/>
      <c r="S53" s="2366">
        <f ca="1">R52*S51</f>
        <v>0</v>
      </c>
    </row>
    <row r="54" spans="1:34">
      <c r="A54" s="2358"/>
      <c r="B54" s="2359"/>
      <c r="C54" s="2360"/>
      <c r="D54" s="2361"/>
      <c r="E54" s="2362"/>
      <c r="F54" s="2363"/>
      <c r="G54" s="654"/>
      <c r="H54" s="2365"/>
      <c r="I54" s="2366"/>
      <c r="J54" s="2365"/>
      <c r="K54" s="2366"/>
      <c r="L54" s="2365"/>
      <c r="M54" s="2366"/>
      <c r="N54" s="2365"/>
      <c r="O54" s="2366"/>
      <c r="P54" s="2365"/>
      <c r="Q54" s="2366"/>
      <c r="R54" s="2365"/>
      <c r="S54" s="2366"/>
    </row>
    <row r="55" spans="1:34">
      <c r="A55" s="2358"/>
      <c r="B55" s="2359" t="s">
        <v>2978</v>
      </c>
      <c r="C55" s="2360"/>
      <c r="D55" s="2361"/>
      <c r="E55" s="2362"/>
      <c r="F55" s="2363"/>
      <c r="G55" s="654">
        <f>SUM(G51:G53)</f>
        <v>47635</v>
      </c>
      <c r="H55" s="2367"/>
      <c r="I55" s="2366">
        <f>SUM(I51:I53)</f>
        <v>47635</v>
      </c>
      <c r="J55" s="2367"/>
      <c r="K55" s="2366">
        <f ca="1">SUM(K51:K53)</f>
        <v>0</v>
      </c>
      <c r="L55" s="2367"/>
      <c r="M55" s="2366">
        <f ca="1">SUM(M51:M53)</f>
        <v>0</v>
      </c>
      <c r="N55" s="2367"/>
      <c r="O55" s="2366">
        <f ca="1">SUM(O51:O53)</f>
        <v>0</v>
      </c>
      <c r="P55" s="2367"/>
      <c r="Q55" s="2366">
        <f ca="1">SUM(Q51:Q53)</f>
        <v>0</v>
      </c>
      <c r="R55" s="2367"/>
      <c r="S55" s="2366">
        <f ca="1">SUM(S51:S53)</f>
        <v>0</v>
      </c>
    </row>
    <row r="56" spans="1:34">
      <c r="A56" s="2358"/>
      <c r="B56" s="2368" t="s">
        <v>2979</v>
      </c>
      <c r="C56" s="2360"/>
      <c r="D56" s="2361"/>
      <c r="E56" s="2362"/>
      <c r="F56" s="2368"/>
      <c r="G56" s="655">
        <f>G55/'Area Calculations'!$F$5</f>
        <v>0.53720452905088412</v>
      </c>
      <c r="H56" s="2369"/>
      <c r="I56" s="2370">
        <f>I55/'Area Calculations'!$F$5</f>
        <v>0.53720452905088412</v>
      </c>
      <c r="J56" s="2369"/>
      <c r="K56" s="2370">
        <f ca="1">K55/'Area Calculations'!$F$5</f>
        <v>0</v>
      </c>
      <c r="L56" s="2369"/>
      <c r="M56" s="2370">
        <f ca="1">M55/'Area Calculations'!$F$5</f>
        <v>0</v>
      </c>
      <c r="N56" s="2369"/>
      <c r="O56" s="2370">
        <f ca="1">O55/'Area Calculations'!$F$5</f>
        <v>0</v>
      </c>
      <c r="P56" s="2369"/>
      <c r="Q56" s="2370">
        <f ca="1">Q55/'Area Calculations'!$F$5</f>
        <v>0</v>
      </c>
      <c r="R56" s="2371"/>
      <c r="S56" s="2370">
        <f ca="1">S55/'Area Calculations'!$F$5</f>
        <v>0</v>
      </c>
    </row>
    <row r="57" spans="1:34">
      <c r="A57" s="2358"/>
      <c r="B57" s="2372"/>
      <c r="C57" s="2360"/>
      <c r="D57" s="2361"/>
      <c r="E57" s="2362"/>
      <c r="F57" s="2363"/>
      <c r="G57" s="656"/>
      <c r="H57" s="2373"/>
      <c r="I57" s="2374"/>
      <c r="J57" s="2373"/>
      <c r="K57" s="2373"/>
      <c r="L57" s="2373"/>
      <c r="M57" s="2373"/>
      <c r="N57" s="2373"/>
      <c r="O57" s="2373"/>
      <c r="P57" s="2373"/>
      <c r="Q57" s="2373"/>
      <c r="R57" s="2373"/>
      <c r="S57" s="2373"/>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2661"/>
      <c r="B59" s="2406"/>
      <c r="C59" s="2662"/>
      <c r="D59" s="2663"/>
      <c r="E59" s="2664"/>
      <c r="F59" s="2662"/>
      <c r="G59" s="2665"/>
      <c r="H59" s="2666"/>
      <c r="I59" s="2666"/>
      <c r="J59" s="2666"/>
      <c r="K59" s="2666"/>
      <c r="L59" s="2666"/>
      <c r="M59" s="2666"/>
      <c r="N59" s="2666"/>
      <c r="O59" s="2666"/>
      <c r="P59" s="2666"/>
      <c r="Q59" s="2666"/>
      <c r="R59" s="2666"/>
      <c r="S59" s="2666"/>
    </row>
    <row r="60" spans="1:34" hidden="1">
      <c r="A60" s="2661"/>
      <c r="B60" s="2406"/>
      <c r="C60" s="2662"/>
      <c r="D60" s="2663"/>
      <c r="E60" s="2664"/>
      <c r="F60" s="2662"/>
      <c r="G60" s="2665"/>
      <c r="H60" s="2666"/>
      <c r="I60" s="2666"/>
      <c r="J60" s="2666"/>
      <c r="K60" s="2666"/>
      <c r="L60" s="2666"/>
      <c r="M60" s="2666"/>
      <c r="N60" s="2666"/>
      <c r="O60" s="2666"/>
      <c r="P60" s="2666"/>
      <c r="Q60" s="2666"/>
      <c r="R60" s="2666"/>
      <c r="S60" s="2666"/>
    </row>
    <row r="61" spans="1:34" ht="15.75" hidden="1" thickBot="1">
      <c r="A61" s="2661"/>
      <c r="B61" s="2406"/>
      <c r="C61" s="2662"/>
      <c r="D61" s="2663"/>
      <c r="E61" s="2664"/>
      <c r="F61" s="2662"/>
      <c r="G61" s="2665"/>
      <c r="H61" s="2666"/>
      <c r="I61" s="2666"/>
      <c r="J61" s="2666"/>
      <c r="K61" s="2666"/>
      <c r="L61" s="2666"/>
      <c r="M61" s="2666"/>
      <c r="N61" s="2666"/>
      <c r="O61" s="2666"/>
      <c r="P61" s="2666"/>
      <c r="Q61" s="2666"/>
      <c r="R61" s="2666"/>
      <c r="S61" s="2666"/>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2661"/>
      <c r="B63" s="2406"/>
      <c r="C63" s="2662"/>
      <c r="D63" s="2663"/>
      <c r="E63" s="2664"/>
      <c r="F63" s="2662"/>
      <c r="G63" s="2665"/>
      <c r="H63" s="2666"/>
      <c r="I63" s="2666"/>
      <c r="J63" s="2666"/>
      <c r="K63" s="2666"/>
      <c r="L63" s="2666"/>
      <c r="M63" s="2666"/>
      <c r="N63" s="2666"/>
      <c r="O63" s="2666"/>
      <c r="P63" s="2666"/>
      <c r="Q63" s="2666"/>
      <c r="R63" s="2666"/>
      <c r="S63" s="2666"/>
      <c r="T63"/>
      <c r="U63"/>
      <c r="V63"/>
      <c r="W63"/>
      <c r="X63"/>
      <c r="Y63"/>
      <c r="Z63"/>
      <c r="AA63"/>
      <c r="AB63"/>
      <c r="AC63"/>
      <c r="AD63"/>
      <c r="AE63"/>
      <c r="AF63"/>
      <c r="AG63"/>
      <c r="AH63"/>
    </row>
    <row r="64" spans="1:34" s="2" customFormat="1" hidden="1">
      <c r="A64" s="2661"/>
      <c r="B64" s="2406"/>
      <c r="C64" s="2662"/>
      <c r="D64" s="2663"/>
      <c r="E64" s="2664"/>
      <c r="F64" s="2662"/>
      <c r="G64" s="2665"/>
      <c r="H64" s="2666"/>
      <c r="I64" s="2666"/>
      <c r="J64" s="2666"/>
      <c r="K64" s="2666"/>
      <c r="L64" s="2666"/>
      <c r="M64" s="2666"/>
      <c r="N64" s="2666"/>
      <c r="O64" s="2666"/>
      <c r="P64" s="2666"/>
      <c r="Q64" s="2666"/>
      <c r="R64" s="2666"/>
      <c r="S64" s="2666"/>
      <c r="T64"/>
      <c r="U64"/>
      <c r="V64"/>
      <c r="W64"/>
      <c r="X64"/>
      <c r="Y64"/>
      <c r="Z64"/>
      <c r="AA64"/>
      <c r="AB64"/>
      <c r="AC64"/>
      <c r="AD64"/>
      <c r="AE64"/>
      <c r="AF64"/>
      <c r="AG64"/>
      <c r="AH64"/>
    </row>
    <row r="65" spans="1:34" ht="15.75" hidden="1" thickBot="1">
      <c r="A65" s="2661"/>
      <c r="B65" s="2406"/>
      <c r="C65" s="2662"/>
      <c r="D65" s="2663"/>
      <c r="E65" s="2664"/>
      <c r="F65" s="2662"/>
      <c r="G65" s="2665"/>
      <c r="H65" s="2666"/>
      <c r="I65" s="2666"/>
      <c r="J65" s="2666"/>
      <c r="K65" s="2666"/>
      <c r="L65" s="2666"/>
      <c r="M65" s="2666"/>
      <c r="N65" s="2666"/>
      <c r="O65" s="2666"/>
      <c r="P65" s="2666"/>
      <c r="Q65" s="2666"/>
      <c r="R65" s="2666"/>
      <c r="S65" s="2666"/>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2661"/>
      <c r="B67" s="2406"/>
      <c r="C67" s="2662"/>
      <c r="D67" s="2663"/>
      <c r="E67" s="2664"/>
      <c r="F67" s="2662"/>
      <c r="G67" s="2665"/>
      <c r="H67" s="2666"/>
      <c r="I67" s="2666"/>
      <c r="J67" s="2666"/>
      <c r="K67" s="2666"/>
      <c r="L67" s="2666"/>
      <c r="M67" s="2666"/>
      <c r="N67" s="2666"/>
      <c r="O67" s="2666"/>
      <c r="P67" s="2666"/>
      <c r="Q67" s="2666"/>
      <c r="R67" s="2666"/>
      <c r="S67" s="2666"/>
      <c r="T67"/>
      <c r="U67"/>
      <c r="V67"/>
      <c r="W67"/>
      <c r="X67"/>
      <c r="Y67"/>
      <c r="Z67"/>
      <c r="AA67"/>
      <c r="AB67"/>
      <c r="AC67"/>
      <c r="AD67"/>
      <c r="AE67"/>
      <c r="AF67"/>
      <c r="AG67"/>
      <c r="AH67"/>
    </row>
    <row r="68" spans="1:34" s="2" customFormat="1" hidden="1">
      <c r="A68" s="2382"/>
      <c r="B68" s="2406"/>
      <c r="C68" s="2407"/>
      <c r="D68" s="2408"/>
      <c r="E68" s="2409"/>
      <c r="F68" s="2407"/>
      <c r="G68" s="2383"/>
      <c r="H68" s="2384"/>
      <c r="I68" s="2384"/>
      <c r="J68" s="2384"/>
      <c r="K68" s="2384"/>
      <c r="L68" s="2384"/>
      <c r="M68" s="2384"/>
      <c r="N68" s="2384"/>
      <c r="O68" s="2384"/>
      <c r="P68" s="2384"/>
      <c r="Q68" s="2384"/>
      <c r="R68" s="2384"/>
      <c r="S68" s="2384"/>
      <c r="T68"/>
      <c r="U68"/>
      <c r="V68"/>
      <c r="W68"/>
      <c r="X68"/>
      <c r="Y68"/>
      <c r="Z68"/>
      <c r="AA68"/>
      <c r="AB68"/>
      <c r="AC68"/>
      <c r="AD68"/>
      <c r="AE68"/>
      <c r="AF68"/>
      <c r="AG68"/>
      <c r="AH68"/>
    </row>
    <row r="69" spans="1:34" s="2" customFormat="1" ht="15.75" hidden="1" thickBot="1">
      <c r="A69" s="2385"/>
      <c r="B69" s="2386"/>
      <c r="C69" s="2407"/>
      <c r="D69" s="2408"/>
      <c r="E69" s="2409"/>
      <c r="F69" s="2407"/>
      <c r="G69" s="2383"/>
      <c r="H69" s="2387"/>
      <c r="I69" s="2387"/>
      <c r="J69" s="2387"/>
      <c r="K69" s="2387"/>
      <c r="L69" s="2387"/>
      <c r="M69" s="2387"/>
      <c r="N69" s="2387"/>
      <c r="O69" s="2387"/>
      <c r="P69" s="2387"/>
      <c r="Q69" s="2387"/>
      <c r="R69" s="2387"/>
      <c r="S69" s="2387"/>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2667"/>
      <c r="B71" s="2668"/>
      <c r="C71" s="2662"/>
      <c r="D71" s="2663"/>
      <c r="E71" s="2664"/>
      <c r="F71" s="2662"/>
      <c r="G71" s="2665"/>
      <c r="H71" s="2666"/>
      <c r="I71" s="2666"/>
      <c r="J71" s="2666"/>
      <c r="K71" s="2666"/>
      <c r="L71" s="2666"/>
      <c r="M71" s="2666"/>
      <c r="N71" s="2666"/>
      <c r="O71" s="2666"/>
      <c r="P71" s="2666"/>
      <c r="Q71" s="2666"/>
      <c r="R71" s="2666"/>
      <c r="S71" s="2666"/>
      <c r="T71" s="2"/>
      <c r="U71" s="2"/>
      <c r="V71" s="2"/>
      <c r="W71" s="2"/>
      <c r="X71" s="2"/>
      <c r="Y71" s="2"/>
      <c r="Z71" s="2"/>
      <c r="AA71" s="2"/>
      <c r="AB71" s="2"/>
      <c r="AC71" s="2"/>
      <c r="AD71" s="2"/>
      <c r="AE71" s="2"/>
      <c r="AF71" s="2"/>
      <c r="AG71" s="2"/>
      <c r="AH71" s="2"/>
    </row>
    <row r="72" spans="1:34" hidden="1">
      <c r="A72" s="2385"/>
      <c r="B72" s="2386"/>
      <c r="C72" s="2407"/>
      <c r="D72" s="2408"/>
      <c r="E72" s="2409"/>
      <c r="F72" s="2407"/>
      <c r="G72" s="2383"/>
      <c r="H72" s="2390"/>
      <c r="I72" s="2390"/>
      <c r="J72" s="2390"/>
      <c r="K72" s="2390"/>
      <c r="L72" s="2390"/>
      <c r="M72" s="2390"/>
      <c r="N72" s="2390"/>
      <c r="O72" s="2390"/>
      <c r="P72" s="2390"/>
      <c r="Q72" s="2390"/>
      <c r="R72" s="2390"/>
      <c r="S72" s="2390"/>
      <c r="T72" s="2"/>
      <c r="U72" s="2"/>
      <c r="V72" s="2"/>
      <c r="W72" s="2"/>
      <c r="X72" s="2"/>
      <c r="Y72" s="2"/>
      <c r="Z72" s="2"/>
      <c r="AA72" s="2"/>
      <c r="AB72" s="2"/>
      <c r="AC72" s="2"/>
      <c r="AD72" s="2"/>
      <c r="AE72" s="2"/>
      <c r="AF72" s="2"/>
      <c r="AG72" s="2"/>
      <c r="AH72" s="2"/>
    </row>
    <row r="73" spans="1:34" ht="15.75" hidden="1" thickBot="1">
      <c r="A73" s="2385"/>
      <c r="B73" s="2386"/>
      <c r="C73" s="2407"/>
      <c r="D73" s="2408"/>
      <c r="E73" s="2409"/>
      <c r="F73" s="2407"/>
      <c r="G73" s="2383"/>
      <c r="H73" s="2390"/>
      <c r="I73" s="2390"/>
      <c r="J73" s="2390"/>
      <c r="K73" s="2390"/>
      <c r="L73" s="2390"/>
      <c r="M73" s="2390"/>
      <c r="N73" s="2390"/>
      <c r="O73" s="2390"/>
      <c r="P73" s="2390"/>
      <c r="Q73" s="2390"/>
      <c r="R73" s="2390"/>
      <c r="S73" s="2390"/>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2382"/>
      <c r="B75" s="2406" t="s">
        <v>2985</v>
      </c>
      <c r="C75" s="2407"/>
      <c r="D75" s="2408"/>
      <c r="E75" s="2409"/>
      <c r="F75" s="2407"/>
      <c r="G75" s="2383"/>
      <c r="H75" s="2390"/>
      <c r="I75" s="2390"/>
      <c r="J75" s="2390"/>
      <c r="K75" s="2390"/>
      <c r="L75" s="2390"/>
      <c r="M75" s="2390"/>
      <c r="N75" s="2390"/>
      <c r="O75" s="2390"/>
      <c r="P75" s="2390"/>
      <c r="Q75" s="2390"/>
      <c r="R75" s="2390"/>
      <c r="S75" s="2390"/>
    </row>
    <row r="76" spans="1:34" hidden="1">
      <c r="A76" s="2382"/>
      <c r="B76" s="2406" t="s">
        <v>2986</v>
      </c>
      <c r="C76" s="2407"/>
      <c r="D76" s="2408"/>
      <c r="E76" s="2409"/>
      <c r="F76" s="2407"/>
      <c r="G76" s="2383"/>
      <c r="H76" s="2390"/>
      <c r="I76" s="2390"/>
      <c r="J76" s="2390"/>
      <c r="K76" s="2390"/>
      <c r="L76" s="2390"/>
      <c r="M76" s="2390"/>
      <c r="N76" s="2390"/>
      <c r="O76" s="2390"/>
      <c r="P76" s="2390"/>
      <c r="Q76" s="2390"/>
      <c r="R76" s="2390"/>
      <c r="S76" s="2390"/>
    </row>
    <row r="77" spans="1:34" hidden="1">
      <c r="A77" s="2382"/>
      <c r="B77" s="2406" t="s">
        <v>2987</v>
      </c>
      <c r="C77" s="2407"/>
      <c r="D77" s="2408"/>
      <c r="E77" s="2409"/>
      <c r="F77" s="2407"/>
      <c r="G77" s="2383"/>
      <c r="H77" s="2390"/>
      <c r="I77" s="2390"/>
      <c r="J77" s="2390"/>
      <c r="K77" s="2390"/>
      <c r="L77" s="2390"/>
      <c r="M77" s="2390"/>
      <c r="N77" s="2390"/>
      <c r="O77" s="2390"/>
      <c r="P77" s="2390"/>
      <c r="Q77" s="2390"/>
      <c r="R77" s="2390"/>
      <c r="S77" s="2390"/>
    </row>
    <row r="78" spans="1:34" hidden="1">
      <c r="A78" s="2382"/>
      <c r="B78" s="2406" t="s">
        <v>2988</v>
      </c>
      <c r="C78" s="2407"/>
      <c r="D78" s="2408"/>
      <c r="E78" s="2409"/>
      <c r="F78" s="2407"/>
      <c r="G78" s="2383"/>
      <c r="H78" s="2390"/>
      <c r="I78" s="2390"/>
      <c r="J78" s="2390"/>
      <c r="K78" s="2390"/>
      <c r="L78" s="2390"/>
      <c r="M78" s="2390"/>
      <c r="N78" s="2390"/>
      <c r="O78" s="2390"/>
      <c r="P78" s="2390"/>
      <c r="Q78" s="2390"/>
      <c r="R78" s="2390"/>
      <c r="S78" s="2390"/>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2661"/>
      <c r="B81" s="2647" t="s">
        <v>2990</v>
      </c>
      <c r="C81" s="2662"/>
      <c r="D81" s="2663"/>
      <c r="E81" s="2664"/>
      <c r="F81" s="2662"/>
      <c r="G81" s="2665"/>
      <c r="H81" s="2648"/>
      <c r="I81" s="2648"/>
      <c r="J81" s="2648"/>
      <c r="K81" s="2648"/>
      <c r="L81" s="2648"/>
      <c r="M81" s="2648"/>
      <c r="N81" s="2648"/>
      <c r="O81" s="2648"/>
      <c r="P81" s="2648"/>
      <c r="Q81" s="2648"/>
      <c r="R81" s="2648"/>
      <c r="S81" s="2648"/>
    </row>
    <row r="82" spans="1:19" hidden="1">
      <c r="A82" s="2382"/>
      <c r="B82" s="2406" t="s">
        <v>2991</v>
      </c>
      <c r="C82" s="2407"/>
      <c r="D82" s="2408"/>
      <c r="E82" s="2409"/>
      <c r="F82" s="2407"/>
      <c r="G82" s="2383"/>
      <c r="H82" s="2391"/>
      <c r="I82" s="2391"/>
      <c r="J82" s="2391"/>
      <c r="K82" s="2391"/>
      <c r="L82" s="2391"/>
      <c r="M82" s="2391"/>
      <c r="N82" s="2391"/>
      <c r="O82" s="2391"/>
      <c r="P82" s="2391"/>
      <c r="Q82" s="2391"/>
      <c r="R82" s="2391"/>
      <c r="S82" s="2391"/>
    </row>
    <row r="83" spans="1:19" ht="15.75" hidden="1" thickBot="1">
      <c r="A83" s="2392"/>
      <c r="B83" s="2424" t="s">
        <v>2992</v>
      </c>
      <c r="C83" s="2425"/>
      <c r="D83" s="2393"/>
      <c r="E83" s="2394"/>
      <c r="F83" s="2425"/>
      <c r="G83" s="2395"/>
      <c r="H83" s="2396"/>
      <c r="I83" s="2396"/>
      <c r="J83" s="2396"/>
      <c r="K83" s="2396"/>
      <c r="L83" s="2396"/>
      <c r="M83" s="2396"/>
      <c r="N83" s="2396"/>
      <c r="O83" s="2396"/>
      <c r="P83" s="2396"/>
      <c r="Q83" s="2396"/>
      <c r="R83" s="2396"/>
      <c r="S83" s="2396"/>
    </row>
    <row r="84" spans="1:19" ht="15.75" thickBot="1"/>
    <row r="85" spans="1:19" ht="16.5" thickTop="1" thickBot="1">
      <c r="A85" s="59" t="s">
        <v>2993</v>
      </c>
      <c r="B85" s="61"/>
    </row>
    <row r="86" spans="1:19" ht="15.75" thickTop="1">
      <c r="A86" s="60" t="s">
        <v>2936</v>
      </c>
      <c r="B86" s="2398"/>
    </row>
    <row r="87" spans="1:19">
      <c r="A87" s="2399" t="s">
        <v>2939</v>
      </c>
      <c r="B87" s="2398"/>
    </row>
    <row r="88" spans="1:19">
      <c r="A88" s="2400" t="s">
        <v>2941</v>
      </c>
      <c r="B88" s="2401"/>
    </row>
    <row r="89" spans="1:19">
      <c r="A89" s="2400" t="s">
        <v>2943</v>
      </c>
      <c r="B89" s="2402"/>
    </row>
    <row r="90" spans="1:19" ht="15.75" thickBot="1">
      <c r="A90" s="2403" t="s">
        <v>2994</v>
      </c>
      <c r="B90" s="2404">
        <f>$I$55</f>
        <v>47635</v>
      </c>
    </row>
    <row r="92" spans="1:19">
      <c r="A92" s="62"/>
      <c r="B92" s="1" t="s">
        <v>2995</v>
      </c>
    </row>
    <row r="93" spans="1:19">
      <c r="A93" s="63"/>
      <c r="B93" s="1" t="s">
        <v>2996</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J11:J18 L11:L18 N11:N18 P11:P18 R11:R18">
    <cfRule type="cellIs" dxfId="121" priority="11" operator="equal">
      <formula>"X"</formula>
    </cfRule>
    <cfRule type="cellIs" dxfId="120" priority="12" operator="equal">
      <formula>"I"</formula>
    </cfRule>
  </conditionalFormatting>
  <conditionalFormatting sqref="H20:H50 J20:J50 L20:L50 N20:N50 P20:P50 R20:R50">
    <cfRule type="cellIs" dxfId="119" priority="1" operator="equal">
      <formula>"X"</formula>
    </cfRule>
    <cfRule type="cellIs" dxfId="118" priority="2" operator="equal">
      <formula>"I"</formula>
    </cfRule>
  </conditionalFormatting>
  <hyperlinks>
    <hyperlink ref="B4" location="'Cost Summary'!A1" display="BACK TO SUMMARY SHEET" xr:uid="{8C33569F-595E-4980-8A61-BBD84431A81F}"/>
  </hyperlinks>
  <pageMargins left="0.2" right="0.2" top="0.5" bottom="0.75" header="0.3" footer="0.3"/>
  <pageSetup paperSize="3" scale="77" fitToHeight="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rgb="FF92D050"/>
    <pageSetUpPr fitToPage="1"/>
  </sheetPr>
  <dimension ref="A1:AF217"/>
  <sheetViews>
    <sheetView zoomScale="90" zoomScaleNormal="90" workbookViewId="0">
      <pane ySplit="10" topLeftCell="A11" activePane="bottomLeft" state="frozen"/>
      <selection pane="bottomLeft" activeCell="S10" sqref="S10"/>
      <selection activeCell="B4" sqref="B4"/>
    </sheetView>
  </sheetViews>
  <sheetFormatPr defaultColWidth="8.85546875" defaultRowHeight="15"/>
  <cols>
    <col min="1" max="1" width="10.7109375" customWidth="1"/>
    <col min="2" max="2" width="59.140625" style="1" customWidth="1"/>
    <col min="3" max="3" width="12.7109375" style="2" customWidth="1"/>
    <col min="4" max="4" width="9" style="165" customWidth="1"/>
    <col min="5" max="5" width="10.85546875" style="79" customWidth="1"/>
    <col min="6" max="6" width="16.42578125" style="2" bestFit="1" customWidth="1"/>
    <col min="7" max="7" width="15.28515625" style="2" bestFit="1" customWidth="1"/>
    <col min="8" max="8" width="6.28515625" style="2" customWidth="1"/>
    <col min="9" max="9" width="14.85546875" style="2" customWidth="1"/>
    <col min="10" max="10" width="7" style="2" customWidth="1"/>
    <col min="11" max="11" width="14.85546875" style="2" customWidth="1"/>
    <col min="12" max="12" width="6.7109375" style="2" customWidth="1"/>
    <col min="13" max="13" width="21" style="2" customWidth="1"/>
    <col min="14" max="14" width="7.42578125" style="2" bestFit="1" customWidth="1"/>
    <col min="15" max="15" width="15.85546875" style="2" customWidth="1"/>
    <col min="16" max="16" width="7.42578125" style="2" bestFit="1" customWidth="1"/>
    <col min="17" max="17" width="14.85546875" style="2" customWidth="1"/>
  </cols>
  <sheetData>
    <row r="1" spans="1:17">
      <c r="F1" s="178"/>
      <c r="G1" s="56" t="s">
        <v>2928</v>
      </c>
      <c r="K1" s="299"/>
    </row>
    <row r="2" spans="1:17">
      <c r="F2" s="179" t="s">
        <v>2929</v>
      </c>
      <c r="G2" s="56" t="s">
        <v>2930</v>
      </c>
      <c r="K2" s="299"/>
    </row>
    <row r="3" spans="1:17">
      <c r="F3" s="180" t="s">
        <v>2931</v>
      </c>
      <c r="G3" s="56" t="s">
        <v>2932</v>
      </c>
      <c r="L3" s="959"/>
      <c r="M3" s="959"/>
    </row>
    <row r="4" spans="1:17">
      <c r="B4" s="181" t="s">
        <v>2933</v>
      </c>
      <c r="F4" s="170"/>
      <c r="G4" s="2" t="s">
        <v>2934</v>
      </c>
      <c r="H4" s="968"/>
      <c r="I4" s="968"/>
      <c r="J4" s="968"/>
      <c r="K4" s="968"/>
      <c r="L4" s="968"/>
      <c r="M4" s="968"/>
    </row>
    <row r="5" spans="1:17">
      <c r="A5" s="3" t="s">
        <v>2935</v>
      </c>
      <c r="B5" s="4" t="str">
        <f>'Area Calculations'!B4</f>
        <v>Atlantic Fields Club Core / Dock Bar / Spa Pods / Water Features</v>
      </c>
      <c r="C5" s="5"/>
      <c r="D5" s="166"/>
      <c r="E5" s="171"/>
      <c r="F5" s="5"/>
      <c r="G5" s="6" t="s">
        <v>2936</v>
      </c>
      <c r="H5" s="841" t="s">
        <v>5931</v>
      </c>
      <c r="I5" s="842"/>
      <c r="J5" s="982" t="s">
        <v>5932</v>
      </c>
      <c r="K5" s="983"/>
      <c r="L5" s="841" t="s">
        <v>5933</v>
      </c>
      <c r="M5" s="842"/>
      <c r="N5" s="841" t="s">
        <v>5934</v>
      </c>
      <c r="O5" s="842"/>
      <c r="P5" s="841"/>
      <c r="Q5" s="842"/>
    </row>
    <row r="6" spans="1:17">
      <c r="A6" s="2405" t="s">
        <v>2938</v>
      </c>
      <c r="B6" s="2406" t="s">
        <v>2582</v>
      </c>
      <c r="C6" s="2407"/>
      <c r="D6" s="2408"/>
      <c r="E6" s="2409"/>
      <c r="F6" s="2407"/>
      <c r="G6" s="657" t="s">
        <v>2939</v>
      </c>
      <c r="H6" s="2410" t="s">
        <v>5935</v>
      </c>
      <c r="I6" s="843"/>
      <c r="J6" s="2410" t="s">
        <v>5936</v>
      </c>
      <c r="K6" s="843"/>
      <c r="L6" s="2410" t="s">
        <v>5937</v>
      </c>
      <c r="M6" s="843"/>
      <c r="N6" s="2410"/>
      <c r="O6" s="843"/>
      <c r="P6" s="2410"/>
      <c r="Q6" s="843"/>
    </row>
    <row r="7" spans="1:17">
      <c r="A7" s="2405" t="s">
        <v>2940</v>
      </c>
      <c r="B7" s="2413" t="s">
        <v>2723</v>
      </c>
      <c r="C7" s="2407"/>
      <c r="D7" s="2408"/>
      <c r="E7" s="2409"/>
      <c r="F7" s="2407"/>
      <c r="G7" s="2414" t="s">
        <v>2941</v>
      </c>
      <c r="H7" s="2415" t="s">
        <v>5938</v>
      </c>
      <c r="I7" s="844"/>
      <c r="J7" s="2415" t="s">
        <v>5939</v>
      </c>
      <c r="K7" s="844"/>
      <c r="L7" s="2415" t="s">
        <v>5940</v>
      </c>
      <c r="M7" s="844"/>
      <c r="N7" s="2415"/>
      <c r="O7" s="844"/>
      <c r="P7" s="2415"/>
      <c r="Q7" s="844"/>
    </row>
    <row r="8" spans="1:17">
      <c r="A8" s="2405" t="s">
        <v>2942</v>
      </c>
      <c r="B8" s="2418"/>
      <c r="C8" s="2407"/>
      <c r="D8" s="2408"/>
      <c r="E8" s="2409"/>
      <c r="F8" s="2407"/>
      <c r="G8" s="2414" t="s">
        <v>2943</v>
      </c>
      <c r="H8" s="2419" t="s">
        <v>5941</v>
      </c>
      <c r="I8" s="845"/>
      <c r="J8" s="2419" t="s">
        <v>5942</v>
      </c>
      <c r="K8" s="845"/>
      <c r="L8" s="2419" t="s">
        <v>5943</v>
      </c>
      <c r="M8" s="845"/>
      <c r="N8" s="2419"/>
      <c r="O8" s="845"/>
      <c r="P8" s="2419"/>
      <c r="Q8" s="845"/>
    </row>
    <row r="9" spans="1:17">
      <c r="A9" s="2423"/>
      <c r="B9" s="2424"/>
      <c r="C9" s="616"/>
      <c r="D9" s="621"/>
      <c r="E9" s="622"/>
      <c r="F9" s="2425"/>
      <c r="G9" s="2426" t="s">
        <v>2944</v>
      </c>
      <c r="H9" s="2427">
        <f>I$179</f>
        <v>85242</v>
      </c>
      <c r="I9" s="2458"/>
      <c r="J9" s="2428">
        <f>K$179</f>
        <v>120326.76000000001</v>
      </c>
      <c r="K9" s="2457"/>
      <c r="L9" s="2428">
        <f t="shared" ref="L9" si="0">M$179</f>
        <v>122069</v>
      </c>
      <c r="M9" s="2457"/>
      <c r="N9" s="2428">
        <f t="shared" ref="N9" si="1">O$179</f>
        <v>0</v>
      </c>
      <c r="O9" s="2457"/>
      <c r="P9" s="2428">
        <f t="shared" ref="P9" si="2">Q$179</f>
        <v>0</v>
      </c>
      <c r="Q9" s="2457"/>
    </row>
    <row r="10" spans="1:17" s="175" customFormat="1" ht="30">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row>
    <row r="11" spans="1:17">
      <c r="A11" s="2649"/>
      <c r="B11" s="1618" t="s">
        <v>2953</v>
      </c>
      <c r="C11" s="659"/>
      <c r="D11" s="2408"/>
      <c r="E11" s="2409"/>
      <c r="F11" s="2407"/>
      <c r="G11" s="660"/>
      <c r="H11" s="2431"/>
      <c r="I11" s="2338"/>
      <c r="J11" s="2431"/>
      <c r="K11" s="2339"/>
      <c r="L11" s="2431"/>
      <c r="M11" s="182"/>
      <c r="N11" s="2431"/>
      <c r="O11" s="2339"/>
      <c r="P11" s="2431"/>
      <c r="Q11" s="2339"/>
    </row>
    <row r="12" spans="1:17">
      <c r="A12" s="2650"/>
      <c r="B12" s="1622" t="s">
        <v>2954</v>
      </c>
      <c r="C12" s="2407"/>
      <c r="D12" s="2408"/>
      <c r="E12" s="2409"/>
      <c r="F12" s="2407"/>
      <c r="G12" s="660"/>
      <c r="H12" s="2431" t="s">
        <v>3028</v>
      </c>
      <c r="I12" s="2338"/>
      <c r="J12" s="2431" t="s">
        <v>3028</v>
      </c>
      <c r="K12" s="2339"/>
      <c r="L12" s="2431" t="s">
        <v>3028</v>
      </c>
      <c r="M12" s="2339"/>
      <c r="N12" s="2431"/>
      <c r="O12" s="2339"/>
      <c r="P12" s="2431"/>
      <c r="Q12" s="2339"/>
    </row>
    <row r="13" spans="1:17">
      <c r="A13" s="2432"/>
      <c r="B13" s="2651" t="s">
        <v>2955</v>
      </c>
      <c r="C13" s="2407"/>
      <c r="D13" s="2408"/>
      <c r="E13" s="2409"/>
      <c r="F13" s="2407"/>
      <c r="G13" s="660"/>
      <c r="H13" s="2431" t="s">
        <v>3028</v>
      </c>
      <c r="I13" s="2338"/>
      <c r="J13" s="2431" t="s">
        <v>3028</v>
      </c>
      <c r="K13" s="2339"/>
      <c r="L13" s="2431" t="s">
        <v>3028</v>
      </c>
      <c r="M13" s="2339"/>
      <c r="N13" s="2431"/>
      <c r="O13" s="2339"/>
      <c r="P13" s="2431"/>
      <c r="Q13" s="2339"/>
    </row>
    <row r="14" spans="1:17">
      <c r="A14" s="2432"/>
      <c r="B14" s="2652" t="s">
        <v>2956</v>
      </c>
      <c r="C14" s="2407"/>
      <c r="D14" s="2408"/>
      <c r="E14" s="2409"/>
      <c r="F14" s="2407"/>
      <c r="G14" s="660"/>
      <c r="H14" s="2431" t="s">
        <v>3807</v>
      </c>
      <c r="I14" s="2338"/>
      <c r="J14" s="2431" t="s">
        <v>3807</v>
      </c>
      <c r="K14" s="2339"/>
      <c r="L14" s="2431" t="s">
        <v>3807</v>
      </c>
      <c r="M14" s="2339"/>
      <c r="N14" s="2431"/>
      <c r="O14" s="2339"/>
      <c r="P14" s="2431"/>
      <c r="Q14" s="2339"/>
    </row>
    <row r="15" spans="1:17">
      <c r="A15" s="2432"/>
      <c r="B15" s="2652" t="s">
        <v>2957</v>
      </c>
      <c r="C15" s="2407"/>
      <c r="D15" s="2408"/>
      <c r="E15" s="2409"/>
      <c r="F15" s="2407"/>
      <c r="G15" s="660"/>
      <c r="H15" s="2431" t="s">
        <v>3028</v>
      </c>
      <c r="I15" s="2338"/>
      <c r="J15" s="2431" t="s">
        <v>3028</v>
      </c>
      <c r="K15" s="2338"/>
      <c r="L15" s="2431" t="s">
        <v>3028</v>
      </c>
      <c r="M15" s="2338"/>
      <c r="N15" s="2431"/>
      <c r="O15" s="2338"/>
      <c r="P15" s="2431"/>
      <c r="Q15" s="2338"/>
    </row>
    <row r="16" spans="1:17">
      <c r="A16" s="2432"/>
      <c r="B16" s="2652" t="s">
        <v>2958</v>
      </c>
      <c r="C16" s="2407"/>
      <c r="D16" s="2408"/>
      <c r="E16" s="2409"/>
      <c r="F16" s="2407"/>
      <c r="G16" s="660"/>
      <c r="H16" s="2431" t="s">
        <v>3028</v>
      </c>
      <c r="I16" s="2338"/>
      <c r="J16" s="2431" t="s">
        <v>3028</v>
      </c>
      <c r="K16" s="2339"/>
      <c r="L16" s="2431" t="s">
        <v>3028</v>
      </c>
      <c r="M16" s="2339"/>
      <c r="N16" s="2431"/>
      <c r="O16" s="2339"/>
      <c r="P16" s="2431"/>
      <c r="Q16" s="2339"/>
    </row>
    <row r="17" spans="1:17">
      <c r="A17" s="2432"/>
      <c r="B17" s="2652" t="s">
        <v>2959</v>
      </c>
      <c r="C17" s="2407"/>
      <c r="D17" s="2408"/>
      <c r="E17" s="2409"/>
      <c r="F17" s="2407"/>
      <c r="G17" s="660"/>
      <c r="H17" s="2431" t="s">
        <v>3028</v>
      </c>
      <c r="I17" s="2338"/>
      <c r="J17" s="2431" t="s">
        <v>3028</v>
      </c>
      <c r="K17" s="2339"/>
      <c r="L17" s="2431" t="s">
        <v>3028</v>
      </c>
      <c r="M17" s="2339"/>
      <c r="N17" s="2431"/>
      <c r="O17" s="2339"/>
      <c r="P17" s="2431"/>
      <c r="Q17" s="2339"/>
    </row>
    <row r="18" spans="1:17">
      <c r="A18" s="2432"/>
      <c r="B18" s="2653" t="s">
        <v>2960</v>
      </c>
      <c r="C18" s="2407"/>
      <c r="D18" s="2408"/>
      <c r="E18" s="2409"/>
      <c r="F18" s="2407"/>
      <c r="G18" s="660"/>
      <c r="H18" s="2431"/>
      <c r="I18" s="2338"/>
      <c r="J18" s="2431"/>
      <c r="K18" s="2339"/>
      <c r="L18" s="2431"/>
      <c r="M18" s="2339"/>
      <c r="N18" s="2431"/>
      <c r="O18" s="2339"/>
      <c r="P18" s="2431"/>
      <c r="Q18" s="2339"/>
    </row>
    <row r="19" spans="1:17">
      <c r="A19" s="2432"/>
      <c r="B19" s="2654" t="s">
        <v>2961</v>
      </c>
      <c r="C19" s="2433"/>
      <c r="D19" s="2434"/>
      <c r="E19" s="2435"/>
      <c r="F19" s="2436"/>
      <c r="G19" s="661"/>
      <c r="H19" s="2437"/>
      <c r="I19" s="2347"/>
      <c r="J19" s="2437"/>
      <c r="K19" s="2346"/>
      <c r="L19" s="2437"/>
      <c r="M19" s="2346"/>
      <c r="N19" s="2437"/>
      <c r="O19" s="2346"/>
      <c r="P19" s="2437"/>
      <c r="Q19" s="2346"/>
    </row>
    <row r="20" spans="1:17">
      <c r="A20" s="2432"/>
      <c r="B20" s="2655"/>
      <c r="C20" s="2407"/>
      <c r="D20" s="2408"/>
      <c r="E20" s="2409"/>
      <c r="F20" s="2438"/>
      <c r="G20" s="662"/>
      <c r="H20" s="2431"/>
      <c r="I20" s="2442"/>
      <c r="J20" s="2431"/>
      <c r="K20" s="2349"/>
      <c r="L20" s="2431"/>
      <c r="M20" s="2350"/>
      <c r="N20" s="2431"/>
      <c r="O20" s="2349"/>
      <c r="P20" s="2431"/>
      <c r="Q20" s="2349"/>
    </row>
    <row r="21" spans="1:17">
      <c r="A21" s="2432"/>
      <c r="B21" s="2656" t="s">
        <v>5548</v>
      </c>
      <c r="C21" s="2407"/>
      <c r="D21" s="2408"/>
      <c r="E21" s="2409"/>
      <c r="F21" s="2438"/>
      <c r="G21" s="662"/>
      <c r="H21" s="2442" t="s">
        <v>3028</v>
      </c>
      <c r="I21" s="2442">
        <f>69721.89-I139</f>
        <v>64661.85</v>
      </c>
      <c r="J21" s="2442" t="s">
        <v>3028</v>
      </c>
      <c r="K21" s="2349">
        <f>4790+270.9+42260+2493.4-1450.6-101.54+37440+2396.8</f>
        <v>88098.96</v>
      </c>
      <c r="L21" s="2442" t="s">
        <v>3028</v>
      </c>
      <c r="M21" s="2350">
        <f>6368+54726+39618</f>
        <v>100712</v>
      </c>
      <c r="N21" s="2431"/>
      <c r="O21" s="2349"/>
      <c r="P21" s="2431"/>
      <c r="Q21" s="2349"/>
    </row>
    <row r="22" spans="1:17">
      <c r="A22" s="2686"/>
      <c r="B22" s="2687" t="s">
        <v>5944</v>
      </c>
      <c r="C22" s="2407" t="s">
        <v>1737</v>
      </c>
      <c r="D22" s="2441"/>
      <c r="E22" s="2409"/>
      <c r="F22" s="2438"/>
      <c r="G22" s="669"/>
      <c r="H22" s="2442" t="s">
        <v>3028</v>
      </c>
      <c r="I22" s="2444"/>
      <c r="J22" s="2442" t="s">
        <v>3028</v>
      </c>
      <c r="K22" s="2443"/>
      <c r="L22" s="2442" t="s">
        <v>3028</v>
      </c>
      <c r="M22" s="2444"/>
      <c r="N22" s="2442"/>
      <c r="O22" s="2443"/>
      <c r="P22" s="2442"/>
      <c r="Q22" s="2443"/>
    </row>
    <row r="23" spans="1:17">
      <c r="A23" s="2432"/>
      <c r="B23" s="2688" t="s">
        <v>5945</v>
      </c>
      <c r="C23" s="2407"/>
      <c r="D23" s="2441">
        <v>2</v>
      </c>
      <c r="E23" s="2409" t="s">
        <v>3041</v>
      </c>
      <c r="F23" s="2438">
        <f>1700+50</f>
        <v>1750</v>
      </c>
      <c r="G23" s="669">
        <f>F23*D23</f>
        <v>3500</v>
      </c>
      <c r="H23" s="2442" t="s">
        <v>3028</v>
      </c>
      <c r="I23" s="2444"/>
      <c r="J23" s="2442" t="s">
        <v>3028</v>
      </c>
      <c r="K23" s="2443"/>
      <c r="L23" s="2442" t="s">
        <v>3028</v>
      </c>
      <c r="M23" s="2444"/>
      <c r="N23" s="2442"/>
      <c r="O23" s="2443"/>
      <c r="P23" s="2442"/>
      <c r="Q23" s="2443"/>
    </row>
    <row r="24" spans="1:17">
      <c r="A24" s="2432"/>
      <c r="B24" s="2688" t="s">
        <v>5946</v>
      </c>
      <c r="C24" s="2407"/>
      <c r="D24" s="2441">
        <v>3</v>
      </c>
      <c r="E24" s="2409" t="s">
        <v>3041</v>
      </c>
      <c r="F24" s="2438">
        <f>275+50</f>
        <v>325</v>
      </c>
      <c r="G24" s="669">
        <f>F24*D24</f>
        <v>975</v>
      </c>
      <c r="H24" s="2442" t="s">
        <v>3028</v>
      </c>
      <c r="I24" s="2444"/>
      <c r="J24" s="2442" t="s">
        <v>3028</v>
      </c>
      <c r="K24" s="2443"/>
      <c r="L24" s="2442" t="s">
        <v>3028</v>
      </c>
      <c r="M24" s="2444"/>
      <c r="N24" s="2442"/>
      <c r="O24" s="2443"/>
      <c r="P24" s="2442"/>
      <c r="Q24" s="2443"/>
    </row>
    <row r="25" spans="1:17">
      <c r="A25" s="2432"/>
      <c r="B25" s="2688" t="s">
        <v>5947</v>
      </c>
      <c r="C25" s="2407"/>
      <c r="D25" s="2441">
        <v>2</v>
      </c>
      <c r="E25" s="2409" t="s">
        <v>3041</v>
      </c>
      <c r="F25" s="2438">
        <f>950+50</f>
        <v>1000</v>
      </c>
      <c r="G25" s="669">
        <f>F25*D25</f>
        <v>2000</v>
      </c>
      <c r="H25" s="2442" t="s">
        <v>3028</v>
      </c>
      <c r="I25" s="2444"/>
      <c r="J25" s="2442" t="s">
        <v>3028</v>
      </c>
      <c r="K25" s="2443"/>
      <c r="L25" s="2442" t="s">
        <v>3028</v>
      </c>
      <c r="M25" s="2444"/>
      <c r="N25" s="2442"/>
      <c r="O25" s="2443"/>
      <c r="P25" s="2442"/>
      <c r="Q25" s="2443"/>
    </row>
    <row r="26" spans="1:17">
      <c r="A26" s="2432"/>
      <c r="B26" s="2688" t="s">
        <v>5948</v>
      </c>
      <c r="C26" s="2407"/>
      <c r="D26" s="2441">
        <v>2</v>
      </c>
      <c r="E26" s="2409" t="s">
        <v>3041</v>
      </c>
      <c r="F26" s="2438">
        <f>1035+50</f>
        <v>1085</v>
      </c>
      <c r="G26" s="669">
        <f>F26*D26</f>
        <v>2170</v>
      </c>
      <c r="H26" s="2442" t="s">
        <v>3028</v>
      </c>
      <c r="I26" s="2444"/>
      <c r="J26" s="2442" t="s">
        <v>3028</v>
      </c>
      <c r="K26" s="2443"/>
      <c r="L26" s="2442" t="s">
        <v>3028</v>
      </c>
      <c r="M26" s="2444"/>
      <c r="N26" s="2442"/>
      <c r="O26" s="2443"/>
      <c r="P26" s="2442"/>
      <c r="Q26" s="2443"/>
    </row>
    <row r="27" spans="1:17">
      <c r="A27" s="2432"/>
      <c r="B27" s="2688" t="s">
        <v>5949</v>
      </c>
      <c r="C27" s="2407"/>
      <c r="D27" s="2441">
        <v>5</v>
      </c>
      <c r="E27" s="2409" t="s">
        <v>3041</v>
      </c>
      <c r="F27" s="2438">
        <f>200+50</f>
        <v>250</v>
      </c>
      <c r="G27" s="669">
        <f>F27*D27</f>
        <v>1250</v>
      </c>
      <c r="H27" s="2442" t="s">
        <v>3028</v>
      </c>
      <c r="I27" s="2444"/>
      <c r="J27" s="2442" t="s">
        <v>3028</v>
      </c>
      <c r="K27" s="2443"/>
      <c r="L27" s="2442" t="s">
        <v>3028</v>
      </c>
      <c r="M27" s="2444"/>
      <c r="N27" s="2442"/>
      <c r="O27" s="2443"/>
      <c r="P27" s="2442"/>
      <c r="Q27" s="2443"/>
    </row>
    <row r="28" spans="1:17">
      <c r="A28" s="2432"/>
      <c r="B28" s="2687" t="s">
        <v>5950</v>
      </c>
      <c r="C28" s="2407" t="s">
        <v>1743</v>
      </c>
      <c r="D28" s="2441"/>
      <c r="E28" s="2409"/>
      <c r="F28" s="2438"/>
      <c r="G28" s="669"/>
      <c r="H28" s="2442" t="s">
        <v>3028</v>
      </c>
      <c r="I28" s="2444"/>
      <c r="J28" s="2442" t="s">
        <v>3028</v>
      </c>
      <c r="K28" s="2443"/>
      <c r="L28" s="2442" t="s">
        <v>3028</v>
      </c>
      <c r="M28" s="2444"/>
      <c r="N28" s="2442"/>
      <c r="O28" s="2443"/>
      <c r="P28" s="2442"/>
      <c r="Q28" s="2443"/>
    </row>
    <row r="29" spans="1:17">
      <c r="A29" s="2432"/>
      <c r="B29" s="2688" t="s">
        <v>5945</v>
      </c>
      <c r="C29" s="2407"/>
      <c r="D29" s="2441">
        <v>2</v>
      </c>
      <c r="E29" s="2409" t="s">
        <v>3041</v>
      </c>
      <c r="F29" s="2438">
        <f>1700+50</f>
        <v>1750</v>
      </c>
      <c r="G29" s="669">
        <f>F29*D29</f>
        <v>3500</v>
      </c>
      <c r="H29" s="2442" t="s">
        <v>3028</v>
      </c>
      <c r="I29" s="2444"/>
      <c r="J29" s="2442" t="s">
        <v>3028</v>
      </c>
      <c r="K29" s="2443"/>
      <c r="L29" s="2442" t="s">
        <v>3028</v>
      </c>
      <c r="M29" s="2444"/>
      <c r="N29" s="2442"/>
      <c r="O29" s="2443"/>
      <c r="P29" s="2442"/>
      <c r="Q29" s="2443"/>
    </row>
    <row r="30" spans="1:17">
      <c r="A30" s="2432"/>
      <c r="B30" s="2688" t="s">
        <v>5946</v>
      </c>
      <c r="C30" s="2407"/>
      <c r="D30" s="2441">
        <v>3</v>
      </c>
      <c r="E30" s="2409" t="s">
        <v>3041</v>
      </c>
      <c r="F30" s="2438">
        <f>275+50</f>
        <v>325</v>
      </c>
      <c r="G30" s="669">
        <f>F30*D30</f>
        <v>975</v>
      </c>
      <c r="H30" s="2442" t="s">
        <v>3028</v>
      </c>
      <c r="I30" s="2444"/>
      <c r="J30" s="2442" t="s">
        <v>3028</v>
      </c>
      <c r="K30" s="2443"/>
      <c r="L30" s="2442" t="s">
        <v>3028</v>
      </c>
      <c r="M30" s="2444"/>
      <c r="N30" s="2442"/>
      <c r="O30" s="2443"/>
      <c r="P30" s="2442"/>
      <c r="Q30" s="2443"/>
    </row>
    <row r="31" spans="1:17">
      <c r="A31" s="2432"/>
      <c r="B31" s="2688" t="s">
        <v>5947</v>
      </c>
      <c r="C31" s="2407"/>
      <c r="D31" s="2441">
        <v>2</v>
      </c>
      <c r="E31" s="2409" t="s">
        <v>3041</v>
      </c>
      <c r="F31" s="2438">
        <f>950+50</f>
        <v>1000</v>
      </c>
      <c r="G31" s="669">
        <f>F31*D31</f>
        <v>2000</v>
      </c>
      <c r="H31" s="2442" t="s">
        <v>3028</v>
      </c>
      <c r="I31" s="2444"/>
      <c r="J31" s="2442" t="s">
        <v>3028</v>
      </c>
      <c r="K31" s="2443"/>
      <c r="L31" s="2442" t="s">
        <v>3028</v>
      </c>
      <c r="M31" s="2444"/>
      <c r="N31" s="2442"/>
      <c r="O31" s="2443"/>
      <c r="P31" s="2442"/>
      <c r="Q31" s="2443"/>
    </row>
    <row r="32" spans="1:17">
      <c r="A32" s="2432"/>
      <c r="B32" s="2688" t="s">
        <v>5948</v>
      </c>
      <c r="C32" s="2407"/>
      <c r="D32" s="2441">
        <v>2</v>
      </c>
      <c r="E32" s="2409" t="s">
        <v>3041</v>
      </c>
      <c r="F32" s="2438">
        <f>1035+50</f>
        <v>1085</v>
      </c>
      <c r="G32" s="669">
        <f>F32*D32</f>
        <v>2170</v>
      </c>
      <c r="H32" s="2442" t="s">
        <v>3028</v>
      </c>
      <c r="I32" s="2444"/>
      <c r="J32" s="2442" t="s">
        <v>3028</v>
      </c>
      <c r="K32" s="2443"/>
      <c r="L32" s="2442" t="s">
        <v>3028</v>
      </c>
      <c r="M32" s="2444"/>
      <c r="N32" s="2442"/>
      <c r="O32" s="2443"/>
      <c r="P32" s="2442"/>
      <c r="Q32" s="2443"/>
    </row>
    <row r="33" spans="1:17">
      <c r="A33" s="2432"/>
      <c r="B33" s="2688" t="s">
        <v>5949</v>
      </c>
      <c r="C33" s="2407"/>
      <c r="D33" s="2441">
        <v>7</v>
      </c>
      <c r="E33" s="2409" t="s">
        <v>3041</v>
      </c>
      <c r="F33" s="2438">
        <f>200+50</f>
        <v>250</v>
      </c>
      <c r="G33" s="669">
        <f>F33*D33</f>
        <v>1750</v>
      </c>
      <c r="H33" s="2442" t="s">
        <v>3028</v>
      </c>
      <c r="I33" s="2444"/>
      <c r="J33" s="2442" t="s">
        <v>3028</v>
      </c>
      <c r="K33" s="2443"/>
      <c r="L33" s="2442" t="s">
        <v>3028</v>
      </c>
      <c r="M33" s="2444"/>
      <c r="N33" s="2442"/>
      <c r="O33" s="2443"/>
      <c r="P33" s="2442"/>
      <c r="Q33" s="2443"/>
    </row>
    <row r="34" spans="1:17">
      <c r="A34" s="2686" t="s">
        <v>5951</v>
      </c>
      <c r="B34" s="2687" t="s">
        <v>5952</v>
      </c>
      <c r="C34" s="2407" t="s">
        <v>5953</v>
      </c>
      <c r="D34" s="2441"/>
      <c r="E34" s="2409"/>
      <c r="F34" s="2438"/>
      <c r="G34" s="669"/>
      <c r="H34" s="2442" t="s">
        <v>3028</v>
      </c>
      <c r="I34" s="2444"/>
      <c r="J34" s="2442" t="s">
        <v>3028</v>
      </c>
      <c r="K34" s="2443"/>
      <c r="L34" s="2442" t="s">
        <v>3028</v>
      </c>
      <c r="M34" s="2444"/>
      <c r="N34" s="2442"/>
      <c r="O34" s="2443"/>
      <c r="P34" s="2442"/>
      <c r="Q34" s="2443"/>
    </row>
    <row r="35" spans="1:17">
      <c r="A35" s="2432"/>
      <c r="B35" s="2688" t="s">
        <v>5954</v>
      </c>
      <c r="C35" s="2407"/>
      <c r="D35" s="2441">
        <v>1</v>
      </c>
      <c r="E35" s="2409" t="s">
        <v>3041</v>
      </c>
      <c r="F35" s="2438">
        <v>50</v>
      </c>
      <c r="G35" s="669">
        <f t="shared" ref="G35:G42" si="3">F35*D35</f>
        <v>50</v>
      </c>
      <c r="H35" s="2442" t="s">
        <v>3028</v>
      </c>
      <c r="I35" s="2444"/>
      <c r="J35" s="2442" t="s">
        <v>3028</v>
      </c>
      <c r="K35" s="2443"/>
      <c r="L35" s="2442" t="s">
        <v>3028</v>
      </c>
      <c r="M35" s="2444"/>
      <c r="N35" s="2442"/>
      <c r="O35" s="2443"/>
      <c r="P35" s="2442"/>
      <c r="Q35" s="2443"/>
    </row>
    <row r="36" spans="1:17">
      <c r="A36" s="2432"/>
      <c r="B36" s="2688" t="s">
        <v>5955</v>
      </c>
      <c r="C36" s="2407"/>
      <c r="D36" s="2441">
        <v>1</v>
      </c>
      <c r="E36" s="2409" t="s">
        <v>3041</v>
      </c>
      <c r="F36" s="2438">
        <v>50</v>
      </c>
      <c r="G36" s="669">
        <f t="shared" si="3"/>
        <v>50</v>
      </c>
      <c r="H36" s="2442" t="s">
        <v>3028</v>
      </c>
      <c r="I36" s="2444"/>
      <c r="J36" s="2442" t="s">
        <v>3028</v>
      </c>
      <c r="K36" s="2443"/>
      <c r="L36" s="2442" t="s">
        <v>3028</v>
      </c>
      <c r="M36" s="2444"/>
      <c r="N36" s="2442"/>
      <c r="O36" s="2443"/>
      <c r="P36" s="2442"/>
      <c r="Q36" s="2443"/>
    </row>
    <row r="37" spans="1:17">
      <c r="A37" s="2432"/>
      <c r="B37" s="2655" t="s">
        <v>5956</v>
      </c>
      <c r="C37" s="2407"/>
      <c r="D37" s="2441">
        <v>1</v>
      </c>
      <c r="E37" s="2409" t="s">
        <v>3041</v>
      </c>
      <c r="F37" s="2438">
        <v>50</v>
      </c>
      <c r="G37" s="669">
        <f t="shared" si="3"/>
        <v>50</v>
      </c>
      <c r="H37" s="2442" t="s">
        <v>3028</v>
      </c>
      <c r="I37" s="2444"/>
      <c r="J37" s="2442" t="s">
        <v>3028</v>
      </c>
      <c r="K37" s="2443"/>
      <c r="L37" s="2442" t="s">
        <v>3028</v>
      </c>
      <c r="M37" s="2444"/>
      <c r="N37" s="2442"/>
      <c r="O37" s="2443"/>
      <c r="P37" s="2442"/>
      <c r="Q37" s="2443"/>
    </row>
    <row r="38" spans="1:17">
      <c r="A38" s="2432"/>
      <c r="B38" s="2688" t="s">
        <v>5957</v>
      </c>
      <c r="C38" s="2407"/>
      <c r="D38" s="2441">
        <v>1</v>
      </c>
      <c r="E38" s="2409" t="s">
        <v>3041</v>
      </c>
      <c r="F38" s="2438">
        <v>50</v>
      </c>
      <c r="G38" s="669">
        <f t="shared" si="3"/>
        <v>50</v>
      </c>
      <c r="H38" s="2442" t="s">
        <v>3028</v>
      </c>
      <c r="I38" s="2444"/>
      <c r="J38" s="2442" t="s">
        <v>3028</v>
      </c>
      <c r="K38" s="2443"/>
      <c r="L38" s="2442" t="s">
        <v>3028</v>
      </c>
      <c r="M38" s="2444"/>
      <c r="N38" s="2442"/>
      <c r="O38" s="2443"/>
      <c r="P38" s="2442"/>
      <c r="Q38" s="2443"/>
    </row>
    <row r="39" spans="1:17">
      <c r="A39" s="2432"/>
      <c r="B39" s="2689" t="s">
        <v>5958</v>
      </c>
      <c r="C39" s="2407"/>
      <c r="D39" s="2441">
        <v>1</v>
      </c>
      <c r="E39" s="2409" t="s">
        <v>3041</v>
      </c>
      <c r="F39" s="2438">
        <v>50</v>
      </c>
      <c r="G39" s="669">
        <f t="shared" si="3"/>
        <v>50</v>
      </c>
      <c r="H39" s="2442" t="s">
        <v>3028</v>
      </c>
      <c r="I39" s="2444"/>
      <c r="J39" s="2442" t="s">
        <v>3028</v>
      </c>
      <c r="K39" s="2443"/>
      <c r="L39" s="2442" t="s">
        <v>3028</v>
      </c>
      <c r="M39" s="2444"/>
      <c r="N39" s="2442"/>
      <c r="O39" s="2443"/>
      <c r="P39" s="2442"/>
      <c r="Q39" s="2443"/>
    </row>
    <row r="40" spans="1:17">
      <c r="A40" s="2432"/>
      <c r="B40" s="2688" t="s">
        <v>5959</v>
      </c>
      <c r="C40" s="2407"/>
      <c r="D40" s="2441">
        <v>1</v>
      </c>
      <c r="E40" s="2409" t="s">
        <v>3041</v>
      </c>
      <c r="F40" s="2438">
        <v>150</v>
      </c>
      <c r="G40" s="669">
        <f t="shared" si="3"/>
        <v>150</v>
      </c>
      <c r="H40" s="2442" t="s">
        <v>3028</v>
      </c>
      <c r="I40" s="2444"/>
      <c r="J40" s="2442" t="s">
        <v>3028</v>
      </c>
      <c r="K40" s="2443"/>
      <c r="L40" s="2442" t="s">
        <v>3028</v>
      </c>
      <c r="M40" s="2444"/>
      <c r="N40" s="2442"/>
      <c r="O40" s="2443"/>
      <c r="P40" s="2442"/>
      <c r="Q40" s="2443"/>
    </row>
    <row r="41" spans="1:17">
      <c r="A41" s="2432"/>
      <c r="B41" s="2688" t="s">
        <v>5960</v>
      </c>
      <c r="C41" s="2407"/>
      <c r="D41" s="2441">
        <v>1</v>
      </c>
      <c r="E41" s="2409" t="s">
        <v>3041</v>
      </c>
      <c r="F41" s="2438">
        <v>200</v>
      </c>
      <c r="G41" s="669">
        <f t="shared" si="3"/>
        <v>200</v>
      </c>
      <c r="H41" s="2442" t="s">
        <v>3028</v>
      </c>
      <c r="I41" s="2444"/>
      <c r="J41" s="2442" t="s">
        <v>3028</v>
      </c>
      <c r="K41" s="2443"/>
      <c r="L41" s="2442" t="s">
        <v>3028</v>
      </c>
      <c r="M41" s="2444"/>
      <c r="N41" s="2442"/>
      <c r="O41" s="2443"/>
      <c r="P41" s="2442"/>
      <c r="Q41" s="2443"/>
    </row>
    <row r="42" spans="1:17">
      <c r="A42" s="2432"/>
      <c r="B42" s="2688" t="s">
        <v>5961</v>
      </c>
      <c r="C42" s="2407"/>
      <c r="D42" s="2441">
        <v>1</v>
      </c>
      <c r="E42" s="2409" t="s">
        <v>3041</v>
      </c>
      <c r="F42" s="2438">
        <v>200</v>
      </c>
      <c r="G42" s="669">
        <f t="shared" si="3"/>
        <v>200</v>
      </c>
      <c r="H42" s="2442" t="s">
        <v>3028</v>
      </c>
      <c r="I42" s="2444"/>
      <c r="J42" s="2442" t="s">
        <v>3028</v>
      </c>
      <c r="K42" s="2443"/>
      <c r="L42" s="2442" t="s">
        <v>3028</v>
      </c>
      <c r="M42" s="2444"/>
      <c r="N42" s="2442"/>
      <c r="O42" s="2443"/>
      <c r="P42" s="2442"/>
      <c r="Q42" s="2443"/>
    </row>
    <row r="43" spans="1:17">
      <c r="A43" s="2432"/>
      <c r="B43" s="2687" t="s">
        <v>5962</v>
      </c>
      <c r="C43" s="2407" t="s">
        <v>1751</v>
      </c>
      <c r="D43" s="2441"/>
      <c r="E43" s="2409"/>
      <c r="F43" s="2438"/>
      <c r="G43" s="669"/>
      <c r="H43" s="2442" t="s">
        <v>3028</v>
      </c>
      <c r="I43" s="2444"/>
      <c r="J43" s="2442" t="s">
        <v>3028</v>
      </c>
      <c r="K43" s="2443"/>
      <c r="L43" s="2442" t="s">
        <v>3028</v>
      </c>
      <c r="M43" s="2444"/>
      <c r="N43" s="2442"/>
      <c r="O43" s="2443"/>
      <c r="P43" s="2442"/>
      <c r="Q43" s="2443"/>
    </row>
    <row r="44" spans="1:17">
      <c r="A44" s="2432"/>
      <c r="B44" s="2688" t="s">
        <v>5945</v>
      </c>
      <c r="C44" s="2407"/>
      <c r="D44" s="2441">
        <v>2</v>
      </c>
      <c r="E44" s="2409" t="s">
        <v>3041</v>
      </c>
      <c r="F44" s="2438">
        <f>1700+50</f>
        <v>1750</v>
      </c>
      <c r="G44" s="669">
        <f>F44*D44</f>
        <v>3500</v>
      </c>
      <c r="H44" s="2442" t="s">
        <v>3028</v>
      </c>
      <c r="I44" s="2444"/>
      <c r="J44" s="2442" t="s">
        <v>3028</v>
      </c>
      <c r="K44" s="2443"/>
      <c r="L44" s="2442" t="s">
        <v>3028</v>
      </c>
      <c r="M44" s="2444"/>
      <c r="N44" s="2442"/>
      <c r="O44" s="2443"/>
      <c r="P44" s="2442"/>
      <c r="Q44" s="2443"/>
    </row>
    <row r="45" spans="1:17">
      <c r="A45" s="2432"/>
      <c r="B45" s="2688" t="s">
        <v>5946</v>
      </c>
      <c r="C45" s="2407"/>
      <c r="D45" s="2441">
        <v>2</v>
      </c>
      <c r="E45" s="2409" t="s">
        <v>3041</v>
      </c>
      <c r="F45" s="2438">
        <f>275+50</f>
        <v>325</v>
      </c>
      <c r="G45" s="669">
        <f>F45*D45</f>
        <v>650</v>
      </c>
      <c r="H45" s="2442" t="s">
        <v>3028</v>
      </c>
      <c r="I45" s="2444"/>
      <c r="J45" s="2442" t="s">
        <v>3028</v>
      </c>
      <c r="K45" s="2443"/>
      <c r="L45" s="2442" t="s">
        <v>3028</v>
      </c>
      <c r="M45" s="2444"/>
      <c r="N45" s="2442"/>
      <c r="O45" s="2443"/>
      <c r="P45" s="2442"/>
      <c r="Q45" s="2443"/>
    </row>
    <row r="46" spans="1:17">
      <c r="A46" s="2432"/>
      <c r="B46" s="2688" t="s">
        <v>5947</v>
      </c>
      <c r="C46" s="2407"/>
      <c r="D46" s="2441">
        <v>2</v>
      </c>
      <c r="E46" s="2409" t="s">
        <v>3041</v>
      </c>
      <c r="F46" s="2438">
        <f>950+50</f>
        <v>1000</v>
      </c>
      <c r="G46" s="669">
        <f>F46*D46</f>
        <v>2000</v>
      </c>
      <c r="H46" s="2442" t="s">
        <v>3028</v>
      </c>
      <c r="I46" s="2444"/>
      <c r="J46" s="2442" t="s">
        <v>3028</v>
      </c>
      <c r="K46" s="2443"/>
      <c r="L46" s="2442" t="s">
        <v>3028</v>
      </c>
      <c r="M46" s="2444"/>
      <c r="N46" s="2442"/>
      <c r="O46" s="2443"/>
      <c r="P46" s="2442"/>
      <c r="Q46" s="2443"/>
    </row>
    <row r="47" spans="1:17">
      <c r="A47" s="2432"/>
      <c r="B47" s="2688" t="s">
        <v>5948</v>
      </c>
      <c r="C47" s="2407"/>
      <c r="D47" s="2441">
        <v>2</v>
      </c>
      <c r="E47" s="2409" t="s">
        <v>3041</v>
      </c>
      <c r="F47" s="2438">
        <f>1035+50</f>
        <v>1085</v>
      </c>
      <c r="G47" s="669">
        <f>F47*D47</f>
        <v>2170</v>
      </c>
      <c r="H47" s="2442" t="s">
        <v>3028</v>
      </c>
      <c r="I47" s="2444"/>
      <c r="J47" s="2442" t="s">
        <v>3028</v>
      </c>
      <c r="K47" s="2443"/>
      <c r="L47" s="2442" t="s">
        <v>3028</v>
      </c>
      <c r="M47" s="2444"/>
      <c r="N47" s="2442"/>
      <c r="O47" s="2443"/>
      <c r="P47" s="2442"/>
      <c r="Q47" s="2443"/>
    </row>
    <row r="48" spans="1:17">
      <c r="A48" s="2432"/>
      <c r="B48" s="2688" t="s">
        <v>5949</v>
      </c>
      <c r="C48" s="2407"/>
      <c r="D48" s="2441">
        <v>4</v>
      </c>
      <c r="E48" s="2409" t="s">
        <v>3041</v>
      </c>
      <c r="F48" s="2438">
        <f>200+50</f>
        <v>250</v>
      </c>
      <c r="G48" s="669">
        <f>F48*D48</f>
        <v>1000</v>
      </c>
      <c r="H48" s="2442" t="s">
        <v>3028</v>
      </c>
      <c r="I48" s="2444"/>
      <c r="J48" s="2442" t="s">
        <v>3028</v>
      </c>
      <c r="K48" s="2443"/>
      <c r="L48" s="2442" t="s">
        <v>3028</v>
      </c>
      <c r="M48" s="2444"/>
      <c r="N48" s="2442"/>
      <c r="O48" s="2443"/>
      <c r="P48" s="2442"/>
      <c r="Q48" s="2443"/>
    </row>
    <row r="49" spans="1:17">
      <c r="A49" s="2432"/>
      <c r="B49" s="2656" t="s">
        <v>5588</v>
      </c>
      <c r="C49" s="2407"/>
      <c r="D49" s="2408"/>
      <c r="E49" s="2409"/>
      <c r="F49" s="2438"/>
      <c r="G49" s="662"/>
      <c r="H49" s="2442" t="s">
        <v>3028</v>
      </c>
      <c r="I49" s="2350"/>
      <c r="J49" s="2442" t="s">
        <v>3028</v>
      </c>
      <c r="K49" s="2349"/>
      <c r="L49" s="2442" t="s">
        <v>3028</v>
      </c>
      <c r="M49" s="2350"/>
      <c r="N49" s="2431"/>
      <c r="O49" s="2349"/>
      <c r="P49" s="2431"/>
      <c r="Q49" s="2349"/>
    </row>
    <row r="50" spans="1:17">
      <c r="A50" s="2432"/>
      <c r="B50" s="2687" t="s">
        <v>5963</v>
      </c>
      <c r="C50" s="2407" t="s">
        <v>4458</v>
      </c>
      <c r="D50" s="2441"/>
      <c r="E50" s="2409"/>
      <c r="F50" s="2438"/>
      <c r="G50" s="669"/>
      <c r="H50" s="2442" t="s">
        <v>3028</v>
      </c>
      <c r="I50" s="2444"/>
      <c r="J50" s="2442" t="s">
        <v>3028</v>
      </c>
      <c r="K50" s="2443"/>
      <c r="L50" s="2442" t="s">
        <v>3028</v>
      </c>
      <c r="M50" s="2444"/>
      <c r="N50" s="2442"/>
      <c r="O50" s="2443"/>
      <c r="P50" s="2442"/>
      <c r="Q50" s="2443"/>
    </row>
    <row r="51" spans="1:17">
      <c r="A51" s="2432"/>
      <c r="B51" s="2688" t="s">
        <v>5964</v>
      </c>
      <c r="C51" s="2407"/>
      <c r="D51" s="2441">
        <v>2</v>
      </c>
      <c r="E51" s="2409" t="s">
        <v>3041</v>
      </c>
      <c r="F51" s="2438">
        <f>275+50</f>
        <v>325</v>
      </c>
      <c r="G51" s="669">
        <f>F51*D51</f>
        <v>650</v>
      </c>
      <c r="H51" s="2442" t="s">
        <v>3028</v>
      </c>
      <c r="I51" s="2444"/>
      <c r="J51" s="2442" t="s">
        <v>3028</v>
      </c>
      <c r="K51" s="2443"/>
      <c r="L51" s="2442" t="s">
        <v>3028</v>
      </c>
      <c r="M51" s="2444"/>
      <c r="N51" s="2442"/>
      <c r="O51" s="2443"/>
      <c r="P51" s="2442"/>
      <c r="Q51" s="2443"/>
    </row>
    <row r="52" spans="1:17">
      <c r="A52" s="2432"/>
      <c r="B52" s="2688" t="s">
        <v>5965</v>
      </c>
      <c r="C52" s="2407"/>
      <c r="D52" s="2441">
        <v>2</v>
      </c>
      <c r="E52" s="2409" t="s">
        <v>3041</v>
      </c>
      <c r="F52" s="2438">
        <f>950+50</f>
        <v>1000</v>
      </c>
      <c r="G52" s="669">
        <f>F52*D52</f>
        <v>2000</v>
      </c>
      <c r="H52" s="2442" t="s">
        <v>3028</v>
      </c>
      <c r="I52" s="2444"/>
      <c r="J52" s="2442" t="s">
        <v>3028</v>
      </c>
      <c r="K52" s="2443"/>
      <c r="L52" s="2442" t="s">
        <v>3028</v>
      </c>
      <c r="M52" s="2444"/>
      <c r="N52" s="2442"/>
      <c r="O52" s="2443"/>
      <c r="P52" s="2442"/>
      <c r="Q52" s="2443"/>
    </row>
    <row r="53" spans="1:17">
      <c r="A53" s="2432"/>
      <c r="B53" s="2688" t="s">
        <v>5966</v>
      </c>
      <c r="C53" s="2407"/>
      <c r="D53" s="2441">
        <v>2</v>
      </c>
      <c r="E53" s="2409" t="s">
        <v>3041</v>
      </c>
      <c r="F53" s="2438">
        <f>1035+50</f>
        <v>1085</v>
      </c>
      <c r="G53" s="669">
        <f>F53*D53</f>
        <v>2170</v>
      </c>
      <c r="H53" s="2442" t="s">
        <v>3028</v>
      </c>
      <c r="I53" s="2444"/>
      <c r="J53" s="2442" t="s">
        <v>3028</v>
      </c>
      <c r="K53" s="2443"/>
      <c r="L53" s="2442" t="s">
        <v>3028</v>
      </c>
      <c r="M53" s="2444"/>
      <c r="N53" s="2442"/>
      <c r="O53" s="2443"/>
      <c r="P53" s="2442"/>
      <c r="Q53" s="2443"/>
    </row>
    <row r="54" spans="1:17">
      <c r="A54" s="2432"/>
      <c r="B54" s="2688" t="s">
        <v>5967</v>
      </c>
      <c r="C54" s="2407"/>
      <c r="D54" s="2441">
        <v>4</v>
      </c>
      <c r="E54" s="2409" t="s">
        <v>3041</v>
      </c>
      <c r="F54" s="2438">
        <f>200+50</f>
        <v>250</v>
      </c>
      <c r="G54" s="669">
        <f>F54*D54</f>
        <v>1000</v>
      </c>
      <c r="H54" s="2442" t="s">
        <v>3028</v>
      </c>
      <c r="I54" s="2444"/>
      <c r="J54" s="2442" t="s">
        <v>3028</v>
      </c>
      <c r="K54" s="2443"/>
      <c r="L54" s="2442" t="s">
        <v>3028</v>
      </c>
      <c r="M54" s="2444"/>
      <c r="N54" s="2442"/>
      <c r="O54" s="2443"/>
      <c r="P54" s="2442"/>
      <c r="Q54" s="2443"/>
    </row>
    <row r="55" spans="1:17">
      <c r="A55" s="2432"/>
      <c r="B55" s="2656" t="s">
        <v>5599</v>
      </c>
      <c r="C55" s="2407"/>
      <c r="D55" s="2408"/>
      <c r="E55" s="2409"/>
      <c r="F55" s="2438"/>
      <c r="G55" s="662"/>
      <c r="H55" s="2679" t="s">
        <v>3028</v>
      </c>
      <c r="I55" s="2350"/>
      <c r="J55" s="2442" t="s">
        <v>3028</v>
      </c>
      <c r="K55" s="2349"/>
      <c r="L55" s="2679" t="s">
        <v>3028</v>
      </c>
      <c r="M55" s="2350"/>
      <c r="N55" s="2431"/>
      <c r="O55" s="2349"/>
      <c r="P55" s="2431"/>
      <c r="Q55" s="2349"/>
    </row>
    <row r="56" spans="1:17">
      <c r="A56" s="2686" t="s">
        <v>5951</v>
      </c>
      <c r="B56" s="2687" t="s">
        <v>5968</v>
      </c>
      <c r="C56" s="2407"/>
      <c r="D56" s="2441"/>
      <c r="E56" s="2409"/>
      <c r="F56" s="2438"/>
      <c r="G56" s="669"/>
      <c r="H56" s="2679" t="s">
        <v>3028</v>
      </c>
      <c r="I56" s="2444"/>
      <c r="J56" s="2442" t="s">
        <v>3028</v>
      </c>
      <c r="K56" s="2443"/>
      <c r="L56" s="2679" t="s">
        <v>3028</v>
      </c>
      <c r="M56" s="2444"/>
      <c r="N56" s="2442"/>
      <c r="O56" s="2443"/>
      <c r="P56" s="2442"/>
      <c r="Q56" s="2443"/>
    </row>
    <row r="57" spans="1:17">
      <c r="A57" s="2432"/>
      <c r="B57" s="2688" t="s">
        <v>5954</v>
      </c>
      <c r="C57" s="2407"/>
      <c r="D57" s="2441">
        <v>2</v>
      </c>
      <c r="E57" s="2409" t="s">
        <v>3041</v>
      </c>
      <c r="F57" s="2438">
        <v>50</v>
      </c>
      <c r="G57" s="669">
        <f t="shared" ref="G57:G75" si="4">F57*D57</f>
        <v>100</v>
      </c>
      <c r="H57" s="2679" t="s">
        <v>3028</v>
      </c>
      <c r="I57" s="2444"/>
      <c r="J57" s="2442" t="s">
        <v>3028</v>
      </c>
      <c r="K57" s="2443"/>
      <c r="L57" s="2679" t="s">
        <v>3028</v>
      </c>
      <c r="M57" s="2444"/>
      <c r="N57" s="2442"/>
      <c r="O57" s="2443"/>
      <c r="P57" s="2442"/>
      <c r="Q57" s="2443"/>
    </row>
    <row r="58" spans="1:17">
      <c r="A58" s="2432"/>
      <c r="B58" s="2688" t="s">
        <v>5955</v>
      </c>
      <c r="C58" s="2407"/>
      <c r="D58" s="2441">
        <v>2</v>
      </c>
      <c r="E58" s="2409" t="s">
        <v>3041</v>
      </c>
      <c r="F58" s="2438">
        <v>50</v>
      </c>
      <c r="G58" s="669">
        <f t="shared" si="4"/>
        <v>100</v>
      </c>
      <c r="H58" s="2679" t="s">
        <v>3028</v>
      </c>
      <c r="I58" s="2444"/>
      <c r="J58" s="2442" t="s">
        <v>3028</v>
      </c>
      <c r="K58" s="2443"/>
      <c r="L58" s="2679" t="s">
        <v>3028</v>
      </c>
      <c r="M58" s="2444"/>
      <c r="N58" s="2442"/>
      <c r="O58" s="2443"/>
      <c r="P58" s="2442"/>
      <c r="Q58" s="2443"/>
    </row>
    <row r="59" spans="1:17">
      <c r="A59" s="2432"/>
      <c r="B59" s="2655" t="s">
        <v>5956</v>
      </c>
      <c r="C59" s="2407"/>
      <c r="D59" s="2441">
        <v>5</v>
      </c>
      <c r="E59" s="2409" t="s">
        <v>3041</v>
      </c>
      <c r="F59" s="2438">
        <v>50</v>
      </c>
      <c r="G59" s="669">
        <f t="shared" si="4"/>
        <v>250</v>
      </c>
      <c r="H59" s="2679" t="s">
        <v>3028</v>
      </c>
      <c r="I59" s="2350"/>
      <c r="J59" s="2442" t="s">
        <v>3028</v>
      </c>
      <c r="K59" s="2349"/>
      <c r="L59" s="2679" t="s">
        <v>3028</v>
      </c>
      <c r="M59" s="2350"/>
      <c r="N59" s="2431"/>
      <c r="O59" s="2349"/>
      <c r="P59" s="2431"/>
      <c r="Q59" s="2349"/>
    </row>
    <row r="60" spans="1:17" hidden="1">
      <c r="A60" s="2432"/>
      <c r="B60" s="2690" t="s">
        <v>5969</v>
      </c>
      <c r="C60" s="2407"/>
      <c r="D60" s="2441"/>
      <c r="E60" s="2409"/>
      <c r="F60" s="2438">
        <v>50</v>
      </c>
      <c r="G60" s="669">
        <f t="shared" si="4"/>
        <v>0</v>
      </c>
      <c r="H60" s="2679"/>
      <c r="I60" s="2350"/>
      <c r="J60" s="2442" t="s">
        <v>3028</v>
      </c>
      <c r="K60" s="2349"/>
      <c r="L60" s="2431"/>
      <c r="M60" s="2350"/>
      <c r="N60" s="2431"/>
      <c r="O60" s="2349"/>
      <c r="P60" s="2431"/>
      <c r="Q60" s="2349"/>
    </row>
    <row r="61" spans="1:17">
      <c r="A61" s="2432"/>
      <c r="B61" s="2688" t="s">
        <v>5957</v>
      </c>
      <c r="C61" s="2407"/>
      <c r="D61" s="2441">
        <v>6</v>
      </c>
      <c r="E61" s="2409" t="s">
        <v>3041</v>
      </c>
      <c r="F61" s="2438">
        <v>50</v>
      </c>
      <c r="G61" s="669">
        <f t="shared" si="4"/>
        <v>300</v>
      </c>
      <c r="H61" s="2679" t="s">
        <v>3028</v>
      </c>
      <c r="I61" s="2350"/>
      <c r="J61" s="2442" t="s">
        <v>3028</v>
      </c>
      <c r="K61" s="2349"/>
      <c r="L61" s="2679" t="s">
        <v>3028</v>
      </c>
      <c r="M61" s="2350"/>
      <c r="N61" s="2431"/>
      <c r="O61" s="2349"/>
      <c r="P61" s="2431"/>
      <c r="Q61" s="2349"/>
    </row>
    <row r="62" spans="1:17">
      <c r="A62" s="2432"/>
      <c r="B62" s="2689" t="s">
        <v>5958</v>
      </c>
      <c r="C62" s="2407"/>
      <c r="D62" s="2441">
        <v>4</v>
      </c>
      <c r="E62" s="2409" t="s">
        <v>3041</v>
      </c>
      <c r="F62" s="2438">
        <v>50</v>
      </c>
      <c r="G62" s="669">
        <f t="shared" si="4"/>
        <v>200</v>
      </c>
      <c r="H62" s="2679" t="s">
        <v>3028</v>
      </c>
      <c r="I62" s="2350"/>
      <c r="J62" s="2442" t="s">
        <v>3028</v>
      </c>
      <c r="K62" s="2349"/>
      <c r="L62" s="2679" t="s">
        <v>3028</v>
      </c>
      <c r="M62" s="2350"/>
      <c r="N62" s="2431"/>
      <c r="O62" s="2349"/>
      <c r="P62" s="2431"/>
      <c r="Q62" s="2349"/>
    </row>
    <row r="63" spans="1:17" hidden="1">
      <c r="A63" s="2432"/>
      <c r="B63" s="2691" t="s">
        <v>5970</v>
      </c>
      <c r="C63" s="2407"/>
      <c r="D63" s="2441"/>
      <c r="E63" s="2409"/>
      <c r="F63" s="2438">
        <v>100</v>
      </c>
      <c r="G63" s="669">
        <f t="shared" si="4"/>
        <v>0</v>
      </c>
      <c r="H63" s="2679"/>
      <c r="I63" s="2350"/>
      <c r="J63" s="2442" t="s">
        <v>3028</v>
      </c>
      <c r="K63" s="2349"/>
      <c r="L63" s="2431"/>
      <c r="M63" s="2350"/>
      <c r="N63" s="2431"/>
      <c r="O63" s="2349"/>
      <c r="P63" s="2431"/>
      <c r="Q63" s="2349"/>
    </row>
    <row r="64" spans="1:17">
      <c r="A64" s="2432"/>
      <c r="B64" s="2688" t="s">
        <v>5959</v>
      </c>
      <c r="C64" s="2407"/>
      <c r="D64" s="2441">
        <v>3</v>
      </c>
      <c r="E64" s="2409" t="s">
        <v>3041</v>
      </c>
      <c r="F64" s="2438">
        <v>150</v>
      </c>
      <c r="G64" s="669">
        <f t="shared" si="4"/>
        <v>450</v>
      </c>
      <c r="H64" s="2679" t="s">
        <v>3028</v>
      </c>
      <c r="I64" s="2350"/>
      <c r="J64" s="2442" t="s">
        <v>3028</v>
      </c>
      <c r="K64" s="2349"/>
      <c r="L64" s="2679" t="s">
        <v>3028</v>
      </c>
      <c r="M64" s="2350"/>
      <c r="N64" s="2431"/>
      <c r="O64" s="2349"/>
      <c r="P64" s="2431"/>
      <c r="Q64" s="2349"/>
    </row>
    <row r="65" spans="1:17">
      <c r="A65" s="2432"/>
      <c r="B65" s="2688" t="s">
        <v>5971</v>
      </c>
      <c r="C65" s="2407"/>
      <c r="D65" s="2441">
        <v>6</v>
      </c>
      <c r="E65" s="2409" t="s">
        <v>3041</v>
      </c>
      <c r="F65" s="2438">
        <v>50</v>
      </c>
      <c r="G65" s="669">
        <f t="shared" si="4"/>
        <v>300</v>
      </c>
      <c r="H65" s="2679" t="s">
        <v>3028</v>
      </c>
      <c r="I65" s="2350"/>
      <c r="J65" s="2442" t="s">
        <v>3028</v>
      </c>
      <c r="K65" s="2349"/>
      <c r="L65" s="2679" t="s">
        <v>3028</v>
      </c>
      <c r="M65" s="2350"/>
      <c r="N65" s="2431"/>
      <c r="O65" s="2349"/>
      <c r="P65" s="2431"/>
      <c r="Q65" s="2349"/>
    </row>
    <row r="66" spans="1:17">
      <c r="A66" s="2432"/>
      <c r="B66" s="2688" t="s">
        <v>5961</v>
      </c>
      <c r="C66" s="2407"/>
      <c r="D66" s="2441">
        <v>5</v>
      </c>
      <c r="E66" s="2409" t="s">
        <v>3041</v>
      </c>
      <c r="F66" s="2438">
        <v>200</v>
      </c>
      <c r="G66" s="669">
        <f t="shared" si="4"/>
        <v>1000</v>
      </c>
      <c r="H66" s="2679" t="s">
        <v>3028</v>
      </c>
      <c r="I66" s="2350"/>
      <c r="J66" s="2442" t="s">
        <v>3028</v>
      </c>
      <c r="K66" s="2349"/>
      <c r="L66" s="2679" t="s">
        <v>3028</v>
      </c>
      <c r="M66" s="2350"/>
      <c r="N66" s="2431"/>
      <c r="O66" s="2349"/>
      <c r="P66" s="2431"/>
      <c r="Q66" s="2349"/>
    </row>
    <row r="67" spans="1:17">
      <c r="A67" s="2686" t="s">
        <v>5951</v>
      </c>
      <c r="B67" s="2687" t="s">
        <v>5972</v>
      </c>
      <c r="C67" s="2407"/>
      <c r="D67" s="2408"/>
      <c r="E67" s="2409"/>
      <c r="F67" s="2438"/>
      <c r="G67" s="662"/>
      <c r="H67" s="2679" t="s">
        <v>3028</v>
      </c>
      <c r="I67" s="2350"/>
      <c r="J67" s="2442" t="s">
        <v>3028</v>
      </c>
      <c r="K67" s="2349"/>
      <c r="L67" s="2679" t="s">
        <v>3028</v>
      </c>
      <c r="M67" s="2350"/>
      <c r="N67" s="2431"/>
      <c r="O67" s="2349"/>
      <c r="P67" s="2431"/>
      <c r="Q67" s="2349"/>
    </row>
    <row r="68" spans="1:17">
      <c r="A68" s="2432"/>
      <c r="B68" s="2688" t="s">
        <v>5954</v>
      </c>
      <c r="C68" s="2407"/>
      <c r="D68" s="2441">
        <v>1</v>
      </c>
      <c r="E68" s="2409" t="s">
        <v>3041</v>
      </c>
      <c r="F68" s="2438">
        <v>50</v>
      </c>
      <c r="G68" s="669">
        <f t="shared" si="4"/>
        <v>50</v>
      </c>
      <c r="H68" s="2679" t="s">
        <v>3028</v>
      </c>
      <c r="I68" s="2350"/>
      <c r="J68" s="2442" t="s">
        <v>3028</v>
      </c>
      <c r="K68" s="2349"/>
      <c r="L68" s="2679" t="s">
        <v>3028</v>
      </c>
      <c r="M68" s="2350"/>
      <c r="N68" s="2431"/>
      <c r="O68" s="2349"/>
      <c r="P68" s="2431"/>
      <c r="Q68" s="2349"/>
    </row>
    <row r="69" spans="1:17">
      <c r="A69" s="2432"/>
      <c r="B69" s="2688" t="s">
        <v>5955</v>
      </c>
      <c r="C69" s="2407"/>
      <c r="D69" s="2441">
        <v>1</v>
      </c>
      <c r="E69" s="2409" t="s">
        <v>3041</v>
      </c>
      <c r="F69" s="2438">
        <v>50</v>
      </c>
      <c r="G69" s="669">
        <f t="shared" si="4"/>
        <v>50</v>
      </c>
      <c r="H69" s="2679" t="s">
        <v>3028</v>
      </c>
      <c r="I69" s="2350"/>
      <c r="J69" s="2442" t="s">
        <v>3028</v>
      </c>
      <c r="K69" s="2349"/>
      <c r="L69" s="2679" t="s">
        <v>3028</v>
      </c>
      <c r="M69" s="2350"/>
      <c r="N69" s="2431"/>
      <c r="O69" s="2349"/>
      <c r="P69" s="2431"/>
      <c r="Q69" s="2349"/>
    </row>
    <row r="70" spans="1:17">
      <c r="A70" s="2432"/>
      <c r="B70" s="2655" t="s">
        <v>5956</v>
      </c>
      <c r="C70" s="2407"/>
      <c r="D70" s="2408">
        <v>1</v>
      </c>
      <c r="E70" s="2409" t="s">
        <v>3041</v>
      </c>
      <c r="F70" s="2438">
        <v>50</v>
      </c>
      <c r="G70" s="669">
        <f t="shared" si="4"/>
        <v>50</v>
      </c>
      <c r="H70" s="2679" t="s">
        <v>3028</v>
      </c>
      <c r="I70" s="2350"/>
      <c r="J70" s="2442" t="s">
        <v>3028</v>
      </c>
      <c r="K70" s="2349"/>
      <c r="L70" s="2679" t="s">
        <v>3028</v>
      </c>
      <c r="M70" s="2350"/>
      <c r="N70" s="2431"/>
      <c r="O70" s="2349"/>
      <c r="P70" s="2431"/>
      <c r="Q70" s="2349"/>
    </row>
    <row r="71" spans="1:17">
      <c r="A71" s="2432"/>
      <c r="B71" s="2688" t="s">
        <v>5957</v>
      </c>
      <c r="C71" s="2407"/>
      <c r="D71" s="2408">
        <v>1</v>
      </c>
      <c r="E71" s="2409" t="s">
        <v>3041</v>
      </c>
      <c r="F71" s="2438">
        <v>50</v>
      </c>
      <c r="G71" s="669">
        <f t="shared" si="4"/>
        <v>50</v>
      </c>
      <c r="H71" s="2679" t="s">
        <v>3028</v>
      </c>
      <c r="I71" s="2350"/>
      <c r="J71" s="2442" t="s">
        <v>3028</v>
      </c>
      <c r="K71" s="2349"/>
      <c r="L71" s="2679" t="s">
        <v>3028</v>
      </c>
      <c r="M71" s="2350"/>
      <c r="N71" s="2431"/>
      <c r="O71" s="2349"/>
      <c r="P71" s="2431"/>
      <c r="Q71" s="2349"/>
    </row>
    <row r="72" spans="1:17">
      <c r="A72" s="2432"/>
      <c r="B72" s="2689" t="s">
        <v>5958</v>
      </c>
      <c r="C72" s="2407"/>
      <c r="D72" s="2408">
        <v>1</v>
      </c>
      <c r="E72" s="2409" t="s">
        <v>3041</v>
      </c>
      <c r="F72" s="2438">
        <v>50</v>
      </c>
      <c r="G72" s="669">
        <f t="shared" si="4"/>
        <v>50</v>
      </c>
      <c r="H72" s="2679" t="s">
        <v>3028</v>
      </c>
      <c r="I72" s="2350"/>
      <c r="J72" s="2442" t="s">
        <v>3028</v>
      </c>
      <c r="K72" s="2349"/>
      <c r="L72" s="2679" t="s">
        <v>3028</v>
      </c>
      <c r="M72" s="2350"/>
      <c r="N72" s="2431"/>
      <c r="O72" s="2349"/>
      <c r="P72" s="2431"/>
      <c r="Q72" s="2349"/>
    </row>
    <row r="73" spans="1:17">
      <c r="A73" s="2432"/>
      <c r="B73" s="2688" t="s">
        <v>5959</v>
      </c>
      <c r="C73" s="2407"/>
      <c r="D73" s="2408">
        <v>1</v>
      </c>
      <c r="E73" s="2409" t="s">
        <v>3041</v>
      </c>
      <c r="F73" s="2438">
        <v>100</v>
      </c>
      <c r="G73" s="669">
        <f t="shared" si="4"/>
        <v>100</v>
      </c>
      <c r="H73" s="2679" t="s">
        <v>3028</v>
      </c>
      <c r="I73" s="2350"/>
      <c r="J73" s="2442" t="s">
        <v>3028</v>
      </c>
      <c r="K73" s="2349"/>
      <c r="L73" s="2679" t="s">
        <v>3028</v>
      </c>
      <c r="M73" s="2350"/>
      <c r="N73" s="2431"/>
      <c r="O73" s="2349"/>
      <c r="P73" s="2431"/>
      <c r="Q73" s="2349"/>
    </row>
    <row r="74" spans="1:17">
      <c r="A74" s="2432"/>
      <c r="B74" s="2688" t="s">
        <v>5971</v>
      </c>
      <c r="C74" s="2407"/>
      <c r="D74" s="2408">
        <v>1</v>
      </c>
      <c r="E74" s="2409" t="s">
        <v>3041</v>
      </c>
      <c r="F74" s="2438">
        <v>50</v>
      </c>
      <c r="G74" s="669">
        <f t="shared" si="4"/>
        <v>50</v>
      </c>
      <c r="H74" s="2679" t="s">
        <v>3028</v>
      </c>
      <c r="I74" s="2350"/>
      <c r="J74" s="2442" t="s">
        <v>3028</v>
      </c>
      <c r="K74" s="2349"/>
      <c r="L74" s="2679" t="s">
        <v>3028</v>
      </c>
      <c r="M74" s="2350"/>
      <c r="N74" s="2431"/>
      <c r="O74" s="2349"/>
      <c r="P74" s="2431"/>
      <c r="Q74" s="2349"/>
    </row>
    <row r="75" spans="1:17">
      <c r="A75" s="2432"/>
      <c r="B75" s="2688" t="s">
        <v>5961</v>
      </c>
      <c r="C75" s="2407"/>
      <c r="D75" s="2408">
        <v>1</v>
      </c>
      <c r="E75" s="2409" t="s">
        <v>3041</v>
      </c>
      <c r="F75" s="2438">
        <v>150</v>
      </c>
      <c r="G75" s="669">
        <f t="shared" si="4"/>
        <v>150</v>
      </c>
      <c r="H75" s="2679" t="s">
        <v>3028</v>
      </c>
      <c r="I75" s="2350"/>
      <c r="J75" s="2442" t="s">
        <v>3028</v>
      </c>
      <c r="K75" s="2349"/>
      <c r="L75" s="2679" t="s">
        <v>3028</v>
      </c>
      <c r="M75" s="2350"/>
      <c r="N75" s="2431"/>
      <c r="O75" s="2349"/>
      <c r="P75" s="2431"/>
      <c r="Q75" s="2349"/>
    </row>
    <row r="76" spans="1:17">
      <c r="A76" s="2432"/>
      <c r="B76" s="2687" t="s">
        <v>5973</v>
      </c>
      <c r="C76" s="2407"/>
      <c r="D76" s="2408"/>
      <c r="E76" s="2409"/>
      <c r="F76" s="2438"/>
      <c r="G76" s="662"/>
      <c r="H76" s="2679" t="s">
        <v>3028</v>
      </c>
      <c r="I76" s="2350"/>
      <c r="J76" s="2442" t="s">
        <v>3028</v>
      </c>
      <c r="K76" s="2349"/>
      <c r="L76" s="2679" t="s">
        <v>3028</v>
      </c>
      <c r="M76" s="2350"/>
      <c r="N76" s="2431"/>
      <c r="O76" s="2349"/>
      <c r="P76" s="2431"/>
      <c r="Q76" s="2349"/>
    </row>
    <row r="77" spans="1:17">
      <c r="A77" s="2432"/>
      <c r="B77" s="2688" t="s">
        <v>5964</v>
      </c>
      <c r="C77" s="2407"/>
      <c r="D77" s="2408">
        <v>5</v>
      </c>
      <c r="E77" s="2409" t="s">
        <v>3041</v>
      </c>
      <c r="F77" s="2438">
        <f>275+50</f>
        <v>325</v>
      </c>
      <c r="G77" s="669">
        <f>F77*D77</f>
        <v>1625</v>
      </c>
      <c r="H77" s="2679" t="s">
        <v>3028</v>
      </c>
      <c r="I77" s="2350"/>
      <c r="J77" s="2442" t="s">
        <v>3028</v>
      </c>
      <c r="K77" s="2349"/>
      <c r="L77" s="2679" t="s">
        <v>3028</v>
      </c>
      <c r="M77" s="2350"/>
      <c r="N77" s="2431"/>
      <c r="O77" s="2349"/>
      <c r="P77" s="2431"/>
      <c r="Q77" s="2349"/>
    </row>
    <row r="78" spans="1:17">
      <c r="A78" s="2432"/>
      <c r="B78" s="2688" t="s">
        <v>5965</v>
      </c>
      <c r="C78" s="2407"/>
      <c r="D78" s="2408">
        <v>2</v>
      </c>
      <c r="E78" s="2409" t="s">
        <v>3041</v>
      </c>
      <c r="F78" s="2438">
        <f>950+50</f>
        <v>1000</v>
      </c>
      <c r="G78" s="669">
        <f>F78*D78</f>
        <v>2000</v>
      </c>
      <c r="H78" s="2679" t="s">
        <v>3028</v>
      </c>
      <c r="I78" s="2350"/>
      <c r="J78" s="2442" t="s">
        <v>3028</v>
      </c>
      <c r="K78" s="2349"/>
      <c r="L78" s="2679" t="s">
        <v>3028</v>
      </c>
      <c r="M78" s="2350"/>
      <c r="N78" s="2431"/>
      <c r="O78" s="2349"/>
      <c r="P78" s="2431"/>
      <c r="Q78" s="2349"/>
    </row>
    <row r="79" spans="1:17">
      <c r="A79" s="2432"/>
      <c r="B79" s="2688" t="s">
        <v>5966</v>
      </c>
      <c r="C79" s="2407"/>
      <c r="D79" s="2408">
        <v>2</v>
      </c>
      <c r="E79" s="2409" t="s">
        <v>3041</v>
      </c>
      <c r="F79" s="2438">
        <f>1035+50</f>
        <v>1085</v>
      </c>
      <c r="G79" s="669">
        <f>F79*D79</f>
        <v>2170</v>
      </c>
      <c r="H79" s="2679" t="s">
        <v>3028</v>
      </c>
      <c r="I79" s="2350"/>
      <c r="J79" s="2442" t="s">
        <v>3028</v>
      </c>
      <c r="K79" s="2349"/>
      <c r="L79" s="2679" t="s">
        <v>3028</v>
      </c>
      <c r="M79" s="2350"/>
      <c r="N79" s="2431"/>
      <c r="O79" s="2349"/>
      <c r="P79" s="2431"/>
      <c r="Q79" s="2349"/>
    </row>
    <row r="80" spans="1:17">
      <c r="A80" s="2432"/>
      <c r="B80" s="2688" t="s">
        <v>5967</v>
      </c>
      <c r="C80" s="2407"/>
      <c r="D80" s="2408">
        <v>7</v>
      </c>
      <c r="E80" s="2409" t="s">
        <v>3041</v>
      </c>
      <c r="F80" s="2438">
        <f>200+100</f>
        <v>300</v>
      </c>
      <c r="G80" s="669">
        <f>F80*D80</f>
        <v>2100</v>
      </c>
      <c r="H80" s="2679" t="s">
        <v>3028</v>
      </c>
      <c r="I80" s="2350"/>
      <c r="J80" s="2442" t="s">
        <v>3028</v>
      </c>
      <c r="K80" s="2349"/>
      <c r="L80" s="2679" t="s">
        <v>3028</v>
      </c>
      <c r="M80" s="2350"/>
      <c r="N80" s="2431"/>
      <c r="O80" s="2349"/>
      <c r="P80" s="2431"/>
      <c r="Q80" s="2349"/>
    </row>
    <row r="81" spans="1:17">
      <c r="A81" s="2432"/>
      <c r="B81" s="2688" t="s">
        <v>5974</v>
      </c>
      <c r="C81" s="2407"/>
      <c r="D81" s="2408">
        <v>2</v>
      </c>
      <c r="E81" s="2409" t="s">
        <v>3041</v>
      </c>
      <c r="F81" s="2438">
        <v>400</v>
      </c>
      <c r="G81" s="669">
        <f>F81*D81</f>
        <v>800</v>
      </c>
      <c r="H81" s="2679" t="s">
        <v>3028</v>
      </c>
      <c r="I81" s="2350"/>
      <c r="J81" s="2442" t="s">
        <v>3028</v>
      </c>
      <c r="K81" s="2349"/>
      <c r="L81" s="2679" t="s">
        <v>3028</v>
      </c>
      <c r="M81" s="2350"/>
      <c r="N81" s="2431"/>
      <c r="O81" s="2349"/>
      <c r="P81" s="2431"/>
      <c r="Q81" s="2349"/>
    </row>
    <row r="82" spans="1:17">
      <c r="A82" s="2432"/>
      <c r="B82" s="2688" t="s">
        <v>5975</v>
      </c>
      <c r="C82" s="2407"/>
      <c r="D82" s="2408">
        <v>1</v>
      </c>
      <c r="E82" s="2409" t="s">
        <v>3041</v>
      </c>
      <c r="F82" s="2438"/>
      <c r="G82" s="662"/>
      <c r="H82" s="2679" t="s">
        <v>3028</v>
      </c>
      <c r="I82" s="2350"/>
      <c r="J82" s="2442" t="s">
        <v>3028</v>
      </c>
      <c r="K82" s="2349"/>
      <c r="L82" s="2679" t="s">
        <v>3028</v>
      </c>
      <c r="M82" s="2350"/>
      <c r="N82" s="2431"/>
      <c r="O82" s="2349"/>
      <c r="P82" s="2431"/>
      <c r="Q82" s="2349"/>
    </row>
    <row r="83" spans="1:17">
      <c r="A83" s="2432"/>
      <c r="B83" s="2687" t="s">
        <v>5976</v>
      </c>
      <c r="C83" s="2407"/>
      <c r="D83" s="2408"/>
      <c r="E83" s="2409"/>
      <c r="F83" s="2438"/>
      <c r="G83" s="662"/>
      <c r="H83" s="2442" t="s">
        <v>3028</v>
      </c>
      <c r="I83" s="2350"/>
      <c r="J83" s="2442" t="s">
        <v>3028</v>
      </c>
      <c r="K83" s="2349"/>
      <c r="L83" s="2679" t="s">
        <v>3028</v>
      </c>
      <c r="M83" s="2350"/>
      <c r="N83" s="2431"/>
      <c r="O83" s="2349"/>
      <c r="P83" s="2431"/>
      <c r="Q83" s="2349"/>
    </row>
    <row r="84" spans="1:17">
      <c r="A84" s="2432"/>
      <c r="B84" s="2688" t="s">
        <v>5977</v>
      </c>
      <c r="C84" s="2407"/>
      <c r="D84" s="2408">
        <v>8</v>
      </c>
      <c r="E84" s="2409" t="s">
        <v>3041</v>
      </c>
      <c r="F84" s="2438">
        <f>200+100</f>
        <v>300</v>
      </c>
      <c r="G84" s="669">
        <f>F84*D84</f>
        <v>2400</v>
      </c>
      <c r="H84" s="2442" t="s">
        <v>3028</v>
      </c>
      <c r="I84" s="2350"/>
      <c r="J84" s="2442" t="s">
        <v>3028</v>
      </c>
      <c r="K84" s="2349"/>
      <c r="L84" s="2679" t="s">
        <v>3028</v>
      </c>
      <c r="M84" s="2350"/>
      <c r="N84" s="2431"/>
      <c r="O84" s="2349"/>
      <c r="P84" s="2431"/>
      <c r="Q84" s="2349"/>
    </row>
    <row r="85" spans="1:17">
      <c r="A85" s="2432"/>
      <c r="B85" s="2687" t="s">
        <v>5978</v>
      </c>
      <c r="C85" s="2407"/>
      <c r="D85" s="2408"/>
      <c r="E85" s="2409"/>
      <c r="F85" s="2438"/>
      <c r="G85" s="662"/>
      <c r="H85" s="2442" t="s">
        <v>3028</v>
      </c>
      <c r="I85" s="2350"/>
      <c r="J85" s="2442" t="s">
        <v>3028</v>
      </c>
      <c r="K85" s="2349"/>
      <c r="L85" s="2679" t="s">
        <v>3028</v>
      </c>
      <c r="M85" s="2350"/>
      <c r="N85" s="2431"/>
      <c r="O85" s="2349"/>
      <c r="P85" s="2431"/>
      <c r="Q85" s="2349"/>
    </row>
    <row r="86" spans="1:17">
      <c r="A86" s="2432"/>
      <c r="B86" s="2688" t="s">
        <v>5977</v>
      </c>
      <c r="C86" s="2407"/>
      <c r="D86" s="2408">
        <v>3</v>
      </c>
      <c r="E86" s="2409" t="s">
        <v>3041</v>
      </c>
      <c r="F86" s="2438">
        <f>200+100</f>
        <v>300</v>
      </c>
      <c r="G86" s="669">
        <f>F86*D86</f>
        <v>900</v>
      </c>
      <c r="H86" s="2442" t="s">
        <v>3028</v>
      </c>
      <c r="I86" s="2350"/>
      <c r="J86" s="2442" t="s">
        <v>3028</v>
      </c>
      <c r="K86" s="2349"/>
      <c r="L86" s="2679" t="s">
        <v>3028</v>
      </c>
      <c r="M86" s="2350"/>
      <c r="N86" s="2431"/>
      <c r="O86" s="2349"/>
      <c r="P86" s="2431"/>
      <c r="Q86" s="2349"/>
    </row>
    <row r="87" spans="1:17">
      <c r="A87" s="2432"/>
      <c r="B87" s="2687" t="s">
        <v>5979</v>
      </c>
      <c r="C87" s="2407"/>
      <c r="D87" s="2408"/>
      <c r="E87" s="2409"/>
      <c r="F87" s="2438"/>
      <c r="G87" s="662"/>
      <c r="H87" s="2442" t="s">
        <v>3028</v>
      </c>
      <c r="I87" s="2350"/>
      <c r="J87" s="2442" t="s">
        <v>3028</v>
      </c>
      <c r="K87" s="2349"/>
      <c r="L87" s="2679" t="s">
        <v>3028</v>
      </c>
      <c r="M87" s="2350"/>
      <c r="N87" s="2431"/>
      <c r="O87" s="2349"/>
      <c r="P87" s="2431"/>
      <c r="Q87" s="2349"/>
    </row>
    <row r="88" spans="1:17">
      <c r="A88" s="2432"/>
      <c r="B88" s="2688" t="s">
        <v>5980</v>
      </c>
      <c r="C88" s="2407"/>
      <c r="D88" s="2441">
        <v>4</v>
      </c>
      <c r="E88" s="2409" t="s">
        <v>3041</v>
      </c>
      <c r="F88" s="2438">
        <f>275+50</f>
        <v>325</v>
      </c>
      <c r="G88" s="669">
        <f>F88*D88</f>
        <v>1300</v>
      </c>
      <c r="H88" s="2442" t="s">
        <v>3028</v>
      </c>
      <c r="I88" s="2444"/>
      <c r="J88" s="2442" t="s">
        <v>3028</v>
      </c>
      <c r="K88" s="2443"/>
      <c r="L88" s="2679" t="s">
        <v>3028</v>
      </c>
      <c r="M88" s="2444"/>
      <c r="N88" s="2442"/>
      <c r="O88" s="2443"/>
      <c r="P88" s="2442"/>
      <c r="Q88" s="2443"/>
    </row>
    <row r="89" spans="1:17">
      <c r="A89" s="2432"/>
      <c r="B89" s="2688" t="s">
        <v>5965</v>
      </c>
      <c r="C89" s="2407"/>
      <c r="D89" s="2441">
        <v>1</v>
      </c>
      <c r="E89" s="2409" t="s">
        <v>3041</v>
      </c>
      <c r="F89" s="2438">
        <v>1000</v>
      </c>
      <c r="G89" s="669">
        <f>F89*D89</f>
        <v>1000</v>
      </c>
      <c r="H89" s="2679" t="s">
        <v>3028</v>
      </c>
      <c r="I89" s="2444"/>
      <c r="J89" s="2442" t="s">
        <v>3028</v>
      </c>
      <c r="K89" s="2443"/>
      <c r="L89" s="2679" t="s">
        <v>3028</v>
      </c>
      <c r="M89" s="2444"/>
      <c r="N89" s="2442"/>
      <c r="O89" s="2443"/>
      <c r="P89" s="2442"/>
      <c r="Q89" s="2443"/>
    </row>
    <row r="90" spans="1:17">
      <c r="A90" s="2432"/>
      <c r="B90" s="2688" t="s">
        <v>5966</v>
      </c>
      <c r="C90" s="2407"/>
      <c r="D90" s="2441">
        <v>1</v>
      </c>
      <c r="E90" s="2409" t="s">
        <v>3041</v>
      </c>
      <c r="F90" s="2438">
        <f>1135-50</f>
        <v>1085</v>
      </c>
      <c r="G90" s="669">
        <f>F90*D90</f>
        <v>1085</v>
      </c>
      <c r="H90" s="2679" t="s">
        <v>3028</v>
      </c>
      <c r="I90" s="2444"/>
      <c r="J90" s="2442" t="s">
        <v>3028</v>
      </c>
      <c r="K90" s="2443"/>
      <c r="L90" s="2679" t="s">
        <v>3028</v>
      </c>
      <c r="M90" s="2444"/>
      <c r="N90" s="2442"/>
      <c r="O90" s="2443"/>
      <c r="P90" s="2442"/>
      <c r="Q90" s="2443"/>
    </row>
    <row r="91" spans="1:17">
      <c r="A91" s="2432"/>
      <c r="B91" s="2687" t="s">
        <v>5981</v>
      </c>
      <c r="C91" s="2407"/>
      <c r="D91" s="2441"/>
      <c r="E91" s="2409"/>
      <c r="F91" s="2438"/>
      <c r="G91" s="669"/>
      <c r="H91" s="2679" t="s">
        <v>3028</v>
      </c>
      <c r="I91" s="2444"/>
      <c r="J91" s="2442" t="s">
        <v>3028</v>
      </c>
      <c r="K91" s="2443"/>
      <c r="L91" s="2679" t="s">
        <v>3028</v>
      </c>
      <c r="M91" s="2444"/>
      <c r="N91" s="2442"/>
      <c r="O91" s="2443"/>
      <c r="P91" s="2442"/>
      <c r="Q91" s="2443"/>
    </row>
    <row r="92" spans="1:17" s="446" customFormat="1">
      <c r="A92" s="2692"/>
      <c r="B92" s="2688" t="s">
        <v>5980</v>
      </c>
      <c r="C92" s="2407"/>
      <c r="D92" s="2441">
        <v>2</v>
      </c>
      <c r="E92" s="2409" t="s">
        <v>3041</v>
      </c>
      <c r="F92" s="2438">
        <f>275+100</f>
        <v>375</v>
      </c>
      <c r="G92" s="669">
        <f>F92*D92</f>
        <v>750</v>
      </c>
      <c r="H92" s="2442" t="s">
        <v>3028</v>
      </c>
      <c r="I92" s="2693"/>
      <c r="J92" s="2442" t="s">
        <v>3028</v>
      </c>
      <c r="K92" s="2694"/>
      <c r="L92" s="2679" t="s">
        <v>3028</v>
      </c>
      <c r="M92" s="2693"/>
      <c r="N92" s="2695"/>
      <c r="O92" s="2694"/>
      <c r="P92" s="2695"/>
      <c r="Q92" s="2694"/>
    </row>
    <row r="93" spans="1:17" s="446" customFormat="1">
      <c r="A93" s="2692"/>
      <c r="B93" s="2688" t="s">
        <v>5965</v>
      </c>
      <c r="C93" s="2407"/>
      <c r="D93" s="2441">
        <v>1</v>
      </c>
      <c r="E93" s="2409" t="s">
        <v>3041</v>
      </c>
      <c r="F93" s="2438">
        <f>950+50</f>
        <v>1000</v>
      </c>
      <c r="G93" s="669">
        <f>F93*D93</f>
        <v>1000</v>
      </c>
      <c r="H93" s="2679" t="s">
        <v>3028</v>
      </c>
      <c r="I93" s="2693"/>
      <c r="J93" s="2442" t="s">
        <v>3028</v>
      </c>
      <c r="K93" s="2694"/>
      <c r="L93" s="2679" t="s">
        <v>3028</v>
      </c>
      <c r="M93" s="2693"/>
      <c r="N93" s="2695"/>
      <c r="O93" s="2694"/>
      <c r="P93" s="2695"/>
      <c r="Q93" s="2694"/>
    </row>
    <row r="94" spans="1:17" s="446" customFormat="1">
      <c r="A94" s="2692"/>
      <c r="B94" s="2688" t="s">
        <v>5966</v>
      </c>
      <c r="C94" s="2407"/>
      <c r="D94" s="2441">
        <v>1</v>
      </c>
      <c r="E94" s="2409" t="s">
        <v>3041</v>
      </c>
      <c r="F94" s="2438">
        <f>1035+100</f>
        <v>1135</v>
      </c>
      <c r="G94" s="669">
        <f>F94*D94</f>
        <v>1135</v>
      </c>
      <c r="H94" s="2679" t="s">
        <v>3028</v>
      </c>
      <c r="I94" s="2693"/>
      <c r="J94" s="2442" t="s">
        <v>3028</v>
      </c>
      <c r="K94" s="2694"/>
      <c r="L94" s="2679" t="s">
        <v>3028</v>
      </c>
      <c r="M94" s="2693"/>
      <c r="N94" s="2695"/>
      <c r="O94" s="2694"/>
      <c r="P94" s="2695"/>
      <c r="Q94" s="2694"/>
    </row>
    <row r="95" spans="1:17">
      <c r="A95" s="2432"/>
      <c r="B95" s="2688" t="s">
        <v>5982</v>
      </c>
      <c r="C95" s="2407"/>
      <c r="D95" s="2441">
        <v>4</v>
      </c>
      <c r="E95" s="2409" t="s">
        <v>3041</v>
      </c>
      <c r="F95" s="2438">
        <f>200+100</f>
        <v>300</v>
      </c>
      <c r="G95" s="669">
        <f>F95*D95</f>
        <v>1200</v>
      </c>
      <c r="H95" s="2679" t="s">
        <v>3028</v>
      </c>
      <c r="I95" s="2444"/>
      <c r="J95" s="2442" t="s">
        <v>3028</v>
      </c>
      <c r="K95" s="2443"/>
      <c r="L95" s="2679" t="s">
        <v>3028</v>
      </c>
      <c r="M95" s="2444"/>
      <c r="N95" s="2442"/>
      <c r="O95" s="2443"/>
      <c r="P95" s="2442"/>
      <c r="Q95" s="2443"/>
    </row>
    <row r="96" spans="1:17">
      <c r="A96" s="2432"/>
      <c r="B96" s="2688" t="s">
        <v>5974</v>
      </c>
      <c r="C96" s="2407"/>
      <c r="D96" s="2408">
        <v>1</v>
      </c>
      <c r="E96" s="2409" t="s">
        <v>3041</v>
      </c>
      <c r="F96" s="2438">
        <v>400</v>
      </c>
      <c r="G96" s="669">
        <f>F96*D96</f>
        <v>400</v>
      </c>
      <c r="H96" s="2679" t="s">
        <v>3028</v>
      </c>
      <c r="I96" s="2444"/>
      <c r="J96" s="2442" t="s">
        <v>3028</v>
      </c>
      <c r="K96" s="2443"/>
      <c r="L96" s="2679" t="s">
        <v>3028</v>
      </c>
      <c r="M96" s="2444"/>
      <c r="N96" s="2442"/>
      <c r="O96" s="2443"/>
      <c r="P96" s="2442"/>
      <c r="Q96" s="2443"/>
    </row>
    <row r="97" spans="1:17">
      <c r="A97" s="2432"/>
      <c r="B97" s="2687" t="s">
        <v>5983</v>
      </c>
      <c r="C97" s="2407"/>
      <c r="D97" s="2441"/>
      <c r="E97" s="2409"/>
      <c r="F97" s="2438"/>
      <c r="G97" s="669"/>
      <c r="H97" s="2679" t="s">
        <v>3028</v>
      </c>
      <c r="I97" s="2444"/>
      <c r="J97" s="2442" t="s">
        <v>3028</v>
      </c>
      <c r="K97" s="2443"/>
      <c r="L97" s="2679" t="s">
        <v>3028</v>
      </c>
      <c r="M97" s="2444"/>
      <c r="N97" s="2442"/>
      <c r="O97" s="2443"/>
      <c r="P97" s="2442"/>
      <c r="Q97" s="2443"/>
    </row>
    <row r="98" spans="1:17">
      <c r="A98" s="2432"/>
      <c r="B98" s="2688" t="s">
        <v>5982</v>
      </c>
      <c r="C98" s="2407"/>
      <c r="D98" s="2441">
        <v>3</v>
      </c>
      <c r="E98" s="2409" t="s">
        <v>3041</v>
      </c>
      <c r="F98" s="2438">
        <f>200+100</f>
        <v>300</v>
      </c>
      <c r="G98" s="669">
        <f>F98*D98</f>
        <v>900</v>
      </c>
      <c r="H98" s="2442" t="s">
        <v>3028</v>
      </c>
      <c r="I98" s="2444"/>
      <c r="J98" s="2442" t="s">
        <v>3028</v>
      </c>
      <c r="K98" s="2443"/>
      <c r="L98" s="2679" t="s">
        <v>3028</v>
      </c>
      <c r="M98" s="2444"/>
      <c r="N98" s="2442"/>
      <c r="O98" s="2443"/>
      <c r="P98" s="2442"/>
      <c r="Q98" s="2443"/>
    </row>
    <row r="99" spans="1:17">
      <c r="A99" s="2432"/>
      <c r="B99" s="2687" t="s">
        <v>5984</v>
      </c>
      <c r="C99" s="2407"/>
      <c r="D99" s="2441"/>
      <c r="E99" s="2409"/>
      <c r="F99" s="2438"/>
      <c r="G99" s="669"/>
      <c r="H99" s="2679" t="s">
        <v>3028</v>
      </c>
      <c r="I99" s="2444"/>
      <c r="J99" s="2442" t="s">
        <v>3028</v>
      </c>
      <c r="K99" s="2443"/>
      <c r="L99" s="2679" t="s">
        <v>3028</v>
      </c>
      <c r="M99" s="2444"/>
      <c r="N99" s="2442"/>
      <c r="O99" s="2443"/>
      <c r="P99" s="2442"/>
      <c r="Q99" s="2443"/>
    </row>
    <row r="100" spans="1:17">
      <c r="A100" s="2432"/>
      <c r="B100" s="2688" t="s">
        <v>5982</v>
      </c>
      <c r="C100" s="2407"/>
      <c r="D100" s="2441">
        <v>8</v>
      </c>
      <c r="E100" s="2409" t="s">
        <v>3041</v>
      </c>
      <c r="F100" s="2438">
        <f>200+50</f>
        <v>250</v>
      </c>
      <c r="G100" s="669">
        <f>F100*D100</f>
        <v>2000</v>
      </c>
      <c r="H100" s="2679" t="s">
        <v>3028</v>
      </c>
      <c r="I100" s="2444"/>
      <c r="J100" s="2442" t="s">
        <v>3028</v>
      </c>
      <c r="K100" s="2443"/>
      <c r="L100" s="2679" t="s">
        <v>3028</v>
      </c>
      <c r="M100" s="2444"/>
      <c r="N100" s="2442"/>
      <c r="O100" s="2443"/>
      <c r="P100" s="2442"/>
      <c r="Q100" s="2443"/>
    </row>
    <row r="101" spans="1:17">
      <c r="A101" s="2432"/>
      <c r="B101" s="2696" t="s">
        <v>5985</v>
      </c>
      <c r="C101" s="2407"/>
      <c r="D101" s="2441">
        <v>4</v>
      </c>
      <c r="E101" s="2409" t="s">
        <v>3041</v>
      </c>
      <c r="F101" s="2438"/>
      <c r="G101" s="669"/>
      <c r="H101" s="2679" t="s">
        <v>3807</v>
      </c>
      <c r="I101" s="2444"/>
      <c r="J101" s="2442" t="s">
        <v>3807</v>
      </c>
      <c r="K101" s="2443"/>
      <c r="L101" s="2442" t="s">
        <v>3807</v>
      </c>
      <c r="M101" s="2444"/>
      <c r="N101" s="2442"/>
      <c r="O101" s="2443"/>
      <c r="P101" s="2442"/>
      <c r="Q101" s="2443"/>
    </row>
    <row r="102" spans="1:17">
      <c r="A102" s="2432"/>
      <c r="B102" s="2687" t="s">
        <v>5986</v>
      </c>
      <c r="C102" s="2407"/>
      <c r="D102" s="2441"/>
      <c r="E102" s="2409"/>
      <c r="F102" s="2438"/>
      <c r="G102" s="669"/>
      <c r="H102" s="2679" t="s">
        <v>3028</v>
      </c>
      <c r="I102" s="2444"/>
      <c r="J102" s="2442" t="s">
        <v>3028</v>
      </c>
      <c r="K102" s="2443"/>
      <c r="L102" s="2679" t="s">
        <v>3028</v>
      </c>
      <c r="M102" s="2444"/>
      <c r="N102" s="2442"/>
      <c r="O102" s="2443"/>
      <c r="P102" s="2442"/>
      <c r="Q102" s="2443"/>
    </row>
    <row r="103" spans="1:17">
      <c r="A103" s="2432"/>
      <c r="B103" s="2688" t="s">
        <v>5980</v>
      </c>
      <c r="C103" s="2407"/>
      <c r="D103" s="2441">
        <v>1</v>
      </c>
      <c r="E103" s="2409" t="s">
        <v>3041</v>
      </c>
      <c r="F103" s="2438">
        <f>275+50</f>
        <v>325</v>
      </c>
      <c r="G103" s="669">
        <f>F103*D103</f>
        <v>325</v>
      </c>
      <c r="H103" s="2679" t="s">
        <v>3028</v>
      </c>
      <c r="I103" s="2444"/>
      <c r="J103" s="2442" t="s">
        <v>3028</v>
      </c>
      <c r="K103" s="2443"/>
      <c r="L103" s="2679" t="s">
        <v>3028</v>
      </c>
      <c r="M103" s="2444"/>
      <c r="N103" s="2442"/>
      <c r="O103" s="2443"/>
      <c r="P103" s="2442"/>
      <c r="Q103" s="2443"/>
    </row>
    <row r="104" spans="1:17">
      <c r="A104" s="2432"/>
      <c r="B104" s="2688" t="s">
        <v>5965</v>
      </c>
      <c r="C104" s="2407"/>
      <c r="D104" s="2441">
        <v>1</v>
      </c>
      <c r="E104" s="2409" t="s">
        <v>3041</v>
      </c>
      <c r="F104" s="2438">
        <f>950+50</f>
        <v>1000</v>
      </c>
      <c r="G104" s="669">
        <f>F104*D104</f>
        <v>1000</v>
      </c>
      <c r="H104" s="2679" t="s">
        <v>3028</v>
      </c>
      <c r="I104" s="2444"/>
      <c r="J104" s="2442" t="s">
        <v>3028</v>
      </c>
      <c r="K104" s="2443"/>
      <c r="L104" s="2679" t="s">
        <v>3028</v>
      </c>
      <c r="M104" s="2444"/>
      <c r="N104" s="2442"/>
      <c r="O104" s="2443"/>
      <c r="P104" s="2442"/>
      <c r="Q104" s="2443"/>
    </row>
    <row r="105" spans="1:17">
      <c r="A105" s="2432"/>
      <c r="B105" s="2688" t="s">
        <v>5966</v>
      </c>
      <c r="C105" s="2407"/>
      <c r="D105" s="2441">
        <v>1</v>
      </c>
      <c r="E105" s="2409" t="s">
        <v>3041</v>
      </c>
      <c r="F105" s="2438">
        <f>1035+100</f>
        <v>1135</v>
      </c>
      <c r="G105" s="669">
        <f>F105*D105</f>
        <v>1135</v>
      </c>
      <c r="H105" s="2679" t="s">
        <v>3028</v>
      </c>
      <c r="I105" s="2444"/>
      <c r="J105" s="2442" t="s">
        <v>3028</v>
      </c>
      <c r="K105" s="2443"/>
      <c r="L105" s="2679" t="s">
        <v>3028</v>
      </c>
      <c r="M105" s="2444"/>
      <c r="N105" s="2442"/>
      <c r="O105" s="2443"/>
      <c r="P105" s="2442"/>
      <c r="Q105" s="2443"/>
    </row>
    <row r="106" spans="1:17">
      <c r="A106" s="2432"/>
      <c r="B106" s="2688" t="s">
        <v>5982</v>
      </c>
      <c r="C106" s="2407"/>
      <c r="D106" s="2441">
        <v>2</v>
      </c>
      <c r="E106" s="2409" t="s">
        <v>3041</v>
      </c>
      <c r="F106" s="2438">
        <f>200+100</f>
        <v>300</v>
      </c>
      <c r="G106" s="669">
        <f>F106*D106</f>
        <v>600</v>
      </c>
      <c r="H106" s="2679" t="s">
        <v>3028</v>
      </c>
      <c r="I106" s="2444"/>
      <c r="J106" s="2442" t="s">
        <v>3028</v>
      </c>
      <c r="K106" s="2443"/>
      <c r="L106" s="2679" t="s">
        <v>3028</v>
      </c>
      <c r="M106" s="2444"/>
      <c r="N106" s="2442"/>
      <c r="O106" s="2443"/>
      <c r="P106" s="2442"/>
      <c r="Q106" s="2443"/>
    </row>
    <row r="107" spans="1:17">
      <c r="A107" s="2432"/>
      <c r="B107" s="2687" t="s">
        <v>5987</v>
      </c>
      <c r="C107" s="2407"/>
      <c r="D107" s="2441"/>
      <c r="E107" s="2409"/>
      <c r="F107" s="2438"/>
      <c r="G107" s="669"/>
      <c r="H107" s="2679" t="s">
        <v>3028</v>
      </c>
      <c r="I107" s="2444"/>
      <c r="J107" s="2442" t="s">
        <v>3028</v>
      </c>
      <c r="K107" s="2443"/>
      <c r="L107" s="2679" t="s">
        <v>3028</v>
      </c>
      <c r="M107" s="2444"/>
      <c r="N107" s="2442"/>
      <c r="O107" s="2443"/>
      <c r="P107" s="2442"/>
      <c r="Q107" s="2443"/>
    </row>
    <row r="108" spans="1:17">
      <c r="A108" s="2432"/>
      <c r="B108" s="2688" t="s">
        <v>5982</v>
      </c>
      <c r="C108" s="2407"/>
      <c r="D108" s="2441">
        <v>3</v>
      </c>
      <c r="E108" s="2409" t="s">
        <v>3041</v>
      </c>
      <c r="F108" s="2438">
        <f>200+100</f>
        <v>300</v>
      </c>
      <c r="G108" s="669">
        <f>F108*D108</f>
        <v>900</v>
      </c>
      <c r="H108" s="2679" t="s">
        <v>3028</v>
      </c>
      <c r="I108" s="2444"/>
      <c r="J108" s="2442" t="s">
        <v>3028</v>
      </c>
      <c r="K108" s="2443"/>
      <c r="L108" s="2679" t="s">
        <v>3028</v>
      </c>
      <c r="M108" s="2444"/>
      <c r="N108" s="2442"/>
      <c r="O108" s="2443"/>
      <c r="P108" s="2442"/>
      <c r="Q108" s="2443"/>
    </row>
    <row r="109" spans="1:17">
      <c r="A109" s="2432"/>
      <c r="B109" s="2687" t="s">
        <v>5988</v>
      </c>
      <c r="C109" s="2407"/>
      <c r="D109" s="2441"/>
      <c r="E109" s="2409"/>
      <c r="F109" s="2438"/>
      <c r="G109" s="669"/>
      <c r="H109" s="2679" t="s">
        <v>3028</v>
      </c>
      <c r="I109" s="2444"/>
      <c r="J109" s="2442" t="s">
        <v>3028</v>
      </c>
      <c r="K109" s="2443"/>
      <c r="L109" s="2679" t="s">
        <v>3028</v>
      </c>
      <c r="M109" s="2444"/>
      <c r="N109" s="2442"/>
      <c r="O109" s="2443"/>
      <c r="P109" s="2442"/>
      <c r="Q109" s="2443"/>
    </row>
    <row r="110" spans="1:17">
      <c r="A110" s="2432"/>
      <c r="B110" s="2688" t="s">
        <v>5989</v>
      </c>
      <c r="C110" s="2407"/>
      <c r="D110" s="2441">
        <v>1</v>
      </c>
      <c r="E110" s="2409" t="s">
        <v>3041</v>
      </c>
      <c r="F110" s="2438">
        <v>50</v>
      </c>
      <c r="G110" s="669">
        <f>F110*D110</f>
        <v>50</v>
      </c>
      <c r="H110" s="2679" t="s">
        <v>3028</v>
      </c>
      <c r="I110" s="2444"/>
      <c r="J110" s="2442" t="s">
        <v>3028</v>
      </c>
      <c r="K110" s="2443"/>
      <c r="L110" s="2679" t="s">
        <v>3028</v>
      </c>
      <c r="M110" s="2444"/>
      <c r="N110" s="2442"/>
      <c r="O110" s="2443"/>
      <c r="P110" s="2442"/>
      <c r="Q110" s="2443"/>
    </row>
    <row r="111" spans="1:17">
      <c r="A111" s="2432"/>
      <c r="B111" s="2688" t="s">
        <v>5990</v>
      </c>
      <c r="C111" s="2407"/>
      <c r="D111" s="2441">
        <v>1</v>
      </c>
      <c r="E111" s="2409" t="s">
        <v>3041</v>
      </c>
      <c r="F111" s="2438">
        <v>50</v>
      </c>
      <c r="G111" s="669">
        <f>F111*D111</f>
        <v>50</v>
      </c>
      <c r="H111" s="2679" t="s">
        <v>3028</v>
      </c>
      <c r="I111" s="2444"/>
      <c r="J111" s="2442" t="s">
        <v>3028</v>
      </c>
      <c r="K111" s="2443"/>
      <c r="L111" s="2679" t="s">
        <v>3028</v>
      </c>
      <c r="M111" s="2444"/>
      <c r="N111" s="2442"/>
      <c r="O111" s="2443"/>
      <c r="P111" s="2442"/>
      <c r="Q111" s="2443"/>
    </row>
    <row r="112" spans="1:17">
      <c r="A112" s="2432"/>
      <c r="B112" s="2687" t="s">
        <v>4162</v>
      </c>
      <c r="C112" s="2407"/>
      <c r="D112" s="2441"/>
      <c r="E112" s="2409"/>
      <c r="F112" s="2438"/>
      <c r="G112" s="669"/>
      <c r="H112" s="2679" t="s">
        <v>3028</v>
      </c>
      <c r="I112" s="2444"/>
      <c r="J112" s="2442" t="s">
        <v>3028</v>
      </c>
      <c r="K112" s="2443"/>
      <c r="L112" s="2679" t="s">
        <v>3028</v>
      </c>
      <c r="M112" s="2444"/>
      <c r="N112" s="2442"/>
      <c r="O112" s="2443"/>
      <c r="P112" s="2442"/>
      <c r="Q112" s="2443"/>
    </row>
    <row r="113" spans="1:17">
      <c r="A113" s="2432"/>
      <c r="B113" s="2688" t="s">
        <v>5989</v>
      </c>
      <c r="C113" s="2407"/>
      <c r="D113" s="2441">
        <v>1</v>
      </c>
      <c r="E113" s="2409" t="s">
        <v>3041</v>
      </c>
      <c r="F113" s="2438">
        <v>50</v>
      </c>
      <c r="G113" s="669">
        <f t="shared" ref="G113:G114" si="5">F113*D113</f>
        <v>50</v>
      </c>
      <c r="H113" s="2679" t="s">
        <v>3028</v>
      </c>
      <c r="I113" s="2444"/>
      <c r="J113" s="2442" t="s">
        <v>3028</v>
      </c>
      <c r="K113" s="2443"/>
      <c r="L113" s="2679" t="s">
        <v>3028</v>
      </c>
      <c r="M113" s="2444"/>
      <c r="N113" s="2442"/>
      <c r="O113" s="2443"/>
      <c r="P113" s="2442"/>
      <c r="Q113" s="2443"/>
    </row>
    <row r="114" spans="1:17">
      <c r="A114" s="2432"/>
      <c r="B114" s="2688" t="s">
        <v>5990</v>
      </c>
      <c r="C114" s="2407"/>
      <c r="D114" s="2441">
        <v>1</v>
      </c>
      <c r="E114" s="2409" t="s">
        <v>3041</v>
      </c>
      <c r="F114" s="2438">
        <v>50</v>
      </c>
      <c r="G114" s="669">
        <f t="shared" si="5"/>
        <v>50</v>
      </c>
      <c r="H114" s="2679" t="s">
        <v>3028</v>
      </c>
      <c r="I114" s="2444"/>
      <c r="J114" s="2442" t="s">
        <v>3028</v>
      </c>
      <c r="K114" s="2443"/>
      <c r="L114" s="2679" t="s">
        <v>3028</v>
      </c>
      <c r="M114" s="2444"/>
      <c r="N114" s="2442"/>
      <c r="O114" s="2443"/>
      <c r="P114" s="2442"/>
      <c r="Q114" s="2443"/>
    </row>
    <row r="115" spans="1:17">
      <c r="A115" s="2432"/>
      <c r="B115" s="2687" t="s">
        <v>5991</v>
      </c>
      <c r="C115" s="2407"/>
      <c r="D115" s="2441"/>
      <c r="E115" s="2409"/>
      <c r="F115" s="2438"/>
      <c r="G115" s="669"/>
      <c r="H115" s="2679" t="s">
        <v>3028</v>
      </c>
      <c r="I115" s="2444"/>
      <c r="J115" s="2442" t="s">
        <v>3028</v>
      </c>
      <c r="K115" s="2443"/>
      <c r="L115" s="2679" t="s">
        <v>3028</v>
      </c>
      <c r="M115" s="2444"/>
      <c r="N115" s="2442"/>
      <c r="O115" s="2443"/>
      <c r="P115" s="2442"/>
      <c r="Q115" s="2443"/>
    </row>
    <row r="116" spans="1:17">
      <c r="A116" s="2432"/>
      <c r="B116" s="2688" t="s">
        <v>5982</v>
      </c>
      <c r="C116" s="2407"/>
      <c r="D116" s="2441">
        <v>2</v>
      </c>
      <c r="E116" s="2409" t="s">
        <v>3041</v>
      </c>
      <c r="F116" s="2438">
        <f>200+100</f>
        <v>300</v>
      </c>
      <c r="G116" s="669">
        <f>F116*D116</f>
        <v>600</v>
      </c>
      <c r="H116" s="2679" t="s">
        <v>3028</v>
      </c>
      <c r="I116" s="2444"/>
      <c r="J116" s="2442" t="s">
        <v>3028</v>
      </c>
      <c r="K116" s="2443"/>
      <c r="L116" s="2679" t="s">
        <v>3028</v>
      </c>
      <c r="M116" s="2444"/>
      <c r="N116" s="2442"/>
      <c r="O116" s="2443"/>
      <c r="P116" s="2442"/>
      <c r="Q116" s="2443"/>
    </row>
    <row r="117" spans="1:17">
      <c r="A117" s="2432"/>
      <c r="B117" s="2687" t="s">
        <v>5992</v>
      </c>
      <c r="C117" s="2407"/>
      <c r="D117" s="2441"/>
      <c r="E117" s="2409"/>
      <c r="F117" s="2438"/>
      <c r="G117" s="669"/>
      <c r="H117" s="2679" t="s">
        <v>3028</v>
      </c>
      <c r="I117" s="2444"/>
      <c r="J117" s="2442" t="s">
        <v>3028</v>
      </c>
      <c r="K117" s="2443"/>
      <c r="L117" s="2679" t="s">
        <v>3028</v>
      </c>
      <c r="M117" s="2444"/>
      <c r="N117" s="2442"/>
      <c r="O117" s="2443"/>
      <c r="P117" s="2442"/>
      <c r="Q117" s="2443"/>
    </row>
    <row r="118" spans="1:17">
      <c r="A118" s="2432"/>
      <c r="B118" s="2688" t="s">
        <v>5982</v>
      </c>
      <c r="C118" s="2407"/>
      <c r="D118" s="2441">
        <v>4</v>
      </c>
      <c r="E118" s="2409" t="s">
        <v>3041</v>
      </c>
      <c r="F118" s="2438">
        <f>200+100</f>
        <v>300</v>
      </c>
      <c r="G118" s="669">
        <f>F118*D118</f>
        <v>1200</v>
      </c>
      <c r="H118" s="2679" t="s">
        <v>3028</v>
      </c>
      <c r="I118" s="2444"/>
      <c r="J118" s="2442" t="s">
        <v>3028</v>
      </c>
      <c r="K118" s="2443"/>
      <c r="L118" s="2679" t="s">
        <v>3028</v>
      </c>
      <c r="M118" s="2444"/>
      <c r="N118" s="2442"/>
      <c r="O118" s="2443"/>
      <c r="P118" s="2442"/>
      <c r="Q118" s="2443"/>
    </row>
    <row r="119" spans="1:17">
      <c r="A119" s="2432"/>
      <c r="B119" s="2687" t="s">
        <v>4186</v>
      </c>
      <c r="C119" s="2407"/>
      <c r="D119" s="2441"/>
      <c r="E119" s="2409"/>
      <c r="F119" s="2438"/>
      <c r="G119" s="669"/>
      <c r="H119" s="2679" t="s">
        <v>3028</v>
      </c>
      <c r="I119" s="2444"/>
      <c r="J119" s="2442" t="s">
        <v>3028</v>
      </c>
      <c r="K119" s="2443"/>
      <c r="L119" s="2679" t="s">
        <v>3028</v>
      </c>
      <c r="M119" s="2444"/>
      <c r="N119" s="2442"/>
      <c r="O119" s="2443"/>
      <c r="P119" s="2442"/>
      <c r="Q119" s="2443"/>
    </row>
    <row r="120" spans="1:17">
      <c r="A120" s="2432"/>
      <c r="B120" s="2688" t="s">
        <v>5982</v>
      </c>
      <c r="C120" s="2407"/>
      <c r="D120" s="2441">
        <v>2</v>
      </c>
      <c r="E120" s="2409" t="s">
        <v>3041</v>
      </c>
      <c r="F120" s="2438">
        <f>200+100</f>
        <v>300</v>
      </c>
      <c r="G120" s="669">
        <f>F120*D120</f>
        <v>600</v>
      </c>
      <c r="H120" s="2679" t="s">
        <v>3028</v>
      </c>
      <c r="I120" s="2444"/>
      <c r="J120" s="2442" t="s">
        <v>3028</v>
      </c>
      <c r="K120" s="2443"/>
      <c r="L120" s="2679" t="s">
        <v>3028</v>
      </c>
      <c r="M120" s="2444"/>
      <c r="N120" s="2442"/>
      <c r="O120" s="2443"/>
      <c r="P120" s="2442"/>
      <c r="Q120" s="2443"/>
    </row>
    <row r="121" spans="1:17">
      <c r="A121" s="2432"/>
      <c r="B121" s="2687" t="s">
        <v>5993</v>
      </c>
      <c r="C121" s="2407"/>
      <c r="D121" s="2441"/>
      <c r="E121" s="2409"/>
      <c r="F121" s="2438"/>
      <c r="G121" s="669"/>
      <c r="H121" s="2679" t="s">
        <v>3028</v>
      </c>
      <c r="I121" s="2444"/>
      <c r="J121" s="2442" t="s">
        <v>3028</v>
      </c>
      <c r="K121" s="2443"/>
      <c r="L121" s="2679" t="s">
        <v>3028</v>
      </c>
      <c r="M121" s="2444"/>
      <c r="N121" s="2442"/>
      <c r="O121" s="2443"/>
      <c r="P121" s="2442"/>
      <c r="Q121" s="2443"/>
    </row>
    <row r="122" spans="1:17">
      <c r="A122" s="2432"/>
      <c r="B122" s="2688" t="s">
        <v>5982</v>
      </c>
      <c r="C122" s="2407"/>
      <c r="D122" s="2441">
        <v>3</v>
      </c>
      <c r="E122" s="2409" t="s">
        <v>3041</v>
      </c>
      <c r="F122" s="2438">
        <f>200+100</f>
        <v>300</v>
      </c>
      <c r="G122" s="669">
        <f>F122*D122</f>
        <v>900</v>
      </c>
      <c r="H122" s="2679" t="s">
        <v>3028</v>
      </c>
      <c r="I122" s="2444"/>
      <c r="J122" s="2442" t="s">
        <v>3028</v>
      </c>
      <c r="K122" s="2443"/>
      <c r="L122" s="2679" t="s">
        <v>3028</v>
      </c>
      <c r="M122" s="2444"/>
      <c r="N122" s="2442"/>
      <c r="O122" s="2443"/>
      <c r="P122" s="2442"/>
      <c r="Q122" s="2443"/>
    </row>
    <row r="123" spans="1:17">
      <c r="A123" s="2432"/>
      <c r="B123" s="2688" t="s">
        <v>5989</v>
      </c>
      <c r="C123" s="2407"/>
      <c r="D123" s="2441">
        <v>1</v>
      </c>
      <c r="E123" s="2409" t="s">
        <v>3041</v>
      </c>
      <c r="F123" s="2438">
        <v>50</v>
      </c>
      <c r="G123" s="669">
        <f>F123*D123</f>
        <v>50</v>
      </c>
      <c r="H123" s="2679" t="s">
        <v>3028</v>
      </c>
      <c r="I123" s="2444"/>
      <c r="J123" s="2442" t="s">
        <v>3028</v>
      </c>
      <c r="K123" s="2443"/>
      <c r="L123" s="2679" t="s">
        <v>3028</v>
      </c>
      <c r="M123" s="2444"/>
      <c r="N123" s="2442"/>
      <c r="O123" s="2443"/>
      <c r="P123" s="2442"/>
      <c r="Q123" s="2443"/>
    </row>
    <row r="124" spans="1:17">
      <c r="A124" s="2432"/>
      <c r="B124" s="2688" t="s">
        <v>5990</v>
      </c>
      <c r="C124" s="2407"/>
      <c r="D124" s="2441">
        <v>1</v>
      </c>
      <c r="E124" s="2409" t="s">
        <v>3041</v>
      </c>
      <c r="F124" s="2438">
        <v>50</v>
      </c>
      <c r="G124" s="669">
        <f>F124*D124</f>
        <v>50</v>
      </c>
      <c r="H124" s="2679" t="s">
        <v>3028</v>
      </c>
      <c r="I124" s="2444"/>
      <c r="J124" s="2442" t="s">
        <v>3028</v>
      </c>
      <c r="K124" s="2443"/>
      <c r="L124" s="2679" t="s">
        <v>3028</v>
      </c>
      <c r="M124" s="2444"/>
      <c r="N124" s="2442"/>
      <c r="O124" s="2443"/>
      <c r="P124" s="2442"/>
      <c r="Q124" s="2443"/>
    </row>
    <row r="125" spans="1:17">
      <c r="A125" s="2432"/>
      <c r="B125" s="2687" t="s">
        <v>4197</v>
      </c>
      <c r="C125" s="2407"/>
      <c r="D125" s="2441"/>
      <c r="E125" s="2409"/>
      <c r="F125" s="2438"/>
      <c r="G125" s="669"/>
      <c r="H125" s="2679" t="s">
        <v>3028</v>
      </c>
      <c r="I125" s="2444"/>
      <c r="J125" s="2442" t="s">
        <v>3028</v>
      </c>
      <c r="K125" s="2443"/>
      <c r="L125" s="2679" t="s">
        <v>3028</v>
      </c>
      <c r="M125" s="2444"/>
      <c r="N125" s="2442"/>
      <c r="O125" s="2443"/>
      <c r="P125" s="2442"/>
      <c r="Q125" s="2443"/>
    </row>
    <row r="126" spans="1:17">
      <c r="A126" s="2432"/>
      <c r="B126" s="2688" t="s">
        <v>5982</v>
      </c>
      <c r="C126" s="2407"/>
      <c r="D126" s="2441">
        <v>3</v>
      </c>
      <c r="E126" s="2409" t="s">
        <v>3041</v>
      </c>
      <c r="F126" s="2438">
        <f>200+100</f>
        <v>300</v>
      </c>
      <c r="G126" s="669">
        <f>F126*D126</f>
        <v>900</v>
      </c>
      <c r="H126" s="2679" t="s">
        <v>3028</v>
      </c>
      <c r="I126" s="2444"/>
      <c r="J126" s="2442" t="s">
        <v>3028</v>
      </c>
      <c r="K126" s="2443"/>
      <c r="L126" s="2679" t="s">
        <v>3028</v>
      </c>
      <c r="M126" s="2444"/>
      <c r="N126" s="2442"/>
      <c r="O126" s="2443"/>
      <c r="P126" s="2442"/>
      <c r="Q126" s="2443"/>
    </row>
    <row r="127" spans="1:17">
      <c r="A127" s="2432"/>
      <c r="B127" s="2688" t="s">
        <v>5989</v>
      </c>
      <c r="C127" s="2407"/>
      <c r="D127" s="2441">
        <v>1</v>
      </c>
      <c r="E127" s="2409" t="s">
        <v>3041</v>
      </c>
      <c r="F127" s="2438">
        <v>50</v>
      </c>
      <c r="G127" s="669">
        <f>F127*D127</f>
        <v>50</v>
      </c>
      <c r="H127" s="2679" t="s">
        <v>3028</v>
      </c>
      <c r="I127" s="2444"/>
      <c r="J127" s="2442" t="s">
        <v>3028</v>
      </c>
      <c r="K127" s="2443"/>
      <c r="L127" s="2679" t="s">
        <v>3028</v>
      </c>
      <c r="M127" s="2444"/>
      <c r="N127" s="2442"/>
      <c r="O127" s="2443"/>
      <c r="P127" s="2442"/>
      <c r="Q127" s="2443"/>
    </row>
    <row r="128" spans="1:17">
      <c r="A128" s="2432"/>
      <c r="B128" s="2688" t="s">
        <v>5990</v>
      </c>
      <c r="C128" s="2407"/>
      <c r="D128" s="2441">
        <v>1</v>
      </c>
      <c r="E128" s="2409" t="s">
        <v>3041</v>
      </c>
      <c r="F128" s="2438">
        <v>50</v>
      </c>
      <c r="G128" s="669">
        <f>F128*D128</f>
        <v>50</v>
      </c>
      <c r="H128" s="2679" t="s">
        <v>3028</v>
      </c>
      <c r="I128" s="2444"/>
      <c r="J128" s="2442" t="s">
        <v>3028</v>
      </c>
      <c r="K128" s="2443"/>
      <c r="L128" s="2679" t="s">
        <v>3028</v>
      </c>
      <c r="M128" s="2444"/>
      <c r="N128" s="2442"/>
      <c r="O128" s="2443"/>
      <c r="P128" s="2442"/>
      <c r="Q128" s="2443"/>
    </row>
    <row r="129" spans="1:17">
      <c r="A129" s="2432"/>
      <c r="B129" s="2687" t="s">
        <v>4201</v>
      </c>
      <c r="C129" s="2407"/>
      <c r="D129" s="2441"/>
      <c r="E129" s="2409"/>
      <c r="F129" s="2438"/>
      <c r="G129" s="669"/>
      <c r="H129" s="2679" t="s">
        <v>3028</v>
      </c>
      <c r="I129" s="2444"/>
      <c r="J129" s="2442" t="s">
        <v>3028</v>
      </c>
      <c r="K129" s="2443"/>
      <c r="L129" s="2679" t="s">
        <v>3028</v>
      </c>
      <c r="M129" s="2444"/>
      <c r="N129" s="2442"/>
      <c r="O129" s="2443"/>
      <c r="P129" s="2442"/>
      <c r="Q129" s="2443"/>
    </row>
    <row r="130" spans="1:17">
      <c r="A130" s="2432"/>
      <c r="B130" s="2688" t="s">
        <v>5982</v>
      </c>
      <c r="C130" s="2407"/>
      <c r="D130" s="2441">
        <v>3</v>
      </c>
      <c r="E130" s="2409" t="s">
        <v>3041</v>
      </c>
      <c r="F130" s="2438">
        <f>200+100</f>
        <v>300</v>
      </c>
      <c r="G130" s="669">
        <f>F130*D130</f>
        <v>900</v>
      </c>
      <c r="H130" s="2679" t="s">
        <v>3028</v>
      </c>
      <c r="I130" s="2444"/>
      <c r="J130" s="2442" t="s">
        <v>3028</v>
      </c>
      <c r="K130" s="2443"/>
      <c r="L130" s="2679" t="s">
        <v>3028</v>
      </c>
      <c r="M130" s="2444"/>
      <c r="N130" s="2442"/>
      <c r="O130" s="2443"/>
      <c r="P130" s="2442"/>
      <c r="Q130" s="2443"/>
    </row>
    <row r="131" spans="1:17">
      <c r="A131" s="2432"/>
      <c r="B131" s="2687" t="s">
        <v>5994</v>
      </c>
      <c r="C131" s="2407"/>
      <c r="D131" s="2441"/>
      <c r="E131" s="2409"/>
      <c r="F131" s="2438"/>
      <c r="G131" s="669"/>
      <c r="H131" s="2679" t="s">
        <v>3028</v>
      </c>
      <c r="I131" s="2444"/>
      <c r="J131" s="2442" t="s">
        <v>3028</v>
      </c>
      <c r="K131" s="2443"/>
      <c r="L131" s="2679" t="s">
        <v>3028</v>
      </c>
      <c r="M131" s="2444"/>
      <c r="N131" s="2442"/>
      <c r="O131" s="2443"/>
      <c r="P131" s="2442"/>
      <c r="Q131" s="2443"/>
    </row>
    <row r="132" spans="1:17">
      <c r="A132" s="2432"/>
      <c r="B132" s="2688" t="s">
        <v>5989</v>
      </c>
      <c r="C132" s="2407"/>
      <c r="D132" s="2441">
        <v>1</v>
      </c>
      <c r="E132" s="2409" t="s">
        <v>3041</v>
      </c>
      <c r="F132" s="2438">
        <v>50</v>
      </c>
      <c r="G132" s="669">
        <f t="shared" ref="G132:G133" si="6">F132*D132</f>
        <v>50</v>
      </c>
      <c r="H132" s="2679" t="s">
        <v>3028</v>
      </c>
      <c r="I132" s="2444"/>
      <c r="J132" s="2442" t="s">
        <v>3028</v>
      </c>
      <c r="K132" s="2443"/>
      <c r="L132" s="2679" t="s">
        <v>3028</v>
      </c>
      <c r="M132" s="2444"/>
      <c r="N132" s="2442"/>
      <c r="O132" s="2443"/>
      <c r="P132" s="2442"/>
      <c r="Q132" s="2443"/>
    </row>
    <row r="133" spans="1:17">
      <c r="A133" s="2432"/>
      <c r="B133" s="2688" t="s">
        <v>5990</v>
      </c>
      <c r="C133" s="2407"/>
      <c r="D133" s="2441">
        <v>1</v>
      </c>
      <c r="E133" s="2409" t="s">
        <v>3041</v>
      </c>
      <c r="F133" s="2438">
        <v>50</v>
      </c>
      <c r="G133" s="669">
        <f t="shared" si="6"/>
        <v>50</v>
      </c>
      <c r="H133" s="2679" t="s">
        <v>3028</v>
      </c>
      <c r="I133" s="2444"/>
      <c r="J133" s="2442" t="s">
        <v>3028</v>
      </c>
      <c r="K133" s="2443"/>
      <c r="L133" s="2679" t="s">
        <v>3028</v>
      </c>
      <c r="M133" s="2444"/>
      <c r="N133" s="2442"/>
      <c r="O133" s="2443"/>
      <c r="P133" s="2442"/>
      <c r="Q133" s="2443"/>
    </row>
    <row r="134" spans="1:17">
      <c r="A134" s="2432"/>
      <c r="B134" s="2687" t="s">
        <v>4209</v>
      </c>
      <c r="C134" s="2407"/>
      <c r="D134" s="2441"/>
      <c r="E134" s="2409"/>
      <c r="F134" s="2438"/>
      <c r="G134" s="669"/>
      <c r="H134" s="2679" t="s">
        <v>3028</v>
      </c>
      <c r="I134" s="2444"/>
      <c r="J134" s="2442" t="s">
        <v>3028</v>
      </c>
      <c r="K134" s="2443"/>
      <c r="L134" s="2679" t="s">
        <v>3028</v>
      </c>
      <c r="M134" s="2444"/>
      <c r="N134" s="2442"/>
      <c r="O134" s="2443"/>
      <c r="P134" s="2442"/>
      <c r="Q134" s="2443"/>
    </row>
    <row r="135" spans="1:17">
      <c r="A135" s="2432"/>
      <c r="B135" s="2688" t="s">
        <v>5980</v>
      </c>
      <c r="C135" s="2407"/>
      <c r="D135" s="2441">
        <v>1</v>
      </c>
      <c r="E135" s="2409" t="s">
        <v>3041</v>
      </c>
      <c r="F135" s="2438">
        <f>275+50</f>
        <v>325</v>
      </c>
      <c r="G135" s="669">
        <f>F135*D135</f>
        <v>325</v>
      </c>
      <c r="H135" s="2442" t="s">
        <v>3028</v>
      </c>
      <c r="I135" s="2444"/>
      <c r="J135" s="2442" t="s">
        <v>3028</v>
      </c>
      <c r="K135" s="2443"/>
      <c r="L135" s="2679" t="s">
        <v>3028</v>
      </c>
      <c r="M135" s="2444"/>
      <c r="N135" s="2442"/>
      <c r="O135" s="2443"/>
      <c r="P135" s="2442"/>
      <c r="Q135" s="2443"/>
    </row>
    <row r="136" spans="1:17">
      <c r="A136" s="2432"/>
      <c r="B136" s="2688" t="s">
        <v>5982</v>
      </c>
      <c r="C136" s="2407"/>
      <c r="D136" s="2441">
        <v>2</v>
      </c>
      <c r="E136" s="2409" t="s">
        <v>3041</v>
      </c>
      <c r="F136" s="2438">
        <f>200+50</f>
        <v>250</v>
      </c>
      <c r="G136" s="669">
        <f>F136*D136</f>
        <v>500</v>
      </c>
      <c r="H136" s="2442" t="s">
        <v>3028</v>
      </c>
      <c r="I136" s="2444"/>
      <c r="J136" s="2442" t="s">
        <v>3028</v>
      </c>
      <c r="K136" s="2443"/>
      <c r="L136" s="2679" t="s">
        <v>3028</v>
      </c>
      <c r="M136" s="2444"/>
      <c r="N136" s="2442"/>
      <c r="O136" s="2443"/>
      <c r="P136" s="2442"/>
      <c r="Q136" s="2443"/>
    </row>
    <row r="137" spans="1:17">
      <c r="A137" s="2432"/>
      <c r="B137" s="2688" t="s">
        <v>5965</v>
      </c>
      <c r="C137" s="2407"/>
      <c r="D137" s="2441">
        <v>1</v>
      </c>
      <c r="E137" s="2409" t="s">
        <v>3041</v>
      </c>
      <c r="F137" s="2438">
        <f>950+50</f>
        <v>1000</v>
      </c>
      <c r="G137" s="669">
        <f>F137*D137</f>
        <v>1000</v>
      </c>
      <c r="H137" s="2679" t="s">
        <v>3028</v>
      </c>
      <c r="I137" s="2444"/>
      <c r="J137" s="2442" t="s">
        <v>3028</v>
      </c>
      <c r="K137" s="2443"/>
      <c r="L137" s="2679" t="s">
        <v>3028</v>
      </c>
      <c r="M137" s="2444"/>
      <c r="N137" s="2442"/>
      <c r="O137" s="2443"/>
      <c r="P137" s="2442"/>
      <c r="Q137" s="2443"/>
    </row>
    <row r="138" spans="1:17">
      <c r="A138" s="2432"/>
      <c r="B138" s="2688" t="s">
        <v>5966</v>
      </c>
      <c r="C138" s="2407"/>
      <c r="D138" s="2441">
        <v>1</v>
      </c>
      <c r="E138" s="2409" t="s">
        <v>3041</v>
      </c>
      <c r="F138" s="2438">
        <f>1035+50</f>
        <v>1085</v>
      </c>
      <c r="G138" s="669">
        <f>F138*D138</f>
        <v>1085</v>
      </c>
      <c r="H138" s="2679" t="s">
        <v>3028</v>
      </c>
      <c r="I138" s="2444"/>
      <c r="J138" s="2442" t="s">
        <v>3028</v>
      </c>
      <c r="K138" s="2443"/>
      <c r="L138" s="2679" t="s">
        <v>3028</v>
      </c>
      <c r="M138" s="2444"/>
      <c r="N138" s="2442"/>
      <c r="O138" s="2443"/>
      <c r="P138" s="2442"/>
      <c r="Q138" s="2443"/>
    </row>
    <row r="139" spans="1:17">
      <c r="A139" s="2432"/>
      <c r="B139" s="2687" t="s">
        <v>5995</v>
      </c>
      <c r="C139" s="2407"/>
      <c r="D139" s="2441"/>
      <c r="E139" s="2409"/>
      <c r="F139" s="2438"/>
      <c r="G139" s="669"/>
      <c r="H139" s="2679" t="s">
        <v>3028</v>
      </c>
      <c r="I139" s="2444">
        <v>5060.04</v>
      </c>
      <c r="J139" s="2442" t="s">
        <v>3028</v>
      </c>
      <c r="K139" s="2443">
        <f>940+51.8+5350+319+4200+254.1</f>
        <v>11114.9</v>
      </c>
      <c r="L139" s="2442" t="s">
        <v>3028</v>
      </c>
      <c r="M139" s="2444"/>
      <c r="N139" s="2442"/>
      <c r="O139" s="2443"/>
      <c r="P139" s="2442"/>
      <c r="Q139" s="2443"/>
    </row>
    <row r="140" spans="1:17" ht="30">
      <c r="A140" s="2432"/>
      <c r="B140" s="2697" t="s">
        <v>5996</v>
      </c>
      <c r="C140" s="2407"/>
      <c r="D140" s="2441">
        <v>14</v>
      </c>
      <c r="E140" s="2409" t="s">
        <v>3041</v>
      </c>
      <c r="F140" s="2438">
        <v>300</v>
      </c>
      <c r="G140" s="669">
        <f>F140*D140</f>
        <v>4200</v>
      </c>
      <c r="H140" s="2679" t="s">
        <v>3028</v>
      </c>
      <c r="I140" s="2444"/>
      <c r="J140" s="2442" t="s">
        <v>3807</v>
      </c>
      <c r="K140" s="2443"/>
      <c r="L140" s="2442" t="s">
        <v>3028</v>
      </c>
      <c r="M140" s="2444"/>
      <c r="N140" s="2442"/>
      <c r="O140" s="2443"/>
      <c r="P140" s="2442"/>
      <c r="Q140" s="2443"/>
    </row>
    <row r="141" spans="1:17" ht="30">
      <c r="A141" s="2432"/>
      <c r="B141" s="2697" t="s">
        <v>5997</v>
      </c>
      <c r="C141" s="2407"/>
      <c r="D141" s="2441">
        <v>1</v>
      </c>
      <c r="E141" s="2409" t="s">
        <v>3041</v>
      </c>
      <c r="F141" s="2438">
        <v>100</v>
      </c>
      <c r="G141" s="669">
        <f>F141*D141</f>
        <v>100</v>
      </c>
      <c r="H141" s="2679" t="s">
        <v>3028</v>
      </c>
      <c r="I141" s="2444"/>
      <c r="J141" s="2442" t="s">
        <v>3807</v>
      </c>
      <c r="K141" s="2443"/>
      <c r="L141" s="2442" t="s">
        <v>3028</v>
      </c>
      <c r="M141" s="2444"/>
      <c r="N141" s="2442"/>
      <c r="O141" s="2443"/>
      <c r="P141" s="2442"/>
      <c r="Q141" s="2443"/>
    </row>
    <row r="142" spans="1:17" ht="30">
      <c r="A142" s="2432"/>
      <c r="B142" s="2697" t="s">
        <v>5998</v>
      </c>
      <c r="C142" s="2407"/>
      <c r="D142" s="2441">
        <v>14</v>
      </c>
      <c r="E142" s="2409" t="s">
        <v>3041</v>
      </c>
      <c r="F142" s="2438">
        <v>70</v>
      </c>
      <c r="G142" s="669">
        <f>F142*D142</f>
        <v>980</v>
      </c>
      <c r="H142" s="2679" t="s">
        <v>3028</v>
      </c>
      <c r="I142" s="2444"/>
      <c r="J142" s="2442" t="s">
        <v>3807</v>
      </c>
      <c r="K142" s="2443"/>
      <c r="L142" s="2442" t="s">
        <v>3028</v>
      </c>
      <c r="M142" s="2444"/>
      <c r="N142" s="2442"/>
      <c r="O142" s="2443"/>
      <c r="P142" s="2442"/>
      <c r="Q142" s="2443"/>
    </row>
    <row r="143" spans="1:17">
      <c r="A143" s="2432"/>
      <c r="B143" s="2656" t="s">
        <v>3235</v>
      </c>
      <c r="C143" s="2407"/>
      <c r="D143" s="2408"/>
      <c r="E143" s="2409"/>
      <c r="F143" s="2438"/>
      <c r="G143" s="662"/>
      <c r="H143" s="2679" t="s">
        <v>3028</v>
      </c>
      <c r="I143" s="2350">
        <v>7814.17</v>
      </c>
      <c r="J143" s="2431" t="s">
        <v>3028</v>
      </c>
      <c r="K143" s="2349">
        <f>9140+552.3</f>
        <v>9692.2999999999993</v>
      </c>
      <c r="L143" s="2431" t="s">
        <v>3028</v>
      </c>
      <c r="M143" s="2350">
        <v>10735</v>
      </c>
      <c r="N143" s="2431"/>
      <c r="O143" s="2349"/>
      <c r="P143" s="2431"/>
      <c r="Q143" s="2349"/>
    </row>
    <row r="144" spans="1:17">
      <c r="A144" s="2432"/>
      <c r="B144" s="2687" t="s">
        <v>5999</v>
      </c>
      <c r="C144" s="2407"/>
      <c r="D144" s="2441"/>
      <c r="E144" s="2409"/>
      <c r="F144" s="2438"/>
      <c r="G144" s="669"/>
      <c r="H144" s="2679" t="s">
        <v>3028</v>
      </c>
      <c r="I144" s="2444"/>
      <c r="J144" s="2431" t="s">
        <v>3028</v>
      </c>
      <c r="K144" s="2443"/>
      <c r="L144" s="2431" t="s">
        <v>3028</v>
      </c>
      <c r="M144" s="2444"/>
      <c r="N144" s="2442"/>
      <c r="O144" s="2443"/>
      <c r="P144" s="2442"/>
      <c r="Q144" s="2443"/>
    </row>
    <row r="145" spans="1:17">
      <c r="A145" s="2432"/>
      <c r="B145" s="2688" t="s">
        <v>6000</v>
      </c>
      <c r="C145" s="2407"/>
      <c r="D145" s="2441">
        <v>3</v>
      </c>
      <c r="E145" s="2409" t="s">
        <v>3041</v>
      </c>
      <c r="F145" s="2438">
        <f>275+50</f>
        <v>325</v>
      </c>
      <c r="G145" s="669">
        <f t="shared" ref="G145:G150" si="7">F145*D145</f>
        <v>975</v>
      </c>
      <c r="H145" s="2679" t="s">
        <v>3028</v>
      </c>
      <c r="I145" s="2444"/>
      <c r="J145" s="2431" t="s">
        <v>3028</v>
      </c>
      <c r="K145" s="2443"/>
      <c r="L145" s="2431" t="s">
        <v>3028</v>
      </c>
      <c r="M145" s="2444"/>
      <c r="N145" s="2442"/>
      <c r="O145" s="2443"/>
      <c r="P145" s="2442"/>
      <c r="Q145" s="2443"/>
    </row>
    <row r="146" spans="1:17">
      <c r="A146" s="2432"/>
      <c r="B146" s="2688" t="s">
        <v>6001</v>
      </c>
      <c r="C146" s="2407"/>
      <c r="D146" s="2441">
        <v>2</v>
      </c>
      <c r="E146" s="2409" t="s">
        <v>3041</v>
      </c>
      <c r="F146" s="2438">
        <f>950+50</f>
        <v>1000</v>
      </c>
      <c r="G146" s="669">
        <f t="shared" si="7"/>
        <v>2000</v>
      </c>
      <c r="H146" s="2679" t="s">
        <v>3028</v>
      </c>
      <c r="I146" s="2444"/>
      <c r="J146" s="2431" t="s">
        <v>3028</v>
      </c>
      <c r="K146" s="2443"/>
      <c r="L146" s="2431" t="s">
        <v>3028</v>
      </c>
      <c r="M146" s="2444"/>
      <c r="N146" s="2442"/>
      <c r="O146" s="2443"/>
      <c r="P146" s="2442"/>
      <c r="Q146" s="2443"/>
    </row>
    <row r="147" spans="1:17">
      <c r="A147" s="2432"/>
      <c r="B147" s="2688" t="s">
        <v>6002</v>
      </c>
      <c r="C147" s="2407"/>
      <c r="D147" s="2441">
        <v>2</v>
      </c>
      <c r="E147" s="2409" t="s">
        <v>3041</v>
      </c>
      <c r="F147" s="2438">
        <f>1035+50</f>
        <v>1085</v>
      </c>
      <c r="G147" s="669">
        <f t="shared" si="7"/>
        <v>2170</v>
      </c>
      <c r="H147" s="2679" t="s">
        <v>3028</v>
      </c>
      <c r="I147" s="2444"/>
      <c r="J147" s="2431" t="s">
        <v>3028</v>
      </c>
      <c r="K147" s="2443"/>
      <c r="L147" s="2431" t="s">
        <v>3028</v>
      </c>
      <c r="M147" s="2444"/>
      <c r="N147" s="2442"/>
      <c r="O147" s="2443"/>
      <c r="P147" s="2442"/>
      <c r="Q147" s="2443"/>
    </row>
    <row r="148" spans="1:17">
      <c r="A148" s="2432"/>
      <c r="B148" s="2688" t="s">
        <v>6003</v>
      </c>
      <c r="C148" s="2407"/>
      <c r="D148" s="2441">
        <v>6</v>
      </c>
      <c r="E148" s="2409" t="s">
        <v>3041</v>
      </c>
      <c r="F148" s="2438">
        <f>200+50</f>
        <v>250</v>
      </c>
      <c r="G148" s="669">
        <f t="shared" si="7"/>
        <v>1500</v>
      </c>
      <c r="H148" s="2679" t="s">
        <v>3028</v>
      </c>
      <c r="I148" s="2444"/>
      <c r="J148" s="2431" t="s">
        <v>3028</v>
      </c>
      <c r="K148" s="2443"/>
      <c r="L148" s="2431" t="s">
        <v>3028</v>
      </c>
      <c r="M148" s="2444"/>
      <c r="N148" s="2442"/>
      <c r="O148" s="2443"/>
      <c r="P148" s="2442"/>
      <c r="Q148" s="2443"/>
    </row>
    <row r="149" spans="1:17">
      <c r="A149" s="2432"/>
      <c r="B149" s="2688" t="s">
        <v>6004</v>
      </c>
      <c r="C149" s="2407"/>
      <c r="D149" s="2441">
        <v>2</v>
      </c>
      <c r="E149" s="2409" t="s">
        <v>3041</v>
      </c>
      <c r="F149" s="2438">
        <v>400</v>
      </c>
      <c r="G149" s="669">
        <f t="shared" si="7"/>
        <v>800</v>
      </c>
      <c r="H149" s="2679" t="s">
        <v>3028</v>
      </c>
      <c r="I149" s="2444"/>
      <c r="J149" s="2431" t="s">
        <v>3028</v>
      </c>
      <c r="K149" s="2443"/>
      <c r="L149" s="2431" t="s">
        <v>3028</v>
      </c>
      <c r="M149" s="2444"/>
      <c r="N149" s="2442"/>
      <c r="O149" s="2443"/>
      <c r="P149" s="2442"/>
      <c r="Q149" s="2443"/>
    </row>
    <row r="150" spans="1:17">
      <c r="A150" s="2432"/>
      <c r="B150" s="2687" t="s">
        <v>5995</v>
      </c>
      <c r="C150" s="2407"/>
      <c r="D150" s="2441">
        <v>1</v>
      </c>
      <c r="E150" s="2409" t="s">
        <v>3041</v>
      </c>
      <c r="F150" s="2438">
        <v>250</v>
      </c>
      <c r="G150" s="669">
        <f t="shared" si="7"/>
        <v>250</v>
      </c>
      <c r="H150" s="2698" t="s">
        <v>4877</v>
      </c>
      <c r="I150" s="2622">
        <f>G150</f>
        <v>250</v>
      </c>
      <c r="J150" s="2448" t="s">
        <v>4877</v>
      </c>
      <c r="K150" s="2622">
        <f>G150</f>
        <v>250</v>
      </c>
      <c r="L150" s="2448" t="s">
        <v>4877</v>
      </c>
      <c r="M150" s="2622">
        <f>G150</f>
        <v>250</v>
      </c>
      <c r="N150" s="2442"/>
      <c r="O150" s="2443"/>
      <c r="P150" s="2442"/>
      <c r="Q150" s="2443"/>
    </row>
    <row r="151" spans="1:17">
      <c r="A151" s="2432"/>
      <c r="B151" s="2656" t="s">
        <v>2697</v>
      </c>
      <c r="C151" s="2407"/>
      <c r="D151" s="2408"/>
      <c r="E151" s="2409"/>
      <c r="F151" s="2438"/>
      <c r="G151" s="662"/>
      <c r="H151" s="2679" t="s">
        <v>3028</v>
      </c>
      <c r="I151" s="2350">
        <v>5855.94</v>
      </c>
      <c r="J151" s="2431" t="s">
        <v>3028</v>
      </c>
      <c r="K151" s="2349">
        <f>9750+574.7-611.3-42.8</f>
        <v>9670.6000000000022</v>
      </c>
      <c r="L151" s="2431" t="s">
        <v>3028</v>
      </c>
      <c r="M151" s="2350">
        <v>8872</v>
      </c>
      <c r="N151" s="2431"/>
      <c r="O151" s="2349"/>
      <c r="P151" s="2431"/>
      <c r="Q151" s="2349"/>
    </row>
    <row r="152" spans="1:17">
      <c r="A152" s="2686" t="s">
        <v>5951</v>
      </c>
      <c r="B152" s="2687" t="s">
        <v>6005</v>
      </c>
      <c r="C152" s="2407"/>
      <c r="D152" s="2408"/>
      <c r="E152" s="2409"/>
      <c r="F152" s="2438"/>
      <c r="G152" s="662"/>
      <c r="H152" s="2679" t="s">
        <v>3028</v>
      </c>
      <c r="I152" s="2350"/>
      <c r="J152" s="2431" t="s">
        <v>3028</v>
      </c>
      <c r="K152" s="2349"/>
      <c r="L152" s="2431" t="s">
        <v>3028</v>
      </c>
      <c r="M152" s="2350"/>
      <c r="N152" s="2431"/>
      <c r="O152" s="2349"/>
      <c r="P152" s="2431"/>
      <c r="Q152" s="2349"/>
    </row>
    <row r="153" spans="1:17">
      <c r="A153" s="2432"/>
      <c r="B153" s="2688" t="s">
        <v>5954</v>
      </c>
      <c r="C153" s="2407"/>
      <c r="D153" s="2408">
        <v>1</v>
      </c>
      <c r="E153" s="2409" t="s">
        <v>3041</v>
      </c>
      <c r="F153" s="2438">
        <v>50</v>
      </c>
      <c r="G153" s="669">
        <f t="shared" ref="G153:G154" si="8">F153*D153</f>
        <v>50</v>
      </c>
      <c r="H153" s="2679" t="s">
        <v>3028</v>
      </c>
      <c r="I153" s="2350"/>
      <c r="J153" s="2431" t="s">
        <v>3028</v>
      </c>
      <c r="K153" s="2349"/>
      <c r="L153" s="2431" t="s">
        <v>3028</v>
      </c>
      <c r="M153" s="2350"/>
      <c r="N153" s="2431"/>
      <c r="O153" s="2349"/>
      <c r="P153" s="2431"/>
      <c r="Q153" s="2349"/>
    </row>
    <row r="154" spans="1:17">
      <c r="A154" s="2432"/>
      <c r="B154" s="2688" t="s">
        <v>5955</v>
      </c>
      <c r="C154" s="2407"/>
      <c r="D154" s="2408">
        <v>1</v>
      </c>
      <c r="E154" s="2409" t="s">
        <v>3041</v>
      </c>
      <c r="F154" s="2438">
        <v>50</v>
      </c>
      <c r="G154" s="669">
        <f t="shared" si="8"/>
        <v>50</v>
      </c>
      <c r="H154" s="2679" t="s">
        <v>3028</v>
      </c>
      <c r="I154" s="2350"/>
      <c r="J154" s="2431" t="s">
        <v>3028</v>
      </c>
      <c r="K154" s="2349"/>
      <c r="L154" s="2431" t="s">
        <v>3028</v>
      </c>
      <c r="M154" s="2350"/>
      <c r="N154" s="2431"/>
      <c r="O154" s="2349"/>
      <c r="P154" s="2431"/>
      <c r="Q154" s="2349"/>
    </row>
    <row r="155" spans="1:17">
      <c r="A155" s="2432"/>
      <c r="B155" s="2655" t="s">
        <v>5956</v>
      </c>
      <c r="C155" s="2407"/>
      <c r="D155" s="2408">
        <v>1</v>
      </c>
      <c r="E155" s="2409" t="s">
        <v>3041</v>
      </c>
      <c r="F155" s="2438">
        <v>50</v>
      </c>
      <c r="G155" s="669">
        <f>F155*D155</f>
        <v>50</v>
      </c>
      <c r="H155" s="2679" t="s">
        <v>3028</v>
      </c>
      <c r="I155" s="2350"/>
      <c r="J155" s="2431" t="s">
        <v>3028</v>
      </c>
      <c r="K155" s="2349"/>
      <c r="L155" s="2431" t="s">
        <v>3028</v>
      </c>
      <c r="M155" s="2350"/>
      <c r="N155" s="2431"/>
      <c r="O155" s="2349"/>
      <c r="P155" s="2431"/>
      <c r="Q155" s="2349"/>
    </row>
    <row r="156" spans="1:17">
      <c r="A156" s="2432"/>
      <c r="B156" s="2655" t="s">
        <v>6006</v>
      </c>
      <c r="C156" s="2407"/>
      <c r="D156" s="2408">
        <v>2</v>
      </c>
      <c r="E156" s="2409" t="s">
        <v>3041</v>
      </c>
      <c r="F156" s="2438">
        <v>50</v>
      </c>
      <c r="G156" s="662">
        <f>F156*D156</f>
        <v>100</v>
      </c>
      <c r="H156" s="2698" t="s">
        <v>4877</v>
      </c>
      <c r="I156" s="2622">
        <f>G156</f>
        <v>100</v>
      </c>
      <c r="J156" s="2431" t="s">
        <v>3028</v>
      </c>
      <c r="K156" s="2349"/>
      <c r="L156" s="2431" t="s">
        <v>3028</v>
      </c>
      <c r="M156" s="2350"/>
      <c r="N156" s="2431"/>
      <c r="O156" s="2349"/>
      <c r="P156" s="2431"/>
      <c r="Q156" s="2349"/>
    </row>
    <row r="157" spans="1:17">
      <c r="A157" s="2432"/>
      <c r="B157" s="2688" t="s">
        <v>5957</v>
      </c>
      <c r="C157" s="2407"/>
      <c r="D157" s="2408">
        <v>1</v>
      </c>
      <c r="E157" s="2409" t="s">
        <v>3041</v>
      </c>
      <c r="F157" s="2438">
        <v>50</v>
      </c>
      <c r="G157" s="669">
        <f t="shared" ref="G157:G159" si="9">F157*D157</f>
        <v>50</v>
      </c>
      <c r="H157" s="2679" t="s">
        <v>3028</v>
      </c>
      <c r="I157" s="2350"/>
      <c r="J157" s="2431" t="s">
        <v>3028</v>
      </c>
      <c r="K157" s="2349"/>
      <c r="L157" s="2431" t="s">
        <v>3028</v>
      </c>
      <c r="M157" s="2350"/>
      <c r="N157" s="2431"/>
      <c r="O157" s="2349"/>
      <c r="P157" s="2431"/>
      <c r="Q157" s="2349"/>
    </row>
    <row r="158" spans="1:17">
      <c r="A158" s="2432"/>
      <c r="B158" s="2689" t="s">
        <v>5958</v>
      </c>
      <c r="C158" s="2407"/>
      <c r="D158" s="2408">
        <v>1</v>
      </c>
      <c r="E158" s="2409" t="s">
        <v>3041</v>
      </c>
      <c r="F158" s="2438">
        <v>50</v>
      </c>
      <c r="G158" s="669">
        <f t="shared" si="9"/>
        <v>50</v>
      </c>
      <c r="H158" s="2679" t="s">
        <v>3028</v>
      </c>
      <c r="I158" s="2350"/>
      <c r="J158" s="2431" t="s">
        <v>3028</v>
      </c>
      <c r="K158" s="2349"/>
      <c r="L158" s="2431" t="s">
        <v>3028</v>
      </c>
      <c r="M158" s="2350"/>
      <c r="N158" s="2431"/>
      <c r="O158" s="2349"/>
      <c r="P158" s="2431"/>
      <c r="Q158" s="2349"/>
    </row>
    <row r="159" spans="1:17">
      <c r="A159" s="2432"/>
      <c r="B159" s="2688" t="s">
        <v>5971</v>
      </c>
      <c r="C159" s="2407"/>
      <c r="D159" s="2408">
        <v>1</v>
      </c>
      <c r="E159" s="2409" t="s">
        <v>3041</v>
      </c>
      <c r="F159" s="2438">
        <v>50</v>
      </c>
      <c r="G159" s="669">
        <f t="shared" si="9"/>
        <v>50</v>
      </c>
      <c r="H159" s="2679" t="s">
        <v>3028</v>
      </c>
      <c r="I159" s="2350"/>
      <c r="J159" s="2431" t="s">
        <v>3028</v>
      </c>
      <c r="K159" s="2349"/>
      <c r="L159" s="2431" t="s">
        <v>3028</v>
      </c>
      <c r="M159" s="2350"/>
      <c r="N159" s="2431"/>
      <c r="O159" s="2349"/>
      <c r="P159" s="2431"/>
      <c r="Q159" s="2349"/>
    </row>
    <row r="160" spans="1:17">
      <c r="A160" s="2432"/>
      <c r="B160" s="2688" t="s">
        <v>5961</v>
      </c>
      <c r="C160" s="2407"/>
      <c r="D160" s="2408">
        <v>1</v>
      </c>
      <c r="E160" s="2409" t="s">
        <v>3041</v>
      </c>
      <c r="F160" s="2438">
        <v>150</v>
      </c>
      <c r="G160" s="669">
        <f>F160*D160</f>
        <v>150</v>
      </c>
      <c r="H160" s="2679" t="s">
        <v>3028</v>
      </c>
      <c r="I160" s="2350"/>
      <c r="J160" s="2431" t="s">
        <v>3028</v>
      </c>
      <c r="K160" s="2349"/>
      <c r="L160" s="2431" t="s">
        <v>3028</v>
      </c>
      <c r="M160" s="2350"/>
      <c r="N160" s="2431"/>
      <c r="O160" s="2349"/>
      <c r="P160" s="2431"/>
      <c r="Q160" s="2349"/>
    </row>
    <row r="161" spans="1:17">
      <c r="A161" s="2432"/>
      <c r="B161" s="2687" t="s">
        <v>6007</v>
      </c>
      <c r="C161" s="2407"/>
      <c r="D161" s="2408"/>
      <c r="E161" s="2409"/>
      <c r="F161" s="2438"/>
      <c r="G161" s="662"/>
      <c r="H161" s="2442" t="s">
        <v>3028</v>
      </c>
      <c r="I161" s="2350"/>
      <c r="J161" s="2431" t="s">
        <v>3028</v>
      </c>
      <c r="K161" s="2349"/>
      <c r="L161" s="2431" t="s">
        <v>3028</v>
      </c>
      <c r="M161" s="2350"/>
      <c r="N161" s="2431"/>
      <c r="O161" s="2349"/>
      <c r="P161" s="2431"/>
      <c r="Q161" s="2349"/>
    </row>
    <row r="162" spans="1:17">
      <c r="A162" s="2432"/>
      <c r="B162" s="2688" t="s">
        <v>6008</v>
      </c>
      <c r="C162" s="2407"/>
      <c r="D162" s="2441">
        <v>1</v>
      </c>
      <c r="E162" s="2409" t="s">
        <v>3041</v>
      </c>
      <c r="F162" s="2438">
        <f>275+100</f>
        <v>375</v>
      </c>
      <c r="G162" s="669">
        <f>F162*D162</f>
        <v>375</v>
      </c>
      <c r="H162" s="2442" t="s">
        <v>3028</v>
      </c>
      <c r="I162" s="2444"/>
      <c r="J162" s="2431" t="s">
        <v>3028</v>
      </c>
      <c r="K162" s="2443"/>
      <c r="L162" s="2431" t="s">
        <v>3028</v>
      </c>
      <c r="M162" s="2444"/>
      <c r="N162" s="2442"/>
      <c r="O162" s="2443"/>
      <c r="P162" s="2442"/>
      <c r="Q162" s="2443"/>
    </row>
    <row r="163" spans="1:17">
      <c r="A163" s="2432"/>
      <c r="B163" s="2655" t="s">
        <v>6009</v>
      </c>
      <c r="C163" s="2407"/>
      <c r="D163" s="2408">
        <v>2</v>
      </c>
      <c r="E163" s="2409" t="s">
        <v>3041</v>
      </c>
      <c r="F163" s="2438">
        <f>950+100</f>
        <v>1050</v>
      </c>
      <c r="G163" s="669">
        <f>F163*D163</f>
        <v>2100</v>
      </c>
      <c r="H163" s="2442" t="s">
        <v>3028</v>
      </c>
      <c r="I163" s="2350"/>
      <c r="J163" s="2431" t="s">
        <v>3028</v>
      </c>
      <c r="K163" s="2349"/>
      <c r="L163" s="2431" t="s">
        <v>3028</v>
      </c>
      <c r="M163" s="2350"/>
      <c r="N163" s="2431"/>
      <c r="O163" s="2349"/>
      <c r="P163" s="2431"/>
      <c r="Q163" s="2349"/>
    </row>
    <row r="164" spans="1:17">
      <c r="A164" s="2432"/>
      <c r="B164" s="2655" t="s">
        <v>6010</v>
      </c>
      <c r="C164" s="2407"/>
      <c r="D164" s="2408">
        <v>2</v>
      </c>
      <c r="E164" s="2409" t="s">
        <v>3041</v>
      </c>
      <c r="F164" s="2438">
        <f>1035+50</f>
        <v>1085</v>
      </c>
      <c r="G164" s="669">
        <f>F164*D164</f>
        <v>2170</v>
      </c>
      <c r="H164" s="2442" t="s">
        <v>3028</v>
      </c>
      <c r="I164" s="2350"/>
      <c r="J164" s="2431" t="s">
        <v>3028</v>
      </c>
      <c r="K164" s="2349"/>
      <c r="L164" s="2431" t="s">
        <v>3028</v>
      </c>
      <c r="M164" s="2350"/>
      <c r="N164" s="2431"/>
      <c r="O164" s="2349"/>
      <c r="P164" s="2431"/>
      <c r="Q164" s="2349"/>
    </row>
    <row r="165" spans="1:17">
      <c r="A165" s="2432"/>
      <c r="B165" s="2677" t="s">
        <v>6011</v>
      </c>
      <c r="C165" s="2407"/>
      <c r="D165" s="2408">
        <v>1</v>
      </c>
      <c r="E165" s="2409" t="s">
        <v>3041</v>
      </c>
      <c r="F165" s="2438">
        <v>0</v>
      </c>
      <c r="G165" s="669">
        <f>F165*D165</f>
        <v>0</v>
      </c>
      <c r="H165" s="2431" t="s">
        <v>3807</v>
      </c>
      <c r="I165" s="2350"/>
      <c r="J165" s="2431" t="s">
        <v>3807</v>
      </c>
      <c r="K165" s="2443"/>
      <c r="L165" s="2431" t="s">
        <v>3807</v>
      </c>
      <c r="M165" s="2350"/>
      <c r="N165" s="2431"/>
      <c r="O165" s="2349"/>
      <c r="P165" s="2431"/>
      <c r="Q165" s="2349"/>
    </row>
    <row r="166" spans="1:17">
      <c r="A166" s="2432"/>
      <c r="B166" s="2655" t="s">
        <v>6012</v>
      </c>
      <c r="C166" s="2407"/>
      <c r="D166" s="2408">
        <v>1</v>
      </c>
      <c r="E166" s="2409" t="s">
        <v>3041</v>
      </c>
      <c r="F166" s="2438">
        <v>500</v>
      </c>
      <c r="G166" s="669">
        <f>F166*D166</f>
        <v>500</v>
      </c>
      <c r="H166" s="2442" t="s">
        <v>3028</v>
      </c>
      <c r="I166" s="2350"/>
      <c r="J166" s="2431" t="s">
        <v>3028</v>
      </c>
      <c r="K166" s="2349"/>
      <c r="L166" s="2431" t="s">
        <v>3028</v>
      </c>
      <c r="M166" s="2350"/>
      <c r="N166" s="2431"/>
      <c r="O166" s="2349"/>
      <c r="P166" s="2431"/>
      <c r="Q166" s="2349"/>
    </row>
    <row r="167" spans="1:17">
      <c r="A167" s="2432"/>
      <c r="B167" s="2687" t="s">
        <v>6013</v>
      </c>
      <c r="C167" s="2407"/>
      <c r="D167" s="2408"/>
      <c r="E167" s="2409"/>
      <c r="F167" s="2438"/>
      <c r="G167" s="662"/>
      <c r="H167" s="2442" t="s">
        <v>3028</v>
      </c>
      <c r="I167" s="2350"/>
      <c r="J167" s="2442" t="s">
        <v>3028</v>
      </c>
      <c r="K167" s="2349"/>
      <c r="L167" s="2431" t="s">
        <v>3028</v>
      </c>
      <c r="M167" s="2350"/>
      <c r="N167" s="2431"/>
      <c r="O167" s="2349"/>
      <c r="P167" s="2431"/>
      <c r="Q167" s="2349"/>
    </row>
    <row r="168" spans="1:17">
      <c r="A168" s="2432"/>
      <c r="B168" s="2688" t="s">
        <v>6008</v>
      </c>
      <c r="C168" s="2407"/>
      <c r="D168" s="2408">
        <v>1</v>
      </c>
      <c r="E168" s="2409" t="s">
        <v>3041</v>
      </c>
      <c r="F168" s="2438">
        <f>275+100</f>
        <v>375</v>
      </c>
      <c r="G168" s="669">
        <f>F168*D168</f>
        <v>375</v>
      </c>
      <c r="H168" s="2442" t="s">
        <v>3028</v>
      </c>
      <c r="I168" s="2350"/>
      <c r="J168" s="2431" t="s">
        <v>3028</v>
      </c>
      <c r="K168" s="2349"/>
      <c r="L168" s="2431" t="s">
        <v>3028</v>
      </c>
      <c r="M168" s="2350"/>
      <c r="N168" s="2431"/>
      <c r="O168" s="2349"/>
      <c r="P168" s="2431"/>
      <c r="Q168" s="2349"/>
    </row>
    <row r="169" spans="1:17">
      <c r="A169" s="2432"/>
      <c r="B169" s="2677" t="s">
        <v>6011</v>
      </c>
      <c r="C169" s="2407"/>
      <c r="D169" s="2408">
        <v>1</v>
      </c>
      <c r="E169" s="2409" t="s">
        <v>3041</v>
      </c>
      <c r="F169" s="2438">
        <v>0</v>
      </c>
      <c r="G169" s="662">
        <v>0</v>
      </c>
      <c r="H169" s="2431" t="s">
        <v>3807</v>
      </c>
      <c r="I169" s="2350"/>
      <c r="J169" s="2431" t="s">
        <v>3807</v>
      </c>
      <c r="K169" s="2443"/>
      <c r="L169" s="2431" t="s">
        <v>3807</v>
      </c>
      <c r="M169" s="2350"/>
      <c r="N169" s="2431"/>
      <c r="O169" s="2349"/>
      <c r="P169" s="2431"/>
      <c r="Q169" s="2349"/>
    </row>
    <row r="170" spans="1:17">
      <c r="A170" s="2432"/>
      <c r="B170" s="2687" t="s">
        <v>3251</v>
      </c>
      <c r="C170" s="2407"/>
      <c r="D170" s="2408"/>
      <c r="E170" s="2409"/>
      <c r="F170" s="2438"/>
      <c r="G170" s="662"/>
      <c r="H170" s="2442" t="s">
        <v>3028</v>
      </c>
      <c r="I170" s="2350"/>
      <c r="J170" s="2431" t="s">
        <v>3028</v>
      </c>
      <c r="K170" s="2349"/>
      <c r="L170" s="2431" t="s">
        <v>3028</v>
      </c>
      <c r="M170" s="2350"/>
      <c r="N170" s="2431"/>
      <c r="O170" s="2349"/>
      <c r="P170" s="2431"/>
      <c r="Q170" s="2349"/>
    </row>
    <row r="171" spans="1:17">
      <c r="A171" s="2432"/>
      <c r="B171" s="2688" t="s">
        <v>6008</v>
      </c>
      <c r="C171" s="2407"/>
      <c r="D171" s="2408">
        <v>2</v>
      </c>
      <c r="E171" s="2409" t="s">
        <v>3041</v>
      </c>
      <c r="F171" s="2438">
        <f>275+50</f>
        <v>325</v>
      </c>
      <c r="G171" s="669">
        <f>F171*D171</f>
        <v>650</v>
      </c>
      <c r="H171" s="2442" t="s">
        <v>3028</v>
      </c>
      <c r="I171" s="2350"/>
      <c r="J171" s="2431" t="s">
        <v>3028</v>
      </c>
      <c r="K171" s="2349"/>
      <c r="L171" s="2431" t="s">
        <v>3028</v>
      </c>
      <c r="M171" s="2350"/>
      <c r="N171" s="2431"/>
      <c r="O171" s="2349"/>
      <c r="P171" s="2431"/>
      <c r="Q171" s="2349"/>
    </row>
    <row r="172" spans="1:17">
      <c r="A172" s="2432"/>
      <c r="B172" s="2687" t="s">
        <v>3254</v>
      </c>
      <c r="C172" s="2407"/>
      <c r="D172" s="2408"/>
      <c r="E172" s="2409"/>
      <c r="F172" s="2438"/>
      <c r="G172" s="662"/>
      <c r="H172" s="2442" t="s">
        <v>3028</v>
      </c>
      <c r="I172" s="2350"/>
      <c r="J172" s="2431" t="s">
        <v>3028</v>
      </c>
      <c r="K172" s="2349"/>
      <c r="L172" s="2431" t="s">
        <v>3028</v>
      </c>
      <c r="M172" s="2350"/>
      <c r="N172" s="2431"/>
      <c r="O172" s="2349"/>
      <c r="P172" s="2431"/>
      <c r="Q172" s="2349"/>
    </row>
    <row r="173" spans="1:17">
      <c r="A173" s="2432"/>
      <c r="B173" s="2688" t="s">
        <v>6008</v>
      </c>
      <c r="C173" s="2407"/>
      <c r="D173" s="2408">
        <v>1</v>
      </c>
      <c r="E173" s="2409" t="s">
        <v>3041</v>
      </c>
      <c r="F173" s="2438">
        <f>275+50</f>
        <v>325</v>
      </c>
      <c r="G173" s="669">
        <f>F173*D173</f>
        <v>325</v>
      </c>
      <c r="H173" s="2442" t="s">
        <v>3028</v>
      </c>
      <c r="I173" s="2350"/>
      <c r="J173" s="2431" t="s">
        <v>3028</v>
      </c>
      <c r="K173" s="2349"/>
      <c r="L173" s="2431" t="s">
        <v>3028</v>
      </c>
      <c r="M173" s="2350"/>
      <c r="N173" s="2431"/>
      <c r="O173" s="2349"/>
      <c r="P173" s="2431"/>
      <c r="Q173" s="2349"/>
    </row>
    <row r="174" spans="1:17">
      <c r="A174" s="2432"/>
      <c r="B174" s="2687" t="s">
        <v>5995</v>
      </c>
      <c r="C174" s="2407"/>
      <c r="D174" s="2408">
        <v>6</v>
      </c>
      <c r="E174" s="2409" t="s">
        <v>3041</v>
      </c>
      <c r="F174" s="2438">
        <v>250</v>
      </c>
      <c r="G174" s="662">
        <f>F174*D174</f>
        <v>1500</v>
      </c>
      <c r="H174" s="2448" t="s">
        <v>4877</v>
      </c>
      <c r="I174" s="2622">
        <f>G174</f>
        <v>1500</v>
      </c>
      <c r="J174" s="2448" t="s">
        <v>4877</v>
      </c>
      <c r="K174" s="2622">
        <f>G174</f>
        <v>1500</v>
      </c>
      <c r="L174" s="2448" t="s">
        <v>4877</v>
      </c>
      <c r="M174" s="2622">
        <f>G174</f>
        <v>1500</v>
      </c>
      <c r="N174" s="2431"/>
      <c r="O174" s="2349"/>
      <c r="P174" s="2431"/>
      <c r="Q174" s="2349"/>
    </row>
    <row r="175" spans="1:17">
      <c r="A175" s="13"/>
      <c r="B175" s="226" t="s">
        <v>3265</v>
      </c>
      <c r="C175" s="15"/>
      <c r="D175" s="168"/>
      <c r="E175" s="176"/>
      <c r="F175" s="17"/>
      <c r="G175" s="227">
        <f>SUBTOTAL(9,G20:G173)</f>
        <v>94735</v>
      </c>
      <c r="H175" s="19"/>
      <c r="I175" s="164">
        <f>SUM(I19:I174)</f>
        <v>85242</v>
      </c>
      <c r="J175" s="19"/>
      <c r="K175" s="164">
        <f>SUM(K19:K174)</f>
        <v>120326.76000000001</v>
      </c>
      <c r="L175" s="19"/>
      <c r="M175" s="164">
        <f>SUM(M19:M174)</f>
        <v>122069</v>
      </c>
      <c r="N175" s="19"/>
      <c r="O175" s="164">
        <f>SUM(O19:O173)</f>
        <v>0</v>
      </c>
      <c r="P175" s="19"/>
      <c r="Q175" s="164">
        <f>SUM(Q19:Q173)</f>
        <v>0</v>
      </c>
    </row>
    <row r="176" spans="1:17">
      <c r="A176" s="2358"/>
      <c r="B176" s="2359" t="s">
        <v>2976</v>
      </c>
      <c r="C176" s="2360"/>
      <c r="D176" s="2361"/>
      <c r="E176" s="2362"/>
      <c r="F176" s="2363"/>
      <c r="G176" s="654"/>
      <c r="H176" s="2364">
        <v>0</v>
      </c>
      <c r="I176" s="645"/>
      <c r="J176" s="2364">
        <v>0</v>
      </c>
      <c r="K176" s="645"/>
      <c r="L176" s="2364">
        <v>0</v>
      </c>
      <c r="M176" s="645"/>
      <c r="N176" s="2364">
        <v>0</v>
      </c>
      <c r="O176" s="645"/>
      <c r="P176" s="2364">
        <v>0</v>
      </c>
      <c r="Q176" s="645"/>
    </row>
    <row r="177" spans="1:32">
      <c r="A177" s="2358"/>
      <c r="B177" s="2359" t="s">
        <v>2977</v>
      </c>
      <c r="C177" s="2360"/>
      <c r="D177" s="2361"/>
      <c r="E177" s="2362"/>
      <c r="F177" s="2363"/>
      <c r="G177" s="654">
        <f>F176*G175</f>
        <v>0</v>
      </c>
      <c r="H177" s="2365"/>
      <c r="I177" s="2366">
        <f>H176*I175</f>
        <v>0</v>
      </c>
      <c r="J177" s="2365"/>
      <c r="K177" s="2366">
        <f>J176*K175</f>
        <v>0</v>
      </c>
      <c r="L177" s="2365"/>
      <c r="M177" s="2366">
        <f>L176*M175</f>
        <v>0</v>
      </c>
      <c r="N177" s="2365"/>
      <c r="O177" s="2366">
        <f>N176*O175</f>
        <v>0</v>
      </c>
      <c r="P177" s="2365"/>
      <c r="Q177" s="2366">
        <f>P176*Q175</f>
        <v>0</v>
      </c>
    </row>
    <row r="178" spans="1:32">
      <c r="A178" s="2358"/>
      <c r="B178" s="2359"/>
      <c r="C178" s="2360"/>
      <c r="D178" s="2361"/>
      <c r="E178" s="2362"/>
      <c r="F178" s="2363"/>
      <c r="G178" s="654"/>
      <c r="H178" s="2365"/>
      <c r="I178" s="2366"/>
      <c r="J178" s="2365"/>
      <c r="K178" s="2366"/>
      <c r="L178" s="2365"/>
      <c r="M178" s="2366"/>
      <c r="N178" s="2365"/>
      <c r="O178" s="2366"/>
      <c r="P178" s="2365"/>
      <c r="Q178" s="2366"/>
    </row>
    <row r="179" spans="1:32">
      <c r="A179" s="2358"/>
      <c r="B179" s="2359" t="s">
        <v>2978</v>
      </c>
      <c r="C179" s="2360"/>
      <c r="D179" s="2361"/>
      <c r="E179" s="2362"/>
      <c r="F179" s="2363"/>
      <c r="G179" s="654">
        <f>SUM(G175:G177)</f>
        <v>94735</v>
      </c>
      <c r="H179" s="2367"/>
      <c r="I179" s="2366">
        <f>SUM(I175:I177)</f>
        <v>85242</v>
      </c>
      <c r="J179" s="2367"/>
      <c r="K179" s="2366">
        <f>SUM(K175:K177)</f>
        <v>120326.76000000001</v>
      </c>
      <c r="L179" s="2367"/>
      <c r="M179" s="2366">
        <f>SUM(M175:M177)</f>
        <v>122069</v>
      </c>
      <c r="N179" s="2367"/>
      <c r="O179" s="2366">
        <f>SUM(O175:O177)</f>
        <v>0</v>
      </c>
      <c r="P179" s="2367"/>
      <c r="Q179" s="2366">
        <f>SUM(Q175:Q177)</f>
        <v>0</v>
      </c>
    </row>
    <row r="180" spans="1:32">
      <c r="A180" s="2358"/>
      <c r="B180" s="2368" t="s">
        <v>2979</v>
      </c>
      <c r="C180" s="2360"/>
      <c r="D180" s="2361"/>
      <c r="E180" s="2362"/>
      <c r="F180" s="2368"/>
      <c r="G180" s="655">
        <f>G179/'Area Calculations'!$F$5</f>
        <v>1.0683755864308915</v>
      </c>
      <c r="H180" s="2369"/>
      <c r="I180" s="2370">
        <f>I179/'Area Calculations'!$F$5</f>
        <v>0.96131811620353658</v>
      </c>
      <c r="J180" s="2369"/>
      <c r="K180" s="2370">
        <f>K179/'Area Calculations'!$F$5</f>
        <v>1.3569870985203898</v>
      </c>
      <c r="L180" s="2369"/>
      <c r="M180" s="2370">
        <f>M179/'Area Calculations'!$F$5</f>
        <v>1.3766352399855648</v>
      </c>
      <c r="N180" s="2369"/>
      <c r="O180" s="2370">
        <f>O179/'Area Calculations'!$F$5</f>
        <v>0</v>
      </c>
      <c r="P180" s="2371"/>
      <c r="Q180" s="2370">
        <f>Q179/'Area Calculations'!$F$5</f>
        <v>0</v>
      </c>
    </row>
    <row r="181" spans="1:32">
      <c r="A181" s="2358"/>
      <c r="B181" s="2372"/>
      <c r="C181" s="2360"/>
      <c r="D181" s="2361"/>
      <c r="E181" s="2362"/>
      <c r="F181" s="2363"/>
      <c r="G181" s="656"/>
      <c r="H181" s="2373"/>
      <c r="I181" s="2374"/>
      <c r="J181" s="2373"/>
      <c r="K181" s="2373"/>
      <c r="L181" s="2373"/>
      <c r="M181" s="2373"/>
      <c r="N181" s="2373"/>
      <c r="O181" s="2373"/>
      <c r="P181" s="2373"/>
      <c r="Q181" s="2373"/>
    </row>
    <row r="182" spans="1:32">
      <c r="A182" s="830" t="s">
        <v>2980</v>
      </c>
      <c r="B182" s="831"/>
      <c r="C182" s="12"/>
      <c r="D182" s="169"/>
      <c r="E182" s="177"/>
      <c r="F182" s="12"/>
      <c r="G182" s="228"/>
      <c r="H182" s="20"/>
      <c r="I182" s="20"/>
      <c r="J182" s="20"/>
      <c r="K182" s="20"/>
      <c r="L182" s="20"/>
      <c r="M182" s="20"/>
      <c r="N182" s="20"/>
      <c r="O182" s="20"/>
      <c r="P182" s="20"/>
      <c r="Q182" s="20"/>
    </row>
    <row r="183" spans="1:32">
      <c r="A183" s="2661"/>
      <c r="B183" s="2406"/>
      <c r="C183" s="2662"/>
      <c r="D183" s="2663"/>
      <c r="E183" s="2664"/>
      <c r="F183" s="2662"/>
      <c r="G183" s="2665"/>
      <c r="H183" s="2666"/>
      <c r="I183" s="2666"/>
      <c r="J183" s="2666"/>
      <c r="K183" s="2666"/>
      <c r="L183" s="2666"/>
      <c r="M183" s="2666"/>
      <c r="N183" s="2666"/>
      <c r="O183" s="2666"/>
      <c r="P183" s="2666"/>
      <c r="Q183" s="2666"/>
    </row>
    <row r="184" spans="1:32">
      <c r="A184" s="2661"/>
      <c r="B184" s="2406"/>
      <c r="C184" s="2662"/>
      <c r="D184" s="2663"/>
      <c r="E184" s="2664"/>
      <c r="F184" s="2662"/>
      <c r="G184" s="2665"/>
      <c r="H184" s="2666"/>
      <c r="I184" s="2666"/>
      <c r="J184" s="2666"/>
      <c r="K184" s="2666"/>
      <c r="L184" s="2666"/>
      <c r="M184" s="2666"/>
      <c r="N184" s="2666"/>
      <c r="O184" s="2666"/>
      <c r="P184" s="2666"/>
      <c r="Q184" s="2666"/>
    </row>
    <row r="185" spans="1:32">
      <c r="A185" s="2661"/>
      <c r="B185" s="2406"/>
      <c r="C185" s="2662"/>
      <c r="D185" s="2663"/>
      <c r="E185" s="2664"/>
      <c r="F185" s="2662"/>
      <c r="G185" s="2665"/>
      <c r="H185" s="2666"/>
      <c r="I185" s="2666"/>
      <c r="J185" s="2666"/>
      <c r="K185" s="2666"/>
      <c r="L185" s="2666"/>
      <c r="M185" s="2666"/>
      <c r="N185" s="2666"/>
      <c r="O185" s="2666"/>
      <c r="P185" s="2666"/>
      <c r="Q185" s="2666"/>
    </row>
    <row r="186" spans="1:32" s="2" customFormat="1">
      <c r="A186" s="830" t="s">
        <v>2981</v>
      </c>
      <c r="B186" s="831"/>
      <c r="C186" s="12"/>
      <c r="D186" s="169"/>
      <c r="E186" s="177"/>
      <c r="F186" s="12"/>
      <c r="G186" s="228"/>
      <c r="H186" s="20"/>
      <c r="I186" s="20"/>
      <c r="J186" s="20"/>
      <c r="K186" s="20"/>
      <c r="L186" s="20"/>
      <c r="M186" s="20"/>
      <c r="N186" s="20"/>
      <c r="O186" s="20"/>
      <c r="P186" s="20"/>
      <c r="Q186" s="20"/>
      <c r="R186"/>
      <c r="S186"/>
      <c r="T186"/>
      <c r="U186"/>
      <c r="V186"/>
      <c r="W186"/>
      <c r="X186"/>
      <c r="Y186"/>
      <c r="Z186"/>
      <c r="AA186"/>
      <c r="AB186"/>
      <c r="AC186"/>
      <c r="AD186"/>
      <c r="AE186"/>
      <c r="AF186"/>
    </row>
    <row r="187" spans="1:32" s="2" customFormat="1">
      <c r="A187" s="2661"/>
      <c r="B187" s="2406"/>
      <c r="C187" s="2662"/>
      <c r="D187" s="2663"/>
      <c r="E187" s="2664"/>
      <c r="F187" s="2662"/>
      <c r="G187" s="2665"/>
      <c r="H187" s="2666"/>
      <c r="I187" s="2666"/>
      <c r="J187" s="2666"/>
      <c r="K187" s="2666"/>
      <c r="L187" s="2666"/>
      <c r="M187" s="2666"/>
      <c r="N187" s="2666"/>
      <c r="O187" s="2666"/>
      <c r="P187" s="2666"/>
      <c r="Q187" s="2666"/>
      <c r="R187"/>
      <c r="S187"/>
      <c r="T187"/>
      <c r="U187"/>
      <c r="V187"/>
      <c r="W187"/>
      <c r="X187"/>
      <c r="Y187"/>
      <c r="Z187"/>
      <c r="AA187"/>
      <c r="AB187"/>
      <c r="AC187"/>
      <c r="AD187"/>
      <c r="AE187"/>
      <c r="AF187"/>
    </row>
    <row r="188" spans="1:32" s="2" customFormat="1">
      <c r="A188" s="2661"/>
      <c r="B188" s="2406"/>
      <c r="C188" s="2662"/>
      <c r="D188" s="2663"/>
      <c r="E188" s="2664"/>
      <c r="F188" s="2662"/>
      <c r="G188" s="2665"/>
      <c r="H188" s="2666"/>
      <c r="I188" s="2666"/>
      <c r="J188" s="2666"/>
      <c r="K188" s="2666"/>
      <c r="L188" s="2666"/>
      <c r="M188" s="2666"/>
      <c r="N188" s="2666"/>
      <c r="O188" s="2666"/>
      <c r="P188" s="2666"/>
      <c r="Q188" s="2666"/>
      <c r="R188"/>
      <c r="S188"/>
      <c r="T188"/>
      <c r="U188"/>
      <c r="V188"/>
      <c r="W188"/>
      <c r="X188"/>
      <c r="Y188"/>
      <c r="Z188"/>
      <c r="AA188"/>
      <c r="AB188"/>
      <c r="AC188"/>
      <c r="AD188"/>
      <c r="AE188"/>
      <c r="AF188"/>
    </row>
    <row r="189" spans="1:32">
      <c r="A189" s="2661"/>
      <c r="B189" s="2406"/>
      <c r="C189" s="2662"/>
      <c r="D189" s="2663"/>
      <c r="E189" s="2664"/>
      <c r="F189" s="2662"/>
      <c r="G189" s="2665"/>
      <c r="H189" s="2666"/>
      <c r="I189" s="2666"/>
      <c r="J189" s="2666"/>
      <c r="K189" s="2666"/>
      <c r="L189" s="2666"/>
      <c r="M189" s="2666"/>
      <c r="N189" s="2666"/>
      <c r="O189" s="2666"/>
      <c r="P189" s="2666"/>
      <c r="Q189" s="2666"/>
    </row>
    <row r="190" spans="1:32" s="2" customFormat="1">
      <c r="A190" s="830" t="s">
        <v>2982</v>
      </c>
      <c r="B190" s="831"/>
      <c r="C190" s="12"/>
      <c r="D190" s="169"/>
      <c r="E190" s="177"/>
      <c r="F190" s="12"/>
      <c r="G190" s="228"/>
      <c r="H190" s="20"/>
      <c r="I190" s="20"/>
      <c r="J190" s="20"/>
      <c r="K190" s="20"/>
      <c r="L190" s="20"/>
      <c r="M190" s="20"/>
      <c r="N190" s="20"/>
      <c r="O190" s="20"/>
      <c r="P190" s="20"/>
      <c r="Q190" s="20"/>
      <c r="R190"/>
      <c r="S190"/>
      <c r="T190"/>
      <c r="U190"/>
      <c r="V190"/>
      <c r="W190"/>
      <c r="X190"/>
      <c r="Y190"/>
      <c r="Z190"/>
      <c r="AA190"/>
      <c r="AB190"/>
      <c r="AC190"/>
      <c r="AD190"/>
      <c r="AE190"/>
      <c r="AF190"/>
    </row>
    <row r="191" spans="1:32" s="2" customFormat="1">
      <c r="A191" s="2661"/>
      <c r="B191" s="2406"/>
      <c r="C191" s="2662"/>
      <c r="D191" s="2663"/>
      <c r="E191" s="2664"/>
      <c r="F191" s="2662"/>
      <c r="G191" s="2665"/>
      <c r="H191" s="2666"/>
      <c r="I191" s="2666"/>
      <c r="J191" s="2666"/>
      <c r="K191" s="2666"/>
      <c r="L191" s="2666"/>
      <c r="M191" s="2666"/>
      <c r="N191" s="2666"/>
      <c r="O191" s="2666"/>
      <c r="P191" s="2666"/>
      <c r="Q191" s="2666"/>
      <c r="R191"/>
      <c r="S191"/>
      <c r="T191"/>
      <c r="U191"/>
      <c r="V191"/>
      <c r="W191"/>
      <c r="X191"/>
      <c r="Y191"/>
      <c r="Z191"/>
      <c r="AA191"/>
      <c r="AB191"/>
      <c r="AC191"/>
      <c r="AD191"/>
      <c r="AE191"/>
      <c r="AF191"/>
    </row>
    <row r="192" spans="1:32" s="2" customFormat="1">
      <c r="A192" s="2382"/>
      <c r="B192" s="2406"/>
      <c r="C192" s="2407"/>
      <c r="D192" s="2408"/>
      <c r="E192" s="2409"/>
      <c r="F192" s="2407"/>
      <c r="G192" s="2383"/>
      <c r="H192" s="2384"/>
      <c r="I192" s="2384"/>
      <c r="J192" s="2384"/>
      <c r="K192" s="2384"/>
      <c r="L192" s="2384"/>
      <c r="M192" s="2384"/>
      <c r="N192" s="2384"/>
      <c r="O192" s="2384"/>
      <c r="P192" s="2384"/>
      <c r="Q192" s="2384"/>
      <c r="R192"/>
      <c r="S192"/>
      <c r="T192"/>
      <c r="U192"/>
      <c r="V192"/>
      <c r="W192"/>
      <c r="X192"/>
      <c r="Y192"/>
      <c r="Z192"/>
      <c r="AA192"/>
      <c r="AB192"/>
      <c r="AC192"/>
      <c r="AD192"/>
      <c r="AE192"/>
      <c r="AF192"/>
    </row>
    <row r="193" spans="1:32" s="2" customFormat="1">
      <c r="A193" s="2385"/>
      <c r="B193" s="2386"/>
      <c r="C193" s="2407"/>
      <c r="D193" s="2408"/>
      <c r="E193" s="2409"/>
      <c r="F193" s="2407"/>
      <c r="G193" s="2383"/>
      <c r="H193" s="2387"/>
      <c r="I193" s="2387"/>
      <c r="J193" s="2387"/>
      <c r="K193" s="2387"/>
      <c r="L193" s="2387"/>
      <c r="M193" s="2387"/>
      <c r="N193" s="2387"/>
      <c r="O193" s="2387"/>
      <c r="P193" s="2387"/>
      <c r="Q193" s="2387"/>
    </row>
    <row r="194" spans="1:32" s="2" customFormat="1">
      <c r="A194" s="830" t="s">
        <v>2983</v>
      </c>
      <c r="B194" s="831"/>
      <c r="C194" s="12"/>
      <c r="D194" s="169"/>
      <c r="E194" s="177"/>
      <c r="F194" s="12"/>
      <c r="G194" s="228"/>
      <c r="H194" s="20"/>
      <c r="I194" s="20"/>
      <c r="J194" s="20"/>
      <c r="K194" s="20"/>
      <c r="L194" s="20"/>
      <c r="M194" s="20"/>
      <c r="N194" s="20"/>
      <c r="O194" s="20"/>
      <c r="P194" s="20"/>
      <c r="Q194" s="20"/>
      <c r="R194"/>
      <c r="S194"/>
      <c r="T194"/>
      <c r="U194"/>
      <c r="V194"/>
      <c r="W194"/>
      <c r="X194"/>
      <c r="Y194"/>
      <c r="Z194"/>
      <c r="AA194"/>
      <c r="AB194"/>
      <c r="AC194"/>
      <c r="AD194"/>
      <c r="AE194"/>
      <c r="AF194"/>
    </row>
    <row r="195" spans="1:32">
      <c r="A195" s="2667"/>
      <c r="B195" s="2668"/>
      <c r="C195" s="2662"/>
      <c r="D195" s="2663"/>
      <c r="E195" s="2664"/>
      <c r="F195" s="2662"/>
      <c r="G195" s="2665"/>
      <c r="H195" s="2666"/>
      <c r="I195" s="2666"/>
      <c r="J195" s="2666"/>
      <c r="K195" s="2666"/>
      <c r="L195" s="2666"/>
      <c r="M195" s="2666"/>
      <c r="N195" s="2666"/>
      <c r="O195" s="2666"/>
      <c r="P195" s="2666"/>
      <c r="Q195" s="2666"/>
      <c r="R195" s="2"/>
      <c r="S195" s="2"/>
      <c r="T195" s="2"/>
      <c r="U195" s="2"/>
      <c r="V195" s="2"/>
      <c r="W195" s="2"/>
      <c r="X195" s="2"/>
      <c r="Y195" s="2"/>
      <c r="Z195" s="2"/>
      <c r="AA195" s="2"/>
      <c r="AB195" s="2"/>
      <c r="AC195" s="2"/>
      <c r="AD195" s="2"/>
      <c r="AE195" s="2"/>
      <c r="AF195" s="2"/>
    </row>
    <row r="196" spans="1:32">
      <c r="A196" s="2385"/>
      <c r="B196" s="2386"/>
      <c r="C196" s="2407"/>
      <c r="D196" s="2408"/>
      <c r="E196" s="2409"/>
      <c r="F196" s="2407"/>
      <c r="G196" s="2383"/>
      <c r="H196" s="2390"/>
      <c r="I196" s="2390"/>
      <c r="J196" s="2390"/>
      <c r="K196" s="2390"/>
      <c r="L196" s="2390"/>
      <c r="M196" s="2390"/>
      <c r="N196" s="2390"/>
      <c r="O196" s="2390"/>
      <c r="P196" s="2390"/>
      <c r="Q196" s="2390"/>
      <c r="R196" s="2"/>
      <c r="S196" s="2"/>
      <c r="T196" s="2"/>
      <c r="U196" s="2"/>
      <c r="V196" s="2"/>
      <c r="W196" s="2"/>
      <c r="X196" s="2"/>
      <c r="Y196" s="2"/>
      <c r="Z196" s="2"/>
      <c r="AA196" s="2"/>
      <c r="AB196" s="2"/>
      <c r="AC196" s="2"/>
      <c r="AD196" s="2"/>
      <c r="AE196" s="2"/>
      <c r="AF196" s="2"/>
    </row>
    <row r="197" spans="1:32">
      <c r="A197" s="2385"/>
      <c r="B197" s="2386"/>
      <c r="C197" s="2407"/>
      <c r="D197" s="2408"/>
      <c r="E197" s="2409"/>
      <c r="F197" s="2407"/>
      <c r="G197" s="2383"/>
      <c r="H197" s="2390"/>
      <c r="I197" s="2390"/>
      <c r="J197" s="2390"/>
      <c r="K197" s="2390"/>
      <c r="L197" s="2390"/>
      <c r="M197" s="2390"/>
      <c r="N197" s="2390"/>
      <c r="O197" s="2390"/>
      <c r="P197" s="2390"/>
      <c r="Q197" s="2390"/>
      <c r="R197" s="2"/>
      <c r="S197" s="2"/>
      <c r="T197" s="2"/>
      <c r="U197" s="2"/>
      <c r="V197" s="2"/>
      <c r="W197" s="2"/>
      <c r="X197" s="2"/>
      <c r="Y197" s="2"/>
      <c r="Z197" s="2"/>
      <c r="AA197" s="2"/>
      <c r="AB197" s="2"/>
      <c r="AC197" s="2"/>
      <c r="AD197" s="2"/>
      <c r="AE197" s="2"/>
      <c r="AF197" s="2"/>
    </row>
    <row r="198" spans="1:32">
      <c r="A198" s="830" t="s">
        <v>2984</v>
      </c>
      <c r="B198" s="831"/>
      <c r="C198" s="12"/>
      <c r="D198" s="169"/>
      <c r="E198" s="177"/>
      <c r="F198" s="12"/>
      <c r="G198" s="228"/>
      <c r="H198" s="20"/>
      <c r="I198" s="20"/>
      <c r="J198" s="20"/>
      <c r="K198" s="20"/>
      <c r="L198" s="20"/>
      <c r="M198" s="20"/>
      <c r="N198" s="20"/>
      <c r="O198" s="20"/>
      <c r="P198" s="20"/>
      <c r="Q198" s="20"/>
    </row>
    <row r="199" spans="1:32">
      <c r="A199" s="2382"/>
      <c r="B199" s="2406" t="s">
        <v>2985</v>
      </c>
      <c r="C199" s="2407"/>
      <c r="D199" s="2408"/>
      <c r="E199" s="2409"/>
      <c r="F199" s="2407"/>
      <c r="G199" s="2383"/>
      <c r="H199" s="2390"/>
      <c r="I199" s="2390"/>
      <c r="J199" s="2390"/>
      <c r="K199" s="2390"/>
      <c r="L199" s="2390"/>
      <c r="M199" s="2390"/>
      <c r="N199" s="2390"/>
      <c r="O199" s="2390"/>
      <c r="P199" s="2390"/>
      <c r="Q199" s="2390"/>
    </row>
    <row r="200" spans="1:32">
      <c r="A200" s="2382"/>
      <c r="B200" s="2406" t="s">
        <v>2986</v>
      </c>
      <c r="C200" s="2407"/>
      <c r="D200" s="2408"/>
      <c r="E200" s="2409"/>
      <c r="F200" s="2407"/>
      <c r="G200" s="2383"/>
      <c r="H200" s="2390"/>
      <c r="I200" s="2390"/>
      <c r="J200" s="2390"/>
      <c r="K200" s="2390"/>
      <c r="L200" s="2390"/>
      <c r="M200" s="2390"/>
      <c r="N200" s="2390"/>
      <c r="O200" s="2390"/>
      <c r="P200" s="2390"/>
      <c r="Q200" s="2390"/>
    </row>
    <row r="201" spans="1:32">
      <c r="A201" s="2382"/>
      <c r="B201" s="2406" t="s">
        <v>2987</v>
      </c>
      <c r="C201" s="2407"/>
      <c r="D201" s="2408"/>
      <c r="E201" s="2409"/>
      <c r="F201" s="2407"/>
      <c r="G201" s="2383"/>
      <c r="H201" s="2390"/>
      <c r="I201" s="2390"/>
      <c r="J201" s="2390"/>
      <c r="K201" s="2390"/>
      <c r="L201" s="2390"/>
      <c r="M201" s="2390"/>
      <c r="N201" s="2390"/>
      <c r="O201" s="2390"/>
      <c r="P201" s="2390"/>
      <c r="Q201" s="2390"/>
    </row>
    <row r="202" spans="1:32">
      <c r="A202" s="2382"/>
      <c r="B202" s="2406" t="s">
        <v>2988</v>
      </c>
      <c r="C202" s="2407"/>
      <c r="D202" s="2408"/>
      <c r="E202" s="2409"/>
      <c r="F202" s="2407"/>
      <c r="G202" s="2383"/>
      <c r="H202" s="2390"/>
      <c r="I202" s="2390"/>
      <c r="J202" s="2390"/>
      <c r="K202" s="2390"/>
      <c r="L202" s="2390"/>
      <c r="M202" s="2390"/>
      <c r="N202" s="2390"/>
      <c r="O202" s="2390"/>
      <c r="P202" s="2390"/>
      <c r="Q202" s="2390"/>
    </row>
    <row r="203" spans="1:32">
      <c r="A203" s="646"/>
      <c r="B203" s="619"/>
      <c r="C203" s="616"/>
      <c r="D203" s="621"/>
      <c r="E203" s="622"/>
      <c r="F203" s="616"/>
      <c r="G203" s="620"/>
      <c r="H203" s="647"/>
      <c r="I203" s="647"/>
      <c r="J203" s="647"/>
      <c r="K203" s="647"/>
      <c r="L203" s="647"/>
      <c r="M203" s="647"/>
      <c r="N203" s="647"/>
      <c r="O203" s="647"/>
      <c r="P203" s="647"/>
      <c r="Q203" s="647"/>
    </row>
    <row r="204" spans="1:32">
      <c r="A204" s="7" t="s">
        <v>2989</v>
      </c>
      <c r="B204" s="8"/>
      <c r="C204" s="12"/>
      <c r="D204" s="169"/>
      <c r="E204" s="177"/>
      <c r="F204" s="12"/>
      <c r="G204" s="228"/>
      <c r="H204" s="20"/>
      <c r="I204" s="20"/>
      <c r="J204" s="20"/>
      <c r="K204" s="20"/>
      <c r="L204" s="20"/>
      <c r="M204" s="20"/>
      <c r="N204" s="20"/>
      <c r="O204" s="20"/>
      <c r="P204" s="20"/>
      <c r="Q204" s="20"/>
    </row>
    <row r="205" spans="1:32">
      <c r="A205" s="2661"/>
      <c r="B205" s="2647" t="s">
        <v>2990</v>
      </c>
      <c r="C205" s="2662"/>
      <c r="D205" s="2663"/>
      <c r="E205" s="2664"/>
      <c r="F205" s="2662"/>
      <c r="G205" s="2665"/>
      <c r="H205" s="2648"/>
      <c r="I205" s="2648"/>
      <c r="J205" s="2648"/>
      <c r="K205" s="2648"/>
      <c r="L205" s="2648"/>
      <c r="M205" s="2648"/>
      <c r="N205" s="2648"/>
      <c r="O205" s="2648"/>
      <c r="P205" s="2648"/>
      <c r="Q205" s="2648"/>
    </row>
    <row r="206" spans="1:32">
      <c r="A206" s="2382"/>
      <c r="B206" s="2406" t="s">
        <v>2991</v>
      </c>
      <c r="C206" s="2407"/>
      <c r="D206" s="2408"/>
      <c r="E206" s="2409"/>
      <c r="F206" s="2407"/>
      <c r="G206" s="2383"/>
      <c r="H206" s="2391"/>
      <c r="I206" s="2391"/>
      <c r="J206" s="2391"/>
      <c r="K206" s="2391"/>
      <c r="L206" s="2391"/>
      <c r="M206" s="2391"/>
      <c r="N206" s="2391"/>
      <c r="O206" s="2391"/>
      <c r="P206" s="2391"/>
      <c r="Q206" s="2391"/>
    </row>
    <row r="207" spans="1:32">
      <c r="A207" s="2392"/>
      <c r="B207" s="2424" t="s">
        <v>2992</v>
      </c>
      <c r="C207" s="2425"/>
      <c r="D207" s="2393"/>
      <c r="E207" s="2394"/>
      <c r="F207" s="2425"/>
      <c r="G207" s="2395"/>
      <c r="H207" s="2396"/>
      <c r="I207" s="2396"/>
      <c r="J207" s="2396"/>
      <c r="K207" s="2396"/>
      <c r="L207" s="2396"/>
      <c r="M207" s="2396"/>
      <c r="N207" s="2396"/>
      <c r="O207" s="2396"/>
      <c r="P207" s="2396"/>
      <c r="Q207" s="2396"/>
    </row>
    <row r="209" spans="1:5" ht="30">
      <c r="A209" s="59" t="s">
        <v>2993</v>
      </c>
      <c r="B209" s="61"/>
      <c r="C209" s="299" t="s">
        <v>5197</v>
      </c>
      <c r="D209" s="165" t="s">
        <v>3235</v>
      </c>
      <c r="E209" s="535" t="s">
        <v>5204</v>
      </c>
    </row>
    <row r="210" spans="1:5">
      <c r="A210" s="60" t="s">
        <v>2936</v>
      </c>
      <c r="B210" s="2398" t="str">
        <f>J5</f>
        <v>Newton Distributing Company</v>
      </c>
    </row>
    <row r="211" spans="1:5">
      <c r="A211" s="2399" t="s">
        <v>2939</v>
      </c>
      <c r="B211" s="2398" t="str">
        <f>J6</f>
        <v>Johannes Shike</v>
      </c>
    </row>
    <row r="212" spans="1:5">
      <c r="A212" s="2400" t="s">
        <v>2941</v>
      </c>
      <c r="B212" s="2401" t="str">
        <f>J7</f>
        <v>508-815-4028</v>
      </c>
    </row>
    <row r="213" spans="1:5">
      <c r="A213" s="2400" t="s">
        <v>2943</v>
      </c>
      <c r="B213" s="2402" t="str">
        <f>J8</f>
        <v>jshike@newtondistributing.com</v>
      </c>
    </row>
    <row r="214" spans="1:5">
      <c r="A214" s="2403" t="s">
        <v>2994</v>
      </c>
      <c r="B214" s="2404">
        <f>J9</f>
        <v>120326.76000000001</v>
      </c>
      <c r="C214" s="447">
        <f>SUM(K19:K142)</f>
        <v>99213.86</v>
      </c>
      <c r="D214" s="165">
        <f>SUM(K143:K150)</f>
        <v>9942.2999999999993</v>
      </c>
      <c r="E214" s="536">
        <f>SUM(K151:K174)</f>
        <v>11170.600000000002</v>
      </c>
    </row>
    <row r="216" spans="1:5">
      <c r="A216" s="62"/>
      <c r="B216" s="1" t="s">
        <v>2995</v>
      </c>
    </row>
    <row r="217" spans="1:5">
      <c r="A217" s="63"/>
      <c r="B217" s="1" t="s">
        <v>2996</v>
      </c>
    </row>
  </sheetData>
  <mergeCells count="34">
    <mergeCell ref="L3:M3"/>
    <mergeCell ref="H4:I4"/>
    <mergeCell ref="J4:K4"/>
    <mergeCell ref="L4:M4"/>
    <mergeCell ref="P6:Q6"/>
    <mergeCell ref="H5:I5"/>
    <mergeCell ref="L5:M5"/>
    <mergeCell ref="J5:K5"/>
    <mergeCell ref="N5:O5"/>
    <mergeCell ref="P5:Q5"/>
    <mergeCell ref="H6:I6"/>
    <mergeCell ref="L6:M6"/>
    <mergeCell ref="J6:K6"/>
    <mergeCell ref="N6:O6"/>
    <mergeCell ref="P8:Q8"/>
    <mergeCell ref="H7:I7"/>
    <mergeCell ref="L7:M7"/>
    <mergeCell ref="J7:K7"/>
    <mergeCell ref="N7:O7"/>
    <mergeCell ref="P7:Q7"/>
    <mergeCell ref="H8:I8"/>
    <mergeCell ref="L8:M8"/>
    <mergeCell ref="J8:K8"/>
    <mergeCell ref="N8:O8"/>
    <mergeCell ref="A198:B198"/>
    <mergeCell ref="P9:Q9"/>
    <mergeCell ref="A182:B182"/>
    <mergeCell ref="A186:B186"/>
    <mergeCell ref="A190:B190"/>
    <mergeCell ref="A194:B194"/>
    <mergeCell ref="H9:I9"/>
    <mergeCell ref="L9:M9"/>
    <mergeCell ref="J9:K9"/>
    <mergeCell ref="N9:O9"/>
  </mergeCells>
  <conditionalFormatting sqref="H11:H18 J11:J18 L11:L18 N11:N18 P11:P18 H20:H174 J20:J174 L20:L174 N20:N174 P20:P174">
    <cfRule type="cellIs" dxfId="117" priority="9" operator="equal">
      <formula>"X"</formula>
    </cfRule>
    <cfRule type="cellIs" dxfId="116" priority="10" operator="equal">
      <formula>"I"</formula>
    </cfRule>
  </conditionalFormatting>
  <conditionalFormatting sqref="I20:K21">
    <cfRule type="cellIs" dxfId="115" priority="1" operator="equal">
      <formula>"X"</formula>
    </cfRule>
    <cfRule type="cellIs" dxfId="114" priority="2" operator="equal">
      <formula>"I"</formula>
    </cfRule>
  </conditionalFormatting>
  <hyperlinks>
    <hyperlink ref="B4" location="'Cost Summary'!A1" display="BACK TO SUMMARY SHEET" xr:uid="{5045DB12-A019-45B9-9DBF-ADA3A1AA9ECF}"/>
    <hyperlink ref="H8:I8" r:id="rId1" display="csmith@interiorspecialties.com" xr:uid="{93859F62-5129-4F14-B90E-F530E15A5FD6}"/>
    <hyperlink ref="L8:M8" r:id="rId2" display="efigueroa@specialtiesdirect.com" xr:uid="{4C0D1969-81AA-4CA0-8E29-B504764DE34D}"/>
    <hyperlink ref="J8:K8" r:id="rId3" display="jshike@newtondistributing.com" xr:uid="{315F000D-A49C-4AA1-AC2C-AC839B18FD65}"/>
  </hyperlinks>
  <pageMargins left="0.2" right="0.2" top="0.5" bottom="0.75" header="0.3" footer="0.3"/>
  <pageSetup paperSize="3" scale="77" fitToHeight="0" orientation="landscape"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C61" activePane="bottomRight" state="frozen"/>
      <selection pane="bottomRight" activeCell="I71" sqref="I71:I72"/>
      <selection pane="bottomLeft" activeCell="A11" sqref="A11"/>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989"/>
      <c r="K4" s="842"/>
      <c r="L4" s="989"/>
      <c r="M4" s="842"/>
      <c r="N4" s="989"/>
      <c r="O4" s="842"/>
      <c r="P4" s="989"/>
      <c r="Q4" s="842"/>
      <c r="R4" s="989"/>
      <c r="S4" s="842"/>
    </row>
    <row r="5" spans="1:19">
      <c r="A5" s="2405" t="s">
        <v>4871</v>
      </c>
      <c r="B5" s="2406" t="s">
        <v>6014</v>
      </c>
      <c r="C5" s="2407"/>
      <c r="D5" s="2407"/>
      <c r="E5" s="2407"/>
      <c r="F5" s="2407"/>
      <c r="G5" s="657" t="s">
        <v>2939</v>
      </c>
      <c r="H5" s="2410"/>
      <c r="I5" s="843"/>
      <c r="J5" s="2699"/>
      <c r="K5" s="843"/>
      <c r="L5" s="2699"/>
      <c r="M5" s="843"/>
      <c r="N5" s="2699"/>
      <c r="O5" s="843"/>
      <c r="P5" s="2699"/>
      <c r="Q5" s="843"/>
      <c r="R5" s="2699"/>
      <c r="S5" s="843"/>
    </row>
    <row r="6" spans="1:19">
      <c r="A6" s="2405" t="s">
        <v>4873</v>
      </c>
      <c r="B6" s="2413" t="s">
        <v>6015</v>
      </c>
      <c r="C6" s="2407"/>
      <c r="D6" s="2407"/>
      <c r="E6" s="2407"/>
      <c r="F6" s="2407"/>
      <c r="G6" s="657" t="s">
        <v>2941</v>
      </c>
      <c r="H6" s="2415"/>
      <c r="I6" s="844"/>
      <c r="J6" s="2700"/>
      <c r="K6" s="844"/>
      <c r="L6" s="2700"/>
      <c r="M6" s="844"/>
      <c r="N6" s="2700"/>
      <c r="O6" s="844"/>
      <c r="P6" s="2700"/>
      <c r="Q6" s="844"/>
      <c r="R6" s="2700"/>
      <c r="S6" s="844"/>
    </row>
    <row r="7" spans="1:19">
      <c r="A7" s="2405" t="s">
        <v>4875</v>
      </c>
      <c r="B7" s="2418"/>
      <c r="C7" s="2407"/>
      <c r="D7" s="2407"/>
      <c r="E7" s="2407"/>
      <c r="F7" s="2407"/>
      <c r="G7" s="657" t="s">
        <v>2943</v>
      </c>
      <c r="H7" s="2419"/>
      <c r="I7" s="845"/>
      <c r="J7" s="2701"/>
      <c r="K7" s="845"/>
      <c r="L7" s="2701"/>
      <c r="M7" s="845"/>
      <c r="N7" s="2701"/>
      <c r="O7" s="845"/>
      <c r="P7" s="2701"/>
      <c r="Q7" s="845"/>
      <c r="R7" s="2701"/>
      <c r="S7" s="845"/>
    </row>
    <row r="8" spans="1:19" ht="15.75" thickBot="1">
      <c r="A8" s="685" t="s">
        <v>2944</v>
      </c>
      <c r="B8" s="619"/>
      <c r="C8" s="616"/>
      <c r="D8" s="616"/>
      <c r="E8" s="616"/>
      <c r="F8" s="616"/>
      <c r="G8" s="685" t="s">
        <v>2944</v>
      </c>
      <c r="H8" s="2702">
        <f>I70</f>
        <v>0</v>
      </c>
      <c r="I8" s="2703"/>
      <c r="J8" s="2702">
        <f>K70</f>
        <v>0</v>
      </c>
      <c r="K8" s="2703"/>
      <c r="L8" s="2702">
        <f>M70</f>
        <v>0</v>
      </c>
      <c r="M8" s="2703"/>
      <c r="N8" s="2702">
        <f>O70</f>
        <v>0</v>
      </c>
      <c r="O8" s="2703"/>
      <c r="P8" s="2702">
        <f>Q70</f>
        <v>0</v>
      </c>
      <c r="Q8" s="2703"/>
      <c r="R8" s="2702">
        <f>S70</f>
        <v>0</v>
      </c>
      <c r="S8" s="2703"/>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382"/>
      <c r="B10" s="2704" t="s">
        <v>4876</v>
      </c>
      <c r="C10" s="2407"/>
      <c r="D10" s="2407"/>
      <c r="E10" s="2407"/>
      <c r="F10" s="2407"/>
      <c r="G10" s="660"/>
      <c r="H10" s="2705"/>
      <c r="I10" s="2705"/>
      <c r="J10" s="2705"/>
      <c r="K10" s="2705"/>
      <c r="L10" s="2705"/>
      <c r="M10" s="2705"/>
      <c r="N10" s="2705"/>
      <c r="O10" s="2705"/>
      <c r="P10" s="2705"/>
      <c r="Q10" s="2705"/>
      <c r="R10" s="2705"/>
      <c r="S10" s="2705"/>
    </row>
    <row r="11" spans="1:19" hidden="1">
      <c r="A11" s="2382"/>
      <c r="B11" s="2406" t="e">
        <f>'Area Calculations'!#REF!</f>
        <v>#REF!</v>
      </c>
      <c r="C11" s="2706" t="s">
        <v>4877</v>
      </c>
      <c r="D11" s="2407"/>
      <c r="E11" s="2407"/>
      <c r="F11" s="2407"/>
      <c r="G11" s="660"/>
      <c r="H11" s="2705"/>
      <c r="I11" s="2705"/>
      <c r="J11" s="2705"/>
      <c r="K11" s="2705"/>
      <c r="L11" s="2705"/>
      <c r="M11" s="2705"/>
      <c r="N11" s="2705"/>
      <c r="O11" s="2705"/>
      <c r="P11" s="2705"/>
      <c r="Q11" s="2705"/>
      <c r="R11" s="2705"/>
      <c r="S11" s="2705"/>
    </row>
    <row r="12" spans="1:19" hidden="1">
      <c r="A12" s="2382"/>
      <c r="B12" s="2406" t="e">
        <f>'Area Calculations'!#REF!</f>
        <v>#REF!</v>
      </c>
      <c r="C12" s="2706" t="s">
        <v>4877</v>
      </c>
      <c r="D12" s="2407"/>
      <c r="E12" s="2407"/>
      <c r="F12" s="2407"/>
      <c r="G12" s="660"/>
      <c r="H12" s="2705"/>
      <c r="I12" s="2705"/>
      <c r="J12" s="2705"/>
      <c r="K12" s="2705"/>
      <c r="L12" s="2705"/>
      <c r="M12" s="2705"/>
      <c r="N12" s="2705"/>
      <c r="O12" s="2705"/>
      <c r="P12" s="2705"/>
      <c r="Q12" s="2705"/>
      <c r="R12" s="2705"/>
      <c r="S12" s="2705"/>
    </row>
    <row r="13" spans="1:19" hidden="1">
      <c r="A13" s="2382"/>
      <c r="B13" s="2406" t="e">
        <f>'Area Calculations'!#REF!</f>
        <v>#REF!</v>
      </c>
      <c r="C13" s="2706" t="s">
        <v>4877</v>
      </c>
      <c r="D13" s="2407"/>
      <c r="E13" s="2407"/>
      <c r="F13" s="2407"/>
      <c r="G13" s="660"/>
      <c r="H13" s="2705"/>
      <c r="I13" s="2705"/>
      <c r="J13" s="2705"/>
      <c r="K13" s="2705"/>
      <c r="L13" s="2705"/>
      <c r="M13" s="2705"/>
      <c r="N13" s="2705"/>
      <c r="O13" s="2705"/>
      <c r="P13" s="2705"/>
      <c r="Q13" s="2705"/>
      <c r="R13" s="2705"/>
      <c r="S13" s="2705"/>
    </row>
    <row r="14" spans="1:19" hidden="1">
      <c r="A14" s="2382"/>
      <c r="B14" s="2406" t="e">
        <f>'Area Calculations'!#REF!</f>
        <v>#REF!</v>
      </c>
      <c r="C14" s="2706" t="s">
        <v>4877</v>
      </c>
      <c r="D14" s="2407"/>
      <c r="E14" s="2407"/>
      <c r="F14" s="2407"/>
      <c r="G14" s="660"/>
      <c r="H14" s="2705"/>
      <c r="I14" s="2705"/>
      <c r="J14" s="2705"/>
      <c r="K14" s="2705"/>
      <c r="L14" s="2705"/>
      <c r="M14" s="2705"/>
      <c r="N14" s="2705"/>
      <c r="O14" s="2705"/>
      <c r="P14" s="2705"/>
      <c r="Q14" s="2705"/>
      <c r="R14" s="2705"/>
      <c r="S14" s="2705"/>
    </row>
    <row r="15" spans="1:19" hidden="1">
      <c r="A15" s="2382"/>
      <c r="B15" s="2406" t="e">
        <f>'Area Calculations'!#REF!</f>
        <v>#REF!</v>
      </c>
      <c r="C15" s="2706" t="s">
        <v>4877</v>
      </c>
      <c r="D15" s="2407"/>
      <c r="E15" s="2407"/>
      <c r="F15" s="2407"/>
      <c r="G15" s="660"/>
      <c r="H15" s="2705"/>
      <c r="I15" s="2705"/>
      <c r="J15" s="2705"/>
      <c r="K15" s="2705"/>
      <c r="L15" s="2705"/>
      <c r="M15" s="2705"/>
      <c r="N15" s="2705"/>
      <c r="O15" s="2705"/>
      <c r="P15" s="2705"/>
      <c r="Q15" s="2705"/>
      <c r="R15" s="2705"/>
      <c r="S15" s="2705"/>
    </row>
    <row r="16" spans="1:19" hidden="1">
      <c r="A16" s="2382"/>
      <c r="B16" s="2406" t="e">
        <f>'Area Calculations'!#REF!</f>
        <v>#REF!</v>
      </c>
      <c r="C16" s="2706" t="s">
        <v>4877</v>
      </c>
      <c r="D16" s="2407"/>
      <c r="E16" s="2407"/>
      <c r="F16" s="2407"/>
      <c r="G16" s="660"/>
      <c r="H16" s="2705"/>
      <c r="I16" s="2705"/>
      <c r="J16" s="2705"/>
      <c r="K16" s="2705"/>
      <c r="L16" s="2705"/>
      <c r="M16" s="2705"/>
      <c r="N16" s="2705"/>
      <c r="O16" s="2705"/>
      <c r="P16" s="2705"/>
      <c r="Q16" s="2705"/>
      <c r="R16" s="2705"/>
      <c r="S16" s="2705"/>
    </row>
    <row r="17" spans="1:19" hidden="1">
      <c r="A17" s="2382"/>
      <c r="B17" s="2406" t="e">
        <f>'Area Calculations'!#REF!</f>
        <v>#REF!</v>
      </c>
      <c r="C17" s="2706" t="s">
        <v>4877</v>
      </c>
      <c r="D17" s="2407"/>
      <c r="E17" s="2407"/>
      <c r="F17" s="2407"/>
      <c r="G17" s="660"/>
      <c r="H17" s="2705"/>
      <c r="I17" s="2705"/>
      <c r="J17" s="2705"/>
      <c r="K17" s="2705"/>
      <c r="L17" s="2705"/>
      <c r="M17" s="2705"/>
      <c r="N17" s="2705"/>
      <c r="O17" s="2705"/>
      <c r="P17" s="2705"/>
      <c r="Q17" s="2705"/>
      <c r="R17" s="2705"/>
      <c r="S17" s="2705"/>
    </row>
    <row r="18" spans="1:19" hidden="1">
      <c r="A18" s="2382"/>
      <c r="B18" s="2406" t="e">
        <f>'Area Calculations'!#REF!</f>
        <v>#REF!</v>
      </c>
      <c r="C18" s="2706" t="s">
        <v>4877</v>
      </c>
      <c r="D18" s="2407"/>
      <c r="E18" s="2407"/>
      <c r="F18" s="2407"/>
      <c r="G18" s="660"/>
      <c r="H18" s="2705"/>
      <c r="I18" s="2705"/>
      <c r="J18" s="2705"/>
      <c r="K18" s="2705"/>
      <c r="L18" s="2705"/>
      <c r="M18" s="2705"/>
      <c r="N18" s="2705"/>
      <c r="O18" s="2705"/>
      <c r="P18" s="2705"/>
      <c r="Q18" s="2705"/>
      <c r="R18" s="2705"/>
      <c r="S18" s="2705"/>
    </row>
    <row r="19" spans="1:19" hidden="1">
      <c r="A19" s="2382"/>
      <c r="B19" s="2406" t="e">
        <f>'Area Calculations'!#REF!</f>
        <v>#REF!</v>
      </c>
      <c r="C19" s="2706" t="s">
        <v>4877</v>
      </c>
      <c r="D19" s="2407"/>
      <c r="E19" s="2407"/>
      <c r="F19" s="2407"/>
      <c r="G19" s="660"/>
      <c r="H19" s="2705"/>
      <c r="I19" s="2705"/>
      <c r="J19" s="2705"/>
      <c r="K19" s="2705"/>
      <c r="L19" s="2705"/>
      <c r="M19" s="2705"/>
      <c r="N19" s="2705"/>
      <c r="O19" s="2705"/>
      <c r="P19" s="2705"/>
      <c r="Q19" s="2705"/>
      <c r="R19" s="2705"/>
      <c r="S19" s="2705"/>
    </row>
    <row r="20" spans="1:19" ht="15.75" thickTop="1">
      <c r="A20" s="2707"/>
      <c r="B20" s="2406"/>
      <c r="C20" s="2706"/>
      <c r="D20" s="2407"/>
      <c r="E20" s="2407"/>
      <c r="F20" s="2407"/>
      <c r="G20" s="660"/>
      <c r="H20" s="2705"/>
      <c r="I20" s="2705"/>
      <c r="J20" s="2705"/>
      <c r="K20" s="2705"/>
      <c r="L20" s="2705"/>
      <c r="M20" s="2705"/>
      <c r="N20" s="2705"/>
      <c r="O20" s="2705"/>
      <c r="P20" s="2705"/>
      <c r="Q20" s="2705"/>
      <c r="R20" s="2705"/>
      <c r="S20" s="2705"/>
    </row>
    <row r="21" spans="1:19" ht="15.75" thickBot="1">
      <c r="A21" s="2708"/>
      <c r="B21" s="2709" t="s">
        <v>6014</v>
      </c>
      <c r="C21" s="49"/>
      <c r="D21" s="50"/>
      <c r="E21" s="50"/>
      <c r="F21" s="50"/>
      <c r="G21" s="54"/>
      <c r="H21" s="2710"/>
      <c r="I21" s="2338"/>
      <c r="J21" s="2710"/>
      <c r="K21" s="2338"/>
      <c r="L21" s="2710"/>
      <c r="M21" s="2338"/>
      <c r="N21" s="2710"/>
      <c r="O21" s="2338"/>
      <c r="P21" s="2710"/>
      <c r="Q21" s="2338"/>
      <c r="R21" s="2710"/>
      <c r="S21" s="2338"/>
    </row>
    <row r="22" spans="1:19">
      <c r="A22" s="2708"/>
      <c r="B22" s="2711" t="s">
        <v>2953</v>
      </c>
      <c r="C22" s="2706"/>
      <c r="D22" s="2407"/>
      <c r="E22" s="2407"/>
      <c r="F22" s="2407"/>
      <c r="G22" s="660"/>
      <c r="H22" s="2710"/>
      <c r="I22" s="2338"/>
      <c r="J22" s="2710"/>
      <c r="K22" s="2338"/>
      <c r="L22" s="2710"/>
      <c r="M22" s="2338"/>
      <c r="N22" s="2710"/>
      <c r="O22" s="2338"/>
      <c r="P22" s="2710"/>
      <c r="Q22" s="2338"/>
      <c r="R22" s="2710"/>
      <c r="S22" s="2338"/>
    </row>
    <row r="23" spans="1:19">
      <c r="A23" s="2708"/>
      <c r="B23" s="2712" t="s">
        <v>2954</v>
      </c>
      <c r="C23" s="2706"/>
      <c r="D23" s="2407"/>
      <c r="E23" s="2407"/>
      <c r="F23" s="2407"/>
      <c r="G23" s="660"/>
      <c r="H23" s="2710"/>
      <c r="I23" s="2338"/>
      <c r="J23" s="2710"/>
      <c r="K23" s="2339"/>
      <c r="L23" s="2710"/>
      <c r="M23" s="2339"/>
      <c r="N23" s="2339"/>
      <c r="O23" s="2339"/>
      <c r="P23" s="2339"/>
      <c r="Q23" s="2339"/>
      <c r="R23" s="2339"/>
      <c r="S23" s="2339"/>
    </row>
    <row r="24" spans="1:19">
      <c r="A24" s="2650"/>
      <c r="B24" s="2712" t="s">
        <v>2955</v>
      </c>
      <c r="C24" s="707"/>
      <c r="D24" s="2407"/>
      <c r="E24" s="2407"/>
      <c r="F24" s="2407"/>
      <c r="G24" s="660"/>
      <c r="H24" s="2710"/>
      <c r="I24" s="2338"/>
      <c r="J24" s="2710"/>
      <c r="K24" s="2339"/>
      <c r="L24" s="2710"/>
      <c r="M24" s="2339"/>
      <c r="N24" s="2339"/>
      <c r="O24" s="2339"/>
      <c r="P24" s="2339"/>
      <c r="Q24" s="2339"/>
      <c r="R24" s="2339"/>
      <c r="S24" s="2339"/>
    </row>
    <row r="25" spans="1:19">
      <c r="A25" s="2650"/>
      <c r="B25" s="2713" t="s">
        <v>2956</v>
      </c>
      <c r="C25" s="707"/>
      <c r="D25" s="2407"/>
      <c r="E25" s="2407"/>
      <c r="F25" s="2407"/>
      <c r="G25" s="660"/>
      <c r="H25" s="2710"/>
      <c r="I25" s="2338"/>
      <c r="J25" s="2710"/>
      <c r="K25" s="2339"/>
      <c r="L25" s="2710"/>
      <c r="M25" s="2339"/>
      <c r="N25" s="2339"/>
      <c r="O25" s="2339"/>
      <c r="P25" s="2339"/>
      <c r="Q25" s="2339"/>
      <c r="R25" s="2339"/>
      <c r="S25" s="2339"/>
    </row>
    <row r="26" spans="1:19" s="58" customFormat="1">
      <c r="A26" s="2707"/>
      <c r="B26" s="2713" t="s">
        <v>2957</v>
      </c>
      <c r="C26" s="662"/>
      <c r="D26" s="2357"/>
      <c r="E26" s="2357"/>
      <c r="F26" s="2357"/>
      <c r="G26" s="662"/>
      <c r="H26" s="2710"/>
      <c r="I26" s="2338"/>
      <c r="J26" s="2714"/>
      <c r="K26" s="2349"/>
      <c r="L26" s="2714"/>
      <c r="M26" s="2349"/>
      <c r="N26" s="2349"/>
      <c r="O26" s="2349"/>
      <c r="P26" s="2349"/>
      <c r="Q26" s="2349"/>
      <c r="R26" s="2349"/>
      <c r="S26" s="2349"/>
    </row>
    <row r="27" spans="1:19" s="58" customFormat="1">
      <c r="A27" s="2708"/>
      <c r="B27" s="2713" t="s">
        <v>2958</v>
      </c>
      <c r="C27" s="662"/>
      <c r="D27" s="2357"/>
      <c r="E27" s="2357"/>
      <c r="F27" s="2357"/>
      <c r="G27" s="662"/>
      <c r="H27" s="2710"/>
      <c r="I27" s="2338"/>
      <c r="J27" s="2714"/>
      <c r="K27" s="2349"/>
      <c r="L27" s="2714"/>
      <c r="M27" s="2349"/>
      <c r="N27" s="2349"/>
      <c r="O27" s="2349"/>
      <c r="P27" s="2349"/>
      <c r="Q27" s="2349"/>
      <c r="R27" s="2349"/>
      <c r="S27" s="2349"/>
    </row>
    <row r="28" spans="1:19" s="58" customFormat="1">
      <c r="A28" s="2708"/>
      <c r="B28" s="2713" t="s">
        <v>2959</v>
      </c>
      <c r="C28" s="662"/>
      <c r="D28" s="2357"/>
      <c r="E28" s="2357"/>
      <c r="F28" s="2357"/>
      <c r="G28" s="662"/>
      <c r="H28" s="2710"/>
      <c r="I28" s="2338"/>
      <c r="J28" s="2714"/>
      <c r="K28" s="2349"/>
      <c r="L28" s="2714"/>
      <c r="M28" s="2349"/>
      <c r="N28" s="2349"/>
      <c r="O28" s="2349"/>
      <c r="P28" s="2349"/>
      <c r="Q28" s="2349"/>
      <c r="R28" s="2349"/>
      <c r="S28" s="2349"/>
    </row>
    <row r="29" spans="1:19" s="58" customFormat="1">
      <c r="A29" s="2708"/>
      <c r="B29" s="2715" t="s">
        <v>2960</v>
      </c>
      <c r="C29" s="662"/>
      <c r="D29" s="2357"/>
      <c r="E29" s="2357"/>
      <c r="F29" s="2357"/>
      <c r="G29" s="662"/>
      <c r="H29" s="2710"/>
      <c r="I29" s="2338"/>
      <c r="J29" s="2714"/>
      <c r="K29" s="2349"/>
      <c r="L29" s="2714"/>
      <c r="M29" s="2349"/>
      <c r="N29" s="2349"/>
      <c r="O29" s="2349"/>
      <c r="P29" s="2349"/>
      <c r="Q29" s="2349"/>
      <c r="R29" s="2349"/>
      <c r="S29" s="2349"/>
    </row>
    <row r="30" spans="1:19" s="58" customFormat="1">
      <c r="A30" s="2707"/>
      <c r="B30" s="2716" t="s">
        <v>2961</v>
      </c>
      <c r="C30" s="665"/>
      <c r="D30" s="2717"/>
      <c r="E30" s="2717"/>
      <c r="F30" s="2717"/>
      <c r="G30" s="665"/>
      <c r="H30" s="2718"/>
      <c r="I30" s="2719"/>
      <c r="J30" s="2720"/>
      <c r="K30" s="2346"/>
      <c r="L30" s="2720"/>
      <c r="M30" s="2346"/>
      <c r="N30" s="2346"/>
      <c r="O30" s="2346"/>
      <c r="P30" s="2346"/>
      <c r="Q30" s="2346"/>
      <c r="R30" s="2346"/>
      <c r="S30" s="2346"/>
    </row>
    <row r="31" spans="1:19" s="58" customFormat="1">
      <c r="A31" s="2707"/>
      <c r="B31" s="2721"/>
      <c r="C31" s="662"/>
      <c r="D31" s="2357"/>
      <c r="E31" s="2357"/>
      <c r="F31" s="2357"/>
      <c r="G31" s="662"/>
      <c r="H31" s="2710"/>
      <c r="I31" s="2338"/>
      <c r="J31" s="2714"/>
      <c r="K31" s="2349"/>
      <c r="L31" s="2714"/>
      <c r="M31" s="2349"/>
      <c r="N31" s="2349"/>
      <c r="O31" s="2349"/>
      <c r="P31" s="2349"/>
      <c r="Q31" s="2349"/>
      <c r="R31" s="2349"/>
      <c r="S31" s="2349"/>
    </row>
    <row r="32" spans="1:19" s="58" customFormat="1">
      <c r="A32" s="2708"/>
      <c r="B32" s="2721"/>
      <c r="C32" s="708"/>
      <c r="D32" s="2357"/>
      <c r="E32" s="2357"/>
      <c r="F32" s="2357"/>
      <c r="G32" s="662"/>
      <c r="H32" s="2710"/>
      <c r="I32" s="2338"/>
      <c r="J32" s="2714"/>
      <c r="K32" s="2349"/>
      <c r="L32" s="2714"/>
      <c r="M32" s="2349"/>
      <c r="N32" s="2349"/>
      <c r="O32" s="2349"/>
      <c r="P32" s="2349"/>
      <c r="Q32" s="2349"/>
      <c r="R32" s="2349"/>
      <c r="S32" s="2349"/>
    </row>
    <row r="33" spans="1:19" s="58" customFormat="1">
      <c r="A33" s="2708"/>
      <c r="B33" s="2721"/>
      <c r="C33" s="708"/>
      <c r="D33" s="2357"/>
      <c r="E33" s="2357"/>
      <c r="F33" s="2357"/>
      <c r="G33" s="662"/>
      <c r="H33" s="2710"/>
      <c r="I33" s="2338"/>
      <c r="J33" s="2714"/>
      <c r="K33" s="2349"/>
      <c r="L33" s="2714"/>
      <c r="M33" s="2349"/>
      <c r="N33" s="2349"/>
      <c r="O33" s="2349"/>
      <c r="P33" s="2349"/>
      <c r="Q33" s="2349"/>
      <c r="R33" s="2349"/>
      <c r="S33" s="2349"/>
    </row>
    <row r="34" spans="1:19" s="58" customFormat="1">
      <c r="A34" s="2708"/>
      <c r="B34" s="2721"/>
      <c r="C34" s="708"/>
      <c r="D34" s="2357"/>
      <c r="E34" s="2357"/>
      <c r="F34" s="2357"/>
      <c r="G34" s="662"/>
      <c r="H34" s="2710"/>
      <c r="I34" s="2338"/>
      <c r="J34" s="2714"/>
      <c r="K34" s="2349"/>
      <c r="L34" s="2714"/>
      <c r="M34" s="2349"/>
      <c r="N34" s="2349"/>
      <c r="O34" s="2349"/>
      <c r="P34" s="2349"/>
      <c r="Q34" s="2349"/>
      <c r="R34" s="2349"/>
      <c r="S34" s="2349"/>
    </row>
    <row r="35" spans="1:19" s="58" customFormat="1">
      <c r="A35" s="2708"/>
      <c r="B35" s="2721"/>
      <c r="C35" s="708"/>
      <c r="D35" s="2357"/>
      <c r="E35" s="2357"/>
      <c r="F35" s="2357"/>
      <c r="G35" s="662"/>
      <c r="H35" s="2710"/>
      <c r="I35" s="2338"/>
      <c r="J35" s="2714"/>
      <c r="K35" s="2349"/>
      <c r="L35" s="2714"/>
      <c r="M35" s="2349"/>
      <c r="N35" s="2349"/>
      <c r="O35" s="2349"/>
      <c r="P35" s="2349"/>
      <c r="Q35" s="2349"/>
      <c r="R35" s="2349"/>
      <c r="S35" s="2349"/>
    </row>
    <row r="36" spans="1:19" s="58" customFormat="1">
      <c r="A36" s="2708"/>
      <c r="B36" s="2721"/>
      <c r="C36" s="708"/>
      <c r="D36" s="2357"/>
      <c r="E36" s="2357"/>
      <c r="F36" s="2357"/>
      <c r="G36" s="662"/>
      <c r="H36" s="2710"/>
      <c r="I36" s="2338"/>
      <c r="J36" s="2714"/>
      <c r="K36" s="2349"/>
      <c r="L36" s="2714"/>
      <c r="M36" s="2349"/>
      <c r="N36" s="2349"/>
      <c r="O36" s="2349"/>
      <c r="P36" s="2349"/>
      <c r="Q36" s="2349"/>
      <c r="R36" s="2349"/>
      <c r="S36" s="2349"/>
    </row>
    <row r="37" spans="1:19" s="58" customFormat="1">
      <c r="A37" s="2708"/>
      <c r="B37" s="2721"/>
      <c r="C37" s="708"/>
      <c r="D37" s="2357"/>
      <c r="E37" s="709"/>
      <c r="F37" s="2722"/>
      <c r="G37" s="662"/>
      <c r="H37" s="2710"/>
      <c r="I37" s="2338"/>
      <c r="J37" s="2714"/>
      <c r="K37" s="2349"/>
      <c r="L37" s="2714"/>
      <c r="M37" s="2349"/>
      <c r="N37" s="2349"/>
      <c r="O37" s="2349"/>
      <c r="P37" s="2349"/>
      <c r="Q37" s="2349"/>
      <c r="R37" s="2349"/>
      <c r="S37" s="2349"/>
    </row>
    <row r="38" spans="1:19" s="58" customFormat="1">
      <c r="A38" s="2708"/>
      <c r="B38" s="2721"/>
      <c r="C38" s="708"/>
      <c r="D38" s="2357"/>
      <c r="E38" s="709"/>
      <c r="F38" s="2722"/>
      <c r="G38" s="662"/>
      <c r="H38" s="2710"/>
      <c r="I38" s="2338"/>
      <c r="J38" s="2714"/>
      <c r="K38" s="2349"/>
      <c r="L38" s="2714"/>
      <c r="M38" s="2349"/>
      <c r="N38" s="2349"/>
      <c r="O38" s="2349"/>
      <c r="P38" s="2349"/>
      <c r="Q38" s="2349"/>
      <c r="R38" s="2349"/>
      <c r="S38" s="2349"/>
    </row>
    <row r="39" spans="1:19" s="58" customFormat="1">
      <c r="A39" s="2708"/>
      <c r="B39" s="2721"/>
      <c r="C39" s="708"/>
      <c r="D39" s="2357"/>
      <c r="E39" s="709"/>
      <c r="F39" s="2722"/>
      <c r="G39" s="662"/>
      <c r="H39" s="2710"/>
      <c r="I39" s="2338"/>
      <c r="J39" s="2714"/>
      <c r="K39" s="2349"/>
      <c r="L39" s="2714"/>
      <c r="M39" s="2349"/>
      <c r="N39" s="2349"/>
      <c r="O39" s="2349"/>
      <c r="P39" s="2349"/>
      <c r="Q39" s="2349"/>
      <c r="R39" s="2349"/>
      <c r="S39" s="2349"/>
    </row>
    <row r="40" spans="1:19" s="58" customFormat="1">
      <c r="A40" s="2708"/>
      <c r="B40" s="2672"/>
      <c r="C40" s="708"/>
      <c r="D40" s="2357"/>
      <c r="E40" s="709"/>
      <c r="F40" s="2722"/>
      <c r="G40" s="662"/>
      <c r="H40" s="2710"/>
      <c r="I40" s="2338"/>
      <c r="J40" s="2714"/>
      <c r="K40" s="2349"/>
      <c r="L40" s="2714"/>
      <c r="M40" s="2349"/>
      <c r="N40" s="2349"/>
      <c r="O40" s="2349"/>
      <c r="P40" s="2349"/>
      <c r="Q40" s="2349"/>
      <c r="R40" s="2349"/>
      <c r="S40" s="2349"/>
    </row>
    <row r="41" spans="1:19" s="58" customFormat="1">
      <c r="A41" s="2708"/>
      <c r="B41" s="2723"/>
      <c r="C41" s="708"/>
      <c r="D41" s="2357"/>
      <c r="E41" s="709"/>
      <c r="F41" s="2722"/>
      <c r="G41" s="662"/>
      <c r="H41" s="2710"/>
      <c r="I41" s="2338"/>
      <c r="J41" s="2714"/>
      <c r="K41" s="2349"/>
      <c r="L41" s="2714"/>
      <c r="M41" s="2349"/>
      <c r="N41" s="2349"/>
      <c r="O41" s="2349"/>
      <c r="P41" s="2349"/>
      <c r="Q41" s="2349"/>
      <c r="R41" s="2349"/>
      <c r="S41" s="2349"/>
    </row>
    <row r="42" spans="1:19" s="58" customFormat="1">
      <c r="A42" s="2708"/>
      <c r="B42" s="78"/>
      <c r="C42" s="708"/>
      <c r="D42" s="2357"/>
      <c r="E42" s="709"/>
      <c r="F42" s="2722"/>
      <c r="G42" s="662"/>
      <c r="H42" s="2710"/>
      <c r="I42" s="2338"/>
      <c r="J42" s="2714"/>
      <c r="K42" s="2349"/>
      <c r="L42" s="2714"/>
      <c r="M42" s="2349"/>
      <c r="N42" s="2349"/>
      <c r="O42" s="2349"/>
      <c r="P42" s="2349"/>
      <c r="Q42" s="2349"/>
      <c r="R42" s="2349"/>
      <c r="S42" s="2349"/>
    </row>
    <row r="43" spans="1:19" s="58" customFormat="1">
      <c r="A43" s="2708"/>
      <c r="B43" s="2721"/>
      <c r="C43" s="708"/>
      <c r="D43" s="2357"/>
      <c r="E43" s="709"/>
      <c r="F43" s="2722"/>
      <c r="G43" s="662"/>
      <c r="H43" s="2710"/>
      <c r="I43" s="2338"/>
      <c r="J43" s="2714"/>
      <c r="K43" s="2349"/>
      <c r="L43" s="2714"/>
      <c r="M43" s="2349"/>
      <c r="N43" s="2349"/>
      <c r="O43" s="2349"/>
      <c r="P43" s="2349"/>
      <c r="Q43" s="2349"/>
      <c r="R43" s="2349"/>
      <c r="S43" s="2349"/>
    </row>
    <row r="44" spans="1:19" s="58" customFormat="1">
      <c r="A44" s="2708"/>
      <c r="B44" s="2721"/>
      <c r="C44" s="708"/>
      <c r="D44" s="2357"/>
      <c r="E44" s="709"/>
      <c r="F44" s="2722"/>
      <c r="G44" s="662"/>
      <c r="H44" s="2710"/>
      <c r="I44" s="2338"/>
      <c r="J44" s="2714"/>
      <c r="K44" s="2349"/>
      <c r="L44" s="2714"/>
      <c r="M44" s="2349"/>
      <c r="N44" s="2349"/>
      <c r="O44" s="2349"/>
      <c r="P44" s="2349"/>
      <c r="Q44" s="2349"/>
      <c r="R44" s="2349"/>
      <c r="S44" s="2349"/>
    </row>
    <row r="45" spans="1:19" s="58" customFormat="1">
      <c r="A45" s="2708"/>
      <c r="B45" s="2721"/>
      <c r="C45" s="708"/>
      <c r="D45" s="2357"/>
      <c r="E45" s="709"/>
      <c r="F45" s="2722"/>
      <c r="G45" s="662"/>
      <c r="H45" s="2710"/>
      <c r="I45" s="2338"/>
      <c r="J45" s="2714"/>
      <c r="K45" s="2349"/>
      <c r="L45" s="2714"/>
      <c r="M45" s="2349"/>
      <c r="N45" s="2349"/>
      <c r="O45" s="2349"/>
      <c r="P45" s="2349"/>
      <c r="Q45" s="2349"/>
      <c r="R45" s="2349"/>
      <c r="S45" s="2349"/>
    </row>
    <row r="46" spans="1:19" s="58" customFormat="1">
      <c r="A46" s="2708"/>
      <c r="B46" s="2721"/>
      <c r="C46" s="708"/>
      <c r="D46" s="2357"/>
      <c r="E46" s="709"/>
      <c r="F46" s="2722"/>
      <c r="G46" s="662"/>
      <c r="H46" s="2710"/>
      <c r="I46" s="2338"/>
      <c r="J46" s="2714"/>
      <c r="K46" s="2349"/>
      <c r="L46" s="2714"/>
      <c r="M46" s="2349"/>
      <c r="N46" s="2349"/>
      <c r="O46" s="2349"/>
      <c r="P46" s="2349"/>
      <c r="Q46" s="2349"/>
      <c r="R46" s="2349"/>
      <c r="S46" s="2349"/>
    </row>
    <row r="47" spans="1:19" s="58" customFormat="1">
      <c r="A47" s="2708"/>
      <c r="B47" s="2721"/>
      <c r="C47" s="708"/>
      <c r="D47" s="2357"/>
      <c r="E47" s="709"/>
      <c r="F47" s="2722"/>
      <c r="G47" s="662"/>
      <c r="H47" s="2710"/>
      <c r="I47" s="2338"/>
      <c r="J47" s="2714"/>
      <c r="K47" s="2349"/>
      <c r="L47" s="2714"/>
      <c r="M47" s="2349"/>
      <c r="N47" s="2349"/>
      <c r="O47" s="2349"/>
      <c r="P47" s="2349"/>
      <c r="Q47" s="2349"/>
      <c r="R47" s="2349"/>
      <c r="S47" s="2349"/>
    </row>
    <row r="48" spans="1:19" s="58" customFormat="1">
      <c r="A48" s="2708"/>
      <c r="B48" s="2721"/>
      <c r="C48" s="708"/>
      <c r="D48" s="2357"/>
      <c r="E48" s="709"/>
      <c r="F48" s="2722"/>
      <c r="G48" s="662"/>
      <c r="H48" s="2710"/>
      <c r="I48" s="2338"/>
      <c r="J48" s="2714"/>
      <c r="K48" s="2349"/>
      <c r="L48" s="2714"/>
      <c r="M48" s="2349"/>
      <c r="N48" s="2349"/>
      <c r="O48" s="2349"/>
      <c r="P48" s="2349"/>
      <c r="Q48" s="2349"/>
      <c r="R48" s="2349"/>
      <c r="S48" s="2349"/>
    </row>
    <row r="49" spans="1:19" s="58" customFormat="1">
      <c r="A49" s="2708"/>
      <c r="B49" s="2721"/>
      <c r="C49" s="708"/>
      <c r="D49" s="2357"/>
      <c r="E49" s="709"/>
      <c r="F49" s="2722"/>
      <c r="G49" s="662"/>
      <c r="H49" s="2710"/>
      <c r="I49" s="2338"/>
      <c r="J49" s="2714"/>
      <c r="K49" s="2349"/>
      <c r="L49" s="2714"/>
      <c r="M49" s="2349"/>
      <c r="N49" s="2349"/>
      <c r="O49" s="2349"/>
      <c r="P49" s="2349"/>
      <c r="Q49" s="2349"/>
      <c r="R49" s="2349"/>
      <c r="S49" s="2349"/>
    </row>
    <row r="50" spans="1:19" s="58" customFormat="1">
      <c r="A50" s="2708"/>
      <c r="B50" s="2721"/>
      <c r="C50" s="708"/>
      <c r="D50" s="2357"/>
      <c r="E50" s="709"/>
      <c r="F50" s="2722"/>
      <c r="G50" s="662"/>
      <c r="H50" s="2710"/>
      <c r="I50" s="2338"/>
      <c r="J50" s="2714"/>
      <c r="K50" s="2349"/>
      <c r="L50" s="2714"/>
      <c r="M50" s="2349"/>
      <c r="N50" s="2349"/>
      <c r="O50" s="2349"/>
      <c r="P50" s="2349"/>
      <c r="Q50" s="2349"/>
      <c r="R50" s="2349"/>
      <c r="S50" s="2349"/>
    </row>
    <row r="51" spans="1:19" s="58" customFormat="1">
      <c r="A51" s="2708"/>
      <c r="B51" s="2721"/>
      <c r="C51" s="708"/>
      <c r="D51" s="2357"/>
      <c r="E51" s="709"/>
      <c r="F51" s="2722"/>
      <c r="G51" s="662"/>
      <c r="H51" s="2710"/>
      <c r="I51" s="2338"/>
      <c r="J51" s="2714"/>
      <c r="K51" s="2349"/>
      <c r="L51" s="2714"/>
      <c r="M51" s="2349"/>
      <c r="N51" s="2349"/>
      <c r="O51" s="2349"/>
      <c r="P51" s="2349"/>
      <c r="Q51" s="2349"/>
      <c r="R51" s="2349"/>
      <c r="S51" s="2349"/>
    </row>
    <row r="52" spans="1:19" s="58" customFormat="1">
      <c r="A52" s="2708"/>
      <c r="B52" s="2721"/>
      <c r="C52" s="708"/>
      <c r="D52" s="2357"/>
      <c r="E52" s="709"/>
      <c r="F52" s="2722"/>
      <c r="G52" s="662"/>
      <c r="H52" s="2710"/>
      <c r="I52" s="2338"/>
      <c r="J52" s="2714"/>
      <c r="K52" s="2349"/>
      <c r="L52" s="2714"/>
      <c r="M52" s="2349"/>
      <c r="N52" s="2349"/>
      <c r="O52" s="2349"/>
      <c r="P52" s="2349"/>
      <c r="Q52" s="2349"/>
      <c r="R52" s="2349"/>
      <c r="S52" s="2349"/>
    </row>
    <row r="53" spans="1:19" s="58" customFormat="1">
      <c r="A53" s="2708"/>
      <c r="B53" s="2721"/>
      <c r="C53" s="708"/>
      <c r="D53" s="2357"/>
      <c r="E53" s="709"/>
      <c r="F53" s="2722"/>
      <c r="G53" s="662"/>
      <c r="H53" s="2710"/>
      <c r="I53" s="2338"/>
      <c r="J53" s="2714"/>
      <c r="K53" s="2349"/>
      <c r="L53" s="2714"/>
      <c r="M53" s="2349"/>
      <c r="N53" s="2349"/>
      <c r="O53" s="2349"/>
      <c r="P53" s="2349"/>
      <c r="Q53" s="2349"/>
      <c r="R53" s="2349"/>
      <c r="S53" s="2349"/>
    </row>
    <row r="54" spans="1:19" s="58" customFormat="1">
      <c r="A54" s="2707"/>
      <c r="B54" s="2721"/>
      <c r="C54" s="662"/>
      <c r="D54" s="2357"/>
      <c r="E54" s="709"/>
      <c r="F54" s="2722"/>
      <c r="G54" s="662"/>
      <c r="H54" s="2710"/>
      <c r="I54" s="2338"/>
      <c r="J54" s="2714"/>
      <c r="K54" s="2349"/>
      <c r="L54" s="2714"/>
      <c r="M54" s="2349"/>
      <c r="N54" s="2349"/>
      <c r="O54" s="2349"/>
      <c r="P54" s="2349"/>
      <c r="Q54" s="2349"/>
      <c r="R54" s="2349"/>
      <c r="S54" s="2349"/>
    </row>
    <row r="55" spans="1:19">
      <c r="A55" s="2650"/>
      <c r="B55" s="2721"/>
      <c r="C55" s="662"/>
      <c r="D55" s="2407"/>
      <c r="E55" s="709"/>
      <c r="F55" s="2722"/>
      <c r="G55" s="660"/>
      <c r="H55" s="2710"/>
      <c r="I55" s="2338"/>
      <c r="J55" s="2391"/>
      <c r="K55" s="2391"/>
      <c r="L55" s="2391"/>
      <c r="M55" s="2339"/>
      <c r="N55" s="2339"/>
      <c r="O55" s="2339"/>
      <c r="P55" s="2339"/>
      <c r="Q55" s="2339"/>
      <c r="R55" s="2339"/>
      <c r="S55" s="2339"/>
    </row>
    <row r="56" spans="1:19">
      <c r="A56" s="2650"/>
      <c r="B56" s="72"/>
      <c r="C56" s="662"/>
      <c r="D56" s="2407"/>
      <c r="E56" s="709"/>
      <c r="F56" s="2722"/>
      <c r="G56" s="660"/>
      <c r="H56" s="2710"/>
      <c r="I56" s="2338"/>
      <c r="J56" s="2710"/>
      <c r="K56" s="2339"/>
      <c r="L56" s="2710"/>
      <c r="M56" s="2339"/>
      <c r="N56" s="2339"/>
      <c r="O56" s="2339"/>
      <c r="P56" s="2339"/>
      <c r="Q56" s="2339"/>
      <c r="R56" s="2339"/>
      <c r="S56" s="2339"/>
    </row>
    <row r="57" spans="1:19">
      <c r="A57" s="2650"/>
      <c r="B57" s="2672"/>
      <c r="C57" s="662"/>
      <c r="D57" s="2407"/>
      <c r="E57" s="2407"/>
      <c r="F57" s="2407"/>
      <c r="G57" s="660"/>
      <c r="H57" s="2710"/>
      <c r="I57" s="2338"/>
      <c r="J57" s="2710"/>
      <c r="K57" s="2339"/>
      <c r="L57" s="2710"/>
      <c r="M57" s="2339"/>
      <c r="N57" s="2339"/>
      <c r="O57" s="2339"/>
      <c r="P57" s="2339"/>
      <c r="Q57" s="2339"/>
      <c r="R57" s="2339"/>
      <c r="S57" s="2339"/>
    </row>
    <row r="58" spans="1:19">
      <c r="A58" s="2650"/>
      <c r="B58" s="2672"/>
      <c r="C58" s="662"/>
      <c r="D58" s="2407"/>
      <c r="E58" s="2407"/>
      <c r="F58" s="2407"/>
      <c r="G58" s="660"/>
      <c r="H58" s="2710"/>
      <c r="I58" s="2339"/>
      <c r="J58" s="2391"/>
      <c r="K58" s="2339"/>
      <c r="L58" s="2710"/>
      <c r="M58" s="2339"/>
      <c r="N58" s="2339"/>
      <c r="O58" s="2339"/>
      <c r="P58" s="2339"/>
      <c r="Q58" s="2339"/>
      <c r="R58" s="2339"/>
      <c r="S58" s="2339"/>
    </row>
    <row r="59" spans="1:19">
      <c r="A59" s="2650"/>
      <c r="B59" s="2724"/>
      <c r="C59" s="662"/>
      <c r="D59" s="2407"/>
      <c r="E59" s="2407"/>
      <c r="F59" s="2407"/>
      <c r="G59" s="660"/>
      <c r="H59" s="2710"/>
      <c r="I59" s="2339"/>
      <c r="J59" s="2710"/>
      <c r="K59" s="2339"/>
      <c r="L59" s="2710"/>
      <c r="M59" s="2339"/>
      <c r="N59" s="2339"/>
      <c r="O59" s="2339"/>
      <c r="P59" s="2339"/>
      <c r="Q59" s="2339"/>
      <c r="R59" s="2339"/>
      <c r="S59" s="2339"/>
    </row>
    <row r="60" spans="1:19">
      <c r="A60" s="2650"/>
      <c r="B60" s="2725"/>
      <c r="C60" s="662"/>
      <c r="D60" s="2407"/>
      <c r="E60" s="2407"/>
      <c r="F60" s="2407"/>
      <c r="G60" s="660"/>
      <c r="H60" s="2710"/>
      <c r="I60" s="2339"/>
      <c r="J60" s="2710"/>
      <c r="K60" s="2339"/>
      <c r="L60" s="2710"/>
      <c r="M60" s="2339"/>
      <c r="N60" s="2339"/>
      <c r="O60" s="2339"/>
      <c r="P60" s="2339"/>
      <c r="Q60" s="2339"/>
      <c r="R60" s="2339"/>
      <c r="S60" s="2339"/>
    </row>
    <row r="61" spans="1:19">
      <c r="A61" s="2650"/>
      <c r="B61" s="2725"/>
      <c r="C61" s="662"/>
      <c r="D61" s="2407"/>
      <c r="E61" s="2407"/>
      <c r="F61" s="2407"/>
      <c r="G61" s="660"/>
      <c r="H61" s="2710"/>
      <c r="I61" s="2338"/>
      <c r="J61" s="2710"/>
      <c r="K61" s="2338"/>
      <c r="L61" s="2339"/>
      <c r="M61" s="2338"/>
      <c r="N61" s="2339"/>
      <c r="O61" s="2338"/>
      <c r="P61" s="2339"/>
      <c r="Q61" s="2339"/>
      <c r="R61" s="2339"/>
      <c r="S61" s="2339"/>
    </row>
    <row r="62" spans="1:19">
      <c r="A62" s="2650"/>
      <c r="B62" s="2725"/>
      <c r="C62" s="662"/>
      <c r="D62" s="2407"/>
      <c r="E62" s="2407"/>
      <c r="F62" s="2407"/>
      <c r="G62" s="660"/>
      <c r="H62" s="2710"/>
      <c r="I62" s="2338"/>
      <c r="J62" s="2710"/>
      <c r="K62" s="2338"/>
      <c r="L62" s="2339"/>
      <c r="M62" s="2338"/>
      <c r="N62" s="2339"/>
      <c r="O62" s="2338"/>
      <c r="P62" s="2339"/>
      <c r="Q62" s="2339"/>
      <c r="R62" s="2339"/>
      <c r="S62" s="2339"/>
    </row>
    <row r="63" spans="1:19">
      <c r="A63" s="2650"/>
      <c r="B63" s="2725"/>
      <c r="C63" s="662"/>
      <c r="D63" s="2407"/>
      <c r="E63" s="2407"/>
      <c r="F63" s="2407"/>
      <c r="G63" s="660"/>
      <c r="H63" s="2710"/>
      <c r="I63" s="2338"/>
      <c r="J63" s="2710"/>
      <c r="K63" s="2338"/>
      <c r="L63" s="2339"/>
      <c r="M63" s="2338"/>
      <c r="N63" s="2339"/>
      <c r="O63" s="2338"/>
      <c r="P63" s="2339"/>
      <c r="Q63" s="2339"/>
      <c r="R63" s="2339"/>
      <c r="S63" s="2339"/>
    </row>
    <row r="64" spans="1:19">
      <c r="A64" s="2650"/>
      <c r="B64" s="2725"/>
      <c r="C64" s="662"/>
      <c r="D64" s="2407"/>
      <c r="E64" s="2407"/>
      <c r="F64" s="2407"/>
      <c r="G64" s="660"/>
      <c r="H64" s="2710"/>
      <c r="I64" s="2338"/>
      <c r="J64" s="2710"/>
      <c r="K64" s="2338"/>
      <c r="L64" s="2339"/>
      <c r="M64" s="2338"/>
      <c r="N64" s="2339"/>
      <c r="O64" s="2338"/>
      <c r="P64" s="2339"/>
      <c r="Q64" s="2339"/>
      <c r="R64" s="2339"/>
      <c r="S64" s="2339"/>
    </row>
    <row r="65" spans="1:19" ht="15.75" thickBot="1">
      <c r="A65" s="2650"/>
      <c r="B65" s="2725"/>
      <c r="C65" s="662"/>
      <c r="D65" s="2407"/>
      <c r="E65" s="2407"/>
      <c r="F65" s="2407"/>
      <c r="G65" s="660"/>
      <c r="H65" s="2710"/>
      <c r="I65" s="2338"/>
      <c r="J65" s="2710"/>
      <c r="K65" s="2338"/>
      <c r="L65" s="2339"/>
      <c r="M65" s="2338"/>
      <c r="N65" s="2339"/>
      <c r="O65" s="2338"/>
      <c r="P65" s="2339"/>
      <c r="Q65" s="2339"/>
      <c r="R65" s="2339"/>
      <c r="S65" s="2339"/>
    </row>
    <row r="66" spans="1:19" ht="15.75" thickTop="1">
      <c r="A66" s="13"/>
      <c r="B66" s="14"/>
      <c r="C66" s="15"/>
      <c r="D66" s="15"/>
      <c r="E66" s="16"/>
      <c r="F66" s="17" t="s">
        <v>2975</v>
      </c>
      <c r="G66" s="18"/>
      <c r="H66" s="19"/>
      <c r="I66" s="53">
        <f>SUM(I23:I65)</f>
        <v>0</v>
      </c>
      <c r="J66" s="19"/>
      <c r="K66" s="53">
        <f>SUM(K23:K65)</f>
        <v>0</v>
      </c>
      <c r="L66" s="19"/>
      <c r="M66" s="53">
        <f>SUM(M23:M65)</f>
        <v>0</v>
      </c>
      <c r="N66" s="19"/>
      <c r="O66" s="53">
        <f>SUM(O23:O65)</f>
        <v>0</v>
      </c>
      <c r="P66" s="19"/>
      <c r="Q66" s="53">
        <f>SUM(Q23:Q65)</f>
        <v>0</v>
      </c>
      <c r="R66" s="19"/>
      <c r="S66" s="53">
        <f>SUM(S23:S65)</f>
        <v>0</v>
      </c>
    </row>
    <row r="67" spans="1:19">
      <c r="A67" s="2358"/>
      <c r="B67" s="2372"/>
      <c r="C67" s="2360"/>
      <c r="D67" s="2360"/>
      <c r="E67" s="2726"/>
      <c r="F67" s="2363" t="s">
        <v>2976</v>
      </c>
      <c r="G67" s="656"/>
      <c r="H67" s="2364">
        <v>0</v>
      </c>
      <c r="I67" s="2727"/>
      <c r="J67" s="2364">
        <v>0</v>
      </c>
      <c r="K67" s="2727"/>
      <c r="L67" s="2364">
        <v>0</v>
      </c>
      <c r="M67" s="2727"/>
      <c r="N67" s="2364">
        <v>0</v>
      </c>
      <c r="O67" s="2727"/>
      <c r="P67" s="2364">
        <v>0</v>
      </c>
      <c r="Q67" s="2727"/>
      <c r="R67" s="2364">
        <v>0</v>
      </c>
      <c r="S67" s="2727"/>
    </row>
    <row r="68" spans="1:19">
      <c r="A68" s="2358"/>
      <c r="B68" s="2372"/>
      <c r="C68" s="2360"/>
      <c r="D68" s="2360"/>
      <c r="E68" s="2726"/>
      <c r="F68" s="2363" t="s">
        <v>2977</v>
      </c>
      <c r="G68" s="656"/>
      <c r="H68" s="2365"/>
      <c r="I68" s="2728">
        <f>H67*I66</f>
        <v>0</v>
      </c>
      <c r="J68" s="2365"/>
      <c r="K68" s="2728">
        <f>J67*K66</f>
        <v>0</v>
      </c>
      <c r="L68" s="2365"/>
      <c r="M68" s="2728">
        <f>L67*M66</f>
        <v>0</v>
      </c>
      <c r="N68" s="2365"/>
      <c r="O68" s="2728">
        <f>N67*O66</f>
        <v>0</v>
      </c>
      <c r="P68" s="2365"/>
      <c r="Q68" s="2728">
        <f>P67*Q66</f>
        <v>0</v>
      </c>
      <c r="R68" s="2365"/>
      <c r="S68" s="2728">
        <f>R67*S66</f>
        <v>0</v>
      </c>
    </row>
    <row r="69" spans="1:19">
      <c r="A69" s="2358"/>
      <c r="B69" s="2372"/>
      <c r="C69" s="2360"/>
      <c r="D69" s="2360"/>
      <c r="E69" s="2726"/>
      <c r="F69" s="2363"/>
      <c r="G69" s="656"/>
      <c r="H69" s="2365"/>
      <c r="I69" s="2366"/>
      <c r="J69" s="2365"/>
      <c r="K69" s="2366"/>
      <c r="L69" s="2365"/>
      <c r="M69" s="2366"/>
      <c r="N69" s="2365"/>
      <c r="O69" s="2366"/>
      <c r="P69" s="2365"/>
      <c r="Q69" s="2366"/>
      <c r="R69" s="2365"/>
      <c r="S69" s="2366"/>
    </row>
    <row r="70" spans="1:19">
      <c r="A70" s="2358"/>
      <c r="B70" s="2372"/>
      <c r="C70" s="2360"/>
      <c r="D70" s="2360"/>
      <c r="E70" s="2726"/>
      <c r="F70" s="2363" t="s">
        <v>2978</v>
      </c>
      <c r="G70" s="656"/>
      <c r="H70" s="2367"/>
      <c r="I70" s="2729">
        <f>SUM(I66:I68)</f>
        <v>0</v>
      </c>
      <c r="J70" s="2367"/>
      <c r="K70" s="2729">
        <f>SUM(K66:K68)</f>
        <v>0</v>
      </c>
      <c r="L70" s="2367"/>
      <c r="M70" s="2729">
        <f>SUM(M66:M68)</f>
        <v>0</v>
      </c>
      <c r="N70" s="2367"/>
      <c r="O70" s="2729">
        <f>SUM(O66:O68)</f>
        <v>0</v>
      </c>
      <c r="P70" s="2367"/>
      <c r="Q70" s="2729">
        <f>SUM(Q66:Q68)</f>
        <v>0</v>
      </c>
      <c r="R70" s="2367"/>
      <c r="S70" s="2729">
        <f>SUM(S66:S68)</f>
        <v>0</v>
      </c>
    </row>
    <row r="71" spans="1:19">
      <c r="A71" s="2358"/>
      <c r="B71" s="2372"/>
      <c r="C71" s="2360"/>
      <c r="D71" s="2360"/>
      <c r="E71" s="2726"/>
      <c r="F71" s="2368" t="s">
        <v>2979</v>
      </c>
      <c r="G71" s="655"/>
      <c r="H71" s="2369"/>
      <c r="I71" s="2371">
        <f>I70/'Area Calculations'!$F$5</f>
        <v>0</v>
      </c>
      <c r="J71" s="2369"/>
      <c r="K71" s="2371">
        <f>K70/'Area Calculations'!$F$5</f>
        <v>0</v>
      </c>
      <c r="L71" s="2369"/>
      <c r="M71" s="2371">
        <f>M70/'Area Calculations'!$F$5</f>
        <v>0</v>
      </c>
      <c r="N71" s="2369"/>
      <c r="O71" s="2371">
        <f>O70/'Area Calculations'!$F$5</f>
        <v>0</v>
      </c>
      <c r="P71" s="2369"/>
      <c r="Q71" s="2371">
        <f>Q70/'Area Calculations'!$F$5</f>
        <v>0</v>
      </c>
      <c r="R71" s="2369"/>
      <c r="S71" s="2371">
        <f>S70/'Area Calculations'!$F$5</f>
        <v>0</v>
      </c>
    </row>
    <row r="72" spans="1:19">
      <c r="A72" s="2358"/>
      <c r="B72" s="2372"/>
      <c r="C72" s="2360"/>
      <c r="D72" s="2360"/>
      <c r="E72" s="2726"/>
      <c r="F72" s="2368" t="s">
        <v>4878</v>
      </c>
      <c r="G72" s="686"/>
      <c r="H72" s="2369"/>
      <c r="I72" s="2371" t="e">
        <f>I70/'Area Calculations'!$F$10</f>
        <v>#DIV/0!</v>
      </c>
      <c r="J72" s="2369"/>
      <c r="K72" s="2371" t="e">
        <f>K70/'Area Calculations'!$F$10</f>
        <v>#DIV/0!</v>
      </c>
      <c r="L72" s="2369"/>
      <c r="M72" s="2371" t="e">
        <f>M70/'Area Calculations'!$F$10</f>
        <v>#DIV/0!</v>
      </c>
      <c r="N72" s="2369"/>
      <c r="O72" s="2371" t="e">
        <f>O70/'Area Calculations'!$F$10</f>
        <v>#DIV/0!</v>
      </c>
      <c r="P72" s="2369"/>
      <c r="Q72" s="2371" t="e">
        <f>Q70/'Area Calculations'!$F$10</f>
        <v>#DIV/0!</v>
      </c>
      <c r="R72" s="2369"/>
      <c r="S72" s="2371" t="e">
        <f>S70/'Area Calculations'!$F$10</f>
        <v>#DIV/0!</v>
      </c>
    </row>
    <row r="73" spans="1:19" ht="15.75" thickBot="1">
      <c r="A73" s="2358"/>
      <c r="B73" s="2372"/>
      <c r="C73" s="2360"/>
      <c r="D73" s="2360"/>
      <c r="E73" s="2726"/>
      <c r="F73" s="2363"/>
      <c r="G73" s="687"/>
      <c r="H73" s="2730"/>
      <c r="I73" s="2731"/>
      <c r="J73" s="2730"/>
      <c r="K73" s="2731"/>
      <c r="L73" s="2730"/>
      <c r="M73" s="2731"/>
      <c r="N73" s="2730"/>
      <c r="O73" s="2731"/>
      <c r="P73" s="2373"/>
      <c r="Q73" s="2373"/>
      <c r="R73" s="2373"/>
      <c r="S73" s="2373"/>
    </row>
    <row r="74" spans="1:19" ht="16.5" thickTop="1" thickBot="1">
      <c r="A74" s="830" t="s">
        <v>2980</v>
      </c>
      <c r="B74" s="831"/>
      <c r="C74" s="12"/>
      <c r="D74" s="12"/>
      <c r="E74" s="12"/>
      <c r="F74" s="12"/>
      <c r="G74" s="48"/>
      <c r="H74" s="47"/>
      <c r="I74" s="20"/>
      <c r="J74" s="20"/>
      <c r="K74" s="20"/>
      <c r="L74" s="20"/>
      <c r="M74" s="20"/>
      <c r="N74" s="20"/>
      <c r="O74" s="20"/>
      <c r="P74" s="20"/>
      <c r="Q74" s="20"/>
      <c r="R74" s="20"/>
      <c r="S74" s="20"/>
    </row>
    <row r="75" spans="1:19" ht="15.75" thickTop="1">
      <c r="A75" s="2661"/>
      <c r="B75" s="2406"/>
      <c r="C75" s="2662"/>
      <c r="D75" s="2662"/>
      <c r="E75" s="2662"/>
      <c r="F75" s="2662"/>
      <c r="G75" s="2732"/>
      <c r="H75" s="2381"/>
      <c r="I75" s="2666"/>
      <c r="J75" s="2666"/>
      <c r="K75" s="2666"/>
      <c r="L75" s="2666"/>
      <c r="M75" s="2666"/>
      <c r="N75" s="2666"/>
      <c r="O75" s="2666"/>
      <c r="P75" s="2666"/>
      <c r="Q75" s="2666"/>
      <c r="R75" s="2666"/>
      <c r="S75" s="2666"/>
    </row>
    <row r="76" spans="1:19" s="2" customFormat="1">
      <c r="A76" s="2661"/>
      <c r="B76" s="2406"/>
      <c r="C76" s="2662"/>
      <c r="D76" s="2662"/>
      <c r="E76" s="2662"/>
      <c r="F76" s="2662"/>
      <c r="G76" s="2732"/>
      <c r="H76" s="2381"/>
      <c r="I76" s="2666"/>
      <c r="J76" s="2666"/>
      <c r="K76" s="2666"/>
      <c r="L76" s="2666"/>
      <c r="M76" s="2666"/>
      <c r="N76" s="2666"/>
      <c r="O76" s="2666"/>
      <c r="P76" s="2666"/>
      <c r="Q76" s="2666"/>
      <c r="R76" s="2666"/>
      <c r="S76" s="2666"/>
    </row>
    <row r="77" spans="1:19" s="2" customFormat="1" ht="15.75" thickBot="1">
      <c r="A77" s="2661"/>
      <c r="B77" s="2406"/>
      <c r="C77" s="2662"/>
      <c r="D77" s="2662"/>
      <c r="E77" s="2662"/>
      <c r="F77" s="2662"/>
      <c r="G77" s="2732"/>
      <c r="H77" s="2381"/>
      <c r="I77" s="2666"/>
      <c r="J77" s="2666"/>
      <c r="K77" s="2666"/>
      <c r="L77" s="2666"/>
      <c r="M77" s="2666"/>
      <c r="N77" s="2666"/>
      <c r="O77" s="2666"/>
      <c r="P77" s="2666"/>
      <c r="Q77" s="2666"/>
      <c r="R77" s="2666"/>
      <c r="S77" s="2666"/>
    </row>
    <row r="78" spans="1:19" ht="16.5" thickTop="1" thickBot="1">
      <c r="A78" s="830" t="s">
        <v>2981</v>
      </c>
      <c r="B78" s="831"/>
      <c r="C78" s="12"/>
      <c r="D78" s="12"/>
      <c r="E78" s="12"/>
      <c r="F78" s="12"/>
      <c r="G78" s="48"/>
      <c r="H78" s="47"/>
      <c r="I78" s="20"/>
      <c r="J78" s="20"/>
      <c r="K78" s="20"/>
      <c r="L78" s="20"/>
      <c r="M78" s="20"/>
      <c r="N78" s="20"/>
      <c r="O78" s="20"/>
      <c r="P78" s="20"/>
      <c r="Q78" s="20"/>
      <c r="R78" s="20"/>
      <c r="S78" s="20"/>
    </row>
    <row r="79" spans="1:19" s="2" customFormat="1" ht="15.75" thickTop="1">
      <c r="A79" s="2661"/>
      <c r="B79" s="2406"/>
      <c r="C79" s="2662"/>
      <c r="D79" s="2662"/>
      <c r="E79" s="2662"/>
      <c r="F79" s="2662"/>
      <c r="G79" s="2732"/>
      <c r="H79" s="2381"/>
      <c r="I79" s="2666"/>
      <c r="J79" s="2666"/>
      <c r="K79" s="2666"/>
      <c r="L79" s="2666"/>
      <c r="M79" s="2666"/>
      <c r="N79" s="2666"/>
      <c r="O79" s="2666"/>
      <c r="P79" s="2666"/>
      <c r="Q79" s="2666"/>
      <c r="R79" s="2666"/>
      <c r="S79" s="2666"/>
    </row>
    <row r="80" spans="1:19" s="2" customFormat="1">
      <c r="A80" s="2661"/>
      <c r="B80" s="2406"/>
      <c r="C80" s="2662"/>
      <c r="D80" s="2662"/>
      <c r="E80" s="2662"/>
      <c r="F80" s="2662"/>
      <c r="G80" s="2732"/>
      <c r="H80" s="2381"/>
      <c r="I80" s="2666"/>
      <c r="J80" s="2666"/>
      <c r="K80" s="2666"/>
      <c r="L80" s="2666"/>
      <c r="M80" s="2666"/>
      <c r="N80" s="2666"/>
      <c r="O80" s="2666"/>
      <c r="P80" s="2666"/>
      <c r="Q80" s="2666"/>
      <c r="R80" s="2666"/>
      <c r="S80" s="2666"/>
    </row>
    <row r="81" spans="1:19" ht="15.75" thickBot="1">
      <c r="A81" s="2661"/>
      <c r="B81" s="2406"/>
      <c r="C81" s="2662"/>
      <c r="D81" s="2662"/>
      <c r="E81" s="2662"/>
      <c r="F81" s="2662"/>
      <c r="G81" s="2732"/>
      <c r="H81" s="2381"/>
      <c r="I81" s="2666"/>
      <c r="J81" s="2666"/>
      <c r="K81" s="2666"/>
      <c r="L81" s="2666"/>
      <c r="M81" s="2666"/>
      <c r="N81" s="2666"/>
      <c r="O81" s="2666"/>
      <c r="P81" s="2666"/>
      <c r="Q81" s="2666"/>
      <c r="R81" s="2666"/>
      <c r="S81" s="2666"/>
    </row>
    <row r="82" spans="1:19" ht="16.5" thickTop="1" thickBot="1">
      <c r="A82" s="830" t="s">
        <v>2982</v>
      </c>
      <c r="B82" s="831"/>
      <c r="C82" s="12"/>
      <c r="D82" s="12"/>
      <c r="E82" s="12"/>
      <c r="F82" s="12"/>
      <c r="G82" s="48"/>
      <c r="H82" s="47"/>
      <c r="I82" s="20"/>
      <c r="J82" s="20"/>
      <c r="K82" s="20"/>
      <c r="L82" s="20"/>
      <c r="M82" s="20"/>
      <c r="N82" s="20"/>
      <c r="O82" s="20"/>
      <c r="P82" s="20"/>
      <c r="Q82" s="20"/>
      <c r="R82" s="20"/>
      <c r="S82" s="20"/>
    </row>
    <row r="83" spans="1:19" ht="15.75" thickTop="1">
      <c r="A83" s="2661"/>
      <c r="B83" s="2406"/>
      <c r="C83" s="2662"/>
      <c r="D83" s="2662"/>
      <c r="E83" s="2662"/>
      <c r="F83" s="2662"/>
      <c r="G83" s="2732"/>
      <c r="H83" s="2381"/>
      <c r="I83" s="2666"/>
      <c r="J83" s="2666"/>
      <c r="K83" s="2666"/>
      <c r="L83" s="2666"/>
      <c r="M83" s="2666"/>
      <c r="N83" s="2666"/>
      <c r="O83" s="2666"/>
      <c r="P83" s="2666"/>
      <c r="Q83" s="2666"/>
      <c r="R83" s="2666"/>
      <c r="S83" s="2666"/>
    </row>
    <row r="84" spans="1:19">
      <c r="A84" s="2382"/>
      <c r="B84" s="2406"/>
      <c r="C84" s="2407"/>
      <c r="D84" s="2407"/>
      <c r="E84" s="2407"/>
      <c r="F84" s="2407"/>
      <c r="G84" s="2733"/>
      <c r="H84" s="688"/>
      <c r="I84" s="2384"/>
      <c r="J84" s="2384"/>
      <c r="K84" s="2384"/>
      <c r="L84" s="2384"/>
      <c r="M84" s="2384"/>
      <c r="N84" s="2384"/>
      <c r="O84" s="2384"/>
      <c r="P84" s="2384"/>
      <c r="Q84" s="2384"/>
      <c r="R84" s="2384"/>
      <c r="S84" s="2384"/>
    </row>
    <row r="85" spans="1:19" ht="15.75" thickBot="1">
      <c r="A85" s="2385"/>
      <c r="B85" s="2386"/>
      <c r="C85" s="2407"/>
      <c r="D85" s="2407"/>
      <c r="E85" s="2407"/>
      <c r="F85" s="2407"/>
      <c r="G85" s="2733"/>
      <c r="H85" s="689"/>
      <c r="I85" s="2387"/>
      <c r="J85" s="2387"/>
      <c r="K85" s="2387"/>
      <c r="L85" s="2387"/>
      <c r="M85" s="2387"/>
      <c r="N85" s="2387"/>
      <c r="O85" s="2387"/>
      <c r="P85" s="2387"/>
      <c r="Q85" s="2387"/>
      <c r="R85" s="2387"/>
      <c r="S85" s="2387"/>
    </row>
    <row r="86" spans="1:19" ht="16.5" thickTop="1" thickBot="1">
      <c r="A86" s="830" t="s">
        <v>2983</v>
      </c>
      <c r="B86" s="831"/>
      <c r="C86" s="12"/>
      <c r="D86" s="12"/>
      <c r="E86" s="12"/>
      <c r="F86" s="12"/>
      <c r="G86" s="48"/>
      <c r="H86" s="47"/>
      <c r="I86" s="20"/>
      <c r="J86" s="20"/>
      <c r="K86" s="20"/>
      <c r="L86" s="20"/>
      <c r="M86" s="20"/>
      <c r="N86" s="20"/>
      <c r="O86" s="20"/>
      <c r="P86" s="20"/>
      <c r="Q86" s="20"/>
      <c r="R86" s="20"/>
      <c r="S86" s="20"/>
    </row>
    <row r="87" spans="1:19" ht="15.75" thickTop="1">
      <c r="A87" s="2667"/>
      <c r="B87" s="2668"/>
      <c r="C87" s="2662"/>
      <c r="D87" s="2662"/>
      <c r="E87" s="2662"/>
      <c r="F87" s="2662"/>
      <c r="G87" s="2732"/>
      <c r="H87" s="2381"/>
      <c r="I87" s="2666"/>
      <c r="J87" s="2666"/>
      <c r="K87" s="2666"/>
      <c r="L87" s="2666"/>
      <c r="M87" s="2666"/>
      <c r="N87" s="2666"/>
      <c r="O87" s="2666"/>
      <c r="P87" s="2666"/>
      <c r="Q87" s="2666"/>
      <c r="R87" s="2666"/>
      <c r="S87" s="2666"/>
    </row>
    <row r="88" spans="1:19">
      <c r="A88" s="2385"/>
      <c r="B88" s="2386"/>
      <c r="C88" s="2407"/>
      <c r="D88" s="2407"/>
      <c r="E88" s="2407"/>
      <c r="F88" s="2407"/>
      <c r="G88" s="2733"/>
      <c r="H88" s="690"/>
      <c r="I88" s="2390"/>
      <c r="J88" s="2390"/>
      <c r="K88" s="2390"/>
      <c r="L88" s="2390"/>
      <c r="M88" s="2390"/>
      <c r="N88" s="2390"/>
      <c r="O88" s="2390"/>
      <c r="P88" s="2390"/>
      <c r="Q88" s="2390"/>
      <c r="R88" s="2390"/>
      <c r="S88" s="2390"/>
    </row>
    <row r="89" spans="1:19" ht="15.75" thickBot="1">
      <c r="A89" s="2385"/>
      <c r="B89" s="2386"/>
      <c r="C89" s="2407"/>
      <c r="D89" s="2407"/>
      <c r="E89" s="2407"/>
      <c r="F89" s="2407"/>
      <c r="G89" s="2733"/>
      <c r="H89" s="690"/>
      <c r="I89" s="2390"/>
      <c r="J89" s="2390"/>
      <c r="K89" s="2390"/>
      <c r="L89" s="2390"/>
      <c r="M89" s="2390"/>
      <c r="N89" s="2390"/>
      <c r="O89" s="2390"/>
      <c r="P89" s="2390"/>
      <c r="Q89" s="2390"/>
      <c r="R89" s="2390"/>
      <c r="S89" s="2390"/>
    </row>
    <row r="90" spans="1:19" ht="16.5" thickTop="1" thickBot="1">
      <c r="A90" s="830" t="s">
        <v>2984</v>
      </c>
      <c r="B90" s="831"/>
      <c r="C90" s="12"/>
      <c r="D90" s="12"/>
      <c r="E90" s="12"/>
      <c r="F90" s="12"/>
      <c r="G90" s="48"/>
      <c r="H90" s="47"/>
      <c r="I90" s="20"/>
      <c r="J90" s="20"/>
      <c r="K90" s="20"/>
      <c r="L90" s="20"/>
      <c r="M90" s="20"/>
      <c r="N90" s="20"/>
      <c r="O90" s="20"/>
      <c r="P90" s="20"/>
      <c r="Q90" s="20"/>
      <c r="R90" s="20"/>
      <c r="S90" s="20"/>
    </row>
    <row r="91" spans="1:19" ht="15.75" thickTop="1">
      <c r="A91" s="2382"/>
      <c r="B91" s="2406" t="s">
        <v>2985</v>
      </c>
      <c r="C91" s="2407"/>
      <c r="D91" s="2407"/>
      <c r="E91" s="2407"/>
      <c r="F91" s="2407"/>
      <c r="G91" s="2733"/>
      <c r="H91" s="690"/>
      <c r="I91" s="2390"/>
      <c r="J91" s="2390"/>
      <c r="K91" s="2390"/>
      <c r="L91" s="2390"/>
      <c r="M91" s="2390"/>
      <c r="N91" s="2390"/>
      <c r="O91" s="2390"/>
      <c r="P91" s="2390"/>
      <c r="Q91" s="2390"/>
      <c r="R91" s="2390"/>
      <c r="S91" s="2390"/>
    </row>
    <row r="92" spans="1:19">
      <c r="A92" s="2382"/>
      <c r="B92" s="2406" t="s">
        <v>2986</v>
      </c>
      <c r="C92" s="2407"/>
      <c r="D92" s="2407"/>
      <c r="E92" s="2407"/>
      <c r="F92" s="2407"/>
      <c r="G92" s="2733"/>
      <c r="H92" s="690"/>
      <c r="I92" s="2390"/>
      <c r="J92" s="2390"/>
      <c r="K92" s="2390"/>
      <c r="L92" s="2390"/>
      <c r="M92" s="2390"/>
      <c r="N92" s="2390"/>
      <c r="O92" s="2390"/>
      <c r="P92" s="2390"/>
      <c r="Q92" s="2390"/>
      <c r="R92" s="2390"/>
      <c r="S92" s="2390"/>
    </row>
    <row r="93" spans="1:19">
      <c r="A93" s="2382"/>
      <c r="B93" s="2406" t="s">
        <v>2987</v>
      </c>
      <c r="C93" s="2407"/>
      <c r="D93" s="2407"/>
      <c r="E93" s="2407"/>
      <c r="F93" s="2407"/>
      <c r="G93" s="2733"/>
      <c r="H93" s="690"/>
      <c r="I93" s="2390"/>
      <c r="J93" s="2390"/>
      <c r="K93" s="2390"/>
      <c r="L93" s="2390"/>
      <c r="M93" s="2390"/>
      <c r="N93" s="2390"/>
      <c r="O93" s="2390"/>
      <c r="P93" s="2390"/>
      <c r="Q93" s="2390"/>
      <c r="R93" s="2390"/>
      <c r="S93" s="2390"/>
    </row>
    <row r="94" spans="1:19">
      <c r="A94" s="2382"/>
      <c r="B94" s="2406" t="s">
        <v>2988</v>
      </c>
      <c r="C94" s="2407"/>
      <c r="D94" s="2407"/>
      <c r="E94" s="2407"/>
      <c r="F94" s="2407"/>
      <c r="G94" s="2733"/>
      <c r="H94" s="690"/>
      <c r="I94" s="2390"/>
      <c r="J94" s="2390"/>
      <c r="K94" s="2390"/>
      <c r="L94" s="2390"/>
      <c r="M94" s="2390"/>
      <c r="N94" s="2390"/>
      <c r="O94" s="2390"/>
      <c r="P94" s="2390"/>
      <c r="Q94" s="2390"/>
      <c r="R94" s="2390"/>
      <c r="S94" s="2390"/>
    </row>
    <row r="95" spans="1:19" ht="15.75" thickBot="1">
      <c r="A95" s="646"/>
      <c r="B95" s="619"/>
      <c r="C95" s="616"/>
      <c r="D95" s="616"/>
      <c r="E95" s="616"/>
      <c r="F95" s="616"/>
      <c r="G95" s="629"/>
      <c r="H95" s="630"/>
      <c r="I95" s="647"/>
      <c r="J95" s="647"/>
      <c r="K95" s="647"/>
      <c r="L95" s="647"/>
      <c r="M95" s="647"/>
      <c r="N95" s="647"/>
      <c r="O95" s="647"/>
      <c r="P95" s="647"/>
      <c r="Q95" s="647"/>
      <c r="R95" s="647"/>
      <c r="S95" s="647"/>
    </row>
    <row r="96" spans="1:19" ht="16.5" thickTop="1" thickBot="1">
      <c r="A96" s="7" t="s">
        <v>2989</v>
      </c>
      <c r="B96" s="8"/>
      <c r="C96" s="12"/>
      <c r="D96" s="12"/>
      <c r="E96" s="12"/>
      <c r="F96" s="12"/>
      <c r="G96" s="48"/>
      <c r="H96" s="47"/>
      <c r="I96" s="20"/>
      <c r="J96" s="20"/>
      <c r="K96" s="20"/>
      <c r="L96" s="20"/>
      <c r="M96" s="20"/>
      <c r="N96" s="20"/>
      <c r="O96" s="20"/>
      <c r="P96" s="20"/>
      <c r="Q96" s="20"/>
      <c r="R96" s="20"/>
      <c r="S96" s="20"/>
    </row>
    <row r="97" spans="1:19" ht="15.75" thickTop="1">
      <c r="A97" s="2661"/>
      <c r="B97" s="2734" t="s">
        <v>2990</v>
      </c>
      <c r="C97" s="2662"/>
      <c r="D97" s="2662"/>
      <c r="E97" s="2662"/>
      <c r="F97" s="2662"/>
      <c r="G97" s="2732"/>
      <c r="H97" s="2339"/>
      <c r="I97" s="2735"/>
      <c r="J97" s="2735"/>
      <c r="K97" s="2735"/>
      <c r="L97" s="2735"/>
      <c r="M97" s="2735"/>
      <c r="N97" s="2735"/>
      <c r="O97" s="2735"/>
      <c r="P97" s="2735"/>
      <c r="Q97" s="2735"/>
      <c r="R97" s="2735"/>
      <c r="S97" s="2735"/>
    </row>
    <row r="98" spans="1:19">
      <c r="A98" s="2382"/>
      <c r="B98" s="2406" t="s">
        <v>2991</v>
      </c>
      <c r="C98" s="2407"/>
      <c r="D98" s="2407"/>
      <c r="E98" s="2407"/>
      <c r="F98" s="2407"/>
      <c r="G98" s="2733"/>
      <c r="H98" s="691"/>
      <c r="I98" s="2391"/>
      <c r="J98" s="2391"/>
      <c r="K98" s="2391"/>
      <c r="L98" s="2391"/>
      <c r="M98" s="2391"/>
      <c r="N98" s="2391"/>
      <c r="O98" s="2391"/>
      <c r="P98" s="2391"/>
      <c r="Q98" s="2391"/>
      <c r="R98" s="2391"/>
      <c r="S98" s="2391"/>
    </row>
    <row r="99" spans="1:19" ht="15.75" thickBot="1">
      <c r="A99" s="2392"/>
      <c r="B99" s="2424" t="s">
        <v>2992</v>
      </c>
      <c r="C99" s="2425"/>
      <c r="D99" s="2425"/>
      <c r="E99" s="2425"/>
      <c r="F99" s="2425"/>
      <c r="G99" s="2736"/>
      <c r="H99" s="2397"/>
      <c r="I99" s="2396"/>
      <c r="J99" s="2396"/>
      <c r="K99" s="2396"/>
      <c r="L99" s="2396"/>
      <c r="M99" s="2396"/>
      <c r="N99" s="2396"/>
      <c r="O99" s="2396"/>
      <c r="P99" s="2396"/>
      <c r="Q99" s="2396"/>
      <c r="R99" s="2396"/>
      <c r="S99" s="2396"/>
    </row>
    <row r="100" spans="1:19" ht="16.5" thickTop="1" thickBot="1"/>
    <row r="101" spans="1:19" ht="16.5" thickTop="1" thickBot="1">
      <c r="A101" s="59" t="s">
        <v>2993</v>
      </c>
      <c r="B101" s="61"/>
    </row>
    <row r="102" spans="1:19" ht="15.75" thickTop="1">
      <c r="A102" s="60" t="s">
        <v>2936</v>
      </c>
      <c r="B102" s="2398"/>
    </row>
    <row r="103" spans="1:19">
      <c r="A103" s="2399" t="s">
        <v>2939</v>
      </c>
      <c r="B103" s="2398"/>
    </row>
    <row r="104" spans="1:19">
      <c r="A104" s="2400" t="s">
        <v>2941</v>
      </c>
      <c r="B104" s="2401"/>
    </row>
    <row r="105" spans="1:19">
      <c r="A105" s="2400" t="s">
        <v>2943</v>
      </c>
      <c r="B105" s="2402"/>
    </row>
    <row r="106" spans="1:19" ht="15.75" thickBot="1">
      <c r="A106" s="2403" t="s">
        <v>2994</v>
      </c>
      <c r="B106" s="2737"/>
    </row>
    <row r="107" spans="1:19" ht="15.75" thickTop="1"/>
    <row r="108" spans="1:19">
      <c r="A108" s="62"/>
      <c r="B108" s="1" t="s">
        <v>2995</v>
      </c>
    </row>
    <row r="109" spans="1:19">
      <c r="A109" s="63"/>
      <c r="B109" s="1" t="s">
        <v>2996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bottomRight" activeCell="I71" sqref="I71:I72"/>
      <selection pane="bottomLeft" activeCell="A11" sqref="A11"/>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989"/>
      <c r="K4" s="842"/>
      <c r="L4" s="989"/>
      <c r="M4" s="842"/>
      <c r="N4" s="989"/>
      <c r="O4" s="842"/>
      <c r="P4" s="989"/>
      <c r="Q4" s="842"/>
      <c r="R4" s="989"/>
      <c r="S4" s="842"/>
    </row>
    <row r="5" spans="1:19">
      <c r="A5" s="2405" t="s">
        <v>4871</v>
      </c>
      <c r="B5" s="2406" t="s">
        <v>2583</v>
      </c>
      <c r="C5" s="2407"/>
      <c r="D5" s="2407"/>
      <c r="E5" s="2407"/>
      <c r="F5" s="2407"/>
      <c r="G5" s="657" t="s">
        <v>2939</v>
      </c>
      <c r="H5" s="2410"/>
      <c r="I5" s="843"/>
      <c r="J5" s="2699"/>
      <c r="K5" s="843"/>
      <c r="L5" s="2699"/>
      <c r="M5" s="843"/>
      <c r="N5" s="2699"/>
      <c r="O5" s="843"/>
      <c r="P5" s="2699"/>
      <c r="Q5" s="843"/>
      <c r="R5" s="2699"/>
      <c r="S5" s="843"/>
    </row>
    <row r="6" spans="1:19">
      <c r="A6" s="2405" t="s">
        <v>4873</v>
      </c>
      <c r="B6" s="2413" t="s">
        <v>6016</v>
      </c>
      <c r="C6" s="2407"/>
      <c r="D6" s="2407"/>
      <c r="E6" s="2407"/>
      <c r="F6" s="2407"/>
      <c r="G6" s="657" t="s">
        <v>2941</v>
      </c>
      <c r="H6" s="2415"/>
      <c r="I6" s="844"/>
      <c r="J6" s="2700"/>
      <c r="K6" s="844"/>
      <c r="L6" s="2700"/>
      <c r="M6" s="844"/>
      <c r="N6" s="2700"/>
      <c r="O6" s="844"/>
      <c r="P6" s="2700"/>
      <c r="Q6" s="844"/>
      <c r="R6" s="2700"/>
      <c r="S6" s="844"/>
    </row>
    <row r="7" spans="1:19">
      <c r="A7" s="2405" t="s">
        <v>4875</v>
      </c>
      <c r="B7" s="2418"/>
      <c r="C7" s="2407"/>
      <c r="D7" s="2407"/>
      <c r="E7" s="2407"/>
      <c r="F7" s="2407"/>
      <c r="G7" s="657" t="s">
        <v>2943</v>
      </c>
      <c r="H7" s="2419"/>
      <c r="I7" s="845"/>
      <c r="J7" s="2701"/>
      <c r="K7" s="845"/>
      <c r="L7" s="2701"/>
      <c r="M7" s="845"/>
      <c r="N7" s="2701"/>
      <c r="O7" s="845"/>
      <c r="P7" s="2701"/>
      <c r="Q7" s="845"/>
      <c r="R7" s="2701"/>
      <c r="S7" s="845"/>
    </row>
    <row r="8" spans="1:19" ht="15.75" thickBot="1">
      <c r="A8" s="685" t="s">
        <v>2944</v>
      </c>
      <c r="B8" s="619"/>
      <c r="C8" s="616"/>
      <c r="D8" s="616"/>
      <c r="E8" s="616"/>
      <c r="F8" s="616"/>
      <c r="G8" s="685" t="s">
        <v>2944</v>
      </c>
      <c r="H8" s="2702">
        <f>I70</f>
        <v>0</v>
      </c>
      <c r="I8" s="2703"/>
      <c r="J8" s="2702">
        <f>K70</f>
        <v>0</v>
      </c>
      <c r="K8" s="2703"/>
      <c r="L8" s="2702">
        <f>M70</f>
        <v>0</v>
      </c>
      <c r="M8" s="2703"/>
      <c r="N8" s="2702">
        <f>O70</f>
        <v>0</v>
      </c>
      <c r="O8" s="2703"/>
      <c r="P8" s="2702">
        <f>Q70</f>
        <v>0</v>
      </c>
      <c r="Q8" s="2703"/>
      <c r="R8" s="2702">
        <f>S70</f>
        <v>0</v>
      </c>
      <c r="S8" s="2703"/>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382"/>
      <c r="B10" s="2738" t="s">
        <v>4876</v>
      </c>
      <c r="C10" s="2407"/>
      <c r="D10" s="2407"/>
      <c r="E10" s="2407"/>
      <c r="F10" s="2407"/>
      <c r="G10" s="660"/>
      <c r="H10" s="2705"/>
      <c r="I10" s="2705"/>
      <c r="J10" s="2705"/>
      <c r="K10" s="2705"/>
      <c r="L10" s="2705"/>
      <c r="M10" s="2705"/>
      <c r="N10" s="2705"/>
      <c r="O10" s="2705"/>
      <c r="P10" s="2705"/>
      <c r="Q10" s="2705"/>
      <c r="R10" s="2705"/>
      <c r="S10" s="2705"/>
    </row>
    <row r="11" spans="1:19" hidden="1">
      <c r="A11" s="2382"/>
      <c r="B11" s="2406" t="e">
        <f>'Area Calculations'!#REF!</f>
        <v>#REF!</v>
      </c>
      <c r="C11" s="2706" t="s">
        <v>4877</v>
      </c>
      <c r="D11" s="2407"/>
      <c r="E11" s="2407"/>
      <c r="F11" s="2407"/>
      <c r="G11" s="660"/>
      <c r="H11" s="2705"/>
      <c r="I11" s="2705"/>
      <c r="J11" s="2705"/>
      <c r="K11" s="2705"/>
      <c r="L11" s="2705"/>
      <c r="M11" s="2705"/>
      <c r="N11" s="2705"/>
      <c r="O11" s="2705"/>
      <c r="P11" s="2705"/>
      <c r="Q11" s="2705"/>
      <c r="R11" s="2705"/>
      <c r="S11" s="2705"/>
    </row>
    <row r="12" spans="1:19" hidden="1">
      <c r="A12" s="2382"/>
      <c r="B12" s="2406" t="e">
        <f>'Area Calculations'!#REF!</f>
        <v>#REF!</v>
      </c>
      <c r="C12" s="2706" t="s">
        <v>4877</v>
      </c>
      <c r="D12" s="2407"/>
      <c r="E12" s="2407"/>
      <c r="F12" s="2407"/>
      <c r="G12" s="660"/>
      <c r="H12" s="2705"/>
      <c r="I12" s="2705"/>
      <c r="J12" s="2705"/>
      <c r="K12" s="2705"/>
      <c r="L12" s="2705"/>
      <c r="M12" s="2705"/>
      <c r="N12" s="2705"/>
      <c r="O12" s="2705"/>
      <c r="P12" s="2705"/>
      <c r="Q12" s="2705"/>
      <c r="R12" s="2705"/>
      <c r="S12" s="2705"/>
    </row>
    <row r="13" spans="1:19" hidden="1">
      <c r="A13" s="2382"/>
      <c r="B13" s="2406" t="e">
        <f>'Area Calculations'!#REF!</f>
        <v>#REF!</v>
      </c>
      <c r="C13" s="2706" t="s">
        <v>4877</v>
      </c>
      <c r="D13" s="2407"/>
      <c r="E13" s="2407"/>
      <c r="F13" s="2407"/>
      <c r="G13" s="660"/>
      <c r="H13" s="2705"/>
      <c r="I13" s="2705"/>
      <c r="J13" s="2705"/>
      <c r="K13" s="2705"/>
      <c r="L13" s="2705"/>
      <c r="M13" s="2705"/>
      <c r="N13" s="2705"/>
      <c r="O13" s="2705"/>
      <c r="P13" s="2705"/>
      <c r="Q13" s="2705"/>
      <c r="R13" s="2705"/>
      <c r="S13" s="2705"/>
    </row>
    <row r="14" spans="1:19" hidden="1">
      <c r="A14" s="2382"/>
      <c r="B14" s="2406" t="e">
        <f>'Area Calculations'!#REF!</f>
        <v>#REF!</v>
      </c>
      <c r="C14" s="2706" t="s">
        <v>4877</v>
      </c>
      <c r="D14" s="2407"/>
      <c r="E14" s="2407"/>
      <c r="F14" s="2407"/>
      <c r="G14" s="660"/>
      <c r="H14" s="2705"/>
      <c r="I14" s="2705"/>
      <c r="J14" s="2705"/>
      <c r="K14" s="2705"/>
      <c r="L14" s="2705"/>
      <c r="M14" s="2705"/>
      <c r="N14" s="2705"/>
      <c r="O14" s="2705"/>
      <c r="P14" s="2705"/>
      <c r="Q14" s="2705"/>
      <c r="R14" s="2705"/>
      <c r="S14" s="2705"/>
    </row>
    <row r="15" spans="1:19" hidden="1">
      <c r="A15" s="2382"/>
      <c r="B15" s="2406" t="e">
        <f>'Area Calculations'!#REF!</f>
        <v>#REF!</v>
      </c>
      <c r="C15" s="2706" t="s">
        <v>4877</v>
      </c>
      <c r="D15" s="2407"/>
      <c r="E15" s="2407"/>
      <c r="F15" s="2407"/>
      <c r="G15" s="660"/>
      <c r="H15" s="2705"/>
      <c r="I15" s="2705"/>
      <c r="J15" s="2705"/>
      <c r="K15" s="2705"/>
      <c r="L15" s="2705"/>
      <c r="M15" s="2705"/>
      <c r="N15" s="2705"/>
      <c r="O15" s="2705"/>
      <c r="P15" s="2705"/>
      <c r="Q15" s="2705"/>
      <c r="R15" s="2705"/>
      <c r="S15" s="2705"/>
    </row>
    <row r="16" spans="1:19" hidden="1">
      <c r="A16" s="2382"/>
      <c r="B16" s="2406" t="e">
        <f>'Area Calculations'!#REF!</f>
        <v>#REF!</v>
      </c>
      <c r="C16" s="2706" t="s">
        <v>4877</v>
      </c>
      <c r="D16" s="2407"/>
      <c r="E16" s="2407"/>
      <c r="F16" s="2407"/>
      <c r="G16" s="660"/>
      <c r="H16" s="2705"/>
      <c r="I16" s="2705"/>
      <c r="J16" s="2705"/>
      <c r="K16" s="2705"/>
      <c r="L16" s="2705"/>
      <c r="M16" s="2705"/>
      <c r="N16" s="2705"/>
      <c r="O16" s="2705"/>
      <c r="P16" s="2705"/>
      <c r="Q16" s="2705"/>
      <c r="R16" s="2705"/>
      <c r="S16" s="2705"/>
    </row>
    <row r="17" spans="1:19" hidden="1">
      <c r="A17" s="2382"/>
      <c r="B17" s="2406" t="e">
        <f>'Area Calculations'!#REF!</f>
        <v>#REF!</v>
      </c>
      <c r="C17" s="2706" t="s">
        <v>4877</v>
      </c>
      <c r="D17" s="2407"/>
      <c r="E17" s="2407"/>
      <c r="F17" s="2407"/>
      <c r="G17" s="660"/>
      <c r="H17" s="2705"/>
      <c r="I17" s="2705"/>
      <c r="J17" s="2705"/>
      <c r="K17" s="2705"/>
      <c r="L17" s="2705"/>
      <c r="M17" s="2705"/>
      <c r="N17" s="2705"/>
      <c r="O17" s="2705"/>
      <c r="P17" s="2705"/>
      <c r="Q17" s="2705"/>
      <c r="R17" s="2705"/>
      <c r="S17" s="2705"/>
    </row>
    <row r="18" spans="1:19" hidden="1">
      <c r="A18" s="2382"/>
      <c r="B18" s="2406" t="e">
        <f>'Area Calculations'!#REF!</f>
        <v>#REF!</v>
      </c>
      <c r="C18" s="2706" t="s">
        <v>4877</v>
      </c>
      <c r="D18" s="2407"/>
      <c r="E18" s="2407"/>
      <c r="F18" s="2407"/>
      <c r="G18" s="660"/>
      <c r="H18" s="2705"/>
      <c r="I18" s="2705"/>
      <c r="J18" s="2705"/>
      <c r="K18" s="2705"/>
      <c r="L18" s="2705"/>
      <c r="M18" s="2705"/>
      <c r="N18" s="2705"/>
      <c r="O18" s="2705"/>
      <c r="P18" s="2705"/>
      <c r="Q18" s="2705"/>
      <c r="R18" s="2705"/>
      <c r="S18" s="2705"/>
    </row>
    <row r="19" spans="1:19" hidden="1">
      <c r="A19" s="2382"/>
      <c r="B19" s="2406" t="e">
        <f>'Area Calculations'!#REF!</f>
        <v>#REF!</v>
      </c>
      <c r="C19" s="2706" t="s">
        <v>4877</v>
      </c>
      <c r="D19" s="2407"/>
      <c r="E19" s="2407"/>
      <c r="F19" s="2407"/>
      <c r="G19" s="660"/>
      <c r="H19" s="2705"/>
      <c r="I19" s="2705"/>
      <c r="J19" s="2705"/>
      <c r="K19" s="2705"/>
      <c r="L19" s="2705"/>
      <c r="M19" s="2705"/>
      <c r="N19" s="2705"/>
      <c r="O19" s="2705"/>
      <c r="P19" s="2705"/>
      <c r="Q19" s="2705"/>
      <c r="R19" s="2705"/>
      <c r="S19" s="2705"/>
    </row>
    <row r="20" spans="1:19" ht="15.75" thickTop="1">
      <c r="A20" s="2382"/>
      <c r="B20" s="2406"/>
      <c r="C20" s="2706"/>
      <c r="D20" s="2407"/>
      <c r="E20" s="2407"/>
      <c r="F20" s="2407"/>
      <c r="G20" s="660"/>
      <c r="H20" s="2705"/>
      <c r="I20" s="2705"/>
      <c r="J20" s="2705"/>
      <c r="K20" s="2705"/>
      <c r="L20" s="2705"/>
      <c r="M20" s="2705"/>
      <c r="N20" s="2705"/>
      <c r="O20" s="2705"/>
      <c r="P20" s="2705"/>
      <c r="Q20" s="2705"/>
      <c r="R20" s="2705"/>
      <c r="S20" s="2705"/>
    </row>
    <row r="21" spans="1:19" ht="15.75" thickBot="1">
      <c r="A21" s="52"/>
      <c r="B21" s="2709" t="s">
        <v>2583</v>
      </c>
      <c r="C21" s="49"/>
      <c r="D21" s="50"/>
      <c r="E21" s="50"/>
      <c r="F21" s="50"/>
      <c r="G21" s="54"/>
      <c r="H21" s="2705"/>
      <c r="I21" s="2705"/>
      <c r="J21" s="2705"/>
      <c r="K21" s="2705"/>
      <c r="L21" s="2705"/>
      <c r="M21" s="2705"/>
      <c r="N21" s="2705"/>
      <c r="O21" s="2705"/>
      <c r="P21" s="2705"/>
      <c r="Q21" s="2705"/>
      <c r="R21" s="2705"/>
      <c r="S21" s="2705"/>
    </row>
    <row r="22" spans="1:19">
      <c r="A22" s="2650"/>
      <c r="B22" s="2711" t="s">
        <v>2953</v>
      </c>
      <c r="C22" s="2706"/>
      <c r="D22" s="2407"/>
      <c r="E22" s="2407"/>
      <c r="F22" s="2407"/>
      <c r="G22" s="660"/>
      <c r="H22" s="2648"/>
      <c r="I22" s="2339"/>
      <c r="J22" s="2339"/>
      <c r="K22" s="2339"/>
      <c r="L22" s="2710"/>
      <c r="M22" s="2339"/>
      <c r="N22" s="2339"/>
      <c r="O22" s="2339"/>
      <c r="P22" s="2339"/>
      <c r="Q22" s="2339"/>
      <c r="R22" s="2339"/>
      <c r="S22" s="2339"/>
    </row>
    <row r="23" spans="1:19">
      <c r="A23" s="2650"/>
      <c r="B23" s="2712" t="s">
        <v>2954</v>
      </c>
      <c r="C23" s="2706"/>
      <c r="D23" s="2407"/>
      <c r="E23" s="2407"/>
      <c r="F23" s="2407"/>
      <c r="G23" s="660"/>
      <c r="H23" s="2710"/>
      <c r="I23" s="2338"/>
      <c r="J23" s="2710"/>
      <c r="K23" s="2339"/>
      <c r="L23" s="2710"/>
      <c r="M23" s="2339"/>
      <c r="N23" s="2339"/>
      <c r="O23" s="2339"/>
      <c r="P23" s="2339"/>
      <c r="Q23" s="2339"/>
      <c r="R23" s="2339"/>
      <c r="S23" s="2339"/>
    </row>
    <row r="24" spans="1:19">
      <c r="A24" s="2650"/>
      <c r="B24" s="2712" t="s">
        <v>2955</v>
      </c>
      <c r="C24" s="707"/>
      <c r="D24" s="2407"/>
      <c r="E24" s="2407"/>
      <c r="F24" s="2407"/>
      <c r="G24" s="660"/>
      <c r="H24" s="2710"/>
      <c r="I24" s="2338"/>
      <c r="J24" s="2710"/>
      <c r="K24" s="2339"/>
      <c r="L24" s="2710"/>
      <c r="M24" s="2339"/>
      <c r="N24" s="2339"/>
      <c r="O24" s="2339"/>
      <c r="P24" s="2339"/>
      <c r="Q24" s="2339"/>
      <c r="R24" s="2339"/>
      <c r="S24" s="2339"/>
    </row>
    <row r="25" spans="1:19">
      <c r="A25" s="2650"/>
      <c r="B25" s="2713" t="s">
        <v>2956</v>
      </c>
      <c r="C25" s="707"/>
      <c r="D25" s="2407"/>
      <c r="E25" s="2407"/>
      <c r="F25" s="2407"/>
      <c r="G25" s="660"/>
      <c r="H25" s="2710"/>
      <c r="I25" s="2338"/>
      <c r="J25" s="2710"/>
      <c r="K25" s="2339"/>
      <c r="L25" s="2710"/>
      <c r="M25" s="2339"/>
      <c r="N25" s="2339"/>
      <c r="O25" s="2339"/>
      <c r="P25" s="2339"/>
      <c r="Q25" s="2339"/>
      <c r="R25" s="2339"/>
      <c r="S25" s="2339"/>
    </row>
    <row r="26" spans="1:19" s="58" customFormat="1">
      <c r="A26" s="2707"/>
      <c r="B26" s="2713" t="s">
        <v>2957</v>
      </c>
      <c r="C26" s="662"/>
      <c r="D26" s="2357"/>
      <c r="E26" s="2357"/>
      <c r="F26" s="2357"/>
      <c r="G26" s="662"/>
      <c r="H26" s="2710"/>
      <c r="I26" s="2338"/>
      <c r="J26" s="2714"/>
      <c r="K26" s="2349"/>
      <c r="L26" s="2714"/>
      <c r="M26" s="2349"/>
      <c r="N26" s="2349"/>
      <c r="O26" s="2349"/>
      <c r="P26" s="2349"/>
      <c r="Q26" s="2349"/>
      <c r="R26" s="2349"/>
      <c r="S26" s="2349"/>
    </row>
    <row r="27" spans="1:19" s="58" customFormat="1">
      <c r="A27" s="2707"/>
      <c r="B27" s="2713" t="s">
        <v>2958</v>
      </c>
      <c r="C27" s="662"/>
      <c r="D27" s="2357"/>
      <c r="E27" s="2357"/>
      <c r="F27" s="2357"/>
      <c r="G27" s="662"/>
      <c r="H27" s="2710"/>
      <c r="I27" s="2338"/>
      <c r="J27" s="2714"/>
      <c r="K27" s="2349"/>
      <c r="L27" s="2714"/>
      <c r="M27" s="2349"/>
      <c r="N27" s="2349"/>
      <c r="O27" s="2349"/>
      <c r="P27" s="2349"/>
      <c r="Q27" s="2349"/>
      <c r="R27" s="2349"/>
      <c r="S27" s="2349"/>
    </row>
    <row r="28" spans="1:19" s="58" customFormat="1">
      <c r="A28" s="2707"/>
      <c r="B28" s="2713" t="s">
        <v>2959</v>
      </c>
      <c r="C28" s="662"/>
      <c r="D28" s="2357"/>
      <c r="E28" s="2357"/>
      <c r="F28" s="2357"/>
      <c r="G28" s="662"/>
      <c r="H28" s="2710"/>
      <c r="I28" s="2338"/>
      <c r="J28" s="2714"/>
      <c r="K28" s="2349"/>
      <c r="L28" s="2714"/>
      <c r="M28" s="2349"/>
      <c r="N28" s="2349"/>
      <c r="O28" s="2349"/>
      <c r="P28" s="2349"/>
      <c r="Q28" s="2349"/>
      <c r="R28" s="2349"/>
      <c r="S28" s="2349"/>
    </row>
    <row r="29" spans="1:19" s="58" customFormat="1">
      <c r="A29" s="2707"/>
      <c r="B29" s="2715" t="s">
        <v>2960</v>
      </c>
      <c r="C29" s="662"/>
      <c r="D29" s="2357"/>
      <c r="E29" s="2357"/>
      <c r="F29" s="2357"/>
      <c r="G29" s="662"/>
      <c r="H29" s="2710"/>
      <c r="I29" s="2338"/>
      <c r="J29" s="2714"/>
      <c r="K29" s="2349"/>
      <c r="L29" s="2714"/>
      <c r="M29" s="2349"/>
      <c r="N29" s="2349"/>
      <c r="O29" s="2349"/>
      <c r="P29" s="2349"/>
      <c r="Q29" s="2349"/>
      <c r="R29" s="2349"/>
      <c r="S29" s="2349"/>
    </row>
    <row r="30" spans="1:19" s="58" customFormat="1">
      <c r="A30" s="2707"/>
      <c r="B30" s="2716" t="s">
        <v>2961</v>
      </c>
      <c r="C30" s="665"/>
      <c r="D30" s="2717"/>
      <c r="E30" s="2717"/>
      <c r="F30" s="2717"/>
      <c r="G30" s="665"/>
      <c r="H30" s="2718"/>
      <c r="I30" s="2719"/>
      <c r="J30" s="2720"/>
      <c r="K30" s="2346"/>
      <c r="L30" s="2720"/>
      <c r="M30" s="2346"/>
      <c r="N30" s="2346"/>
      <c r="O30" s="2346"/>
      <c r="P30" s="2346"/>
      <c r="Q30" s="2346"/>
      <c r="R30" s="2346"/>
      <c r="S30" s="2346"/>
    </row>
    <row r="31" spans="1:19" s="58" customFormat="1">
      <c r="A31" s="2707"/>
      <c r="B31" s="2721"/>
      <c r="C31" s="662"/>
      <c r="D31" s="2357"/>
      <c r="E31" s="2357"/>
      <c r="F31" s="2357"/>
      <c r="G31" s="662"/>
      <c r="H31" s="2710"/>
      <c r="I31" s="2338"/>
      <c r="J31" s="2714"/>
      <c r="K31" s="2349"/>
      <c r="L31" s="2714"/>
      <c r="M31" s="2349"/>
      <c r="N31" s="2349"/>
      <c r="O31" s="2349"/>
      <c r="P31" s="2349"/>
      <c r="Q31" s="2349"/>
      <c r="R31" s="2349"/>
      <c r="S31" s="2349"/>
    </row>
    <row r="32" spans="1:19" s="58" customFormat="1">
      <c r="A32" s="2708"/>
      <c r="B32" s="2721"/>
      <c r="C32" s="708"/>
      <c r="D32" s="2357"/>
      <c r="E32" s="2357"/>
      <c r="F32" s="2357"/>
      <c r="G32" s="662"/>
      <c r="H32" s="2710"/>
      <c r="I32" s="2338"/>
      <c r="J32" s="2714"/>
      <c r="K32" s="2349"/>
      <c r="L32" s="2714"/>
      <c r="M32" s="2349"/>
      <c r="N32" s="2349"/>
      <c r="O32" s="2349"/>
      <c r="P32" s="2349"/>
      <c r="Q32" s="2349"/>
      <c r="R32" s="2349"/>
      <c r="S32" s="2349"/>
    </row>
    <row r="33" spans="1:19" s="58" customFormat="1">
      <c r="A33" s="2708"/>
      <c r="B33" s="2721"/>
      <c r="C33" s="708"/>
      <c r="D33" s="2357"/>
      <c r="E33" s="2357"/>
      <c r="F33" s="2357"/>
      <c r="G33" s="662"/>
      <c r="H33" s="2710"/>
      <c r="I33" s="2338"/>
      <c r="J33" s="2714"/>
      <c r="K33" s="2349"/>
      <c r="L33" s="2714"/>
      <c r="M33" s="2349"/>
      <c r="N33" s="2349"/>
      <c r="O33" s="2349"/>
      <c r="P33" s="2349"/>
      <c r="Q33" s="2349"/>
      <c r="R33" s="2349"/>
      <c r="S33" s="2349"/>
    </row>
    <row r="34" spans="1:19" s="58" customFormat="1">
      <c r="A34" s="2708"/>
      <c r="B34" s="2721"/>
      <c r="C34" s="708"/>
      <c r="D34" s="2357"/>
      <c r="E34" s="2357"/>
      <c r="F34" s="2357"/>
      <c r="G34" s="662"/>
      <c r="H34" s="2710"/>
      <c r="I34" s="2338"/>
      <c r="J34" s="2714"/>
      <c r="K34" s="2349"/>
      <c r="L34" s="2714"/>
      <c r="M34" s="2349"/>
      <c r="N34" s="2349"/>
      <c r="O34" s="2349"/>
      <c r="P34" s="2349"/>
      <c r="Q34" s="2349"/>
      <c r="R34" s="2349"/>
      <c r="S34" s="2349"/>
    </row>
    <row r="35" spans="1:19" s="58" customFormat="1">
      <c r="A35" s="2708"/>
      <c r="B35" s="2721"/>
      <c r="C35" s="708"/>
      <c r="D35" s="2357"/>
      <c r="E35" s="2357"/>
      <c r="F35" s="2357"/>
      <c r="G35" s="662"/>
      <c r="H35" s="2710"/>
      <c r="I35" s="2338"/>
      <c r="J35" s="2714"/>
      <c r="K35" s="2349"/>
      <c r="L35" s="2714"/>
      <c r="M35" s="2349"/>
      <c r="N35" s="2349"/>
      <c r="O35" s="2349"/>
      <c r="P35" s="2349"/>
      <c r="Q35" s="2349"/>
      <c r="R35" s="2349"/>
      <c r="S35" s="2349"/>
    </row>
    <row r="36" spans="1:19" s="58" customFormat="1">
      <c r="A36" s="2708"/>
      <c r="B36" s="2721"/>
      <c r="C36" s="708"/>
      <c r="D36" s="2357"/>
      <c r="E36" s="2357"/>
      <c r="F36" s="2357"/>
      <c r="G36" s="662"/>
      <c r="H36" s="2710"/>
      <c r="I36" s="2338"/>
      <c r="J36" s="2714"/>
      <c r="K36" s="2349"/>
      <c r="L36" s="2714"/>
      <c r="M36" s="2349"/>
      <c r="N36" s="2349"/>
      <c r="O36" s="2349"/>
      <c r="P36" s="2349"/>
      <c r="Q36" s="2349"/>
      <c r="R36" s="2349"/>
      <c r="S36" s="2349"/>
    </row>
    <row r="37" spans="1:19" s="58" customFormat="1">
      <c r="A37" s="2708"/>
      <c r="B37" s="2721"/>
      <c r="C37" s="708"/>
      <c r="D37" s="2357"/>
      <c r="E37" s="709"/>
      <c r="F37" s="2722"/>
      <c r="G37" s="662"/>
      <c r="H37" s="2710"/>
      <c r="I37" s="2338"/>
      <c r="J37" s="2714"/>
      <c r="K37" s="2349"/>
      <c r="L37" s="2714"/>
      <c r="M37" s="2349"/>
      <c r="N37" s="2349"/>
      <c r="O37" s="2349"/>
      <c r="P37" s="2349"/>
      <c r="Q37" s="2349"/>
      <c r="R37" s="2349"/>
      <c r="S37" s="2349"/>
    </row>
    <row r="38" spans="1:19" s="58" customFormat="1">
      <c r="A38" s="2708"/>
      <c r="B38" s="2721"/>
      <c r="C38" s="708"/>
      <c r="D38" s="2357"/>
      <c r="E38" s="709"/>
      <c r="F38" s="2722"/>
      <c r="G38" s="662"/>
      <c r="H38" s="2710"/>
      <c r="I38" s="2338"/>
      <c r="J38" s="2714"/>
      <c r="K38" s="2349"/>
      <c r="L38" s="2714"/>
      <c r="M38" s="2349"/>
      <c r="N38" s="2349"/>
      <c r="O38" s="2349"/>
      <c r="P38" s="2349"/>
      <c r="Q38" s="2349"/>
      <c r="R38" s="2349"/>
      <c r="S38" s="2349"/>
    </row>
    <row r="39" spans="1:19" s="58" customFormat="1">
      <c r="A39" s="2708"/>
      <c r="B39" s="2721"/>
      <c r="C39" s="708"/>
      <c r="D39" s="2357"/>
      <c r="E39" s="709"/>
      <c r="F39" s="2722"/>
      <c r="G39" s="662"/>
      <c r="H39" s="2710"/>
      <c r="I39" s="2338"/>
      <c r="J39" s="2714"/>
      <c r="K39" s="2349"/>
      <c r="L39" s="2714"/>
      <c r="M39" s="2349"/>
      <c r="N39" s="2349"/>
      <c r="O39" s="2349"/>
      <c r="P39" s="2349"/>
      <c r="Q39" s="2349"/>
      <c r="R39" s="2349"/>
      <c r="S39" s="2349"/>
    </row>
    <row r="40" spans="1:19" s="58" customFormat="1">
      <c r="A40" s="2708"/>
      <c r="B40" s="2672"/>
      <c r="C40" s="708"/>
      <c r="D40" s="2357"/>
      <c r="E40" s="709"/>
      <c r="F40" s="2722"/>
      <c r="G40" s="662"/>
      <c r="H40" s="2710"/>
      <c r="I40" s="2338"/>
      <c r="J40" s="2714"/>
      <c r="K40" s="2349"/>
      <c r="L40" s="2714"/>
      <c r="M40" s="2349"/>
      <c r="N40" s="2349"/>
      <c r="O40" s="2349"/>
      <c r="P40" s="2349"/>
      <c r="Q40" s="2349"/>
      <c r="R40" s="2349"/>
      <c r="S40" s="2349"/>
    </row>
    <row r="41" spans="1:19" s="58" customFormat="1">
      <c r="A41" s="2708"/>
      <c r="B41" s="2723"/>
      <c r="C41" s="708"/>
      <c r="D41" s="2357"/>
      <c r="E41" s="709"/>
      <c r="F41" s="2722"/>
      <c r="G41" s="662"/>
      <c r="H41" s="2710"/>
      <c r="I41" s="2338"/>
      <c r="J41" s="2714"/>
      <c r="K41" s="2349"/>
      <c r="L41" s="2714"/>
      <c r="M41" s="2349"/>
      <c r="N41" s="2349"/>
      <c r="O41" s="2349"/>
      <c r="P41" s="2349"/>
      <c r="Q41" s="2349"/>
      <c r="R41" s="2349"/>
      <c r="S41" s="2349"/>
    </row>
    <row r="42" spans="1:19" s="58" customFormat="1">
      <c r="A42" s="2708"/>
      <c r="B42" s="78"/>
      <c r="C42" s="708"/>
      <c r="D42" s="2357"/>
      <c r="E42" s="709"/>
      <c r="F42" s="2722"/>
      <c r="G42" s="662"/>
      <c r="H42" s="2710"/>
      <c r="I42" s="2338"/>
      <c r="J42" s="2714"/>
      <c r="K42" s="2349"/>
      <c r="L42" s="2714"/>
      <c r="M42" s="2349"/>
      <c r="N42" s="2349"/>
      <c r="O42" s="2349"/>
      <c r="P42" s="2349"/>
      <c r="Q42" s="2349"/>
      <c r="R42" s="2349"/>
      <c r="S42" s="2349"/>
    </row>
    <row r="43" spans="1:19" s="58" customFormat="1">
      <c r="A43" s="2708"/>
      <c r="B43" s="2721"/>
      <c r="C43" s="708"/>
      <c r="D43" s="2357"/>
      <c r="E43" s="709"/>
      <c r="F43" s="2722"/>
      <c r="G43" s="662"/>
      <c r="H43" s="2710"/>
      <c r="I43" s="2338"/>
      <c r="J43" s="2714"/>
      <c r="K43" s="2349"/>
      <c r="L43" s="2714"/>
      <c r="M43" s="2349"/>
      <c r="N43" s="2349"/>
      <c r="O43" s="2349"/>
      <c r="P43" s="2349"/>
      <c r="Q43" s="2349"/>
      <c r="R43" s="2349"/>
      <c r="S43" s="2349"/>
    </row>
    <row r="44" spans="1:19" s="58" customFormat="1">
      <c r="A44" s="2708"/>
      <c r="B44" s="2721"/>
      <c r="C44" s="708"/>
      <c r="D44" s="2357"/>
      <c r="E44" s="709"/>
      <c r="F44" s="2722"/>
      <c r="G44" s="662"/>
      <c r="H44" s="2710"/>
      <c r="I44" s="2338"/>
      <c r="J44" s="2714"/>
      <c r="K44" s="2349"/>
      <c r="L44" s="2714"/>
      <c r="M44" s="2349"/>
      <c r="N44" s="2349"/>
      <c r="O44" s="2349"/>
      <c r="P44" s="2349"/>
      <c r="Q44" s="2349"/>
      <c r="R44" s="2349"/>
      <c r="S44" s="2349"/>
    </row>
    <row r="45" spans="1:19" s="58" customFormat="1">
      <c r="A45" s="2708"/>
      <c r="B45" s="2721"/>
      <c r="C45" s="708"/>
      <c r="D45" s="2357"/>
      <c r="E45" s="709"/>
      <c r="F45" s="2722"/>
      <c r="G45" s="662"/>
      <c r="H45" s="2710"/>
      <c r="I45" s="2338"/>
      <c r="J45" s="2714"/>
      <c r="K45" s="2349"/>
      <c r="L45" s="2714"/>
      <c r="M45" s="2349"/>
      <c r="N45" s="2349"/>
      <c r="O45" s="2349"/>
      <c r="P45" s="2349"/>
      <c r="Q45" s="2349"/>
      <c r="R45" s="2349"/>
      <c r="S45" s="2349"/>
    </row>
    <row r="46" spans="1:19" s="58" customFormat="1">
      <c r="A46" s="2708"/>
      <c r="B46" s="2721"/>
      <c r="C46" s="708"/>
      <c r="D46" s="2357"/>
      <c r="E46" s="709"/>
      <c r="F46" s="2722"/>
      <c r="G46" s="662"/>
      <c r="H46" s="2710"/>
      <c r="I46" s="2338"/>
      <c r="J46" s="2714"/>
      <c r="K46" s="2349"/>
      <c r="L46" s="2714"/>
      <c r="M46" s="2349"/>
      <c r="N46" s="2349"/>
      <c r="O46" s="2349"/>
      <c r="P46" s="2349"/>
      <c r="Q46" s="2349"/>
      <c r="R46" s="2349"/>
      <c r="S46" s="2349"/>
    </row>
    <row r="47" spans="1:19" s="58" customFormat="1">
      <c r="A47" s="2708"/>
      <c r="B47" s="2721"/>
      <c r="C47" s="708"/>
      <c r="D47" s="2357"/>
      <c r="E47" s="709"/>
      <c r="F47" s="2722"/>
      <c r="G47" s="662"/>
      <c r="H47" s="2710"/>
      <c r="I47" s="2338"/>
      <c r="J47" s="2714"/>
      <c r="K47" s="2349"/>
      <c r="L47" s="2714"/>
      <c r="M47" s="2349"/>
      <c r="N47" s="2349"/>
      <c r="O47" s="2349"/>
      <c r="P47" s="2349"/>
      <c r="Q47" s="2349"/>
      <c r="R47" s="2349"/>
      <c r="S47" s="2349"/>
    </row>
    <row r="48" spans="1:19" s="58" customFormat="1">
      <c r="A48" s="2708"/>
      <c r="B48" s="2721"/>
      <c r="C48" s="708"/>
      <c r="D48" s="2357"/>
      <c r="E48" s="709"/>
      <c r="F48" s="2722"/>
      <c r="G48" s="662"/>
      <c r="H48" s="2710"/>
      <c r="I48" s="2338"/>
      <c r="J48" s="2714"/>
      <c r="K48" s="2349"/>
      <c r="L48" s="2714"/>
      <c r="M48" s="2349"/>
      <c r="N48" s="2349"/>
      <c r="O48" s="2349"/>
      <c r="P48" s="2349"/>
      <c r="Q48" s="2349"/>
      <c r="R48" s="2349"/>
      <c r="S48" s="2349"/>
    </row>
    <row r="49" spans="1:19" s="58" customFormat="1">
      <c r="A49" s="2708"/>
      <c r="B49" s="2721"/>
      <c r="C49" s="708"/>
      <c r="D49" s="2357"/>
      <c r="E49" s="709"/>
      <c r="F49" s="2722"/>
      <c r="G49" s="662"/>
      <c r="H49" s="2710"/>
      <c r="I49" s="2338"/>
      <c r="J49" s="2714"/>
      <c r="K49" s="2349"/>
      <c r="L49" s="2714"/>
      <c r="M49" s="2349"/>
      <c r="N49" s="2349"/>
      <c r="O49" s="2349"/>
      <c r="P49" s="2349"/>
      <c r="Q49" s="2349"/>
      <c r="R49" s="2349"/>
      <c r="S49" s="2349"/>
    </row>
    <row r="50" spans="1:19" s="58" customFormat="1">
      <c r="A50" s="2708"/>
      <c r="B50" s="2721"/>
      <c r="C50" s="708"/>
      <c r="D50" s="2357"/>
      <c r="E50" s="709"/>
      <c r="F50" s="2722"/>
      <c r="G50" s="662"/>
      <c r="H50" s="2710"/>
      <c r="I50" s="2338"/>
      <c r="J50" s="2714"/>
      <c r="K50" s="2349"/>
      <c r="L50" s="2714"/>
      <c r="M50" s="2349"/>
      <c r="N50" s="2349"/>
      <c r="O50" s="2349"/>
      <c r="P50" s="2349"/>
      <c r="Q50" s="2349"/>
      <c r="R50" s="2349"/>
      <c r="S50" s="2349"/>
    </row>
    <row r="51" spans="1:19" s="58" customFormat="1">
      <c r="A51" s="2708"/>
      <c r="B51" s="2721"/>
      <c r="C51" s="708"/>
      <c r="D51" s="2357"/>
      <c r="E51" s="709"/>
      <c r="F51" s="2722"/>
      <c r="G51" s="662"/>
      <c r="H51" s="2710"/>
      <c r="I51" s="2338"/>
      <c r="J51" s="2714"/>
      <c r="K51" s="2349"/>
      <c r="L51" s="2714"/>
      <c r="M51" s="2349"/>
      <c r="N51" s="2349"/>
      <c r="O51" s="2349"/>
      <c r="P51" s="2349"/>
      <c r="Q51" s="2349"/>
      <c r="R51" s="2349"/>
      <c r="S51" s="2349"/>
    </row>
    <row r="52" spans="1:19" s="58" customFormat="1">
      <c r="A52" s="2708"/>
      <c r="B52" s="2721"/>
      <c r="C52" s="708"/>
      <c r="D52" s="2357"/>
      <c r="E52" s="709"/>
      <c r="F52" s="2722"/>
      <c r="G52" s="662"/>
      <c r="H52" s="2710"/>
      <c r="I52" s="2338"/>
      <c r="J52" s="2714"/>
      <c r="K52" s="2349"/>
      <c r="L52" s="2714"/>
      <c r="M52" s="2349"/>
      <c r="N52" s="2349"/>
      <c r="O52" s="2349"/>
      <c r="P52" s="2349"/>
      <c r="Q52" s="2349"/>
      <c r="R52" s="2349"/>
      <c r="S52" s="2349"/>
    </row>
    <row r="53" spans="1:19" s="58" customFormat="1">
      <c r="A53" s="2708"/>
      <c r="B53" s="2721"/>
      <c r="C53" s="708"/>
      <c r="D53" s="2357"/>
      <c r="E53" s="709"/>
      <c r="F53" s="2722"/>
      <c r="G53" s="662"/>
      <c r="H53" s="2710"/>
      <c r="I53" s="2338"/>
      <c r="J53" s="2714"/>
      <c r="K53" s="2349"/>
      <c r="L53" s="2714"/>
      <c r="M53" s="2349"/>
      <c r="N53" s="2349"/>
      <c r="O53" s="2349"/>
      <c r="P53" s="2349"/>
      <c r="Q53" s="2349"/>
      <c r="R53" s="2349"/>
      <c r="S53" s="2349"/>
    </row>
    <row r="54" spans="1:19" s="58" customFormat="1">
      <c r="A54" s="2707"/>
      <c r="B54" s="2721"/>
      <c r="C54" s="662"/>
      <c r="D54" s="2357"/>
      <c r="E54" s="709"/>
      <c r="F54" s="2722"/>
      <c r="G54" s="662"/>
      <c r="H54" s="2710"/>
      <c r="I54" s="2338"/>
      <c r="J54" s="2714"/>
      <c r="K54" s="2349"/>
      <c r="L54" s="2714"/>
      <c r="M54" s="2349"/>
      <c r="N54" s="2349"/>
      <c r="O54" s="2349"/>
      <c r="P54" s="2349"/>
      <c r="Q54" s="2349"/>
      <c r="R54" s="2349"/>
      <c r="S54" s="2349"/>
    </row>
    <row r="55" spans="1:19">
      <c r="A55" s="2650"/>
      <c r="B55" s="2721"/>
      <c r="C55" s="662"/>
      <c r="D55" s="2407"/>
      <c r="E55" s="709"/>
      <c r="F55" s="2722"/>
      <c r="G55" s="660"/>
      <c r="H55" s="2710"/>
      <c r="I55" s="2338"/>
      <c r="J55" s="2391"/>
      <c r="K55" s="2391"/>
      <c r="L55" s="2391"/>
      <c r="M55" s="2339"/>
      <c r="N55" s="2339"/>
      <c r="O55" s="2339"/>
      <c r="P55" s="2339"/>
      <c r="Q55" s="2339"/>
      <c r="R55" s="2339"/>
      <c r="S55" s="2339"/>
    </row>
    <row r="56" spans="1:19">
      <c r="A56" s="2650"/>
      <c r="B56" s="2721"/>
      <c r="C56" s="662"/>
      <c r="D56" s="2407"/>
      <c r="E56" s="709"/>
      <c r="F56" s="2722"/>
      <c r="G56" s="660"/>
      <c r="H56" s="2710"/>
      <c r="I56" s="2338"/>
      <c r="J56" s="2710"/>
      <c r="K56" s="2339"/>
      <c r="L56" s="2710"/>
      <c r="M56" s="2339"/>
      <c r="N56" s="2339"/>
      <c r="O56" s="2339"/>
      <c r="P56" s="2339"/>
      <c r="Q56" s="2339"/>
      <c r="R56" s="2339"/>
      <c r="S56" s="2339"/>
    </row>
    <row r="57" spans="1:19">
      <c r="A57" s="2650"/>
      <c r="B57" s="2721"/>
      <c r="C57" s="662"/>
      <c r="D57" s="2407"/>
      <c r="E57" s="2407"/>
      <c r="F57" s="2407"/>
      <c r="G57" s="660"/>
      <c r="H57" s="2710"/>
      <c r="I57" s="2338"/>
      <c r="J57" s="2710"/>
      <c r="K57" s="2339"/>
      <c r="L57" s="2710"/>
      <c r="M57" s="2339"/>
      <c r="N57" s="2339"/>
      <c r="O57" s="2339"/>
      <c r="P57" s="2339"/>
      <c r="Q57" s="2339"/>
      <c r="R57" s="2339"/>
      <c r="S57" s="2339"/>
    </row>
    <row r="58" spans="1:19">
      <c r="A58" s="2650"/>
      <c r="B58" s="2721"/>
      <c r="C58" s="662"/>
      <c r="D58" s="2407"/>
      <c r="E58" s="2407"/>
      <c r="F58" s="2407"/>
      <c r="G58" s="660"/>
      <c r="H58" s="2710"/>
      <c r="I58" s="2339"/>
      <c r="J58" s="2391"/>
      <c r="K58" s="2339"/>
      <c r="L58" s="2710"/>
      <c r="M58" s="2339"/>
      <c r="N58" s="2339"/>
      <c r="O58" s="2339"/>
      <c r="P58" s="2339"/>
      <c r="Q58" s="2339"/>
      <c r="R58" s="2339"/>
      <c r="S58" s="2339"/>
    </row>
    <row r="59" spans="1:19">
      <c r="A59" s="2650"/>
      <c r="B59" s="2724"/>
      <c r="C59" s="662"/>
      <c r="D59" s="2407"/>
      <c r="E59" s="2407"/>
      <c r="F59" s="2407"/>
      <c r="G59" s="660"/>
      <c r="H59" s="2710"/>
      <c r="I59" s="2339"/>
      <c r="J59" s="2710"/>
      <c r="K59" s="2339"/>
      <c r="L59" s="2710"/>
      <c r="M59" s="2339"/>
      <c r="N59" s="2339"/>
      <c r="O59" s="2339"/>
      <c r="P59" s="2339"/>
      <c r="Q59" s="2339"/>
      <c r="R59" s="2339"/>
      <c r="S59" s="2339"/>
    </row>
    <row r="60" spans="1:19">
      <c r="A60" s="2650"/>
      <c r="B60" s="2725"/>
      <c r="C60" s="662"/>
      <c r="D60" s="2407"/>
      <c r="E60" s="2407"/>
      <c r="F60" s="2407"/>
      <c r="G60" s="660"/>
      <c r="H60" s="2710"/>
      <c r="I60" s="2339"/>
      <c r="J60" s="2710"/>
      <c r="K60" s="2339"/>
      <c r="L60" s="2710"/>
      <c r="M60" s="2339"/>
      <c r="N60" s="2339"/>
      <c r="O60" s="2339"/>
      <c r="P60" s="2339"/>
      <c r="Q60" s="2339"/>
      <c r="R60" s="2339"/>
      <c r="S60" s="2339"/>
    </row>
    <row r="61" spans="1:19">
      <c r="A61" s="2650"/>
      <c r="B61" s="2725"/>
      <c r="C61" s="662"/>
      <c r="D61" s="2407"/>
      <c r="E61" s="2407"/>
      <c r="F61" s="2407"/>
      <c r="G61" s="660"/>
      <c r="H61" s="2710"/>
      <c r="I61" s="2338"/>
      <c r="J61" s="2710"/>
      <c r="K61" s="2338"/>
      <c r="L61" s="2339"/>
      <c r="M61" s="2338"/>
      <c r="N61" s="2339"/>
      <c r="O61" s="2338"/>
      <c r="P61" s="2339"/>
      <c r="Q61" s="2339"/>
      <c r="R61" s="2339"/>
      <c r="S61" s="2339"/>
    </row>
    <row r="62" spans="1:19">
      <c r="A62" s="2650"/>
      <c r="B62" s="2725"/>
      <c r="C62" s="662"/>
      <c r="D62" s="2407"/>
      <c r="E62" s="2407"/>
      <c r="F62" s="2407"/>
      <c r="G62" s="660"/>
      <c r="H62" s="2710"/>
      <c r="I62" s="2338"/>
      <c r="J62" s="2710"/>
      <c r="K62" s="2338"/>
      <c r="L62" s="2339"/>
      <c r="M62" s="2338"/>
      <c r="N62" s="2339"/>
      <c r="O62" s="2338"/>
      <c r="P62" s="2339"/>
      <c r="Q62" s="2339"/>
      <c r="R62" s="2339"/>
      <c r="S62" s="2339"/>
    </row>
    <row r="63" spans="1:19">
      <c r="A63" s="2650"/>
      <c r="B63" s="2725"/>
      <c r="C63" s="662"/>
      <c r="D63" s="2407"/>
      <c r="E63" s="2407"/>
      <c r="F63" s="2407"/>
      <c r="G63" s="660"/>
      <c r="H63" s="2710"/>
      <c r="I63" s="2338"/>
      <c r="J63" s="2710"/>
      <c r="K63" s="2338"/>
      <c r="L63" s="2339"/>
      <c r="M63" s="2338"/>
      <c r="N63" s="2339"/>
      <c r="O63" s="2338"/>
      <c r="P63" s="2339"/>
      <c r="Q63" s="2339"/>
      <c r="R63" s="2339"/>
      <c r="S63" s="2339"/>
    </row>
    <row r="64" spans="1:19">
      <c r="A64" s="2650"/>
      <c r="B64" s="2725"/>
      <c r="C64" s="662"/>
      <c r="D64" s="2407"/>
      <c r="E64" s="2407"/>
      <c r="F64" s="2407"/>
      <c r="G64" s="660"/>
      <c r="H64" s="2710"/>
      <c r="I64" s="2338"/>
      <c r="J64" s="2710"/>
      <c r="K64" s="2338"/>
      <c r="L64" s="2339"/>
      <c r="M64" s="2338"/>
      <c r="N64" s="2339"/>
      <c r="O64" s="2338"/>
      <c r="P64" s="2339"/>
      <c r="Q64" s="2339"/>
      <c r="R64" s="2339"/>
      <c r="S64" s="2339"/>
    </row>
    <row r="65" spans="1:19" ht="15.75" thickBot="1">
      <c r="A65" s="2650"/>
      <c r="B65" s="2725"/>
      <c r="C65" s="662"/>
      <c r="D65" s="2407"/>
      <c r="E65" s="2407"/>
      <c r="F65" s="2407"/>
      <c r="G65" s="660"/>
      <c r="H65" s="2710"/>
      <c r="I65" s="2338"/>
      <c r="J65" s="2710"/>
      <c r="K65" s="2338"/>
      <c r="L65" s="2339"/>
      <c r="M65" s="2338"/>
      <c r="N65" s="2339"/>
      <c r="O65" s="2338"/>
      <c r="P65" s="2339"/>
      <c r="Q65" s="2339"/>
      <c r="R65" s="2339"/>
      <c r="S65" s="2339"/>
    </row>
    <row r="66" spans="1:19" ht="15.75" thickTop="1">
      <c r="A66" s="13"/>
      <c r="B66" s="14"/>
      <c r="C66" s="15"/>
      <c r="D66" s="15"/>
      <c r="E66" s="16"/>
      <c r="F66" s="17" t="s">
        <v>2975</v>
      </c>
      <c r="G66" s="18"/>
      <c r="H66" s="19"/>
      <c r="I66" s="53">
        <f>SUM(I23:I65)</f>
        <v>0</v>
      </c>
      <c r="J66" s="19"/>
      <c r="K66" s="53">
        <f>SUM(K23:K65)</f>
        <v>0</v>
      </c>
      <c r="L66" s="19"/>
      <c r="M66" s="53">
        <f>SUM(M23:M65)</f>
        <v>0</v>
      </c>
      <c r="N66" s="19"/>
      <c r="O66" s="53">
        <f>SUM(O23:O65)</f>
        <v>0</v>
      </c>
      <c r="P66" s="19"/>
      <c r="Q66" s="53">
        <f>SUM(Q23:Q65)</f>
        <v>0</v>
      </c>
      <c r="R66" s="19"/>
      <c r="S66" s="53">
        <f>SUM(S23:S65)</f>
        <v>0</v>
      </c>
    </row>
    <row r="67" spans="1:19">
      <c r="A67" s="2358"/>
      <c r="B67" s="2372"/>
      <c r="C67" s="2360"/>
      <c r="D67" s="2360"/>
      <c r="E67" s="2726"/>
      <c r="F67" s="2363" t="s">
        <v>2976</v>
      </c>
      <c r="G67" s="656"/>
      <c r="H67" s="2364">
        <v>0</v>
      </c>
      <c r="I67" s="2727"/>
      <c r="J67" s="2364">
        <v>0</v>
      </c>
      <c r="K67" s="2727"/>
      <c r="L67" s="2364">
        <v>0</v>
      </c>
      <c r="M67" s="2727"/>
      <c r="N67" s="2364">
        <v>0</v>
      </c>
      <c r="O67" s="2727"/>
      <c r="P67" s="2364">
        <v>0</v>
      </c>
      <c r="Q67" s="2727"/>
      <c r="R67" s="2364">
        <v>0</v>
      </c>
      <c r="S67" s="2727"/>
    </row>
    <row r="68" spans="1:19">
      <c r="A68" s="2358"/>
      <c r="B68" s="2372"/>
      <c r="C68" s="2360"/>
      <c r="D68" s="2360"/>
      <c r="E68" s="2726"/>
      <c r="F68" s="2363" t="s">
        <v>2977</v>
      </c>
      <c r="G68" s="656"/>
      <c r="H68" s="2365"/>
      <c r="I68" s="2728">
        <f>H67*I66</f>
        <v>0</v>
      </c>
      <c r="J68" s="2365"/>
      <c r="K68" s="2728">
        <f>J67*K66</f>
        <v>0</v>
      </c>
      <c r="L68" s="2365"/>
      <c r="M68" s="2728">
        <f>L67*M66</f>
        <v>0</v>
      </c>
      <c r="N68" s="2365"/>
      <c r="O68" s="2728">
        <f>N67*O66</f>
        <v>0</v>
      </c>
      <c r="P68" s="2365"/>
      <c r="Q68" s="2728">
        <f>P67*Q66</f>
        <v>0</v>
      </c>
      <c r="R68" s="2365"/>
      <c r="S68" s="2728">
        <f>R67*S66</f>
        <v>0</v>
      </c>
    </row>
    <row r="69" spans="1:19">
      <c r="A69" s="2358"/>
      <c r="B69" s="2372"/>
      <c r="C69" s="2360"/>
      <c r="D69" s="2360"/>
      <c r="E69" s="2726"/>
      <c r="F69" s="2363"/>
      <c r="G69" s="656"/>
      <c r="H69" s="2365"/>
      <c r="I69" s="2366"/>
      <c r="J69" s="2365"/>
      <c r="K69" s="2366"/>
      <c r="L69" s="2365"/>
      <c r="M69" s="2366"/>
      <c r="N69" s="2365"/>
      <c r="O69" s="2366"/>
      <c r="P69" s="2365"/>
      <c r="Q69" s="2366"/>
      <c r="R69" s="2365"/>
      <c r="S69" s="2366"/>
    </row>
    <row r="70" spans="1:19">
      <c r="A70" s="2358"/>
      <c r="B70" s="2372"/>
      <c r="C70" s="2360"/>
      <c r="D70" s="2360"/>
      <c r="E70" s="2726"/>
      <c r="F70" s="2363" t="s">
        <v>2978</v>
      </c>
      <c r="G70" s="656"/>
      <c r="H70" s="2367"/>
      <c r="I70" s="2729">
        <f>SUM(I66:I68)</f>
        <v>0</v>
      </c>
      <c r="J70" s="2367"/>
      <c r="K70" s="2729">
        <f>SUM(K66:K68)</f>
        <v>0</v>
      </c>
      <c r="L70" s="2367"/>
      <c r="M70" s="2729">
        <f>SUM(M66:M68)</f>
        <v>0</v>
      </c>
      <c r="N70" s="2367"/>
      <c r="O70" s="2729">
        <f>SUM(O66:O68)</f>
        <v>0</v>
      </c>
      <c r="P70" s="2367"/>
      <c r="Q70" s="2729">
        <f>SUM(Q66:Q68)</f>
        <v>0</v>
      </c>
      <c r="R70" s="2367"/>
      <c r="S70" s="2729">
        <f>SUM(S66:S68)</f>
        <v>0</v>
      </c>
    </row>
    <row r="71" spans="1:19">
      <c r="A71" s="2358"/>
      <c r="B71" s="2372"/>
      <c r="C71" s="2360"/>
      <c r="D71" s="2360"/>
      <c r="E71" s="2726"/>
      <c r="F71" s="2368" t="s">
        <v>2979</v>
      </c>
      <c r="G71" s="655"/>
      <c r="H71" s="2369"/>
      <c r="I71" s="2371">
        <f>I70/'Area Calculations'!$F$5</f>
        <v>0</v>
      </c>
      <c r="J71" s="2369"/>
      <c r="K71" s="2371">
        <f>K70/'Area Calculations'!$F$5</f>
        <v>0</v>
      </c>
      <c r="L71" s="2369"/>
      <c r="M71" s="2371">
        <f>M70/'Area Calculations'!$F$5</f>
        <v>0</v>
      </c>
      <c r="N71" s="2369"/>
      <c r="O71" s="2371">
        <f>O70/'Area Calculations'!$F$5</f>
        <v>0</v>
      </c>
      <c r="P71" s="2369"/>
      <c r="Q71" s="2371">
        <f>Q70/'Area Calculations'!$F$5</f>
        <v>0</v>
      </c>
      <c r="R71" s="2369"/>
      <c r="S71" s="2371">
        <f>S70/'Area Calculations'!$F$5</f>
        <v>0</v>
      </c>
    </row>
    <row r="72" spans="1:19">
      <c r="A72" s="2358"/>
      <c r="B72" s="2372"/>
      <c r="C72" s="2360"/>
      <c r="D72" s="2360"/>
      <c r="E72" s="2726"/>
      <c r="F72" s="2368" t="s">
        <v>4878</v>
      </c>
      <c r="G72" s="686"/>
      <c r="H72" s="2369"/>
      <c r="I72" s="2371" t="e">
        <f>I70/'Area Calculations'!$F$10</f>
        <v>#DIV/0!</v>
      </c>
      <c r="J72" s="2369"/>
      <c r="K72" s="2371" t="e">
        <f>K70/'Area Calculations'!$F$10</f>
        <v>#DIV/0!</v>
      </c>
      <c r="L72" s="2369"/>
      <c r="M72" s="2371" t="e">
        <f>M70/'Area Calculations'!$F$10</f>
        <v>#DIV/0!</v>
      </c>
      <c r="N72" s="2369"/>
      <c r="O72" s="2371" t="e">
        <f>O70/'Area Calculations'!$F$10</f>
        <v>#DIV/0!</v>
      </c>
      <c r="P72" s="2369"/>
      <c r="Q72" s="2371" t="e">
        <f>Q70/'Area Calculations'!$F$10</f>
        <v>#DIV/0!</v>
      </c>
      <c r="R72" s="2369"/>
      <c r="S72" s="2371" t="e">
        <f>S70/'Area Calculations'!$F$10</f>
        <v>#DIV/0!</v>
      </c>
    </row>
    <row r="73" spans="1:19" ht="15.75" thickBot="1">
      <c r="A73" s="2358"/>
      <c r="B73" s="2372"/>
      <c r="C73" s="2360"/>
      <c r="D73" s="2360"/>
      <c r="E73" s="2726"/>
      <c r="F73" s="2363"/>
      <c r="G73" s="687"/>
      <c r="H73" s="2730"/>
      <c r="I73" s="2731"/>
      <c r="J73" s="2730"/>
      <c r="K73" s="2731"/>
      <c r="L73" s="2730"/>
      <c r="M73" s="2731"/>
      <c r="N73" s="2730"/>
      <c r="O73" s="2731"/>
      <c r="P73" s="2730"/>
      <c r="Q73" s="2731"/>
      <c r="R73" s="2730"/>
      <c r="S73" s="2731"/>
    </row>
    <row r="74" spans="1:19" ht="16.5" thickTop="1" thickBot="1">
      <c r="A74" s="830" t="s">
        <v>2980</v>
      </c>
      <c r="B74" s="831"/>
      <c r="C74" s="12"/>
      <c r="D74" s="12"/>
      <c r="E74" s="12"/>
      <c r="F74" s="12"/>
      <c r="G74" s="48"/>
      <c r="H74" s="47"/>
      <c r="I74" s="20"/>
      <c r="J74" s="20"/>
      <c r="K74" s="20"/>
      <c r="L74" s="20"/>
      <c r="M74" s="20"/>
      <c r="N74" s="20"/>
      <c r="O74" s="20"/>
      <c r="P74" s="20"/>
      <c r="Q74" s="20"/>
      <c r="R74" s="20"/>
      <c r="S74" s="20"/>
    </row>
    <row r="75" spans="1:19" ht="15.75" thickTop="1">
      <c r="A75" s="2661"/>
      <c r="B75" s="2406"/>
      <c r="C75" s="2662"/>
      <c r="D75" s="2662"/>
      <c r="E75" s="2662"/>
      <c r="F75" s="2662"/>
      <c r="G75" s="2732"/>
      <c r="H75" s="2381"/>
      <c r="I75" s="2666"/>
      <c r="J75" s="2666"/>
      <c r="K75" s="2666"/>
      <c r="L75" s="2666"/>
      <c r="M75" s="2666"/>
      <c r="N75" s="2666"/>
      <c r="O75" s="2666"/>
      <c r="P75" s="2666"/>
      <c r="Q75" s="2666"/>
      <c r="R75" s="2666"/>
      <c r="S75" s="2666"/>
    </row>
    <row r="76" spans="1:19" s="2" customFormat="1">
      <c r="A76" s="2661"/>
      <c r="B76" s="2406"/>
      <c r="C76" s="2662"/>
      <c r="D76" s="2662"/>
      <c r="E76" s="2662"/>
      <c r="F76" s="2662"/>
      <c r="G76" s="2732"/>
      <c r="H76" s="2381"/>
      <c r="I76" s="2666"/>
      <c r="J76" s="2666"/>
      <c r="K76" s="2666"/>
      <c r="L76" s="2666"/>
      <c r="M76" s="2666"/>
      <c r="N76" s="2666"/>
      <c r="O76" s="2666"/>
      <c r="P76" s="2666"/>
      <c r="Q76" s="2666"/>
      <c r="R76" s="2666"/>
      <c r="S76" s="2666"/>
    </row>
    <row r="77" spans="1:19" s="2" customFormat="1" ht="15.75" thickBot="1">
      <c r="A77" s="2661"/>
      <c r="B77" s="2406"/>
      <c r="C77" s="2662"/>
      <c r="D77" s="2662"/>
      <c r="E77" s="2662"/>
      <c r="F77" s="2662"/>
      <c r="G77" s="2732"/>
      <c r="H77" s="2381"/>
      <c r="I77" s="2666"/>
      <c r="J77" s="2666"/>
      <c r="K77" s="2666"/>
      <c r="L77" s="2666"/>
      <c r="M77" s="2666"/>
      <c r="N77" s="2666"/>
      <c r="O77" s="2666"/>
      <c r="P77" s="2666"/>
      <c r="Q77" s="2666"/>
      <c r="R77" s="2666"/>
      <c r="S77" s="2666"/>
    </row>
    <row r="78" spans="1:19" ht="16.5" thickTop="1" thickBot="1">
      <c r="A78" s="830" t="s">
        <v>2981</v>
      </c>
      <c r="B78" s="831"/>
      <c r="C78" s="12"/>
      <c r="D78" s="12"/>
      <c r="E78" s="12"/>
      <c r="F78" s="12"/>
      <c r="G78" s="48"/>
      <c r="H78" s="47"/>
      <c r="I78" s="20"/>
      <c r="J78" s="20"/>
      <c r="K78" s="20"/>
      <c r="L78" s="20"/>
      <c r="M78" s="20"/>
      <c r="N78" s="20"/>
      <c r="O78" s="20"/>
      <c r="P78" s="20"/>
      <c r="Q78" s="20"/>
      <c r="R78" s="20"/>
      <c r="S78" s="20"/>
    </row>
    <row r="79" spans="1:19" s="2" customFormat="1" ht="15.75" thickTop="1">
      <c r="A79" s="2661"/>
      <c r="B79" s="2406"/>
      <c r="C79" s="2662"/>
      <c r="D79" s="2662"/>
      <c r="E79" s="2662"/>
      <c r="F79" s="2662"/>
      <c r="G79" s="2732"/>
      <c r="H79" s="2381"/>
      <c r="I79" s="2666"/>
      <c r="J79" s="2666"/>
      <c r="K79" s="2666"/>
      <c r="L79" s="2666"/>
      <c r="M79" s="2666"/>
      <c r="N79" s="2666"/>
      <c r="O79" s="2666"/>
      <c r="P79" s="2666"/>
      <c r="Q79" s="2666"/>
      <c r="R79" s="2666"/>
      <c r="S79" s="2666"/>
    </row>
    <row r="80" spans="1:19" s="2" customFormat="1">
      <c r="A80" s="2661"/>
      <c r="B80" s="2406"/>
      <c r="C80" s="2662"/>
      <c r="D80" s="2662"/>
      <c r="E80" s="2662"/>
      <c r="F80" s="2662"/>
      <c r="G80" s="2732"/>
      <c r="H80" s="2381"/>
      <c r="I80" s="2666"/>
      <c r="J80" s="2666"/>
      <c r="K80" s="2666"/>
      <c r="L80" s="2666"/>
      <c r="M80" s="2666"/>
      <c r="N80" s="2666"/>
      <c r="O80" s="2666"/>
      <c r="P80" s="2666"/>
      <c r="Q80" s="2666"/>
      <c r="R80" s="2666"/>
      <c r="S80" s="2666"/>
    </row>
    <row r="81" spans="1:19" ht="15.75" thickBot="1">
      <c r="A81" s="2661"/>
      <c r="B81" s="2406"/>
      <c r="C81" s="2662"/>
      <c r="D81" s="2662"/>
      <c r="E81" s="2662"/>
      <c r="F81" s="2662"/>
      <c r="G81" s="2732"/>
      <c r="H81" s="2381"/>
      <c r="I81" s="2666"/>
      <c r="J81" s="2666"/>
      <c r="K81" s="2666"/>
      <c r="L81" s="2666"/>
      <c r="M81" s="2666"/>
      <c r="N81" s="2666"/>
      <c r="O81" s="2666"/>
      <c r="P81" s="2666"/>
      <c r="Q81" s="2666"/>
      <c r="R81" s="2666"/>
      <c r="S81" s="2666"/>
    </row>
    <row r="82" spans="1:19" ht="16.5" thickTop="1" thickBot="1">
      <c r="A82" s="830" t="s">
        <v>2982</v>
      </c>
      <c r="B82" s="831"/>
      <c r="C82" s="12"/>
      <c r="D82" s="12"/>
      <c r="E82" s="12"/>
      <c r="F82" s="12"/>
      <c r="G82" s="48"/>
      <c r="H82" s="47"/>
      <c r="I82" s="20"/>
      <c r="J82" s="20"/>
      <c r="K82" s="20"/>
      <c r="L82" s="20"/>
      <c r="M82" s="20"/>
      <c r="N82" s="20"/>
      <c r="O82" s="20"/>
      <c r="P82" s="20"/>
      <c r="Q82" s="20"/>
      <c r="R82" s="20"/>
      <c r="S82" s="20"/>
    </row>
    <row r="83" spans="1:19" ht="15.75" thickTop="1">
      <c r="A83" s="2661"/>
      <c r="B83" s="2406"/>
      <c r="C83" s="2662"/>
      <c r="D83" s="2662"/>
      <c r="E83" s="2662"/>
      <c r="F83" s="2662"/>
      <c r="G83" s="2732"/>
      <c r="H83" s="2381"/>
      <c r="I83" s="2666"/>
      <c r="J83" s="2666"/>
      <c r="K83" s="2666"/>
      <c r="L83" s="2666"/>
      <c r="M83" s="2666"/>
      <c r="N83" s="2666"/>
      <c r="O83" s="2666"/>
      <c r="P83" s="2666"/>
      <c r="Q83" s="2666"/>
      <c r="R83" s="2666"/>
      <c r="S83" s="2666"/>
    </row>
    <row r="84" spans="1:19">
      <c r="A84" s="2382"/>
      <c r="B84" s="2406"/>
      <c r="C84" s="2407"/>
      <c r="D84" s="2407"/>
      <c r="E84" s="2407"/>
      <c r="F84" s="2407"/>
      <c r="G84" s="2733"/>
      <c r="H84" s="688"/>
      <c r="I84" s="2384"/>
      <c r="J84" s="2384"/>
      <c r="K84" s="2384"/>
      <c r="L84" s="2384"/>
      <c r="M84" s="2384"/>
      <c r="N84" s="2384"/>
      <c r="O84" s="2384"/>
      <c r="P84" s="2384"/>
      <c r="Q84" s="2384"/>
      <c r="R84" s="2384"/>
      <c r="S84" s="2384"/>
    </row>
    <row r="85" spans="1:19" ht="15.75" thickBot="1">
      <c r="A85" s="2385"/>
      <c r="B85" s="2386"/>
      <c r="C85" s="2407"/>
      <c r="D85" s="2407"/>
      <c r="E85" s="2407"/>
      <c r="F85" s="2407"/>
      <c r="G85" s="2733"/>
      <c r="H85" s="689"/>
      <c r="I85" s="2387"/>
      <c r="J85" s="2387"/>
      <c r="K85" s="2387"/>
      <c r="L85" s="2387"/>
      <c r="M85" s="2387"/>
      <c r="N85" s="2387"/>
      <c r="O85" s="2387"/>
      <c r="P85" s="2387"/>
      <c r="Q85" s="2387"/>
      <c r="R85" s="2387"/>
      <c r="S85" s="2387"/>
    </row>
    <row r="86" spans="1:19" ht="16.5" thickTop="1" thickBot="1">
      <c r="A86" s="830" t="s">
        <v>2983</v>
      </c>
      <c r="B86" s="831"/>
      <c r="C86" s="12"/>
      <c r="D86" s="12"/>
      <c r="E86" s="12"/>
      <c r="F86" s="12"/>
      <c r="G86" s="48"/>
      <c r="H86" s="47"/>
      <c r="I86" s="20"/>
      <c r="J86" s="20"/>
      <c r="K86" s="20"/>
      <c r="L86" s="20"/>
      <c r="M86" s="20"/>
      <c r="N86" s="20"/>
      <c r="O86" s="20"/>
      <c r="P86" s="20"/>
      <c r="Q86" s="20"/>
      <c r="R86" s="20"/>
      <c r="S86" s="20"/>
    </row>
    <row r="87" spans="1:19" ht="15.75" thickTop="1">
      <c r="A87" s="2667"/>
      <c r="B87" s="2668"/>
      <c r="C87" s="2662"/>
      <c r="D87" s="2662"/>
      <c r="E87" s="2662"/>
      <c r="F87" s="2662"/>
      <c r="G87" s="2732"/>
      <c r="H87" s="2381"/>
      <c r="I87" s="2666"/>
      <c r="J87" s="2666"/>
      <c r="K87" s="2666"/>
      <c r="L87" s="2666"/>
      <c r="M87" s="2666"/>
      <c r="N87" s="2666"/>
      <c r="O87" s="2666"/>
      <c r="P87" s="2666"/>
      <c r="Q87" s="2666"/>
      <c r="R87" s="2666"/>
      <c r="S87" s="2666"/>
    </row>
    <row r="88" spans="1:19">
      <c r="A88" s="2385"/>
      <c r="B88" s="2386"/>
      <c r="C88" s="2407"/>
      <c r="D88" s="2407"/>
      <c r="E88" s="2407"/>
      <c r="F88" s="2407"/>
      <c r="G88" s="2733"/>
      <c r="H88" s="690"/>
      <c r="I88" s="2390"/>
      <c r="J88" s="2390"/>
      <c r="K88" s="2390"/>
      <c r="L88" s="2390"/>
      <c r="M88" s="2390"/>
      <c r="N88" s="2390"/>
      <c r="O88" s="2390"/>
      <c r="P88" s="2390"/>
      <c r="Q88" s="2390"/>
      <c r="R88" s="2390"/>
      <c r="S88" s="2390"/>
    </row>
    <row r="89" spans="1:19" ht="15.75" thickBot="1">
      <c r="A89" s="2385"/>
      <c r="B89" s="2386"/>
      <c r="C89" s="2407"/>
      <c r="D89" s="2407"/>
      <c r="E89" s="2407"/>
      <c r="F89" s="2407"/>
      <c r="G89" s="2733"/>
      <c r="H89" s="690"/>
      <c r="I89" s="2390"/>
      <c r="J89" s="2390"/>
      <c r="K89" s="2390"/>
      <c r="L89" s="2390"/>
      <c r="M89" s="2390"/>
      <c r="N89" s="2390"/>
      <c r="O89" s="2390"/>
      <c r="P89" s="2390"/>
      <c r="Q89" s="2390"/>
      <c r="R89" s="2390"/>
      <c r="S89" s="2390"/>
    </row>
    <row r="90" spans="1:19" ht="16.5" thickTop="1" thickBot="1">
      <c r="A90" s="830" t="s">
        <v>2984</v>
      </c>
      <c r="B90" s="831"/>
      <c r="C90" s="12"/>
      <c r="D90" s="12"/>
      <c r="E90" s="12"/>
      <c r="F90" s="12"/>
      <c r="G90" s="48"/>
      <c r="H90" s="47"/>
      <c r="I90" s="20"/>
      <c r="J90" s="20"/>
      <c r="K90" s="20"/>
      <c r="L90" s="20"/>
      <c r="M90" s="20"/>
      <c r="N90" s="20"/>
      <c r="O90" s="20"/>
      <c r="P90" s="20"/>
      <c r="Q90" s="20"/>
      <c r="R90" s="20"/>
      <c r="S90" s="20"/>
    </row>
    <row r="91" spans="1:19" ht="15.75" thickTop="1">
      <c r="A91" s="2382"/>
      <c r="B91" s="2406" t="s">
        <v>2985</v>
      </c>
      <c r="C91" s="2407"/>
      <c r="D91" s="2407"/>
      <c r="E91" s="2407"/>
      <c r="F91" s="2407"/>
      <c r="G91" s="2733"/>
      <c r="H91" s="690"/>
      <c r="I91" s="2390"/>
      <c r="J91" s="2390"/>
      <c r="K91" s="2390"/>
      <c r="L91" s="2390"/>
      <c r="M91" s="2390"/>
      <c r="N91" s="2390"/>
      <c r="O91" s="2390"/>
      <c r="P91" s="2390"/>
      <c r="Q91" s="2390"/>
      <c r="R91" s="2390"/>
      <c r="S91" s="2390"/>
    </row>
    <row r="92" spans="1:19">
      <c r="A92" s="2382"/>
      <c r="B92" s="2406" t="s">
        <v>2986</v>
      </c>
      <c r="C92" s="2407"/>
      <c r="D92" s="2407"/>
      <c r="E92" s="2407"/>
      <c r="F92" s="2407"/>
      <c r="G92" s="2733"/>
      <c r="H92" s="690"/>
      <c r="I92" s="2390"/>
      <c r="J92" s="2390"/>
      <c r="K92" s="2390"/>
      <c r="L92" s="2390"/>
      <c r="M92" s="2390"/>
      <c r="N92" s="2390"/>
      <c r="O92" s="2390"/>
      <c r="P92" s="2390"/>
      <c r="Q92" s="2390"/>
      <c r="R92" s="2390"/>
      <c r="S92" s="2390"/>
    </row>
    <row r="93" spans="1:19">
      <c r="A93" s="2382"/>
      <c r="B93" s="2406" t="s">
        <v>2987</v>
      </c>
      <c r="C93" s="2407"/>
      <c r="D93" s="2407"/>
      <c r="E93" s="2407"/>
      <c r="F93" s="2407"/>
      <c r="G93" s="2733"/>
      <c r="H93" s="690"/>
      <c r="I93" s="2390"/>
      <c r="J93" s="2390"/>
      <c r="K93" s="2390"/>
      <c r="L93" s="2390"/>
      <c r="M93" s="2390"/>
      <c r="N93" s="2390"/>
      <c r="O93" s="2390"/>
      <c r="P93" s="2390"/>
      <c r="Q93" s="2390"/>
      <c r="R93" s="2390"/>
      <c r="S93" s="2390"/>
    </row>
    <row r="94" spans="1:19">
      <c r="A94" s="2382"/>
      <c r="B94" s="2406" t="s">
        <v>2988</v>
      </c>
      <c r="C94" s="2407"/>
      <c r="D94" s="2407"/>
      <c r="E94" s="2407"/>
      <c r="F94" s="2407"/>
      <c r="G94" s="2733"/>
      <c r="H94" s="690"/>
      <c r="I94" s="2390"/>
      <c r="J94" s="2390"/>
      <c r="K94" s="2390"/>
      <c r="L94" s="2390"/>
      <c r="M94" s="2390"/>
      <c r="N94" s="2390"/>
      <c r="O94" s="2390"/>
      <c r="P94" s="2390"/>
      <c r="Q94" s="2390"/>
      <c r="R94" s="2390"/>
      <c r="S94" s="2390"/>
    </row>
    <row r="95" spans="1:19" ht="15.75" thickBot="1">
      <c r="A95" s="646"/>
      <c r="B95" s="619"/>
      <c r="C95" s="616"/>
      <c r="D95" s="616"/>
      <c r="E95" s="616"/>
      <c r="F95" s="616"/>
      <c r="G95" s="629"/>
      <c r="H95" s="630"/>
      <c r="I95" s="647"/>
      <c r="J95" s="647"/>
      <c r="K95" s="647"/>
      <c r="L95" s="647"/>
      <c r="M95" s="647"/>
      <c r="N95" s="647"/>
      <c r="O95" s="647"/>
      <c r="P95" s="647"/>
      <c r="Q95" s="647"/>
      <c r="R95" s="647"/>
      <c r="S95" s="647"/>
    </row>
    <row r="96" spans="1:19" ht="16.5" thickTop="1" thickBot="1">
      <c r="A96" s="7" t="s">
        <v>2989</v>
      </c>
      <c r="B96" s="8"/>
      <c r="C96" s="12"/>
      <c r="D96" s="12"/>
      <c r="E96" s="12"/>
      <c r="F96" s="12"/>
      <c r="G96" s="48"/>
      <c r="H96" s="47"/>
      <c r="I96" s="20"/>
      <c r="J96" s="20"/>
      <c r="K96" s="20"/>
      <c r="L96" s="20"/>
      <c r="M96" s="20"/>
      <c r="N96" s="20"/>
      <c r="O96" s="20"/>
      <c r="P96" s="20"/>
      <c r="Q96" s="20"/>
      <c r="R96" s="20"/>
      <c r="S96" s="20"/>
    </row>
    <row r="97" spans="1:19" ht="15.75" thickTop="1">
      <c r="A97" s="2661"/>
      <c r="B97" s="2734" t="s">
        <v>2990</v>
      </c>
      <c r="C97" s="2662"/>
      <c r="D97" s="2662"/>
      <c r="E97" s="2662"/>
      <c r="F97" s="2662"/>
      <c r="G97" s="2732"/>
      <c r="H97" s="2339"/>
      <c r="I97" s="2648"/>
      <c r="J97" s="2648"/>
      <c r="K97" s="2648"/>
      <c r="L97" s="2648"/>
      <c r="M97" s="2648"/>
      <c r="N97" s="2648"/>
      <c r="O97" s="2648"/>
      <c r="P97" s="2648"/>
      <c r="Q97" s="2648"/>
      <c r="R97" s="2648"/>
      <c r="S97" s="2648"/>
    </row>
    <row r="98" spans="1:19">
      <c r="A98" s="2382"/>
      <c r="B98" s="2406" t="s">
        <v>2991</v>
      </c>
      <c r="C98" s="2407"/>
      <c r="D98" s="2407"/>
      <c r="E98" s="2407"/>
      <c r="F98" s="2407"/>
      <c r="G98" s="2733"/>
      <c r="H98" s="691"/>
      <c r="I98" s="2391"/>
      <c r="J98" s="2391"/>
      <c r="K98" s="2391"/>
      <c r="L98" s="2391"/>
      <c r="M98" s="2391"/>
      <c r="N98" s="2391"/>
      <c r="O98" s="2391"/>
      <c r="P98" s="2391"/>
      <c r="Q98" s="2391"/>
      <c r="R98" s="2391"/>
      <c r="S98" s="2391"/>
    </row>
    <row r="99" spans="1:19" ht="15.75" thickBot="1">
      <c r="A99" s="2392"/>
      <c r="B99" s="2424" t="s">
        <v>2992</v>
      </c>
      <c r="C99" s="2425"/>
      <c r="D99" s="2425"/>
      <c r="E99" s="2425"/>
      <c r="F99" s="2425"/>
      <c r="G99" s="2736"/>
      <c r="H99" s="2397"/>
      <c r="I99" s="2396"/>
      <c r="J99" s="2396"/>
      <c r="K99" s="2396"/>
      <c r="L99" s="2396"/>
      <c r="M99" s="2396"/>
      <c r="N99" s="2396"/>
      <c r="O99" s="2396"/>
      <c r="P99" s="2396"/>
      <c r="Q99" s="2396"/>
      <c r="R99" s="2396"/>
      <c r="S99" s="2396"/>
    </row>
    <row r="100" spans="1:19" ht="16.5" thickTop="1" thickBot="1"/>
    <row r="101" spans="1:19" ht="16.5" thickTop="1" thickBot="1">
      <c r="A101" s="59" t="s">
        <v>2993</v>
      </c>
      <c r="B101" s="61"/>
    </row>
    <row r="102" spans="1:19" ht="15.75" thickTop="1">
      <c r="A102" s="60" t="s">
        <v>2936</v>
      </c>
      <c r="B102" s="2398"/>
    </row>
    <row r="103" spans="1:19">
      <c r="A103" s="2399" t="s">
        <v>2939</v>
      </c>
      <c r="B103" s="2398"/>
    </row>
    <row r="104" spans="1:19">
      <c r="A104" s="2400" t="s">
        <v>2941</v>
      </c>
      <c r="B104" s="2401"/>
    </row>
    <row r="105" spans="1:19">
      <c r="A105" s="2400" t="s">
        <v>2943</v>
      </c>
      <c r="B105" s="2402"/>
    </row>
    <row r="106" spans="1:19" ht="15.75" thickBot="1">
      <c r="A106" s="2403" t="s">
        <v>2994</v>
      </c>
      <c r="B106" s="2737"/>
    </row>
    <row r="107" spans="1:19" ht="15.75" thickTop="1"/>
    <row r="108" spans="1:19">
      <c r="A108" s="62"/>
      <c r="B108" s="1" t="s">
        <v>2995</v>
      </c>
    </row>
    <row r="109" spans="1:19">
      <c r="A109" s="63"/>
      <c r="B109" s="1" t="s">
        <v>2996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bottomRight" activeCell="I52" sqref="I52:I53"/>
      <selection pane="bottomLeft" activeCell="A11" sqref="A11"/>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989"/>
      <c r="K4" s="842"/>
      <c r="L4" s="989"/>
      <c r="M4" s="842"/>
      <c r="N4" s="989"/>
      <c r="O4" s="842"/>
      <c r="P4" s="989"/>
      <c r="Q4" s="842"/>
      <c r="R4" s="989"/>
      <c r="S4" s="842"/>
    </row>
    <row r="5" spans="1:19">
      <c r="A5" s="2405" t="s">
        <v>4871</v>
      </c>
      <c r="B5" s="2406" t="s">
        <v>512</v>
      </c>
      <c r="C5" s="2407"/>
      <c r="D5" s="2407"/>
      <c r="E5" s="2407"/>
      <c r="F5" s="2407"/>
      <c r="G5" s="657" t="s">
        <v>2939</v>
      </c>
      <c r="H5" s="2410"/>
      <c r="I5" s="843"/>
      <c r="J5" s="2699"/>
      <c r="K5" s="843"/>
      <c r="L5" s="2699"/>
      <c r="M5" s="843"/>
      <c r="N5" s="2699"/>
      <c r="O5" s="843"/>
      <c r="P5" s="2699"/>
      <c r="Q5" s="843"/>
      <c r="R5" s="2699"/>
      <c r="S5" s="843"/>
    </row>
    <row r="6" spans="1:19">
      <c r="A6" s="2405" t="s">
        <v>4873</v>
      </c>
      <c r="B6" s="2413" t="s">
        <v>6017</v>
      </c>
      <c r="C6" s="2407"/>
      <c r="D6" s="2407"/>
      <c r="E6" s="2407"/>
      <c r="F6" s="2407"/>
      <c r="G6" s="657" t="s">
        <v>2941</v>
      </c>
      <c r="H6" s="2415"/>
      <c r="I6" s="844"/>
      <c r="J6" s="2700"/>
      <c r="K6" s="844"/>
      <c r="L6" s="2700"/>
      <c r="M6" s="844"/>
      <c r="N6" s="2700"/>
      <c r="O6" s="844"/>
      <c r="P6" s="2700"/>
      <c r="Q6" s="844"/>
      <c r="R6" s="2700"/>
      <c r="S6" s="844"/>
    </row>
    <row r="7" spans="1:19">
      <c r="A7" s="2405" t="s">
        <v>4875</v>
      </c>
      <c r="B7" s="2418"/>
      <c r="C7" s="2407"/>
      <c r="D7" s="2407"/>
      <c r="E7" s="2407"/>
      <c r="F7" s="2407"/>
      <c r="G7" s="657" t="s">
        <v>2943</v>
      </c>
      <c r="H7" s="2419"/>
      <c r="I7" s="845"/>
      <c r="J7" s="2701"/>
      <c r="K7" s="845"/>
      <c r="L7" s="2701"/>
      <c r="M7" s="845"/>
      <c r="N7" s="2701"/>
      <c r="O7" s="845"/>
      <c r="P7" s="2701"/>
      <c r="Q7" s="845"/>
      <c r="R7" s="2701"/>
      <c r="S7" s="845"/>
    </row>
    <row r="8" spans="1:19" ht="15.75" thickBot="1">
      <c r="A8" s="685" t="s">
        <v>2944</v>
      </c>
      <c r="B8" s="619"/>
      <c r="C8" s="616"/>
      <c r="D8" s="616"/>
      <c r="E8" s="616"/>
      <c r="F8" s="616"/>
      <c r="G8" s="685" t="s">
        <v>2944</v>
      </c>
      <c r="H8" s="2702">
        <f>I51</f>
        <v>0</v>
      </c>
      <c r="I8" s="2703"/>
      <c r="J8" s="2702">
        <f>K51</f>
        <v>0</v>
      </c>
      <c r="K8" s="2703"/>
      <c r="L8" s="2702">
        <f>M51</f>
        <v>0</v>
      </c>
      <c r="M8" s="2703"/>
      <c r="N8" s="2702">
        <f>O51</f>
        <v>0</v>
      </c>
      <c r="O8" s="2703"/>
      <c r="P8" s="2702">
        <f>Q51</f>
        <v>0</v>
      </c>
      <c r="Q8" s="2703"/>
      <c r="R8" s="2702">
        <f>S51</f>
        <v>0</v>
      </c>
      <c r="S8" s="2703"/>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382"/>
      <c r="B10" s="2738" t="s">
        <v>4876</v>
      </c>
      <c r="C10" s="2407"/>
      <c r="D10" s="2407"/>
      <c r="E10" s="2407"/>
      <c r="F10" s="2407"/>
      <c r="G10" s="660"/>
      <c r="H10" s="2705"/>
      <c r="I10" s="2705"/>
      <c r="J10" s="2705"/>
      <c r="K10" s="2705"/>
      <c r="L10" s="2705"/>
      <c r="M10" s="2705"/>
      <c r="N10" s="2705"/>
      <c r="O10" s="2705"/>
      <c r="P10" s="2705"/>
      <c r="Q10" s="2705"/>
      <c r="R10" s="2705"/>
      <c r="S10" s="2705"/>
    </row>
    <row r="11" spans="1:19" hidden="1">
      <c r="A11" s="2382"/>
      <c r="B11" s="2406" t="e">
        <f>'Area Calculations'!#REF!</f>
        <v>#REF!</v>
      </c>
      <c r="C11" s="2706" t="s">
        <v>4877</v>
      </c>
      <c r="D11" s="2407"/>
      <c r="E11" s="2407"/>
      <c r="F11" s="2407"/>
      <c r="G11" s="660"/>
      <c r="H11" s="2705"/>
      <c r="I11" s="2705"/>
      <c r="J11" s="2705"/>
      <c r="K11" s="2705"/>
      <c r="L11" s="2705"/>
      <c r="M11" s="2705"/>
      <c r="N11" s="2705"/>
      <c r="O11" s="2705"/>
      <c r="P11" s="2705"/>
      <c r="Q11" s="2705"/>
      <c r="R11" s="2705"/>
      <c r="S11" s="2705"/>
    </row>
    <row r="12" spans="1:19" hidden="1">
      <c r="A12" s="2382"/>
      <c r="B12" s="2406" t="e">
        <f>'Area Calculations'!#REF!</f>
        <v>#REF!</v>
      </c>
      <c r="C12" s="2706" t="s">
        <v>4877</v>
      </c>
      <c r="D12" s="2407"/>
      <c r="E12" s="2407"/>
      <c r="F12" s="2407"/>
      <c r="G12" s="660"/>
      <c r="H12" s="2705"/>
      <c r="I12" s="2705"/>
      <c r="J12" s="2705"/>
      <c r="K12" s="2705"/>
      <c r="L12" s="2705"/>
      <c r="M12" s="2705"/>
      <c r="N12" s="2705"/>
      <c r="O12" s="2705"/>
      <c r="P12" s="2705"/>
      <c r="Q12" s="2705"/>
      <c r="R12" s="2705"/>
      <c r="S12" s="2705"/>
    </row>
    <row r="13" spans="1:19" hidden="1">
      <c r="A13" s="2382"/>
      <c r="B13" s="2406" t="e">
        <f>'Area Calculations'!#REF!</f>
        <v>#REF!</v>
      </c>
      <c r="C13" s="2706" t="s">
        <v>4877</v>
      </c>
      <c r="D13" s="2407"/>
      <c r="E13" s="2407"/>
      <c r="F13" s="2407"/>
      <c r="G13" s="660"/>
      <c r="H13" s="2705"/>
      <c r="I13" s="2705"/>
      <c r="J13" s="2705"/>
      <c r="K13" s="2705"/>
      <c r="L13" s="2705"/>
      <c r="M13" s="2705"/>
      <c r="N13" s="2705"/>
      <c r="O13" s="2705"/>
      <c r="P13" s="2705"/>
      <c r="Q13" s="2705"/>
      <c r="R13" s="2705"/>
      <c r="S13" s="2705"/>
    </row>
    <row r="14" spans="1:19" hidden="1">
      <c r="A14" s="2382"/>
      <c r="B14" s="2406" t="e">
        <f>'Area Calculations'!#REF!</f>
        <v>#REF!</v>
      </c>
      <c r="C14" s="2706" t="s">
        <v>4877</v>
      </c>
      <c r="D14" s="2407"/>
      <c r="E14" s="2407"/>
      <c r="F14" s="2407"/>
      <c r="G14" s="660"/>
      <c r="H14" s="2705"/>
      <c r="I14" s="2705"/>
      <c r="J14" s="2705"/>
      <c r="K14" s="2705"/>
      <c r="L14" s="2705"/>
      <c r="M14" s="2705"/>
      <c r="N14" s="2705"/>
      <c r="O14" s="2705"/>
      <c r="P14" s="2705"/>
      <c r="Q14" s="2705"/>
      <c r="R14" s="2705"/>
      <c r="S14" s="2705"/>
    </row>
    <row r="15" spans="1:19" hidden="1">
      <c r="A15" s="2382"/>
      <c r="B15" s="2406" t="e">
        <f>'Area Calculations'!#REF!</f>
        <v>#REF!</v>
      </c>
      <c r="C15" s="2706" t="s">
        <v>4877</v>
      </c>
      <c r="D15" s="2407"/>
      <c r="E15" s="2407"/>
      <c r="F15" s="2407"/>
      <c r="G15" s="660"/>
      <c r="H15" s="2705"/>
      <c r="I15" s="2705"/>
      <c r="J15" s="2705"/>
      <c r="K15" s="2705"/>
      <c r="L15" s="2705"/>
      <c r="M15" s="2705"/>
      <c r="N15" s="2705"/>
      <c r="O15" s="2705"/>
      <c r="P15" s="2705"/>
      <c r="Q15" s="2705"/>
      <c r="R15" s="2705"/>
      <c r="S15" s="2705"/>
    </row>
    <row r="16" spans="1:19" hidden="1">
      <c r="A16" s="2382"/>
      <c r="B16" s="2406" t="e">
        <f>'Area Calculations'!#REF!</f>
        <v>#REF!</v>
      </c>
      <c r="C16" s="2706" t="s">
        <v>4877</v>
      </c>
      <c r="D16" s="2407"/>
      <c r="E16" s="2407"/>
      <c r="F16" s="2407"/>
      <c r="G16" s="660"/>
      <c r="H16" s="2705"/>
      <c r="I16" s="2705"/>
      <c r="J16" s="2705"/>
      <c r="K16" s="2705"/>
      <c r="L16" s="2705"/>
      <c r="M16" s="2705"/>
      <c r="N16" s="2705"/>
      <c r="O16" s="2705"/>
      <c r="P16" s="2705"/>
      <c r="Q16" s="2705"/>
      <c r="R16" s="2705"/>
      <c r="S16" s="2705"/>
    </row>
    <row r="17" spans="1:19" hidden="1">
      <c r="A17" s="2382"/>
      <c r="B17" s="2406" t="e">
        <f>'Area Calculations'!#REF!</f>
        <v>#REF!</v>
      </c>
      <c r="C17" s="2706" t="s">
        <v>4877</v>
      </c>
      <c r="D17" s="2407"/>
      <c r="E17" s="2407"/>
      <c r="F17" s="2407"/>
      <c r="G17" s="660"/>
      <c r="H17" s="2705"/>
      <c r="I17" s="2705"/>
      <c r="J17" s="2705"/>
      <c r="K17" s="2705"/>
      <c r="L17" s="2705"/>
      <c r="M17" s="2705"/>
      <c r="N17" s="2705"/>
      <c r="O17" s="2705"/>
      <c r="P17" s="2705"/>
      <c r="Q17" s="2705"/>
      <c r="R17" s="2705"/>
      <c r="S17" s="2705"/>
    </row>
    <row r="18" spans="1:19" hidden="1">
      <c r="A18" s="2382"/>
      <c r="B18" s="2406" t="e">
        <f>'Area Calculations'!#REF!</f>
        <v>#REF!</v>
      </c>
      <c r="C18" s="2706" t="s">
        <v>4877</v>
      </c>
      <c r="D18" s="2407"/>
      <c r="E18" s="2407"/>
      <c r="F18" s="2407"/>
      <c r="G18" s="660"/>
      <c r="H18" s="2705"/>
      <c r="I18" s="2705"/>
      <c r="J18" s="2705"/>
      <c r="K18" s="2705"/>
      <c r="L18" s="2705"/>
      <c r="M18" s="2705"/>
      <c r="N18" s="2705"/>
      <c r="O18" s="2705"/>
      <c r="P18" s="2705"/>
      <c r="Q18" s="2705"/>
      <c r="R18" s="2705"/>
      <c r="S18" s="2705"/>
    </row>
    <row r="19" spans="1:19" hidden="1">
      <c r="A19" s="2382"/>
      <c r="B19" s="2406" t="e">
        <f>'Area Calculations'!#REF!</f>
        <v>#REF!</v>
      </c>
      <c r="C19" s="2706" t="s">
        <v>4877</v>
      </c>
      <c r="D19" s="2407"/>
      <c r="E19" s="2407"/>
      <c r="F19" s="2407"/>
      <c r="G19" s="660"/>
      <c r="H19" s="2705"/>
      <c r="I19" s="2705"/>
      <c r="J19" s="2705"/>
      <c r="K19" s="2705"/>
      <c r="L19" s="2705"/>
      <c r="M19" s="2705"/>
      <c r="N19" s="2705"/>
      <c r="O19" s="2705"/>
      <c r="P19" s="2705"/>
      <c r="Q19" s="2705"/>
      <c r="R19" s="2705"/>
      <c r="S19" s="2705"/>
    </row>
    <row r="20" spans="1:19" ht="15.75" thickTop="1">
      <c r="A20" s="2739"/>
      <c r="B20" s="2406"/>
      <c r="C20" s="2706"/>
      <c r="D20" s="2407"/>
      <c r="E20" s="2407"/>
      <c r="F20" s="2407"/>
      <c r="G20" s="660"/>
      <c r="H20" s="2705"/>
      <c r="I20" s="2705"/>
      <c r="J20" s="2705"/>
      <c r="K20" s="2705"/>
      <c r="L20" s="2705"/>
      <c r="M20" s="2705"/>
      <c r="N20" s="2705"/>
      <c r="O20" s="2705"/>
      <c r="P20" s="2705"/>
      <c r="Q20" s="2705"/>
      <c r="R20" s="2705"/>
      <c r="S20" s="2705"/>
    </row>
    <row r="21" spans="1:19" ht="15.75" thickBot="1">
      <c r="A21" s="2739"/>
      <c r="B21" s="2709" t="s">
        <v>512</v>
      </c>
      <c r="C21" s="49"/>
      <c r="D21" s="50"/>
      <c r="E21" s="50"/>
      <c r="F21" s="50"/>
      <c r="G21" s="54"/>
      <c r="H21" s="51"/>
      <c r="I21" s="51"/>
      <c r="J21" s="51"/>
      <c r="K21" s="51"/>
      <c r="L21" s="51"/>
      <c r="M21" s="51"/>
      <c r="N21" s="51"/>
      <c r="O21" s="51"/>
      <c r="P21" s="51"/>
      <c r="Q21" s="51"/>
      <c r="R21" s="51"/>
      <c r="S21" s="51"/>
    </row>
    <row r="22" spans="1:19">
      <c r="A22" s="2739"/>
      <c r="B22" s="2711" t="s">
        <v>2953</v>
      </c>
      <c r="C22" s="2706"/>
      <c r="D22" s="2407"/>
      <c r="E22" s="2407"/>
      <c r="F22" s="2407"/>
      <c r="G22" s="660"/>
      <c r="H22" s="2648"/>
      <c r="I22" s="2339"/>
      <c r="J22" s="2339"/>
      <c r="K22" s="2339"/>
      <c r="L22" s="2710"/>
      <c r="M22" s="2339"/>
      <c r="N22" s="2339"/>
      <c r="O22" s="2339"/>
      <c r="P22" s="2339"/>
      <c r="Q22" s="2339"/>
      <c r="R22" s="2339"/>
      <c r="S22" s="2339"/>
    </row>
    <row r="23" spans="1:19">
      <c r="A23" s="2650"/>
      <c r="B23" s="2712" t="s">
        <v>2954</v>
      </c>
      <c r="C23" s="2706"/>
      <c r="D23" s="2407"/>
      <c r="E23" s="2407"/>
      <c r="F23" s="2407"/>
      <c r="G23" s="660"/>
      <c r="H23" s="2710"/>
      <c r="I23" s="2338"/>
      <c r="J23" s="2710"/>
      <c r="K23" s="2339"/>
      <c r="L23" s="2710"/>
      <c r="M23" s="2339"/>
      <c r="N23" s="2339"/>
      <c r="O23" s="2339"/>
      <c r="P23" s="2339"/>
      <c r="Q23" s="2339"/>
      <c r="R23" s="2339"/>
      <c r="S23" s="2339"/>
    </row>
    <row r="24" spans="1:19">
      <c r="A24" s="2650"/>
      <c r="B24" s="2712" t="s">
        <v>2955</v>
      </c>
      <c r="C24" s="707"/>
      <c r="D24" s="2407"/>
      <c r="E24" s="2407"/>
      <c r="F24" s="2407"/>
      <c r="G24" s="660"/>
      <c r="H24" s="2710"/>
      <c r="I24" s="2338"/>
      <c r="J24" s="2710"/>
      <c r="K24" s="2339"/>
      <c r="L24" s="2710"/>
      <c r="M24" s="2339"/>
      <c r="N24" s="2339"/>
      <c r="O24" s="2339"/>
      <c r="P24" s="2339"/>
      <c r="Q24" s="2339"/>
      <c r="R24" s="2339"/>
      <c r="S24" s="2339"/>
    </row>
    <row r="25" spans="1:19">
      <c r="A25" s="2650"/>
      <c r="B25" s="2713" t="s">
        <v>2956</v>
      </c>
      <c r="C25" s="707"/>
      <c r="D25" s="2407"/>
      <c r="E25" s="2407"/>
      <c r="F25" s="2407"/>
      <c r="G25" s="660"/>
      <c r="H25" s="2710"/>
      <c r="I25" s="2338"/>
      <c r="J25" s="2710"/>
      <c r="K25" s="2339"/>
      <c r="L25" s="2710"/>
      <c r="M25" s="2339"/>
      <c r="N25" s="2339"/>
      <c r="O25" s="2339"/>
      <c r="P25" s="2339"/>
      <c r="Q25" s="2339"/>
      <c r="R25" s="2339"/>
      <c r="S25" s="2339"/>
    </row>
    <row r="26" spans="1:19" s="58" customFormat="1">
      <c r="A26" s="2739"/>
      <c r="B26" s="2713" t="s">
        <v>2957</v>
      </c>
      <c r="C26" s="662"/>
      <c r="D26" s="2357"/>
      <c r="E26" s="2357"/>
      <c r="F26" s="2357"/>
      <c r="G26" s="662"/>
      <c r="H26" s="2710"/>
      <c r="I26" s="2338"/>
      <c r="J26" s="2714"/>
      <c r="K26" s="2349"/>
      <c r="L26" s="2714"/>
      <c r="M26" s="2349"/>
      <c r="N26" s="2349"/>
      <c r="O26" s="2349"/>
      <c r="P26" s="2349"/>
      <c r="Q26" s="2349"/>
      <c r="R26" s="2349"/>
      <c r="S26" s="2349"/>
    </row>
    <row r="27" spans="1:19" s="58" customFormat="1">
      <c r="A27" s="2739"/>
      <c r="B27" s="2713" t="s">
        <v>2958</v>
      </c>
      <c r="C27" s="662"/>
      <c r="D27" s="2357"/>
      <c r="E27" s="2357"/>
      <c r="F27" s="2357"/>
      <c r="G27" s="662"/>
      <c r="H27" s="2710"/>
      <c r="I27" s="2338"/>
      <c r="J27" s="2714"/>
      <c r="K27" s="2349"/>
      <c r="L27" s="2714"/>
      <c r="M27" s="2349"/>
      <c r="N27" s="2349"/>
      <c r="O27" s="2349"/>
      <c r="P27" s="2349"/>
      <c r="Q27" s="2349"/>
      <c r="R27" s="2349"/>
      <c r="S27" s="2349"/>
    </row>
    <row r="28" spans="1:19" s="58" customFormat="1">
      <c r="A28" s="2739"/>
      <c r="B28" s="2713" t="s">
        <v>2959</v>
      </c>
      <c r="C28" s="662"/>
      <c r="D28" s="2357"/>
      <c r="E28" s="2357"/>
      <c r="F28" s="2357"/>
      <c r="G28" s="662"/>
      <c r="H28" s="2710"/>
      <c r="I28" s="2338"/>
      <c r="J28" s="2714"/>
      <c r="K28" s="2349"/>
      <c r="L28" s="2714"/>
      <c r="M28" s="2349"/>
      <c r="N28" s="2349"/>
      <c r="O28" s="2349"/>
      <c r="P28" s="2349"/>
      <c r="Q28" s="2349"/>
      <c r="R28" s="2349"/>
      <c r="S28" s="2349"/>
    </row>
    <row r="29" spans="1:19" s="58" customFormat="1">
      <c r="A29" s="2739"/>
      <c r="B29" s="2715" t="s">
        <v>2960</v>
      </c>
      <c r="C29" s="662"/>
      <c r="D29" s="2357"/>
      <c r="E29" s="2357"/>
      <c r="F29" s="2357"/>
      <c r="G29" s="662"/>
      <c r="H29" s="2710"/>
      <c r="I29" s="2338"/>
      <c r="J29" s="2714"/>
      <c r="K29" s="2349"/>
      <c r="L29" s="2714"/>
      <c r="M29" s="2349"/>
      <c r="N29" s="2349"/>
      <c r="O29" s="2349"/>
      <c r="P29" s="2349"/>
      <c r="Q29" s="2349"/>
      <c r="R29" s="2349"/>
      <c r="S29" s="2349"/>
    </row>
    <row r="30" spans="1:19" s="58" customFormat="1">
      <c r="A30" s="2739"/>
      <c r="B30" s="2716" t="s">
        <v>2961</v>
      </c>
      <c r="C30" s="665"/>
      <c r="D30" s="2717"/>
      <c r="E30" s="2717"/>
      <c r="F30" s="2717"/>
      <c r="G30" s="665"/>
      <c r="H30" s="2718"/>
      <c r="I30" s="2719"/>
      <c r="J30" s="2720"/>
      <c r="K30" s="2346"/>
      <c r="L30" s="2720"/>
      <c r="M30" s="2346"/>
      <c r="N30" s="2346"/>
      <c r="O30" s="2346"/>
      <c r="P30" s="2346"/>
      <c r="Q30" s="2346"/>
      <c r="R30" s="2346"/>
      <c r="S30" s="2346"/>
    </row>
    <row r="31" spans="1:19" s="58" customFormat="1">
      <c r="A31" s="2708"/>
      <c r="B31" s="2721"/>
      <c r="C31" s="708"/>
      <c r="D31" s="2357"/>
      <c r="E31" s="2357"/>
      <c r="F31" s="2357"/>
      <c r="G31" s="662"/>
      <c r="H31" s="2710"/>
      <c r="I31" s="2338"/>
      <c r="J31" s="2714"/>
      <c r="K31" s="2349"/>
      <c r="L31" s="2714"/>
      <c r="M31" s="2349"/>
      <c r="N31" s="2349"/>
      <c r="O31" s="2349"/>
      <c r="P31" s="2349"/>
      <c r="Q31" s="2349"/>
      <c r="R31" s="2349"/>
      <c r="S31" s="2349"/>
    </row>
    <row r="32" spans="1:19" s="58" customFormat="1">
      <c r="A32" s="2708"/>
      <c r="B32" s="2721"/>
      <c r="C32" s="708"/>
      <c r="D32" s="2357"/>
      <c r="E32" s="2357"/>
      <c r="F32" s="2357"/>
      <c r="G32" s="662"/>
      <c r="H32" s="2710"/>
      <c r="I32" s="2338"/>
      <c r="J32" s="2714"/>
      <c r="K32" s="2349"/>
      <c r="L32" s="2714"/>
      <c r="M32" s="2349"/>
      <c r="N32" s="2349"/>
      <c r="O32" s="2349"/>
      <c r="P32" s="2349"/>
      <c r="Q32" s="2349"/>
      <c r="R32" s="2349"/>
      <c r="S32" s="2349"/>
    </row>
    <row r="33" spans="1:19" s="58" customFormat="1">
      <c r="A33" s="2708"/>
      <c r="B33" s="2721"/>
      <c r="C33" s="708"/>
      <c r="D33" s="2357"/>
      <c r="E33" s="2357"/>
      <c r="F33" s="2357"/>
      <c r="G33" s="662"/>
      <c r="H33" s="2710"/>
      <c r="I33" s="2338"/>
      <c r="J33" s="2714"/>
      <c r="K33" s="2349"/>
      <c r="L33" s="2714"/>
      <c r="M33" s="2349"/>
      <c r="N33" s="2349"/>
      <c r="O33" s="2349"/>
      <c r="P33" s="2349"/>
      <c r="Q33" s="2349"/>
      <c r="R33" s="2349"/>
      <c r="S33" s="2349"/>
    </row>
    <row r="34" spans="1:19" s="58" customFormat="1">
      <c r="A34" s="2708"/>
      <c r="B34" s="2721"/>
      <c r="C34" s="708"/>
      <c r="D34" s="2357"/>
      <c r="E34" s="709"/>
      <c r="F34" s="2722"/>
      <c r="G34" s="662"/>
      <c r="H34" s="2710"/>
      <c r="I34" s="2338"/>
      <c r="J34" s="2714"/>
      <c r="K34" s="2349"/>
      <c r="L34" s="2714"/>
      <c r="M34" s="2349"/>
      <c r="N34" s="2349"/>
      <c r="O34" s="2349"/>
      <c r="P34" s="2349"/>
      <c r="Q34" s="2349"/>
      <c r="R34" s="2349"/>
      <c r="S34" s="2349"/>
    </row>
    <row r="35" spans="1:19" s="58" customFormat="1">
      <c r="A35" s="2708"/>
      <c r="B35" s="2721"/>
      <c r="C35" s="708"/>
      <c r="D35" s="2357"/>
      <c r="E35" s="709"/>
      <c r="F35" s="2722"/>
      <c r="G35" s="662"/>
      <c r="H35" s="2710"/>
      <c r="I35" s="2338"/>
      <c r="J35" s="2714"/>
      <c r="K35" s="2349"/>
      <c r="L35" s="2714"/>
      <c r="M35" s="2349"/>
      <c r="N35" s="2349"/>
      <c r="O35" s="2349"/>
      <c r="P35" s="2349"/>
      <c r="Q35" s="2349"/>
      <c r="R35" s="2349"/>
      <c r="S35" s="2349"/>
    </row>
    <row r="36" spans="1:19" s="58" customFormat="1">
      <c r="A36" s="2708"/>
      <c r="B36" s="2721"/>
      <c r="C36" s="708"/>
      <c r="D36" s="2357"/>
      <c r="E36" s="709"/>
      <c r="F36" s="2722"/>
      <c r="G36" s="662"/>
      <c r="H36" s="2710"/>
      <c r="I36" s="2338"/>
      <c r="J36" s="2714"/>
      <c r="K36" s="2349"/>
      <c r="L36" s="2714"/>
      <c r="M36" s="2349"/>
      <c r="N36" s="2349"/>
      <c r="O36" s="2349"/>
      <c r="P36" s="2349"/>
      <c r="Q36" s="2349"/>
      <c r="R36" s="2349"/>
      <c r="S36" s="2349"/>
    </row>
    <row r="37" spans="1:19" s="58" customFormat="1">
      <c r="A37" s="2708"/>
      <c r="B37" s="2672"/>
      <c r="C37" s="708"/>
      <c r="D37" s="2357"/>
      <c r="E37" s="709"/>
      <c r="F37" s="2722"/>
      <c r="G37" s="662"/>
      <c r="H37" s="2710"/>
      <c r="I37" s="2338"/>
      <c r="J37" s="2714"/>
      <c r="K37" s="2349"/>
      <c r="L37" s="2714"/>
      <c r="M37" s="2349"/>
      <c r="N37" s="2349"/>
      <c r="O37" s="2349"/>
      <c r="P37" s="2349"/>
      <c r="Q37" s="2349"/>
      <c r="R37" s="2349"/>
      <c r="S37" s="2349"/>
    </row>
    <row r="38" spans="1:19" s="58" customFormat="1">
      <c r="A38" s="2708"/>
      <c r="B38" s="2723"/>
      <c r="C38" s="708"/>
      <c r="D38" s="2357"/>
      <c r="E38" s="709"/>
      <c r="F38" s="2722"/>
      <c r="G38" s="662"/>
      <c r="H38" s="2710"/>
      <c r="I38" s="2338"/>
      <c r="J38" s="2714"/>
      <c r="K38" s="2349"/>
      <c r="L38" s="2714"/>
      <c r="M38" s="2349"/>
      <c r="N38" s="2349"/>
      <c r="O38" s="2349"/>
      <c r="P38" s="2349"/>
      <c r="Q38" s="2349"/>
      <c r="R38" s="2349"/>
      <c r="S38" s="2349"/>
    </row>
    <row r="39" spans="1:19" s="58" customFormat="1">
      <c r="A39" s="2708"/>
      <c r="B39" s="78"/>
      <c r="C39" s="708"/>
      <c r="D39" s="2357"/>
      <c r="E39" s="709"/>
      <c r="F39" s="2722"/>
      <c r="G39" s="662"/>
      <c r="H39" s="2710"/>
      <c r="I39" s="2338"/>
      <c r="J39" s="2714"/>
      <c r="K39" s="2349"/>
      <c r="L39" s="2714"/>
      <c r="M39" s="2349"/>
      <c r="N39" s="2349"/>
      <c r="O39" s="2349"/>
      <c r="P39" s="2349"/>
      <c r="Q39" s="2349"/>
      <c r="R39" s="2349"/>
      <c r="S39" s="2349"/>
    </row>
    <row r="40" spans="1:19" s="58" customFormat="1">
      <c r="A40" s="2708"/>
      <c r="B40" s="2721"/>
      <c r="C40" s="708"/>
      <c r="D40" s="2357"/>
      <c r="E40" s="709"/>
      <c r="F40" s="2722"/>
      <c r="G40" s="662"/>
      <c r="H40" s="2710"/>
      <c r="I40" s="2338"/>
      <c r="J40" s="2714"/>
      <c r="K40" s="2349"/>
      <c r="L40" s="2714"/>
      <c r="M40" s="2349"/>
      <c r="N40" s="2349"/>
      <c r="O40" s="2349"/>
      <c r="P40" s="2349"/>
      <c r="Q40" s="2349"/>
      <c r="R40" s="2349"/>
      <c r="S40" s="2349"/>
    </row>
    <row r="41" spans="1:19" s="58" customFormat="1">
      <c r="A41" s="2708"/>
      <c r="B41" s="2721"/>
      <c r="C41" s="708"/>
      <c r="D41" s="2357"/>
      <c r="E41" s="709"/>
      <c r="F41" s="2722"/>
      <c r="G41" s="662"/>
      <c r="H41" s="2710"/>
      <c r="I41" s="2338"/>
      <c r="J41" s="2714"/>
      <c r="K41" s="2349"/>
      <c r="L41" s="2714"/>
      <c r="M41" s="2349"/>
      <c r="N41" s="2349"/>
      <c r="O41" s="2349"/>
      <c r="P41" s="2349"/>
      <c r="Q41" s="2349"/>
      <c r="R41" s="2349"/>
      <c r="S41" s="2349"/>
    </row>
    <row r="42" spans="1:19" s="58" customFormat="1">
      <c r="A42" s="2708"/>
      <c r="B42" s="2721"/>
      <c r="C42" s="708"/>
      <c r="D42" s="2357"/>
      <c r="E42" s="709"/>
      <c r="F42" s="2722"/>
      <c r="G42" s="662"/>
      <c r="H42" s="2710"/>
      <c r="I42" s="2338"/>
      <c r="J42" s="2714"/>
      <c r="K42" s="2349"/>
      <c r="L42" s="2714"/>
      <c r="M42" s="2349"/>
      <c r="N42" s="2349"/>
      <c r="O42" s="2349"/>
      <c r="P42" s="2349"/>
      <c r="Q42" s="2349"/>
      <c r="R42" s="2349"/>
      <c r="S42" s="2349"/>
    </row>
    <row r="43" spans="1:19" s="58" customFormat="1">
      <c r="A43" s="2708"/>
      <c r="B43" s="2721"/>
      <c r="C43" s="708"/>
      <c r="D43" s="2357"/>
      <c r="E43" s="709"/>
      <c r="F43" s="2722"/>
      <c r="G43" s="662"/>
      <c r="H43" s="2710"/>
      <c r="I43" s="2338"/>
      <c r="J43" s="2714"/>
      <c r="K43" s="2349"/>
      <c r="L43" s="2714"/>
      <c r="M43" s="2349"/>
      <c r="N43" s="2349"/>
      <c r="O43" s="2349"/>
      <c r="P43" s="2349"/>
      <c r="Q43" s="2349"/>
      <c r="R43" s="2349"/>
      <c r="S43" s="2349"/>
    </row>
    <row r="44" spans="1:19" s="58" customFormat="1">
      <c r="A44" s="2708"/>
      <c r="B44" s="2721"/>
      <c r="C44" s="708"/>
      <c r="D44" s="2357"/>
      <c r="E44" s="709"/>
      <c r="F44" s="2722"/>
      <c r="G44" s="662"/>
      <c r="H44" s="2710"/>
      <c r="I44" s="2338"/>
      <c r="J44" s="2714"/>
      <c r="K44" s="2349"/>
      <c r="L44" s="2714"/>
      <c r="M44" s="2349"/>
      <c r="N44" s="2349"/>
      <c r="O44" s="2349"/>
      <c r="P44" s="2349"/>
      <c r="Q44" s="2349"/>
      <c r="R44" s="2349"/>
      <c r="S44" s="2349"/>
    </row>
    <row r="45" spans="1:19" s="58" customFormat="1">
      <c r="A45" s="2708"/>
      <c r="B45" s="2721"/>
      <c r="C45" s="708"/>
      <c r="D45" s="2357"/>
      <c r="E45" s="709"/>
      <c r="F45" s="2722"/>
      <c r="G45" s="662"/>
      <c r="H45" s="2710"/>
      <c r="I45" s="2338"/>
      <c r="J45" s="2714"/>
      <c r="K45" s="2349"/>
      <c r="L45" s="2714"/>
      <c r="M45" s="2349"/>
      <c r="N45" s="2349"/>
      <c r="O45" s="2349"/>
      <c r="P45" s="2349"/>
      <c r="Q45" s="2349"/>
      <c r="R45" s="2349"/>
      <c r="S45" s="2349"/>
    </row>
    <row r="46" spans="1:19" s="58" customFormat="1" ht="15.75" thickBot="1">
      <c r="A46" s="2708"/>
      <c r="B46" s="2721"/>
      <c r="C46" s="708"/>
      <c r="D46" s="2357"/>
      <c r="E46" s="709"/>
      <c r="F46" s="2722"/>
      <c r="G46" s="662"/>
      <c r="H46" s="2710"/>
      <c r="I46" s="2338"/>
      <c r="J46" s="2714"/>
      <c r="K46" s="2349"/>
      <c r="L46" s="2714"/>
      <c r="M46" s="2349"/>
      <c r="N46" s="2349"/>
      <c r="O46" s="2349"/>
      <c r="P46" s="2349"/>
      <c r="Q46" s="2349"/>
      <c r="R46" s="2349"/>
      <c r="S46" s="2349"/>
    </row>
    <row r="47" spans="1:19" ht="15.75" thickTop="1">
      <c r="A47" s="13"/>
      <c r="B47" s="14"/>
      <c r="C47" s="15"/>
      <c r="D47" s="15"/>
      <c r="E47" s="16"/>
      <c r="F47" s="17" t="s">
        <v>2975</v>
      </c>
      <c r="G47" s="18"/>
      <c r="H47" s="19"/>
      <c r="I47" s="53">
        <f>SUM(I23:I46)</f>
        <v>0</v>
      </c>
      <c r="J47" s="19"/>
      <c r="K47" s="53">
        <f>SUM(K23:K46)</f>
        <v>0</v>
      </c>
      <c r="L47" s="19"/>
      <c r="M47" s="53">
        <f>SUM(M23:M46)</f>
        <v>0</v>
      </c>
      <c r="N47" s="19"/>
      <c r="O47" s="53">
        <f>SUM(O23:O46)</f>
        <v>0</v>
      </c>
      <c r="P47" s="19"/>
      <c r="Q47" s="53">
        <f>SUM(Q23:Q46)</f>
        <v>0</v>
      </c>
      <c r="R47" s="19"/>
      <c r="S47" s="53">
        <f>SUM(S23:S46)</f>
        <v>0</v>
      </c>
    </row>
    <row r="48" spans="1:19">
      <c r="A48" s="2358"/>
      <c r="B48" s="2372"/>
      <c r="C48" s="2360"/>
      <c r="D48" s="2360"/>
      <c r="E48" s="2726"/>
      <c r="F48" s="2363" t="s">
        <v>2976</v>
      </c>
      <c r="G48" s="656"/>
      <c r="H48" s="2364">
        <v>0</v>
      </c>
      <c r="I48" s="2727"/>
      <c r="J48" s="2364">
        <v>0</v>
      </c>
      <c r="K48" s="2727"/>
      <c r="L48" s="2364">
        <v>0</v>
      </c>
      <c r="M48" s="2727"/>
      <c r="N48" s="2364">
        <v>0</v>
      </c>
      <c r="O48" s="2727"/>
      <c r="P48" s="2364">
        <v>0</v>
      </c>
      <c r="Q48" s="2727"/>
      <c r="R48" s="2364">
        <v>0</v>
      </c>
      <c r="S48" s="2727"/>
    </row>
    <row r="49" spans="1:19">
      <c r="A49" s="2358"/>
      <c r="B49" s="2372"/>
      <c r="C49" s="2360"/>
      <c r="D49" s="2360"/>
      <c r="E49" s="2726"/>
      <c r="F49" s="2363" t="s">
        <v>2977</v>
      </c>
      <c r="G49" s="656"/>
      <c r="H49" s="2365"/>
      <c r="I49" s="2728">
        <f>H48*I47</f>
        <v>0</v>
      </c>
      <c r="J49" s="2365"/>
      <c r="K49" s="2728">
        <f>J48*K47</f>
        <v>0</v>
      </c>
      <c r="L49" s="2365"/>
      <c r="M49" s="2728">
        <f>L48*M47</f>
        <v>0</v>
      </c>
      <c r="N49" s="2365"/>
      <c r="O49" s="2728">
        <f>N48*O47</f>
        <v>0</v>
      </c>
      <c r="P49" s="2365"/>
      <c r="Q49" s="2728">
        <f>P48*Q47</f>
        <v>0</v>
      </c>
      <c r="R49" s="2365"/>
      <c r="S49" s="2728">
        <f>R48*S47</f>
        <v>0</v>
      </c>
    </row>
    <row r="50" spans="1:19">
      <c r="A50" s="2358"/>
      <c r="B50" s="2372"/>
      <c r="C50" s="2360"/>
      <c r="D50" s="2360"/>
      <c r="E50" s="2726"/>
      <c r="F50" s="2363"/>
      <c r="G50" s="656"/>
      <c r="H50" s="2365"/>
      <c r="I50" s="2366"/>
      <c r="J50" s="2365"/>
      <c r="K50" s="2366"/>
      <c r="L50" s="2365"/>
      <c r="M50" s="2366"/>
      <c r="N50" s="2365"/>
      <c r="O50" s="2366"/>
      <c r="P50" s="2365"/>
      <c r="Q50" s="2366"/>
      <c r="R50" s="2365"/>
      <c r="S50" s="2366"/>
    </row>
    <row r="51" spans="1:19">
      <c r="A51" s="2358"/>
      <c r="B51" s="2372"/>
      <c r="C51" s="2360"/>
      <c r="D51" s="2360"/>
      <c r="E51" s="2726"/>
      <c r="F51" s="2363" t="s">
        <v>2978</v>
      </c>
      <c r="G51" s="656"/>
      <c r="H51" s="2367"/>
      <c r="I51" s="2729">
        <f>SUM(I47:I49)</f>
        <v>0</v>
      </c>
      <c r="J51" s="2367"/>
      <c r="K51" s="2729">
        <f>SUM(K47:K49)</f>
        <v>0</v>
      </c>
      <c r="L51" s="2367"/>
      <c r="M51" s="2729">
        <f>SUM(M47:M49)</f>
        <v>0</v>
      </c>
      <c r="N51" s="2367"/>
      <c r="O51" s="2729">
        <f>SUM(O47:O49)</f>
        <v>0</v>
      </c>
      <c r="P51" s="2367"/>
      <c r="Q51" s="2729">
        <f>SUM(Q47:Q49)</f>
        <v>0</v>
      </c>
      <c r="R51" s="2367"/>
      <c r="S51" s="2729">
        <f>SUM(S47:S49)</f>
        <v>0</v>
      </c>
    </row>
    <row r="52" spans="1:19">
      <c r="A52" s="2358"/>
      <c r="B52" s="2372"/>
      <c r="C52" s="2360"/>
      <c r="D52" s="2360"/>
      <c r="E52" s="2726"/>
      <c r="F52" s="2368" t="s">
        <v>2979</v>
      </c>
      <c r="G52" s="655"/>
      <c r="H52" s="2369"/>
      <c r="I52" s="2371">
        <f>I51/'Area Calculations'!$F$5</f>
        <v>0</v>
      </c>
      <c r="J52" s="2369"/>
      <c r="K52" s="2371">
        <f>K51/'Area Calculations'!$F$5</f>
        <v>0</v>
      </c>
      <c r="L52" s="2369"/>
      <c r="M52" s="2371">
        <f>M51/'Area Calculations'!$F$5</f>
        <v>0</v>
      </c>
      <c r="N52" s="2369"/>
      <c r="O52" s="2371">
        <f>O51/'Area Calculations'!$F$5</f>
        <v>0</v>
      </c>
      <c r="P52" s="2369"/>
      <c r="Q52" s="2371">
        <f>Q51/'Area Calculations'!$F$5</f>
        <v>0</v>
      </c>
      <c r="R52" s="2369"/>
      <c r="S52" s="2371">
        <f>S51/'Area Calculations'!$F$5</f>
        <v>0</v>
      </c>
    </row>
    <row r="53" spans="1:19">
      <c r="A53" s="2358"/>
      <c r="B53" s="2372"/>
      <c r="C53" s="2360"/>
      <c r="D53" s="2360"/>
      <c r="E53" s="2726"/>
      <c r="F53" s="2368" t="s">
        <v>4878</v>
      </c>
      <c r="G53" s="686"/>
      <c r="H53" s="2369"/>
      <c r="I53" s="2371" t="e">
        <f>I51/'Area Calculations'!$F$10</f>
        <v>#DIV/0!</v>
      </c>
      <c r="J53" s="2369"/>
      <c r="K53" s="2371" t="e">
        <f>K51/'Area Calculations'!$F$10</f>
        <v>#DIV/0!</v>
      </c>
      <c r="L53" s="2369"/>
      <c r="M53" s="2371" t="e">
        <f>M51/'Area Calculations'!$F$10</f>
        <v>#DIV/0!</v>
      </c>
      <c r="N53" s="2369"/>
      <c r="O53" s="2371" t="e">
        <f>O51/'Area Calculations'!$F$10</f>
        <v>#DIV/0!</v>
      </c>
      <c r="P53" s="2369"/>
      <c r="Q53" s="2371" t="e">
        <f>Q51/'Area Calculations'!$F$10</f>
        <v>#DIV/0!</v>
      </c>
      <c r="R53" s="2369"/>
      <c r="S53" s="2371" t="e">
        <f>S51/'Area Calculations'!$F$10</f>
        <v>#DIV/0!</v>
      </c>
    </row>
    <row r="54" spans="1:19" ht="15.75" thickBot="1">
      <c r="A54" s="2358"/>
      <c r="B54" s="2372"/>
      <c r="C54" s="2360"/>
      <c r="D54" s="2360"/>
      <c r="E54" s="2726"/>
      <c r="F54" s="2363"/>
      <c r="G54" s="687"/>
      <c r="H54" s="2730"/>
      <c r="I54" s="2731"/>
      <c r="J54" s="2730"/>
      <c r="K54" s="2731"/>
      <c r="L54" s="2730"/>
      <c r="M54" s="2731"/>
      <c r="N54" s="2730"/>
      <c r="O54" s="2731"/>
      <c r="P54" s="2730"/>
      <c r="Q54" s="2731"/>
      <c r="R54" s="2730"/>
      <c r="S54" s="2731"/>
    </row>
    <row r="55" spans="1:19" ht="16.5" thickTop="1" thickBot="1">
      <c r="A55" s="830" t="s">
        <v>2980</v>
      </c>
      <c r="B55" s="831"/>
      <c r="C55" s="12"/>
      <c r="D55" s="12"/>
      <c r="E55" s="12"/>
      <c r="F55" s="12"/>
      <c r="G55" s="48"/>
      <c r="H55" s="47"/>
      <c r="I55" s="20"/>
      <c r="J55" s="20"/>
      <c r="K55" s="20"/>
      <c r="L55" s="20"/>
      <c r="M55" s="20"/>
      <c r="N55" s="20"/>
      <c r="O55" s="20"/>
      <c r="P55" s="20"/>
      <c r="Q55" s="20"/>
      <c r="R55" s="20"/>
      <c r="S55" s="20"/>
    </row>
    <row r="56" spans="1:19" ht="15.75" thickTop="1">
      <c r="A56" s="2661"/>
      <c r="B56" s="2406"/>
      <c r="C56" s="2662"/>
      <c r="D56" s="2662"/>
      <c r="E56" s="2662"/>
      <c r="F56" s="2662"/>
      <c r="G56" s="2732"/>
      <c r="H56" s="2381"/>
      <c r="I56" s="2666"/>
      <c r="J56" s="2666"/>
      <c r="K56" s="2666"/>
      <c r="L56" s="2666"/>
      <c r="M56" s="2666"/>
      <c r="N56" s="2666"/>
      <c r="O56" s="2666"/>
      <c r="P56" s="2666"/>
      <c r="Q56" s="2666"/>
      <c r="R56" s="2666"/>
      <c r="S56" s="2666"/>
    </row>
    <row r="57" spans="1:19" s="2" customFormat="1">
      <c r="A57" s="2661"/>
      <c r="B57" s="2406"/>
      <c r="C57" s="2662"/>
      <c r="D57" s="2662"/>
      <c r="E57" s="2662"/>
      <c r="F57" s="2662"/>
      <c r="G57" s="2732"/>
      <c r="H57" s="2381"/>
      <c r="I57" s="2666"/>
      <c r="J57" s="2666"/>
      <c r="K57" s="2666"/>
      <c r="L57" s="2666"/>
      <c r="M57" s="2666"/>
      <c r="N57" s="2666"/>
      <c r="O57" s="2666"/>
      <c r="P57" s="2666"/>
      <c r="Q57" s="2666"/>
      <c r="R57" s="2666"/>
      <c r="S57" s="2666"/>
    </row>
    <row r="58" spans="1:19" s="2" customFormat="1" ht="15.75" thickBot="1">
      <c r="A58" s="2661"/>
      <c r="B58" s="2406"/>
      <c r="C58" s="2662"/>
      <c r="D58" s="2662"/>
      <c r="E58" s="2662"/>
      <c r="F58" s="2662"/>
      <c r="G58" s="2732"/>
      <c r="H58" s="2381"/>
      <c r="I58" s="2666"/>
      <c r="J58" s="2666"/>
      <c r="K58" s="2666"/>
      <c r="L58" s="2666"/>
      <c r="M58" s="2666"/>
      <c r="N58" s="2666"/>
      <c r="O58" s="2666"/>
      <c r="P58" s="2666"/>
      <c r="Q58" s="2666"/>
      <c r="R58" s="2666"/>
      <c r="S58" s="2666"/>
    </row>
    <row r="59" spans="1:19" ht="16.5" thickTop="1" thickBot="1">
      <c r="A59" s="830" t="s">
        <v>2981</v>
      </c>
      <c r="B59" s="831"/>
      <c r="C59" s="12"/>
      <c r="D59" s="12"/>
      <c r="E59" s="12"/>
      <c r="F59" s="12"/>
      <c r="G59" s="48"/>
      <c r="H59" s="47"/>
      <c r="I59" s="20"/>
      <c r="J59" s="20"/>
      <c r="K59" s="20"/>
      <c r="L59" s="20"/>
      <c r="M59" s="20"/>
      <c r="N59" s="20"/>
      <c r="O59" s="20"/>
      <c r="P59" s="20"/>
      <c r="Q59" s="20"/>
      <c r="R59" s="20"/>
      <c r="S59" s="20"/>
    </row>
    <row r="60" spans="1:19" s="2" customFormat="1" ht="15.75" thickTop="1">
      <c r="A60" s="2661"/>
      <c r="B60" s="2406"/>
      <c r="C60" s="2662"/>
      <c r="D60" s="2662"/>
      <c r="E60" s="2662"/>
      <c r="F60" s="2662"/>
      <c r="G60" s="2732"/>
      <c r="H60" s="2381"/>
      <c r="I60" s="2666"/>
      <c r="J60" s="2666"/>
      <c r="K60" s="2666"/>
      <c r="L60" s="2666"/>
      <c r="M60" s="2666"/>
      <c r="N60" s="2666"/>
      <c r="O60" s="2666"/>
      <c r="P60" s="2666"/>
      <c r="Q60" s="2666"/>
      <c r="R60" s="2666"/>
      <c r="S60" s="2666"/>
    </row>
    <row r="61" spans="1:19" s="2" customFormat="1">
      <c r="A61" s="2661"/>
      <c r="B61" s="2406"/>
      <c r="C61" s="2662"/>
      <c r="D61" s="2662"/>
      <c r="E61" s="2662"/>
      <c r="F61" s="2662"/>
      <c r="G61" s="2732"/>
      <c r="H61" s="2381"/>
      <c r="I61" s="2666"/>
      <c r="J61" s="2666"/>
      <c r="K61" s="2666"/>
      <c r="L61" s="2666"/>
      <c r="M61" s="2666"/>
      <c r="N61" s="2666"/>
      <c r="O61" s="2666"/>
      <c r="P61" s="2666"/>
      <c r="Q61" s="2666"/>
      <c r="R61" s="2666"/>
      <c r="S61" s="2666"/>
    </row>
    <row r="62" spans="1:19" ht="15.75" thickBot="1">
      <c r="A62" s="2661"/>
      <c r="B62" s="2406"/>
      <c r="C62" s="2662"/>
      <c r="D62" s="2662"/>
      <c r="E62" s="2662"/>
      <c r="F62" s="2662"/>
      <c r="G62" s="2732"/>
      <c r="H62" s="2381"/>
      <c r="I62" s="2666"/>
      <c r="J62" s="2666"/>
      <c r="K62" s="2666"/>
      <c r="L62" s="2666"/>
      <c r="M62" s="2666"/>
      <c r="N62" s="2666"/>
      <c r="O62" s="2666"/>
      <c r="P62" s="2666"/>
      <c r="Q62" s="2666"/>
      <c r="R62" s="2666"/>
      <c r="S62" s="2666"/>
    </row>
    <row r="63" spans="1:19" ht="16.5" thickTop="1" thickBot="1">
      <c r="A63" s="830" t="s">
        <v>2982</v>
      </c>
      <c r="B63" s="831"/>
      <c r="C63" s="12"/>
      <c r="D63" s="12"/>
      <c r="E63" s="12"/>
      <c r="F63" s="12"/>
      <c r="G63" s="48"/>
      <c r="H63" s="47"/>
      <c r="I63" s="20"/>
      <c r="J63" s="20"/>
      <c r="K63" s="20"/>
      <c r="L63" s="20"/>
      <c r="M63" s="20"/>
      <c r="N63" s="20"/>
      <c r="O63" s="20"/>
      <c r="P63" s="20"/>
      <c r="Q63" s="20"/>
      <c r="R63" s="20"/>
      <c r="S63" s="20"/>
    </row>
    <row r="64" spans="1:19" ht="15.75" thickTop="1">
      <c r="A64" s="2661"/>
      <c r="B64" s="2406"/>
      <c r="C64" s="2662"/>
      <c r="D64" s="2662"/>
      <c r="E64" s="2662"/>
      <c r="F64" s="2662"/>
      <c r="G64" s="2732"/>
      <c r="H64" s="2381"/>
      <c r="I64" s="2666"/>
      <c r="J64" s="2666"/>
      <c r="K64" s="2666"/>
      <c r="L64" s="2666"/>
      <c r="M64" s="2666"/>
      <c r="N64" s="2666"/>
      <c r="O64" s="2666"/>
      <c r="P64" s="2666"/>
      <c r="Q64" s="2666"/>
      <c r="R64" s="2666"/>
      <c r="S64" s="2666"/>
    </row>
    <row r="65" spans="1:19">
      <c r="A65" s="2382"/>
      <c r="B65" s="2406"/>
      <c r="C65" s="2407"/>
      <c r="D65" s="2407"/>
      <c r="E65" s="2407"/>
      <c r="F65" s="2407"/>
      <c r="G65" s="2733"/>
      <c r="H65" s="688"/>
      <c r="I65" s="2384"/>
      <c r="J65" s="2384"/>
      <c r="K65" s="2384"/>
      <c r="L65" s="2384"/>
      <c r="M65" s="2384"/>
      <c r="N65" s="2384"/>
      <c r="O65" s="2384"/>
      <c r="P65" s="2384"/>
      <c r="Q65" s="2384"/>
      <c r="R65" s="2384"/>
      <c r="S65" s="2384"/>
    </row>
    <row r="66" spans="1:19" ht="15.75" thickBot="1">
      <c r="A66" s="2385"/>
      <c r="B66" s="2386"/>
      <c r="C66" s="2407"/>
      <c r="D66" s="2407"/>
      <c r="E66" s="2407"/>
      <c r="F66" s="2407"/>
      <c r="G66" s="2733"/>
      <c r="H66" s="689"/>
      <c r="I66" s="2387"/>
      <c r="J66" s="2387"/>
      <c r="K66" s="2387"/>
      <c r="L66" s="2387"/>
      <c r="M66" s="2387"/>
      <c r="N66" s="2387"/>
      <c r="O66" s="2387"/>
      <c r="P66" s="2387"/>
      <c r="Q66" s="2387"/>
      <c r="R66" s="2387"/>
      <c r="S66" s="2387"/>
    </row>
    <row r="67" spans="1:19" ht="16.5" thickTop="1" thickBot="1">
      <c r="A67" s="830" t="s">
        <v>2983</v>
      </c>
      <c r="B67" s="831"/>
      <c r="C67" s="12"/>
      <c r="D67" s="12"/>
      <c r="E67" s="12"/>
      <c r="F67" s="12"/>
      <c r="G67" s="48"/>
      <c r="H67" s="47"/>
      <c r="I67" s="20"/>
      <c r="J67" s="20"/>
      <c r="K67" s="20"/>
      <c r="L67" s="20"/>
      <c r="M67" s="20"/>
      <c r="N67" s="20"/>
      <c r="O67" s="20"/>
      <c r="P67" s="20"/>
      <c r="Q67" s="20"/>
      <c r="R67" s="20"/>
      <c r="S67" s="20"/>
    </row>
    <row r="68" spans="1:19" ht="15.75" thickTop="1">
      <c r="A68" s="2667"/>
      <c r="B68" s="2668"/>
      <c r="C68" s="2662"/>
      <c r="D68" s="2662"/>
      <c r="E68" s="2662"/>
      <c r="F68" s="2662"/>
      <c r="G68" s="2732"/>
      <c r="H68" s="2381"/>
      <c r="I68" s="2666"/>
      <c r="J68" s="2666"/>
      <c r="K68" s="2666"/>
      <c r="L68" s="2666"/>
      <c r="M68" s="2666"/>
      <c r="N68" s="2666"/>
      <c r="O68" s="2666"/>
      <c r="P68" s="2666"/>
      <c r="Q68" s="2666"/>
      <c r="R68" s="2666"/>
      <c r="S68" s="2666"/>
    </row>
    <row r="69" spans="1:19">
      <c r="A69" s="2385"/>
      <c r="B69" s="2386"/>
      <c r="C69" s="2407"/>
      <c r="D69" s="2407"/>
      <c r="E69" s="2407"/>
      <c r="F69" s="2407"/>
      <c r="G69" s="2733"/>
      <c r="H69" s="690"/>
      <c r="I69" s="2390"/>
      <c r="J69" s="2390"/>
      <c r="K69" s="2390"/>
      <c r="L69" s="2390"/>
      <c r="M69" s="2390"/>
      <c r="N69" s="2390"/>
      <c r="O69" s="2390"/>
      <c r="P69" s="2390"/>
      <c r="Q69" s="2390"/>
      <c r="R69" s="2390"/>
      <c r="S69" s="2390"/>
    </row>
    <row r="70" spans="1:19" ht="15.75" thickBot="1">
      <c r="A70" s="2385"/>
      <c r="B70" s="2386"/>
      <c r="C70" s="2407"/>
      <c r="D70" s="2407"/>
      <c r="E70" s="2407"/>
      <c r="F70" s="2407"/>
      <c r="G70" s="2733"/>
      <c r="H70" s="690"/>
      <c r="I70" s="2390"/>
      <c r="J70" s="2390"/>
      <c r="K70" s="2390"/>
      <c r="L70" s="2390"/>
      <c r="M70" s="2390"/>
      <c r="N70" s="2390"/>
      <c r="O70" s="2390"/>
      <c r="P70" s="2390"/>
      <c r="Q70" s="2390"/>
      <c r="R70" s="2390"/>
      <c r="S70" s="2390"/>
    </row>
    <row r="71" spans="1:19" ht="16.5" thickTop="1" thickBot="1">
      <c r="A71" s="830" t="s">
        <v>2984</v>
      </c>
      <c r="B71" s="831"/>
      <c r="C71" s="12"/>
      <c r="D71" s="12"/>
      <c r="E71" s="12"/>
      <c r="F71" s="12"/>
      <c r="G71" s="48"/>
      <c r="H71" s="47"/>
      <c r="I71" s="20"/>
      <c r="J71" s="20"/>
      <c r="K71" s="20"/>
      <c r="L71" s="20"/>
      <c r="M71" s="20"/>
      <c r="N71" s="20"/>
      <c r="O71" s="20"/>
      <c r="P71" s="20"/>
      <c r="Q71" s="20"/>
      <c r="R71" s="20"/>
      <c r="S71" s="20"/>
    </row>
    <row r="72" spans="1:19" ht="15.75" thickTop="1">
      <c r="A72" s="2382"/>
      <c r="B72" s="2406" t="s">
        <v>2985</v>
      </c>
      <c r="C72" s="2407"/>
      <c r="D72" s="2407"/>
      <c r="E72" s="2407"/>
      <c r="F72" s="2407"/>
      <c r="G72" s="2733"/>
      <c r="H72" s="690"/>
      <c r="I72" s="2390"/>
      <c r="J72" s="2390"/>
      <c r="K72" s="2390"/>
      <c r="L72" s="2390"/>
      <c r="M72" s="2390"/>
      <c r="N72" s="2390"/>
      <c r="O72" s="2390"/>
      <c r="P72" s="2390"/>
      <c r="Q72" s="2390"/>
      <c r="R72" s="2390"/>
      <c r="S72" s="2390"/>
    </row>
    <row r="73" spans="1:19">
      <c r="A73" s="2382"/>
      <c r="B73" s="2406" t="s">
        <v>2986</v>
      </c>
      <c r="C73" s="2407"/>
      <c r="D73" s="2407"/>
      <c r="E73" s="2407"/>
      <c r="F73" s="2407"/>
      <c r="G73" s="2733"/>
      <c r="H73" s="690"/>
      <c r="I73" s="2390"/>
      <c r="J73" s="2390"/>
      <c r="K73" s="2390"/>
      <c r="L73" s="2390"/>
      <c r="M73" s="2390"/>
      <c r="N73" s="2390"/>
      <c r="O73" s="2390"/>
      <c r="P73" s="2390"/>
      <c r="Q73" s="2390"/>
      <c r="R73" s="2390"/>
      <c r="S73" s="2390"/>
    </row>
    <row r="74" spans="1:19">
      <c r="A74" s="2382"/>
      <c r="B74" s="2406" t="s">
        <v>2987</v>
      </c>
      <c r="C74" s="2407"/>
      <c r="D74" s="2407"/>
      <c r="E74" s="2407"/>
      <c r="F74" s="2407"/>
      <c r="G74" s="2733"/>
      <c r="H74" s="690"/>
      <c r="I74" s="2390"/>
      <c r="J74" s="2390"/>
      <c r="K74" s="2390"/>
      <c r="L74" s="2390"/>
      <c r="M74" s="2390"/>
      <c r="N74" s="2390"/>
      <c r="O74" s="2390"/>
      <c r="P74" s="2390"/>
      <c r="Q74" s="2390"/>
      <c r="R74" s="2390"/>
      <c r="S74" s="2390"/>
    </row>
    <row r="75" spans="1:19">
      <c r="A75" s="2382"/>
      <c r="B75" s="2406" t="s">
        <v>2988</v>
      </c>
      <c r="C75" s="2407"/>
      <c r="D75" s="2407"/>
      <c r="E75" s="2407"/>
      <c r="F75" s="2407"/>
      <c r="G75" s="2733"/>
      <c r="H75" s="690"/>
      <c r="I75" s="2390"/>
      <c r="J75" s="2390"/>
      <c r="K75" s="2390"/>
      <c r="L75" s="2390"/>
      <c r="M75" s="2390"/>
      <c r="N75" s="2390"/>
      <c r="O75" s="2390"/>
      <c r="P75" s="2390"/>
      <c r="Q75" s="2390"/>
      <c r="R75" s="2390"/>
      <c r="S75" s="2390"/>
    </row>
    <row r="76" spans="1:19" ht="15.75" thickBot="1">
      <c r="A76" s="646"/>
      <c r="B76" s="619"/>
      <c r="C76" s="616"/>
      <c r="D76" s="616"/>
      <c r="E76" s="616"/>
      <c r="F76" s="616"/>
      <c r="G76" s="629"/>
      <c r="H76" s="630"/>
      <c r="I76" s="647"/>
      <c r="J76" s="647"/>
      <c r="K76" s="647"/>
      <c r="L76" s="647"/>
      <c r="M76" s="647"/>
      <c r="N76" s="647"/>
      <c r="O76" s="647"/>
      <c r="P76" s="647"/>
      <c r="Q76" s="647"/>
      <c r="R76" s="647"/>
      <c r="S76" s="647"/>
    </row>
    <row r="77" spans="1:19" ht="16.5" thickTop="1" thickBot="1">
      <c r="A77" s="7" t="s">
        <v>2989</v>
      </c>
      <c r="B77" s="8"/>
      <c r="C77" s="12"/>
      <c r="D77" s="12"/>
      <c r="E77" s="12"/>
      <c r="F77" s="12"/>
      <c r="G77" s="48"/>
      <c r="H77" s="47"/>
      <c r="I77" s="20"/>
      <c r="J77" s="20"/>
      <c r="K77" s="20"/>
      <c r="L77" s="20"/>
      <c r="M77" s="20"/>
      <c r="N77" s="20"/>
      <c r="O77" s="20"/>
      <c r="P77" s="20"/>
      <c r="Q77" s="20"/>
      <c r="R77" s="20"/>
      <c r="S77" s="20"/>
    </row>
    <row r="78" spans="1:19" ht="15.75" thickTop="1">
      <c r="A78" s="2661"/>
      <c r="B78" s="2647" t="s">
        <v>2990</v>
      </c>
      <c r="C78" s="2662"/>
      <c r="D78" s="2662"/>
      <c r="E78" s="2662"/>
      <c r="F78" s="2662"/>
      <c r="G78" s="2732"/>
      <c r="H78" s="2339"/>
      <c r="I78" s="2648"/>
      <c r="J78" s="2648"/>
      <c r="K78" s="2648"/>
      <c r="L78" s="2648"/>
      <c r="M78" s="2648"/>
      <c r="N78" s="2648"/>
      <c r="O78" s="2648"/>
      <c r="P78" s="2648"/>
      <c r="Q78" s="2648"/>
      <c r="R78" s="2648"/>
      <c r="S78" s="2648"/>
    </row>
    <row r="79" spans="1:19">
      <c r="A79" s="2382"/>
      <c r="B79" s="2406" t="s">
        <v>2991</v>
      </c>
      <c r="C79" s="2407"/>
      <c r="D79" s="2407"/>
      <c r="E79" s="2407"/>
      <c r="F79" s="2407"/>
      <c r="G79" s="2733"/>
      <c r="H79" s="691"/>
      <c r="I79" s="2391"/>
      <c r="J79" s="2391"/>
      <c r="K79" s="2391"/>
      <c r="L79" s="2391"/>
      <c r="M79" s="2391"/>
      <c r="N79" s="2391"/>
      <c r="O79" s="2391"/>
      <c r="P79" s="2391"/>
      <c r="Q79" s="2391"/>
      <c r="R79" s="2391"/>
      <c r="S79" s="2391"/>
    </row>
    <row r="80" spans="1:19" ht="15.75" thickBot="1">
      <c r="A80" s="2392"/>
      <c r="B80" s="2424" t="s">
        <v>2992</v>
      </c>
      <c r="C80" s="2425"/>
      <c r="D80" s="2425"/>
      <c r="E80" s="2425"/>
      <c r="F80" s="2425"/>
      <c r="G80" s="2736"/>
      <c r="H80" s="2397"/>
      <c r="I80" s="2396"/>
      <c r="J80" s="2396"/>
      <c r="K80" s="2396"/>
      <c r="L80" s="2396"/>
      <c r="M80" s="2396"/>
      <c r="N80" s="2396"/>
      <c r="O80" s="2396"/>
      <c r="P80" s="2396"/>
      <c r="Q80" s="2396"/>
      <c r="R80" s="2396"/>
      <c r="S80" s="2396"/>
    </row>
    <row r="81" spans="1:2" ht="16.5" thickTop="1" thickBot="1"/>
    <row r="82" spans="1:2" ht="16.5" thickTop="1" thickBot="1">
      <c r="A82" s="59" t="s">
        <v>2993</v>
      </c>
      <c r="B82" s="61"/>
    </row>
    <row r="83" spans="1:2" ht="15.75" thickTop="1">
      <c r="A83" s="60" t="s">
        <v>2936</v>
      </c>
      <c r="B83" s="2398"/>
    </row>
    <row r="84" spans="1:2">
      <c r="A84" s="2399" t="s">
        <v>2939</v>
      </c>
      <c r="B84" s="2398"/>
    </row>
    <row r="85" spans="1:2">
      <c r="A85" s="2400" t="s">
        <v>2941</v>
      </c>
      <c r="B85" s="2401"/>
    </row>
    <row r="86" spans="1:2">
      <c r="A86" s="2400" t="s">
        <v>2943</v>
      </c>
      <c r="B86" s="2402"/>
    </row>
    <row r="87" spans="1:2" ht="15.75" thickBot="1">
      <c r="A87" s="2403" t="s">
        <v>2994</v>
      </c>
      <c r="B87" s="2737"/>
    </row>
    <row r="88" spans="1:2" ht="15.75" thickTop="1"/>
    <row r="89" spans="1:2">
      <c r="A89" s="62"/>
      <c r="B89" s="1" t="s">
        <v>2995</v>
      </c>
    </row>
    <row r="90" spans="1:2">
      <c r="A90" s="63"/>
      <c r="B90" s="1" t="s">
        <v>2996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5:B55"/>
    <mergeCell ref="A59:B59"/>
    <mergeCell ref="A63:B63"/>
    <mergeCell ref="A67:B67"/>
    <mergeCell ref="A71:B71"/>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9D5C-BE9F-48A1-A428-871078EB0137}">
  <sheetPr>
    <tabColor rgb="FF00B050"/>
    <pageSetUpPr fitToPage="1"/>
  </sheetPr>
  <dimension ref="A1:AH93"/>
  <sheetViews>
    <sheetView zoomScale="90" zoomScaleNormal="90" workbookViewId="0">
      <pane ySplit="10" topLeftCell="A11" activePane="bottomLeft" state="frozen"/>
      <selection pane="bottomLeft" activeCell="A58" sqref="A58:B58"/>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166"/>
      <c r="E5" s="171"/>
      <c r="F5" s="5"/>
      <c r="G5" s="6" t="s">
        <v>2936</v>
      </c>
      <c r="H5" s="837" t="s">
        <v>6018</v>
      </c>
      <c r="I5" s="838"/>
      <c r="J5" s="841"/>
      <c r="K5" s="842"/>
      <c r="L5" s="841"/>
      <c r="M5" s="842"/>
      <c r="N5" s="841"/>
      <c r="O5" s="842"/>
      <c r="P5" s="841"/>
      <c r="Q5" s="842"/>
      <c r="R5" s="841"/>
      <c r="S5" s="842"/>
    </row>
    <row r="6" spans="1:19">
      <c r="A6" s="2405" t="s">
        <v>2938</v>
      </c>
      <c r="B6" s="2406" t="s">
        <v>6019</v>
      </c>
      <c r="C6" s="2407"/>
      <c r="D6" s="2408"/>
      <c r="E6" s="2409"/>
      <c r="F6" s="2407"/>
      <c r="G6" s="657" t="s">
        <v>2939</v>
      </c>
      <c r="H6" s="2454"/>
      <c r="I6" s="839"/>
      <c r="J6" s="2410"/>
      <c r="K6" s="843"/>
      <c r="L6" s="2410"/>
      <c r="M6" s="843"/>
      <c r="N6" s="2410"/>
      <c r="O6" s="843"/>
      <c r="P6" s="2410"/>
      <c r="Q6" s="843"/>
      <c r="R6" s="2410"/>
      <c r="S6" s="843"/>
    </row>
    <row r="7" spans="1:19">
      <c r="A7" s="2405" t="s">
        <v>2940</v>
      </c>
      <c r="B7" s="2413" t="s">
        <v>2724</v>
      </c>
      <c r="C7" s="2407"/>
      <c r="D7" s="2408"/>
      <c r="E7" s="2409"/>
      <c r="F7" s="2407"/>
      <c r="G7" s="2414" t="s">
        <v>2941</v>
      </c>
      <c r="H7" s="2455"/>
      <c r="I7" s="840"/>
      <c r="J7" s="2415"/>
      <c r="K7" s="844"/>
      <c r="L7" s="2415"/>
      <c r="M7" s="844"/>
      <c r="N7" s="2415"/>
      <c r="O7" s="844"/>
      <c r="P7" s="2415"/>
      <c r="Q7" s="844"/>
      <c r="R7" s="2415"/>
      <c r="S7" s="844"/>
    </row>
    <row r="8" spans="1:19">
      <c r="A8" s="2405" t="s">
        <v>2942</v>
      </c>
      <c r="B8" s="2418"/>
      <c r="C8" s="2407"/>
      <c r="D8" s="2408"/>
      <c r="E8" s="2409"/>
      <c r="F8" s="2407"/>
      <c r="G8" s="2414" t="s">
        <v>2943</v>
      </c>
      <c r="H8" s="2456"/>
      <c r="I8" s="836"/>
      <c r="J8" s="2419"/>
      <c r="K8" s="845"/>
      <c r="L8" s="2419"/>
      <c r="M8" s="845"/>
      <c r="N8" s="2419"/>
      <c r="O8" s="845"/>
      <c r="P8" s="2419"/>
      <c r="Q8" s="845"/>
      <c r="R8" s="2419"/>
      <c r="S8" s="845"/>
    </row>
    <row r="9" spans="1:19" ht="15.75" thickBot="1">
      <c r="A9" s="2423"/>
      <c r="B9" s="2424"/>
      <c r="C9" s="616"/>
      <c r="D9" s="621"/>
      <c r="E9" s="622"/>
      <c r="F9" s="2425"/>
      <c r="G9" s="2426" t="s">
        <v>2944</v>
      </c>
      <c r="H9" s="2427">
        <f>I$55</f>
        <v>28550</v>
      </c>
      <c r="I9" s="2458"/>
      <c r="J9" s="2428">
        <f>K$55</f>
        <v>0</v>
      </c>
      <c r="K9" s="2457"/>
      <c r="L9" s="2428">
        <f>M$55</f>
        <v>0</v>
      </c>
      <c r="M9" s="2457"/>
      <c r="N9" s="2428">
        <f>O$55</f>
        <v>0</v>
      </c>
      <c r="O9" s="2457"/>
      <c r="P9" s="2428">
        <f>Q$55</f>
        <v>0</v>
      </c>
      <c r="Q9" s="2457"/>
      <c r="R9" s="2428">
        <f>S$55</f>
        <v>0</v>
      </c>
      <c r="S9" s="2457"/>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49"/>
      <c r="B11" s="2182" t="s">
        <v>2953</v>
      </c>
      <c r="C11" s="659"/>
      <c r="D11" s="2408"/>
      <c r="E11" s="2409"/>
      <c r="F11" s="2407"/>
      <c r="G11" s="660"/>
      <c r="H11" s="2431"/>
      <c r="I11" s="2338"/>
      <c r="J11" s="2431"/>
      <c r="K11" s="182"/>
      <c r="L11" s="2431"/>
      <c r="M11" s="2339"/>
      <c r="N11" s="2431"/>
      <c r="O11" s="2339"/>
      <c r="P11" s="2431"/>
      <c r="Q11" s="2339"/>
      <c r="R11" s="2431"/>
      <c r="S11" s="2339"/>
    </row>
    <row r="12" spans="1:19">
      <c r="A12" s="2650"/>
      <c r="B12" s="2740" t="s">
        <v>2954</v>
      </c>
      <c r="C12" s="2407"/>
      <c r="D12" s="2408"/>
      <c r="E12" s="2409"/>
      <c r="F12" s="2407"/>
      <c r="G12" s="660"/>
      <c r="H12" s="2431"/>
      <c r="I12" s="2338"/>
      <c r="J12" s="2431"/>
      <c r="K12" s="2339"/>
      <c r="L12" s="2431"/>
      <c r="M12" s="2339"/>
      <c r="N12" s="2431"/>
      <c r="O12" s="2339"/>
      <c r="P12" s="2431"/>
      <c r="Q12" s="2339"/>
      <c r="R12" s="2431"/>
      <c r="S12" s="2339"/>
    </row>
    <row r="13" spans="1:19">
      <c r="A13" s="2432"/>
      <c r="B13" s="2741" t="s">
        <v>2955</v>
      </c>
      <c r="C13" s="2407"/>
      <c r="D13" s="2408"/>
      <c r="E13" s="2409"/>
      <c r="F13" s="2407"/>
      <c r="G13" s="660"/>
      <c r="H13" s="2431"/>
      <c r="I13" s="2338"/>
      <c r="J13" s="2431"/>
      <c r="K13" s="2339"/>
      <c r="L13" s="2431"/>
      <c r="M13" s="2339"/>
      <c r="N13" s="2431"/>
      <c r="O13" s="2339"/>
      <c r="P13" s="2431"/>
      <c r="Q13" s="2339"/>
      <c r="R13" s="2431"/>
      <c r="S13" s="2339"/>
    </row>
    <row r="14" spans="1:19">
      <c r="A14" s="2432"/>
      <c r="B14" s="2742" t="s">
        <v>2956</v>
      </c>
      <c r="C14" s="2407"/>
      <c r="D14" s="2408"/>
      <c r="E14" s="2409"/>
      <c r="F14" s="2407"/>
      <c r="G14" s="660"/>
      <c r="H14" s="2431"/>
      <c r="I14" s="2338"/>
      <c r="J14" s="2431"/>
      <c r="K14" s="2339"/>
      <c r="L14" s="2431"/>
      <c r="M14" s="2339"/>
      <c r="N14" s="2431"/>
      <c r="O14" s="2339"/>
      <c r="P14" s="2431"/>
      <c r="Q14" s="2339"/>
      <c r="R14" s="2431"/>
      <c r="S14" s="2339"/>
    </row>
    <row r="15" spans="1:19">
      <c r="A15" s="2432"/>
      <c r="B15" s="2742" t="s">
        <v>2957</v>
      </c>
      <c r="C15" s="2407"/>
      <c r="D15" s="2408"/>
      <c r="E15" s="2409"/>
      <c r="F15" s="2407"/>
      <c r="G15" s="660"/>
      <c r="H15" s="2431"/>
      <c r="I15" s="2338"/>
      <c r="J15" s="2431"/>
      <c r="K15" s="2338"/>
      <c r="L15" s="2431"/>
      <c r="M15" s="2338"/>
      <c r="N15" s="2431"/>
      <c r="O15" s="2338"/>
      <c r="P15" s="2431"/>
      <c r="Q15" s="2338"/>
      <c r="R15" s="2431"/>
      <c r="S15" s="2338"/>
    </row>
    <row r="16" spans="1:19">
      <c r="A16" s="2432"/>
      <c r="B16" s="2742" t="s">
        <v>2958</v>
      </c>
      <c r="C16" s="2407"/>
      <c r="D16" s="2408"/>
      <c r="E16" s="2409"/>
      <c r="F16" s="2407"/>
      <c r="G16" s="660"/>
      <c r="H16" s="2431"/>
      <c r="I16" s="2338"/>
      <c r="J16" s="2431"/>
      <c r="K16" s="2339"/>
      <c r="L16" s="2431"/>
      <c r="M16" s="2339"/>
      <c r="N16" s="2431"/>
      <c r="O16" s="2339"/>
      <c r="P16" s="2431"/>
      <c r="Q16" s="2339"/>
      <c r="R16" s="2431"/>
      <c r="S16" s="2339"/>
    </row>
    <row r="17" spans="1:19">
      <c r="A17" s="2432"/>
      <c r="B17" s="2742" t="s">
        <v>2959</v>
      </c>
      <c r="C17" s="2407"/>
      <c r="D17" s="2408"/>
      <c r="E17" s="2409"/>
      <c r="F17" s="2407"/>
      <c r="G17" s="660"/>
      <c r="H17" s="2431"/>
      <c r="I17" s="2338"/>
      <c r="J17" s="2431"/>
      <c r="K17" s="2339"/>
      <c r="L17" s="2431"/>
      <c r="M17" s="2339"/>
      <c r="N17" s="2431"/>
      <c r="O17" s="2339"/>
      <c r="P17" s="2431"/>
      <c r="Q17" s="2339"/>
      <c r="R17" s="2431"/>
      <c r="S17" s="2339"/>
    </row>
    <row r="18" spans="1:19">
      <c r="A18" s="2432"/>
      <c r="B18" s="2743" t="s">
        <v>2960</v>
      </c>
      <c r="C18" s="2407"/>
      <c r="D18" s="2408"/>
      <c r="E18" s="2409"/>
      <c r="F18" s="2407"/>
      <c r="G18" s="660"/>
      <c r="H18" s="2431"/>
      <c r="I18" s="2338"/>
      <c r="J18" s="2431"/>
      <c r="K18" s="2339"/>
      <c r="L18" s="2431"/>
      <c r="M18" s="2339"/>
      <c r="N18" s="2431"/>
      <c r="O18" s="2339"/>
      <c r="P18" s="2431"/>
      <c r="Q18" s="2339"/>
      <c r="R18" s="2431"/>
      <c r="S18" s="2339"/>
    </row>
    <row r="19" spans="1:19">
      <c r="A19" s="2432"/>
      <c r="B19" s="2744" t="s">
        <v>2961</v>
      </c>
      <c r="C19" s="2433"/>
      <c r="D19" s="2434"/>
      <c r="E19" s="2435"/>
      <c r="F19" s="2436"/>
      <c r="G19" s="661"/>
      <c r="H19" s="2437"/>
      <c r="I19" s="2347"/>
      <c r="J19" s="2437"/>
      <c r="K19" s="2346"/>
      <c r="L19" s="2437"/>
      <c r="M19" s="2346"/>
      <c r="N19" s="2437"/>
      <c r="O19" s="2346"/>
      <c r="P19" s="2437"/>
      <c r="Q19" s="2346"/>
      <c r="R19" s="2437"/>
      <c r="S19" s="2346"/>
    </row>
    <row r="20" spans="1:19">
      <c r="A20" s="2432"/>
      <c r="B20" s="2745"/>
      <c r="C20" s="2407"/>
      <c r="D20" s="2408"/>
      <c r="E20" s="2409"/>
      <c r="F20" s="2438"/>
      <c r="G20" s="660"/>
      <c r="H20" s="2431"/>
      <c r="I20" s="2349"/>
      <c r="J20" s="2431"/>
      <c r="K20" s="2350"/>
      <c r="L20" s="2431"/>
      <c r="M20" s="2349"/>
      <c r="N20" s="2431"/>
      <c r="O20" s="2349"/>
      <c r="P20" s="2431"/>
      <c r="Q20" s="2349"/>
      <c r="R20" s="2431"/>
      <c r="S20" s="2349"/>
    </row>
    <row r="21" spans="1:19">
      <c r="A21" s="2680"/>
      <c r="B21" s="2681" t="s">
        <v>2695</v>
      </c>
      <c r="C21" s="2407"/>
      <c r="D21" s="2408"/>
      <c r="E21" s="2409"/>
      <c r="F21" s="2438"/>
      <c r="G21" s="662"/>
      <c r="H21" s="2431"/>
      <c r="I21" s="2352">
        <f>SUBTOTAL(9,I22:I48)</f>
        <v>28550</v>
      </c>
      <c r="J21" s="2431"/>
      <c r="K21" s="2352">
        <f>SUBTOTAL(9,K22:K32)</f>
        <v>0</v>
      </c>
      <c r="L21" s="2431"/>
      <c r="M21" s="2352">
        <f>SUBTOTAL(9,M22:M32)</f>
        <v>0</v>
      </c>
      <c r="N21" s="2431"/>
      <c r="O21" s="2352">
        <f>SUBTOTAL(9,O22:O32)</f>
        <v>0</v>
      </c>
      <c r="P21" s="2431"/>
      <c r="Q21" s="2352">
        <f>SUBTOTAL(9,Q22:Q32)</f>
        <v>0</v>
      </c>
      <c r="R21" s="2431"/>
      <c r="S21" s="2352">
        <f>SUBTOTAL(9,S22:S32)</f>
        <v>0</v>
      </c>
    </row>
    <row r="22" spans="1:19">
      <c r="A22" s="2432"/>
      <c r="B22" s="2745" t="s">
        <v>6020</v>
      </c>
      <c r="C22" s="2407"/>
      <c r="D22" s="2408"/>
      <c r="E22" s="2409"/>
      <c r="F22" s="2438"/>
      <c r="G22" s="662">
        <f>ROUND(D22*F22,0)</f>
        <v>0</v>
      </c>
      <c r="H22" s="2431"/>
      <c r="I22" s="2350">
        <f>G22</f>
        <v>0</v>
      </c>
      <c r="J22" s="2431"/>
      <c r="K22" s="2350"/>
      <c r="L22" s="2431"/>
      <c r="M22" s="2349"/>
      <c r="N22" s="2431"/>
      <c r="O22" s="2349"/>
      <c r="P22" s="2431"/>
      <c r="Q22" s="2349"/>
      <c r="R22" s="2431"/>
      <c r="S22" s="2349"/>
    </row>
    <row r="23" spans="1:19">
      <c r="A23" s="2432"/>
      <c r="B23" s="2746" t="s">
        <v>6021</v>
      </c>
      <c r="C23" s="2407"/>
      <c r="D23" s="2408">
        <v>1</v>
      </c>
      <c r="E23" s="2409" t="s">
        <v>2803</v>
      </c>
      <c r="F23" s="2438">
        <v>25000</v>
      </c>
      <c r="G23" s="662">
        <f>ROUND(D23*F23,0)</f>
        <v>25000</v>
      </c>
      <c r="H23" s="2431"/>
      <c r="I23" s="2350">
        <f>G23</f>
        <v>25000</v>
      </c>
      <c r="J23" s="2431"/>
      <c r="K23" s="2350"/>
      <c r="L23" s="2431"/>
      <c r="M23" s="2349"/>
      <c r="N23" s="2431"/>
      <c r="O23" s="2349"/>
      <c r="P23" s="2431"/>
      <c r="Q23" s="2349"/>
      <c r="R23" s="2431"/>
      <c r="S23" s="2349"/>
    </row>
    <row r="24" spans="1:19">
      <c r="A24" s="2432"/>
      <c r="B24" s="2746" t="s">
        <v>6022</v>
      </c>
      <c r="C24" s="2407"/>
      <c r="D24" s="2408">
        <v>1</v>
      </c>
      <c r="E24" s="2409" t="s">
        <v>2803</v>
      </c>
      <c r="F24" s="2438"/>
      <c r="G24" s="662"/>
      <c r="H24" s="2431"/>
      <c r="I24" s="2350"/>
      <c r="J24" s="2431"/>
      <c r="K24" s="2350"/>
      <c r="L24" s="2431"/>
      <c r="M24" s="2349"/>
      <c r="N24" s="2431"/>
      <c r="O24" s="2349"/>
      <c r="P24" s="2431"/>
      <c r="Q24" s="2349"/>
      <c r="R24" s="2431"/>
      <c r="S24" s="2349"/>
    </row>
    <row r="25" spans="1:19">
      <c r="A25" s="2432"/>
      <c r="B25" s="2746" t="s">
        <v>6023</v>
      </c>
      <c r="C25" s="2407"/>
      <c r="D25" s="2408">
        <v>1</v>
      </c>
      <c r="E25" s="2409" t="s">
        <v>2803</v>
      </c>
      <c r="F25" s="2438"/>
      <c r="G25" s="662"/>
      <c r="H25" s="2431"/>
      <c r="I25" s="2350"/>
      <c r="J25" s="2431"/>
      <c r="K25" s="2350"/>
      <c r="L25" s="2431"/>
      <c r="M25" s="2349"/>
      <c r="N25" s="2431"/>
      <c r="O25" s="2349"/>
      <c r="P25" s="2431"/>
      <c r="Q25" s="2349"/>
      <c r="R25" s="2431"/>
      <c r="S25" s="2349"/>
    </row>
    <row r="26" spans="1:19">
      <c r="A26" s="2432"/>
      <c r="B26" s="2746" t="s">
        <v>4902</v>
      </c>
      <c r="C26" s="2407"/>
      <c r="D26" s="2408">
        <v>7.0000000000000007E-2</v>
      </c>
      <c r="E26" s="2409" t="s">
        <v>46</v>
      </c>
      <c r="F26" s="2438">
        <f>SUM(F23:F25)</f>
        <v>25000</v>
      </c>
      <c r="G26" s="662">
        <f t="shared" ref="G26:G48" si="0">ROUND(D26*F26,0)</f>
        <v>1750</v>
      </c>
      <c r="H26" s="2431"/>
      <c r="I26" s="2350">
        <f t="shared" ref="I26:I48" si="1">G26</f>
        <v>1750</v>
      </c>
      <c r="J26" s="2431"/>
      <c r="K26" s="2350"/>
      <c r="L26" s="2431"/>
      <c r="M26" s="2349"/>
      <c r="N26" s="2431"/>
      <c r="O26" s="2349"/>
      <c r="P26" s="2431"/>
      <c r="Q26" s="2349"/>
      <c r="R26" s="2431"/>
      <c r="S26" s="2349"/>
    </row>
    <row r="27" spans="1:19">
      <c r="A27" s="2432"/>
      <c r="B27" s="2746" t="s">
        <v>6024</v>
      </c>
      <c r="C27" s="2407"/>
      <c r="D27" s="2408">
        <v>1</v>
      </c>
      <c r="E27" s="2409" t="s">
        <v>2818</v>
      </c>
      <c r="F27" s="2438">
        <v>200</v>
      </c>
      <c r="G27" s="662">
        <f t="shared" si="0"/>
        <v>200</v>
      </c>
      <c r="H27" s="2431"/>
      <c r="I27" s="2350">
        <f t="shared" si="1"/>
        <v>200</v>
      </c>
      <c r="J27" s="2431"/>
      <c r="K27" s="2350"/>
      <c r="L27" s="2431"/>
      <c r="M27" s="2349"/>
      <c r="N27" s="2431"/>
      <c r="O27" s="2349"/>
      <c r="P27" s="2431"/>
      <c r="Q27" s="2349"/>
      <c r="R27" s="2431"/>
      <c r="S27" s="2349"/>
    </row>
    <row r="28" spans="1:19">
      <c r="A28" s="2432"/>
      <c r="B28" s="2746" t="s">
        <v>5169</v>
      </c>
      <c r="C28" s="2407"/>
      <c r="D28" s="2408">
        <v>1</v>
      </c>
      <c r="E28" s="2409" t="s">
        <v>2818</v>
      </c>
      <c r="F28" s="2438">
        <f>2*8*100</f>
        <v>1600</v>
      </c>
      <c r="G28" s="662">
        <f t="shared" si="0"/>
        <v>1600</v>
      </c>
      <c r="H28" s="2431"/>
      <c r="I28" s="2350">
        <f t="shared" si="1"/>
        <v>1600</v>
      </c>
      <c r="J28" s="2431"/>
      <c r="K28" s="2350"/>
      <c r="L28" s="2431"/>
      <c r="M28" s="2349"/>
      <c r="N28" s="2431"/>
      <c r="O28" s="2349"/>
      <c r="P28" s="2431"/>
      <c r="Q28" s="2349"/>
      <c r="R28" s="2431"/>
      <c r="S28" s="2349"/>
    </row>
    <row r="29" spans="1:19">
      <c r="A29" s="2432"/>
      <c r="B29" s="2745"/>
      <c r="C29" s="2407"/>
      <c r="D29" s="2408"/>
      <c r="E29" s="2409"/>
      <c r="F29" s="2438"/>
      <c r="G29" s="662">
        <f t="shared" si="0"/>
        <v>0</v>
      </c>
      <c r="H29" s="2431"/>
      <c r="I29" s="2350">
        <f t="shared" si="1"/>
        <v>0</v>
      </c>
      <c r="J29" s="2431"/>
      <c r="K29" s="2350"/>
      <c r="L29" s="2431"/>
      <c r="M29" s="2349"/>
      <c r="N29" s="2431"/>
      <c r="O29" s="2349"/>
      <c r="P29" s="2431"/>
      <c r="Q29" s="2349"/>
      <c r="R29" s="2431"/>
      <c r="S29" s="2349"/>
    </row>
    <row r="30" spans="1:19">
      <c r="A30" s="2432"/>
      <c r="B30" s="2745"/>
      <c r="C30" s="2407"/>
      <c r="D30" s="2408"/>
      <c r="E30" s="2409"/>
      <c r="F30" s="2438"/>
      <c r="G30" s="662">
        <f t="shared" si="0"/>
        <v>0</v>
      </c>
      <c r="H30" s="2431"/>
      <c r="I30" s="2350">
        <f t="shared" si="1"/>
        <v>0</v>
      </c>
      <c r="J30" s="2431"/>
      <c r="K30" s="2350"/>
      <c r="L30" s="2431"/>
      <c r="M30" s="2349"/>
      <c r="N30" s="2431"/>
      <c r="O30" s="2349"/>
      <c r="P30" s="2431"/>
      <c r="Q30" s="2349"/>
      <c r="R30" s="2431"/>
      <c r="S30" s="2349"/>
    </row>
    <row r="31" spans="1:19">
      <c r="A31" s="2432"/>
      <c r="B31" s="2745"/>
      <c r="C31" s="2407"/>
      <c r="D31" s="2408"/>
      <c r="E31" s="2409"/>
      <c r="F31" s="2438"/>
      <c r="G31" s="662">
        <f t="shared" si="0"/>
        <v>0</v>
      </c>
      <c r="H31" s="2431"/>
      <c r="I31" s="2350">
        <f t="shared" si="1"/>
        <v>0</v>
      </c>
      <c r="J31" s="2431"/>
      <c r="K31" s="2350"/>
      <c r="L31" s="2431"/>
      <c r="M31" s="2349"/>
      <c r="N31" s="2431"/>
      <c r="O31" s="2349"/>
      <c r="P31" s="2431"/>
      <c r="Q31" s="2349"/>
      <c r="R31" s="2431"/>
      <c r="S31" s="2349"/>
    </row>
    <row r="32" spans="1:19">
      <c r="A32" s="2432"/>
      <c r="B32" s="2745"/>
      <c r="C32" s="2407"/>
      <c r="D32" s="2408"/>
      <c r="E32" s="2409"/>
      <c r="F32" s="2438"/>
      <c r="G32" s="662">
        <f t="shared" si="0"/>
        <v>0</v>
      </c>
      <c r="H32" s="2431"/>
      <c r="I32" s="2350">
        <f t="shared" si="1"/>
        <v>0</v>
      </c>
      <c r="J32" s="2431"/>
      <c r="K32" s="2350"/>
      <c r="L32" s="2431"/>
      <c r="M32" s="2349"/>
      <c r="N32" s="2431"/>
      <c r="O32" s="2349"/>
      <c r="P32" s="2431"/>
      <c r="Q32" s="2349"/>
      <c r="R32" s="2431"/>
      <c r="S32" s="2349"/>
    </row>
    <row r="33" spans="1:19">
      <c r="A33" s="2432"/>
      <c r="B33" s="2745"/>
      <c r="C33" s="2407"/>
      <c r="D33" s="2408"/>
      <c r="E33" s="2409"/>
      <c r="F33" s="2438"/>
      <c r="G33" s="662">
        <f t="shared" si="0"/>
        <v>0</v>
      </c>
      <c r="H33" s="2431"/>
      <c r="I33" s="2350">
        <f t="shared" si="1"/>
        <v>0</v>
      </c>
      <c r="J33" s="2431"/>
      <c r="K33" s="2350"/>
      <c r="L33" s="2431"/>
      <c r="M33" s="2349"/>
      <c r="N33" s="2431"/>
      <c r="O33" s="2349"/>
      <c r="P33" s="2431"/>
      <c r="Q33" s="2349"/>
      <c r="R33" s="2431"/>
      <c r="S33" s="2349"/>
    </row>
    <row r="34" spans="1:19">
      <c r="A34" s="2432"/>
      <c r="B34" s="2745"/>
      <c r="C34" s="2407"/>
      <c r="D34" s="2408"/>
      <c r="E34" s="2409"/>
      <c r="F34" s="2438"/>
      <c r="G34" s="662">
        <f t="shared" si="0"/>
        <v>0</v>
      </c>
      <c r="H34" s="2431"/>
      <c r="I34" s="2350">
        <f t="shared" si="1"/>
        <v>0</v>
      </c>
      <c r="J34" s="2431"/>
      <c r="K34" s="2350"/>
      <c r="L34" s="2431"/>
      <c r="M34" s="2349"/>
      <c r="N34" s="2431"/>
      <c r="O34" s="2349"/>
      <c r="P34" s="2431"/>
      <c r="Q34" s="2349"/>
      <c r="R34" s="2431"/>
      <c r="S34" s="2349"/>
    </row>
    <row r="35" spans="1:19">
      <c r="A35" s="2432"/>
      <c r="B35" s="2745"/>
      <c r="C35" s="2407"/>
      <c r="D35" s="2408"/>
      <c r="E35" s="2409"/>
      <c r="F35" s="2438"/>
      <c r="G35" s="662">
        <f t="shared" si="0"/>
        <v>0</v>
      </c>
      <c r="H35" s="2431"/>
      <c r="I35" s="2350">
        <f t="shared" si="1"/>
        <v>0</v>
      </c>
      <c r="J35" s="2431"/>
      <c r="K35" s="2350"/>
      <c r="L35" s="2431"/>
      <c r="M35" s="2349"/>
      <c r="N35" s="2431"/>
      <c r="O35" s="2349"/>
      <c r="P35" s="2431"/>
      <c r="Q35" s="2349"/>
      <c r="R35" s="2431"/>
      <c r="S35" s="2349"/>
    </row>
    <row r="36" spans="1:19">
      <c r="A36" s="2432"/>
      <c r="B36" s="2745"/>
      <c r="C36" s="2407"/>
      <c r="D36" s="2408"/>
      <c r="E36" s="2409"/>
      <c r="F36" s="2438"/>
      <c r="G36" s="662">
        <f t="shared" si="0"/>
        <v>0</v>
      </c>
      <c r="H36" s="2431"/>
      <c r="I36" s="2350">
        <f t="shared" si="1"/>
        <v>0</v>
      </c>
      <c r="J36" s="2431"/>
      <c r="K36" s="2350"/>
      <c r="L36" s="2431"/>
      <c r="M36" s="2349"/>
      <c r="N36" s="2431"/>
      <c r="O36" s="2349"/>
      <c r="P36" s="2431"/>
      <c r="Q36" s="2349"/>
      <c r="R36" s="2431"/>
      <c r="S36" s="2349"/>
    </row>
    <row r="37" spans="1:19">
      <c r="A37" s="2432"/>
      <c r="B37" s="2745"/>
      <c r="C37" s="2407"/>
      <c r="D37" s="2408"/>
      <c r="E37" s="2409"/>
      <c r="F37" s="2438"/>
      <c r="G37" s="662">
        <f t="shared" si="0"/>
        <v>0</v>
      </c>
      <c r="H37" s="2431"/>
      <c r="I37" s="2350">
        <f t="shared" si="1"/>
        <v>0</v>
      </c>
      <c r="J37" s="2431"/>
      <c r="K37" s="2350"/>
      <c r="L37" s="2431"/>
      <c r="M37" s="2349"/>
      <c r="N37" s="2431"/>
      <c r="O37" s="2349"/>
      <c r="P37" s="2431"/>
      <c r="Q37" s="2349"/>
      <c r="R37" s="2431"/>
      <c r="S37" s="2349"/>
    </row>
    <row r="38" spans="1:19">
      <c r="A38" s="2432"/>
      <c r="B38" s="2745"/>
      <c r="C38" s="2407"/>
      <c r="D38" s="2408"/>
      <c r="E38" s="2409"/>
      <c r="F38" s="2438"/>
      <c r="G38" s="662">
        <f t="shared" si="0"/>
        <v>0</v>
      </c>
      <c r="H38" s="2431"/>
      <c r="I38" s="2350">
        <f t="shared" si="1"/>
        <v>0</v>
      </c>
      <c r="J38" s="2431"/>
      <c r="K38" s="2350"/>
      <c r="L38" s="2431"/>
      <c r="M38" s="2349"/>
      <c r="N38" s="2431"/>
      <c r="O38" s="2349"/>
      <c r="P38" s="2431"/>
      <c r="Q38" s="2349"/>
      <c r="R38" s="2431"/>
      <c r="S38" s="2349"/>
    </row>
    <row r="39" spans="1:19">
      <c r="A39" s="2432"/>
      <c r="B39" s="2745"/>
      <c r="C39" s="2407"/>
      <c r="D39" s="2408"/>
      <c r="E39" s="2409"/>
      <c r="F39" s="2438"/>
      <c r="G39" s="662">
        <f t="shared" si="0"/>
        <v>0</v>
      </c>
      <c r="H39" s="2431"/>
      <c r="I39" s="2350">
        <f t="shared" si="1"/>
        <v>0</v>
      </c>
      <c r="J39" s="2431"/>
      <c r="K39" s="2350"/>
      <c r="L39" s="2431"/>
      <c r="M39" s="2349"/>
      <c r="N39" s="2431"/>
      <c r="O39" s="2349"/>
      <c r="P39" s="2431"/>
      <c r="Q39" s="2349"/>
      <c r="R39" s="2431"/>
      <c r="S39" s="2349"/>
    </row>
    <row r="40" spans="1:19">
      <c r="A40" s="2432"/>
      <c r="B40" s="2745"/>
      <c r="C40" s="2407"/>
      <c r="D40" s="2408"/>
      <c r="E40" s="2409"/>
      <c r="F40" s="2438"/>
      <c r="G40" s="662">
        <f t="shared" si="0"/>
        <v>0</v>
      </c>
      <c r="H40" s="2431"/>
      <c r="I40" s="2350">
        <f t="shared" si="1"/>
        <v>0</v>
      </c>
      <c r="J40" s="2431"/>
      <c r="K40" s="2350"/>
      <c r="L40" s="2431"/>
      <c r="M40" s="2349"/>
      <c r="N40" s="2431"/>
      <c r="O40" s="2349"/>
      <c r="P40" s="2431"/>
      <c r="Q40" s="2349"/>
      <c r="R40" s="2431"/>
      <c r="S40" s="2349"/>
    </row>
    <row r="41" spans="1:19">
      <c r="A41" s="2432"/>
      <c r="B41" s="2745"/>
      <c r="C41" s="2407"/>
      <c r="D41" s="2408"/>
      <c r="E41" s="2409"/>
      <c r="F41" s="2438"/>
      <c r="G41" s="662">
        <f t="shared" si="0"/>
        <v>0</v>
      </c>
      <c r="H41" s="2431"/>
      <c r="I41" s="2350">
        <f t="shared" si="1"/>
        <v>0</v>
      </c>
      <c r="J41" s="2431"/>
      <c r="K41" s="2350"/>
      <c r="L41" s="2431"/>
      <c r="M41" s="2349"/>
      <c r="N41" s="2431"/>
      <c r="O41" s="2349"/>
      <c r="P41" s="2431"/>
      <c r="Q41" s="2349"/>
      <c r="R41" s="2431"/>
      <c r="S41" s="2349"/>
    </row>
    <row r="42" spans="1:19">
      <c r="A42" s="2432"/>
      <c r="B42" s="2745"/>
      <c r="C42" s="2407"/>
      <c r="D42" s="2408"/>
      <c r="E42" s="2409"/>
      <c r="F42" s="2438"/>
      <c r="G42" s="662">
        <f t="shared" si="0"/>
        <v>0</v>
      </c>
      <c r="H42" s="2431"/>
      <c r="I42" s="2350">
        <f t="shared" si="1"/>
        <v>0</v>
      </c>
      <c r="J42" s="2431"/>
      <c r="K42" s="2350"/>
      <c r="L42" s="2431"/>
      <c r="M42" s="2349"/>
      <c r="N42" s="2431"/>
      <c r="O42" s="2349"/>
      <c r="P42" s="2431"/>
      <c r="Q42" s="2349"/>
      <c r="R42" s="2431"/>
      <c r="S42" s="2349"/>
    </row>
    <row r="43" spans="1:19">
      <c r="A43" s="2432"/>
      <c r="B43" s="2745"/>
      <c r="C43" s="2407"/>
      <c r="D43" s="2408"/>
      <c r="E43" s="2409"/>
      <c r="F43" s="2438"/>
      <c r="G43" s="662">
        <f t="shared" si="0"/>
        <v>0</v>
      </c>
      <c r="H43" s="2431"/>
      <c r="I43" s="2350">
        <f t="shared" si="1"/>
        <v>0</v>
      </c>
      <c r="J43" s="2431"/>
      <c r="K43" s="2350"/>
      <c r="L43" s="2431"/>
      <c r="M43" s="2349"/>
      <c r="N43" s="2431"/>
      <c r="O43" s="2349"/>
      <c r="P43" s="2431"/>
      <c r="Q43" s="2349"/>
      <c r="R43" s="2431"/>
      <c r="S43" s="2349"/>
    </row>
    <row r="44" spans="1:19">
      <c r="A44" s="2432"/>
      <c r="B44" s="2745"/>
      <c r="C44" s="2407"/>
      <c r="D44" s="2408"/>
      <c r="E44" s="2409"/>
      <c r="F44" s="2438"/>
      <c r="G44" s="662">
        <f t="shared" si="0"/>
        <v>0</v>
      </c>
      <c r="H44" s="2431"/>
      <c r="I44" s="2350">
        <f t="shared" si="1"/>
        <v>0</v>
      </c>
      <c r="J44" s="2431"/>
      <c r="K44" s="2350"/>
      <c r="L44" s="2431"/>
      <c r="M44" s="2349"/>
      <c r="N44" s="2431"/>
      <c r="O44" s="2349"/>
      <c r="P44" s="2431"/>
      <c r="Q44" s="2349"/>
      <c r="R44" s="2431"/>
      <c r="S44" s="2349"/>
    </row>
    <row r="45" spans="1:19">
      <c r="A45" s="2432"/>
      <c r="B45" s="2745"/>
      <c r="C45" s="2407"/>
      <c r="D45" s="2408"/>
      <c r="E45" s="2409"/>
      <c r="F45" s="2438"/>
      <c r="G45" s="662">
        <f t="shared" si="0"/>
        <v>0</v>
      </c>
      <c r="H45" s="2431"/>
      <c r="I45" s="2350">
        <f t="shared" si="1"/>
        <v>0</v>
      </c>
      <c r="J45" s="2431"/>
      <c r="K45" s="2350"/>
      <c r="L45" s="2431"/>
      <c r="M45" s="2349"/>
      <c r="N45" s="2431"/>
      <c r="O45" s="2349"/>
      <c r="P45" s="2431"/>
      <c r="Q45" s="2349"/>
      <c r="R45" s="2431"/>
      <c r="S45" s="2349"/>
    </row>
    <row r="46" spans="1:19">
      <c r="A46" s="2432"/>
      <c r="B46" s="2745"/>
      <c r="C46" s="2407"/>
      <c r="D46" s="2408"/>
      <c r="E46" s="2409"/>
      <c r="F46" s="2438"/>
      <c r="G46" s="662">
        <f t="shared" si="0"/>
        <v>0</v>
      </c>
      <c r="H46" s="2431"/>
      <c r="I46" s="2350">
        <f t="shared" si="1"/>
        <v>0</v>
      </c>
      <c r="J46" s="2431"/>
      <c r="K46" s="2350"/>
      <c r="L46" s="2431"/>
      <c r="M46" s="2349"/>
      <c r="N46" s="2431"/>
      <c r="O46" s="2349"/>
      <c r="P46" s="2431"/>
      <c r="Q46" s="2349"/>
      <c r="R46" s="2431"/>
      <c r="S46" s="2349"/>
    </row>
    <row r="47" spans="1:19">
      <c r="A47" s="2432"/>
      <c r="B47" s="2745"/>
      <c r="C47" s="2407"/>
      <c r="D47" s="2408"/>
      <c r="E47" s="2409"/>
      <c r="F47" s="2438"/>
      <c r="G47" s="662">
        <f t="shared" si="0"/>
        <v>0</v>
      </c>
      <c r="H47" s="2431"/>
      <c r="I47" s="2350">
        <f t="shared" si="1"/>
        <v>0</v>
      </c>
      <c r="J47" s="2431"/>
      <c r="K47" s="2350"/>
      <c r="L47" s="2431"/>
      <c r="M47" s="2349"/>
      <c r="N47" s="2431"/>
      <c r="O47" s="2349"/>
      <c r="P47" s="2431"/>
      <c r="Q47" s="2349"/>
      <c r="R47" s="2431"/>
      <c r="S47" s="2349"/>
    </row>
    <row r="48" spans="1:19">
      <c r="A48" s="2432"/>
      <c r="B48" s="2745"/>
      <c r="C48" s="2407"/>
      <c r="D48" s="2408"/>
      <c r="E48" s="2409"/>
      <c r="F48" s="2438"/>
      <c r="G48" s="662">
        <f t="shared" si="0"/>
        <v>0</v>
      </c>
      <c r="H48" s="2431"/>
      <c r="I48" s="2350">
        <f t="shared" si="1"/>
        <v>0</v>
      </c>
      <c r="J48" s="2431"/>
      <c r="K48" s="2350"/>
      <c r="L48" s="2431"/>
      <c r="M48" s="2349"/>
      <c r="N48" s="2431"/>
      <c r="O48" s="2349"/>
      <c r="P48" s="2431"/>
      <c r="Q48" s="2349"/>
      <c r="R48" s="2431"/>
      <c r="S48" s="2349"/>
    </row>
    <row r="49" spans="1:34">
      <c r="A49" s="2432"/>
      <c r="B49" s="2747"/>
      <c r="C49" s="2748"/>
      <c r="D49" s="2749"/>
      <c r="E49" s="2409"/>
      <c r="F49" s="2750"/>
      <c r="G49" s="662"/>
      <c r="H49" s="2431"/>
      <c r="I49" s="2350"/>
      <c r="J49" s="2431"/>
      <c r="K49" s="2350"/>
      <c r="L49" s="2431"/>
      <c r="M49" s="2350"/>
      <c r="N49" s="2431"/>
      <c r="O49" s="2350"/>
      <c r="P49" s="2431"/>
      <c r="Q49" s="2350"/>
      <c r="R49" s="2431"/>
      <c r="S49" s="2350"/>
    </row>
    <row r="50" spans="1:34" ht="15.75" thickBot="1">
      <c r="A50" s="2432"/>
      <c r="B50" s="2747"/>
      <c r="C50" s="2748"/>
      <c r="D50" s="2749"/>
      <c r="E50" s="2409"/>
      <c r="F50" s="2750"/>
      <c r="G50" s="662"/>
      <c r="H50" s="2431"/>
      <c r="I50" s="2350"/>
      <c r="J50" s="2431"/>
      <c r="K50" s="2349"/>
      <c r="L50" s="2431"/>
      <c r="M50" s="2349"/>
      <c r="N50" s="2431"/>
      <c r="O50" s="2349"/>
      <c r="P50" s="2431"/>
      <c r="Q50" s="2349"/>
      <c r="R50" s="2431"/>
      <c r="S50" s="2349"/>
    </row>
    <row r="51" spans="1:34" ht="15.75" thickTop="1">
      <c r="A51" s="13"/>
      <c r="B51" s="226" t="s">
        <v>3265</v>
      </c>
      <c r="C51" s="15"/>
      <c r="D51" s="168"/>
      <c r="E51" s="176"/>
      <c r="F51" s="17"/>
      <c r="G51" s="227">
        <f>SUBTOTAL(9,G22:G50)</f>
        <v>28550</v>
      </c>
      <c r="H51" s="19"/>
      <c r="I51" s="225">
        <f>SUBTOTAL(9,I22:I50)</f>
        <v>28550</v>
      </c>
      <c r="J51" s="19"/>
      <c r="K51" s="164">
        <f>SUM(K19:K50)</f>
        <v>0</v>
      </c>
      <c r="L51" s="19"/>
      <c r="M51" s="164">
        <f>SUM(M19:M50)</f>
        <v>0</v>
      </c>
      <c r="N51" s="19"/>
      <c r="O51" s="164">
        <f>SUM(O19:O50)</f>
        <v>0</v>
      </c>
      <c r="P51" s="19"/>
      <c r="Q51" s="164">
        <f>SUM(Q19:Q50)</f>
        <v>0</v>
      </c>
      <c r="R51" s="19"/>
      <c r="S51" s="164">
        <f>SUM(S19:S50)</f>
        <v>0</v>
      </c>
    </row>
    <row r="52" spans="1:34">
      <c r="A52" s="2751"/>
      <c r="B52" s="2752" t="s">
        <v>2976</v>
      </c>
      <c r="C52" s="2753"/>
      <c r="D52" s="2754"/>
      <c r="E52" s="2755"/>
      <c r="F52" s="2756"/>
      <c r="G52" s="654"/>
      <c r="H52" s="2364">
        <v>0</v>
      </c>
      <c r="I52" s="645"/>
      <c r="J52" s="2364">
        <v>0</v>
      </c>
      <c r="K52" s="645"/>
      <c r="L52" s="2364">
        <v>0</v>
      </c>
      <c r="M52" s="645"/>
      <c r="N52" s="2364">
        <v>0</v>
      </c>
      <c r="O52" s="645"/>
      <c r="P52" s="2364">
        <v>0</v>
      </c>
      <c r="Q52" s="645"/>
      <c r="R52" s="2364">
        <v>0</v>
      </c>
      <c r="S52" s="645"/>
    </row>
    <row r="53" spans="1:34">
      <c r="A53" s="2751"/>
      <c r="B53" s="2752" t="s">
        <v>2977</v>
      </c>
      <c r="C53" s="2753"/>
      <c r="D53" s="2754"/>
      <c r="E53" s="2755"/>
      <c r="F53" s="2756"/>
      <c r="G53" s="654">
        <f>F52*G51</f>
        <v>0</v>
      </c>
      <c r="H53" s="2365"/>
      <c r="I53" s="2366">
        <f>H52*I51</f>
        <v>0</v>
      </c>
      <c r="J53" s="2365"/>
      <c r="K53" s="2366">
        <f>J52*K51</f>
        <v>0</v>
      </c>
      <c r="L53" s="2365"/>
      <c r="M53" s="2366">
        <f>L52*M51</f>
        <v>0</v>
      </c>
      <c r="N53" s="2365"/>
      <c r="O53" s="2366">
        <f>N52*O51</f>
        <v>0</v>
      </c>
      <c r="P53" s="2365"/>
      <c r="Q53" s="2366">
        <f>P52*Q51</f>
        <v>0</v>
      </c>
      <c r="R53" s="2365"/>
      <c r="S53" s="2366">
        <f>R52*S51</f>
        <v>0</v>
      </c>
    </row>
    <row r="54" spans="1:34">
      <c r="A54" s="2751"/>
      <c r="B54" s="2752"/>
      <c r="C54" s="2753"/>
      <c r="D54" s="2754"/>
      <c r="E54" s="2755"/>
      <c r="F54" s="2756"/>
      <c r="G54" s="654"/>
      <c r="H54" s="2365"/>
      <c r="I54" s="2366"/>
      <c r="J54" s="2365"/>
      <c r="K54" s="2366"/>
      <c r="L54" s="2365"/>
      <c r="M54" s="2366"/>
      <c r="N54" s="2365"/>
      <c r="O54" s="2366"/>
      <c r="P54" s="2365"/>
      <c r="Q54" s="2366"/>
      <c r="R54" s="2365"/>
      <c r="S54" s="2366"/>
    </row>
    <row r="55" spans="1:34">
      <c r="A55" s="2751"/>
      <c r="B55" s="2752" t="s">
        <v>2978</v>
      </c>
      <c r="C55" s="2753"/>
      <c r="D55" s="2754"/>
      <c r="E55" s="2755"/>
      <c r="F55" s="2756"/>
      <c r="G55" s="654">
        <f>SUM(G51:G53)</f>
        <v>28550</v>
      </c>
      <c r="H55" s="2367"/>
      <c r="I55" s="2366">
        <f>SUM(I51:I53)</f>
        <v>28550</v>
      </c>
      <c r="J55" s="2367"/>
      <c r="K55" s="2366">
        <f>SUM(K51:K53)</f>
        <v>0</v>
      </c>
      <c r="L55" s="2367"/>
      <c r="M55" s="2366">
        <f>SUM(M51:M53)</f>
        <v>0</v>
      </c>
      <c r="N55" s="2367"/>
      <c r="O55" s="2366">
        <f>SUM(O51:O53)</f>
        <v>0</v>
      </c>
      <c r="P55" s="2367"/>
      <c r="Q55" s="2366">
        <f>SUM(Q51:Q53)</f>
        <v>0</v>
      </c>
      <c r="R55" s="2367"/>
      <c r="S55" s="2366">
        <f>SUM(S51:S53)</f>
        <v>0</v>
      </c>
    </row>
    <row r="56" spans="1:34">
      <c r="A56" s="2751"/>
      <c r="B56" s="2368" t="s">
        <v>2979</v>
      </c>
      <c r="C56" s="2753"/>
      <c r="D56" s="2754"/>
      <c r="E56" s="2755"/>
      <c r="F56" s="2368"/>
      <c r="G56" s="655">
        <v>0.33142180534918275</v>
      </c>
      <c r="H56" s="2369"/>
      <c r="I56" s="2370">
        <v>0.33142180534918275</v>
      </c>
      <c r="J56" s="2369"/>
      <c r="K56" s="2370">
        <v>0</v>
      </c>
      <c r="L56" s="2369"/>
      <c r="M56" s="2370">
        <v>0</v>
      </c>
      <c r="N56" s="2369"/>
      <c r="O56" s="2370">
        <v>0</v>
      </c>
      <c r="P56" s="2369"/>
      <c r="Q56" s="2370">
        <v>0</v>
      </c>
      <c r="R56" s="2371"/>
      <c r="S56" s="2370">
        <v>0</v>
      </c>
    </row>
    <row r="57" spans="1:34">
      <c r="A57" s="2751"/>
      <c r="B57" s="2372"/>
      <c r="C57" s="2753"/>
      <c r="D57" s="2754"/>
      <c r="E57" s="2755"/>
      <c r="F57" s="2756"/>
      <c r="G57" s="656"/>
      <c r="H57" s="2373"/>
      <c r="I57" s="2374"/>
      <c r="J57" s="2373"/>
      <c r="K57" s="2373"/>
      <c r="L57" s="2373"/>
      <c r="M57" s="2373"/>
      <c r="N57" s="2373"/>
      <c r="O57" s="2373"/>
      <c r="P57" s="2373"/>
      <c r="Q57" s="2373"/>
      <c r="R57" s="2373"/>
      <c r="S57" s="2373"/>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2661"/>
      <c r="B59" s="2406"/>
      <c r="C59" s="2662"/>
      <c r="D59" s="2663"/>
      <c r="E59" s="2664"/>
      <c r="F59" s="2662"/>
      <c r="G59" s="2665"/>
      <c r="H59" s="2757"/>
      <c r="I59" s="2757"/>
      <c r="J59" s="2757"/>
      <c r="K59" s="2757"/>
      <c r="L59" s="2757"/>
      <c r="M59" s="2757"/>
      <c r="N59" s="2757"/>
      <c r="O59" s="2757"/>
      <c r="P59" s="2757"/>
      <c r="Q59" s="2757"/>
      <c r="R59" s="2757"/>
      <c r="S59" s="2757"/>
    </row>
    <row r="60" spans="1:34" hidden="1">
      <c r="A60" s="2661"/>
      <c r="B60" s="2406"/>
      <c r="C60" s="2662"/>
      <c r="D60" s="2663"/>
      <c r="E60" s="2664"/>
      <c r="F60" s="2662"/>
      <c r="G60" s="2665"/>
      <c r="H60" s="2757"/>
      <c r="I60" s="2757"/>
      <c r="J60" s="2757"/>
      <c r="K60" s="2757"/>
      <c r="L60" s="2757"/>
      <c r="M60" s="2757"/>
      <c r="N60" s="2757"/>
      <c r="O60" s="2757"/>
      <c r="P60" s="2757"/>
      <c r="Q60" s="2757"/>
      <c r="R60" s="2757"/>
      <c r="S60" s="2757"/>
    </row>
    <row r="61" spans="1:34" ht="15.75" hidden="1" thickBot="1">
      <c r="A61" s="2661"/>
      <c r="B61" s="2406"/>
      <c r="C61" s="2662"/>
      <c r="D61" s="2663"/>
      <c r="E61" s="2664"/>
      <c r="F61" s="2662"/>
      <c r="G61" s="2665"/>
      <c r="H61" s="2757"/>
      <c r="I61" s="2757"/>
      <c r="J61" s="2757"/>
      <c r="K61" s="2757"/>
      <c r="L61" s="2757"/>
      <c r="M61" s="2757"/>
      <c r="N61" s="2757"/>
      <c r="O61" s="2757"/>
      <c r="P61" s="2757"/>
      <c r="Q61" s="2757"/>
      <c r="R61" s="2757"/>
      <c r="S61" s="2757"/>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2661"/>
      <c r="B63" s="2406"/>
      <c r="C63" s="2662"/>
      <c r="D63" s="2663"/>
      <c r="E63" s="2664"/>
      <c r="F63" s="2662"/>
      <c r="G63" s="2665"/>
      <c r="H63" s="2757"/>
      <c r="I63" s="2757"/>
      <c r="J63" s="2757"/>
      <c r="K63" s="2757"/>
      <c r="L63" s="2757"/>
      <c r="M63" s="2757"/>
      <c r="N63" s="2757"/>
      <c r="O63" s="2757"/>
      <c r="P63" s="2757"/>
      <c r="Q63" s="2757"/>
      <c r="R63" s="2757"/>
      <c r="S63" s="2757"/>
      <c r="T63"/>
      <c r="U63"/>
      <c r="V63"/>
      <c r="W63"/>
      <c r="X63"/>
      <c r="Y63"/>
      <c r="Z63"/>
      <c r="AA63"/>
      <c r="AB63"/>
      <c r="AC63"/>
      <c r="AD63"/>
      <c r="AE63"/>
      <c r="AF63"/>
      <c r="AG63"/>
      <c r="AH63"/>
    </row>
    <row r="64" spans="1:34" s="2" customFormat="1" hidden="1">
      <c r="A64" s="2661"/>
      <c r="B64" s="2406"/>
      <c r="C64" s="2662"/>
      <c r="D64" s="2663"/>
      <c r="E64" s="2664"/>
      <c r="F64" s="2662"/>
      <c r="G64" s="2665"/>
      <c r="H64" s="2757"/>
      <c r="I64" s="2757"/>
      <c r="J64" s="2757"/>
      <c r="K64" s="2757"/>
      <c r="L64" s="2757"/>
      <c r="M64" s="2757"/>
      <c r="N64" s="2757"/>
      <c r="O64" s="2757"/>
      <c r="P64" s="2757"/>
      <c r="Q64" s="2757"/>
      <c r="R64" s="2757"/>
      <c r="S64" s="2757"/>
      <c r="T64"/>
      <c r="U64"/>
      <c r="V64"/>
      <c r="W64"/>
      <c r="X64"/>
      <c r="Y64"/>
      <c r="Z64"/>
      <c r="AA64"/>
      <c r="AB64"/>
      <c r="AC64"/>
      <c r="AD64"/>
      <c r="AE64"/>
      <c r="AF64"/>
      <c r="AG64"/>
      <c r="AH64"/>
    </row>
    <row r="65" spans="1:34" ht="15.75" hidden="1" thickBot="1">
      <c r="A65" s="2661"/>
      <c r="B65" s="2406"/>
      <c r="C65" s="2662"/>
      <c r="D65" s="2663"/>
      <c r="E65" s="2664"/>
      <c r="F65" s="2662"/>
      <c r="G65" s="2665"/>
      <c r="H65" s="2757"/>
      <c r="I65" s="2757"/>
      <c r="J65" s="2757"/>
      <c r="K65" s="2757"/>
      <c r="L65" s="2757"/>
      <c r="M65" s="2757"/>
      <c r="N65" s="2757"/>
      <c r="O65" s="2757"/>
      <c r="P65" s="2757"/>
      <c r="Q65" s="2757"/>
      <c r="R65" s="2757"/>
      <c r="S65" s="2757"/>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2661"/>
      <c r="B67" s="2406"/>
      <c r="C67" s="2662"/>
      <c r="D67" s="2663"/>
      <c r="E67" s="2664"/>
      <c r="F67" s="2662"/>
      <c r="G67" s="2665"/>
      <c r="H67" s="2757"/>
      <c r="I67" s="2757"/>
      <c r="J67" s="2757"/>
      <c r="K67" s="2757"/>
      <c r="L67" s="2757"/>
      <c r="M67" s="2757"/>
      <c r="N67" s="2757"/>
      <c r="O67" s="2757"/>
      <c r="P67" s="2757"/>
      <c r="Q67" s="2757"/>
      <c r="R67" s="2757"/>
      <c r="S67" s="2757"/>
      <c r="T67"/>
      <c r="U67"/>
      <c r="V67"/>
      <c r="W67"/>
      <c r="X67"/>
      <c r="Y67"/>
      <c r="Z67"/>
      <c r="AA67"/>
      <c r="AB67"/>
      <c r="AC67"/>
      <c r="AD67"/>
      <c r="AE67"/>
      <c r="AF67"/>
      <c r="AG67"/>
      <c r="AH67"/>
    </row>
    <row r="68" spans="1:34" s="2" customFormat="1" hidden="1">
      <c r="A68" s="2758"/>
      <c r="B68" s="2406"/>
      <c r="C68" s="2407"/>
      <c r="D68" s="2408"/>
      <c r="E68" s="2409"/>
      <c r="F68" s="2407"/>
      <c r="G68" s="2759"/>
      <c r="H68" s="2760"/>
      <c r="I68" s="2760"/>
      <c r="J68" s="2760"/>
      <c r="K68" s="2760"/>
      <c r="L68" s="2760"/>
      <c r="M68" s="2760"/>
      <c r="N68" s="2760"/>
      <c r="O68" s="2760"/>
      <c r="P68" s="2760"/>
      <c r="Q68" s="2760"/>
      <c r="R68" s="2760"/>
      <c r="S68" s="2760"/>
      <c r="T68"/>
      <c r="U68"/>
      <c r="V68"/>
      <c r="W68"/>
      <c r="X68"/>
      <c r="Y68"/>
      <c r="Z68"/>
      <c r="AA68"/>
      <c r="AB68"/>
      <c r="AC68"/>
      <c r="AD68"/>
      <c r="AE68"/>
      <c r="AF68"/>
      <c r="AG68"/>
      <c r="AH68"/>
    </row>
    <row r="69" spans="1:34" s="2" customFormat="1" ht="15.75" hidden="1" thickBot="1">
      <c r="A69" s="2761"/>
      <c r="B69" s="2762"/>
      <c r="C69" s="2407"/>
      <c r="D69" s="2408"/>
      <c r="E69" s="2409"/>
      <c r="F69" s="2407"/>
      <c r="G69" s="2759"/>
      <c r="H69" s="2763"/>
      <c r="I69" s="2763"/>
      <c r="J69" s="2763"/>
      <c r="K69" s="2763"/>
      <c r="L69" s="2763"/>
      <c r="M69" s="2763"/>
      <c r="N69" s="2763"/>
      <c r="O69" s="2763"/>
      <c r="P69" s="2763"/>
      <c r="Q69" s="2763"/>
      <c r="R69" s="2763"/>
      <c r="S69" s="2763"/>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2667"/>
      <c r="B71" s="2668"/>
      <c r="C71" s="2662"/>
      <c r="D71" s="2663"/>
      <c r="E71" s="2664"/>
      <c r="F71" s="2662"/>
      <c r="G71" s="2665"/>
      <c r="H71" s="2757"/>
      <c r="I71" s="2757"/>
      <c r="J71" s="2757"/>
      <c r="K71" s="2757"/>
      <c r="L71" s="2757"/>
      <c r="M71" s="2757"/>
      <c r="N71" s="2757"/>
      <c r="O71" s="2757"/>
      <c r="P71" s="2757"/>
      <c r="Q71" s="2757"/>
      <c r="R71" s="2757"/>
      <c r="S71" s="2757"/>
      <c r="T71" s="2"/>
      <c r="U71" s="2"/>
      <c r="V71" s="2"/>
      <c r="W71" s="2"/>
      <c r="X71" s="2"/>
      <c r="Y71" s="2"/>
      <c r="Z71" s="2"/>
      <c r="AA71" s="2"/>
      <c r="AB71" s="2"/>
      <c r="AC71" s="2"/>
      <c r="AD71" s="2"/>
      <c r="AE71" s="2"/>
      <c r="AF71" s="2"/>
      <c r="AG71" s="2"/>
      <c r="AH71" s="2"/>
    </row>
    <row r="72" spans="1:34" hidden="1">
      <c r="A72" s="2761"/>
      <c r="B72" s="2762"/>
      <c r="C72" s="2407"/>
      <c r="D72" s="2408"/>
      <c r="E72" s="2409"/>
      <c r="F72" s="2407"/>
      <c r="G72" s="2759"/>
      <c r="H72" s="2764"/>
      <c r="I72" s="2764"/>
      <c r="J72" s="2764"/>
      <c r="K72" s="2764"/>
      <c r="L72" s="2764"/>
      <c r="M72" s="2764"/>
      <c r="N72" s="2764"/>
      <c r="O72" s="2764"/>
      <c r="P72" s="2764"/>
      <c r="Q72" s="2764"/>
      <c r="R72" s="2764"/>
      <c r="S72" s="2764"/>
      <c r="T72" s="2"/>
      <c r="U72" s="2"/>
      <c r="V72" s="2"/>
      <c r="W72" s="2"/>
      <c r="X72" s="2"/>
      <c r="Y72" s="2"/>
      <c r="Z72" s="2"/>
      <c r="AA72" s="2"/>
      <c r="AB72" s="2"/>
      <c r="AC72" s="2"/>
      <c r="AD72" s="2"/>
      <c r="AE72" s="2"/>
      <c r="AF72" s="2"/>
      <c r="AG72" s="2"/>
      <c r="AH72" s="2"/>
    </row>
    <row r="73" spans="1:34" ht="15.75" hidden="1" thickBot="1">
      <c r="A73" s="2761"/>
      <c r="B73" s="2762"/>
      <c r="C73" s="2407"/>
      <c r="D73" s="2408"/>
      <c r="E73" s="2409"/>
      <c r="F73" s="2407"/>
      <c r="G73" s="2759"/>
      <c r="H73" s="2764"/>
      <c r="I73" s="2764"/>
      <c r="J73" s="2764"/>
      <c r="K73" s="2764"/>
      <c r="L73" s="2764"/>
      <c r="M73" s="2764"/>
      <c r="N73" s="2764"/>
      <c r="O73" s="2764"/>
      <c r="P73" s="2764"/>
      <c r="Q73" s="2764"/>
      <c r="R73" s="2764"/>
      <c r="S73" s="2764"/>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2758"/>
      <c r="B75" s="2406" t="s">
        <v>2985</v>
      </c>
      <c r="C75" s="2407"/>
      <c r="D75" s="2408"/>
      <c r="E75" s="2409"/>
      <c r="F75" s="2407"/>
      <c r="G75" s="2759"/>
      <c r="H75" s="2764"/>
      <c r="I75" s="2764"/>
      <c r="J75" s="2764"/>
      <c r="K75" s="2764"/>
      <c r="L75" s="2764"/>
      <c r="M75" s="2764"/>
      <c r="N75" s="2764"/>
      <c r="O75" s="2764"/>
      <c r="P75" s="2764"/>
      <c r="Q75" s="2764"/>
      <c r="R75" s="2764"/>
      <c r="S75" s="2764"/>
    </row>
    <row r="76" spans="1:34" hidden="1">
      <c r="A76" s="2758"/>
      <c r="B76" s="2406" t="s">
        <v>2986</v>
      </c>
      <c r="C76" s="2407"/>
      <c r="D76" s="2408"/>
      <c r="E76" s="2409"/>
      <c r="F76" s="2407"/>
      <c r="G76" s="2759"/>
      <c r="H76" s="2764"/>
      <c r="I76" s="2764"/>
      <c r="J76" s="2764"/>
      <c r="K76" s="2764"/>
      <c r="L76" s="2764"/>
      <c r="M76" s="2764"/>
      <c r="N76" s="2764"/>
      <c r="O76" s="2764"/>
      <c r="P76" s="2764"/>
      <c r="Q76" s="2764"/>
      <c r="R76" s="2764"/>
      <c r="S76" s="2764"/>
    </row>
    <row r="77" spans="1:34" hidden="1">
      <c r="A77" s="2758"/>
      <c r="B77" s="2406" t="s">
        <v>2987</v>
      </c>
      <c r="C77" s="2407"/>
      <c r="D77" s="2408"/>
      <c r="E77" s="2409"/>
      <c r="F77" s="2407"/>
      <c r="G77" s="2759"/>
      <c r="H77" s="2764"/>
      <c r="I77" s="2764"/>
      <c r="J77" s="2764"/>
      <c r="K77" s="2764"/>
      <c r="L77" s="2764"/>
      <c r="M77" s="2764"/>
      <c r="N77" s="2764"/>
      <c r="O77" s="2764"/>
      <c r="P77" s="2764"/>
      <c r="Q77" s="2764"/>
      <c r="R77" s="2764"/>
      <c r="S77" s="2764"/>
    </row>
    <row r="78" spans="1:34" hidden="1">
      <c r="A78" s="2758"/>
      <c r="B78" s="2406" t="s">
        <v>2988</v>
      </c>
      <c r="C78" s="2407"/>
      <c r="D78" s="2408"/>
      <c r="E78" s="2409"/>
      <c r="F78" s="2407"/>
      <c r="G78" s="2759"/>
      <c r="H78" s="2764"/>
      <c r="I78" s="2764"/>
      <c r="J78" s="2764"/>
      <c r="K78" s="2764"/>
      <c r="L78" s="2764"/>
      <c r="M78" s="2764"/>
      <c r="N78" s="2764"/>
      <c r="O78" s="2764"/>
      <c r="P78" s="2764"/>
      <c r="Q78" s="2764"/>
      <c r="R78" s="2764"/>
      <c r="S78" s="2764"/>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2661"/>
      <c r="B81" s="2647" t="s">
        <v>2990</v>
      </c>
      <c r="C81" s="2662"/>
      <c r="D81" s="2663"/>
      <c r="E81" s="2664"/>
      <c r="F81" s="2662"/>
      <c r="G81" s="2665"/>
      <c r="H81" s="2735"/>
      <c r="I81" s="2735"/>
      <c r="J81" s="2735"/>
      <c r="K81" s="2735"/>
      <c r="L81" s="2735"/>
      <c r="M81" s="2735"/>
      <c r="N81" s="2735"/>
      <c r="O81" s="2735"/>
      <c r="P81" s="2735"/>
      <c r="Q81" s="2735"/>
      <c r="R81" s="2735"/>
      <c r="S81" s="2735"/>
    </row>
    <row r="82" spans="1:19" hidden="1">
      <c r="A82" s="2758"/>
      <c r="B82" s="2406" t="s">
        <v>2991</v>
      </c>
      <c r="C82" s="2407"/>
      <c r="D82" s="2408"/>
      <c r="E82" s="2409"/>
      <c r="F82" s="2407"/>
      <c r="G82" s="2759"/>
      <c r="H82" s="2765"/>
      <c r="I82" s="2765"/>
      <c r="J82" s="2765"/>
      <c r="K82" s="2765"/>
      <c r="L82" s="2765"/>
      <c r="M82" s="2765"/>
      <c r="N82" s="2765"/>
      <c r="O82" s="2765"/>
      <c r="P82" s="2765"/>
      <c r="Q82" s="2765"/>
      <c r="R82" s="2765"/>
      <c r="S82" s="2765"/>
    </row>
    <row r="83" spans="1:19" ht="15.75" hidden="1" thickBot="1">
      <c r="A83" s="2766"/>
      <c r="B83" s="2424" t="s">
        <v>2992</v>
      </c>
      <c r="C83" s="2425"/>
      <c r="D83" s="2767"/>
      <c r="E83" s="2768"/>
      <c r="F83" s="2425"/>
      <c r="G83" s="2769"/>
      <c r="H83" s="2770"/>
      <c r="I83" s="2770"/>
      <c r="J83" s="2770"/>
      <c r="K83" s="2770"/>
      <c r="L83" s="2770"/>
      <c r="M83" s="2770"/>
      <c r="N83" s="2770"/>
      <c r="O83" s="2770"/>
      <c r="P83" s="2770"/>
      <c r="Q83" s="2770"/>
      <c r="R83" s="2770"/>
      <c r="S83" s="2770"/>
    </row>
    <row r="84" spans="1:19" ht="15.75" thickBot="1"/>
    <row r="85" spans="1:19" ht="16.5" thickTop="1" thickBot="1">
      <c r="A85" s="59" t="s">
        <v>2993</v>
      </c>
      <c r="B85" s="61"/>
    </row>
    <row r="86" spans="1:19" ht="15.75" thickTop="1">
      <c r="A86" s="60" t="s">
        <v>2936</v>
      </c>
      <c r="B86" s="2771"/>
    </row>
    <row r="87" spans="1:19">
      <c r="A87" s="2772" t="s">
        <v>2939</v>
      </c>
      <c r="B87" s="2771"/>
    </row>
    <row r="88" spans="1:19">
      <c r="A88" s="2773" t="s">
        <v>2941</v>
      </c>
      <c r="B88" s="2774"/>
    </row>
    <row r="89" spans="1:19">
      <c r="A89" s="2773" t="s">
        <v>2943</v>
      </c>
      <c r="B89" s="2775"/>
    </row>
    <row r="90" spans="1:19" ht="15.75" thickBot="1">
      <c r="A90" s="2776" t="s">
        <v>2994</v>
      </c>
      <c r="B90" s="2777">
        <f>$I$55</f>
        <v>28550</v>
      </c>
    </row>
    <row r="91" spans="1:19" ht="15.75" thickTop="1"/>
    <row r="92" spans="1:19">
      <c r="A92" s="62"/>
      <c r="B92" s="1" t="s">
        <v>2995</v>
      </c>
    </row>
    <row r="93" spans="1:19">
      <c r="A93" s="63"/>
      <c r="B93" s="1" t="s">
        <v>2996</v>
      </c>
    </row>
  </sheetData>
  <mergeCells count="35">
    <mergeCell ref="A58:B58"/>
    <mergeCell ref="A62:B62"/>
    <mergeCell ref="A66:B66"/>
    <mergeCell ref="A70:B70"/>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 ref="A74:B74"/>
    <mergeCell ref="R5:S5"/>
    <mergeCell ref="H5:I5"/>
    <mergeCell ref="J5:K5"/>
    <mergeCell ref="L5:M5"/>
    <mergeCell ref="N5:O5"/>
    <mergeCell ref="P5:Q5"/>
    <mergeCell ref="R7:S7"/>
    <mergeCell ref="H6:I6"/>
    <mergeCell ref="J6:K6"/>
    <mergeCell ref="L6:M6"/>
    <mergeCell ref="N6:O6"/>
    <mergeCell ref="P6:Q6"/>
    <mergeCell ref="R6:S6"/>
    <mergeCell ref="H7:I7"/>
    <mergeCell ref="J7:K7"/>
  </mergeCells>
  <conditionalFormatting sqref="H11:H18 J11:J18 L11:L18 N11:N18 P11:P18 R11:R18 H20:H50 J20:J50 L20:L50 N20:N50 P20:P50 R20:R50">
    <cfRule type="cellIs" dxfId="113" priority="3" operator="equal">
      <formula>"X"</formula>
    </cfRule>
    <cfRule type="cellIs" dxfId="112" priority="4" operator="equal">
      <formula>"I"</formula>
    </cfRule>
  </conditionalFormatting>
  <hyperlinks>
    <hyperlink ref="B4" location="'Cost Summary'!A1" display="BACK TO SUMMARY SHEET" xr:uid="{22A13755-4AFD-4739-9535-B81AF3DFEB0F}"/>
  </hyperlinks>
  <pageMargins left="0.2" right="0.2" top="0.5" bottom="0.75" header="0.3" footer="0.3"/>
  <pageSetup paperSize="3" scale="77" fitToHeight="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7741E-8D1A-49F2-A427-E25290A10AB1}">
  <sheetPr>
    <tabColor rgb="FF00B050"/>
    <pageSetUpPr fitToPage="1"/>
  </sheetPr>
  <dimension ref="A1:AH108"/>
  <sheetViews>
    <sheetView zoomScale="90" zoomScaleNormal="90" workbookViewId="0">
      <pane ySplit="10" topLeftCell="A20" activePane="bottomLeft" state="frozen"/>
      <selection pane="bottomLeft" activeCell="G24" sqref="G24"/>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6025</v>
      </c>
      <c r="I5" s="838"/>
      <c r="J5" s="837" t="s">
        <v>6026</v>
      </c>
      <c r="K5" s="838"/>
      <c r="L5" s="841"/>
      <c r="M5" s="842"/>
      <c r="N5" s="841"/>
      <c r="O5" s="842"/>
      <c r="P5" s="841"/>
      <c r="Q5" s="842"/>
      <c r="R5" s="841"/>
      <c r="S5" s="842"/>
    </row>
    <row r="6" spans="1:19">
      <c r="A6" s="2778" t="s">
        <v>2938</v>
      </c>
      <c r="B6" s="2406" t="s">
        <v>2584</v>
      </c>
      <c r="C6" s="2407"/>
      <c r="D6" s="2408"/>
      <c r="E6" s="2409"/>
      <c r="F6" s="2407"/>
      <c r="G6" s="657" t="s">
        <v>2939</v>
      </c>
      <c r="H6" s="2779" t="s">
        <v>6027</v>
      </c>
      <c r="I6" s="839"/>
      <c r="J6" s="2779" t="s">
        <v>6028</v>
      </c>
      <c r="K6" s="839"/>
      <c r="L6" s="2780"/>
      <c r="M6" s="843"/>
      <c r="N6" s="2780"/>
      <c r="O6" s="843"/>
      <c r="P6" s="2780"/>
      <c r="Q6" s="843"/>
      <c r="R6" s="2780"/>
      <c r="S6" s="843"/>
    </row>
    <row r="7" spans="1:19">
      <c r="A7" s="2778" t="s">
        <v>2940</v>
      </c>
      <c r="B7" s="2413" t="s">
        <v>2656</v>
      </c>
      <c r="C7" s="2407"/>
      <c r="D7" s="2408"/>
      <c r="E7" s="2409"/>
      <c r="F7" s="2407"/>
      <c r="G7" s="2781" t="s">
        <v>2941</v>
      </c>
      <c r="H7" s="2782" t="s">
        <v>6029</v>
      </c>
      <c r="I7" s="840"/>
      <c r="J7" s="2782" t="s">
        <v>6030</v>
      </c>
      <c r="K7" s="840"/>
      <c r="L7" s="2783"/>
      <c r="M7" s="844"/>
      <c r="N7" s="2783"/>
      <c r="O7" s="844"/>
      <c r="P7" s="2783"/>
      <c r="Q7" s="844"/>
      <c r="R7" s="2783"/>
      <c r="S7" s="844"/>
    </row>
    <row r="8" spans="1:19">
      <c r="A8" s="2778" t="s">
        <v>2942</v>
      </c>
      <c r="B8" s="2418"/>
      <c r="C8" s="2407"/>
      <c r="D8" s="2408"/>
      <c r="E8" s="2409"/>
      <c r="F8" s="2407"/>
      <c r="G8" s="2781" t="s">
        <v>2943</v>
      </c>
      <c r="H8" s="2784" t="s">
        <v>6031</v>
      </c>
      <c r="I8" s="836"/>
      <c r="J8" s="2784" t="s">
        <v>6032</v>
      </c>
      <c r="K8" s="836"/>
      <c r="L8" s="2785"/>
      <c r="M8" s="845"/>
      <c r="N8" s="2785"/>
      <c r="O8" s="845"/>
      <c r="P8" s="2785"/>
      <c r="Q8" s="845"/>
      <c r="R8" s="2785"/>
      <c r="S8" s="845"/>
    </row>
    <row r="9" spans="1:19" ht="15.75" thickBot="1">
      <c r="A9" s="2786"/>
      <c r="B9" s="2787"/>
      <c r="C9" s="616"/>
      <c r="D9" s="621"/>
      <c r="E9" s="622"/>
      <c r="F9" s="2788"/>
      <c r="G9" s="2789" t="s">
        <v>2944</v>
      </c>
      <c r="H9" s="2790">
        <f>I$70</f>
        <v>414093.8</v>
      </c>
      <c r="I9" s="2791"/>
      <c r="J9" s="2792">
        <f>K$70</f>
        <v>540519.64</v>
      </c>
      <c r="K9" s="2793"/>
      <c r="L9" s="2790">
        <f t="shared" ref="L9" si="0">M$70</f>
        <v>0</v>
      </c>
      <c r="M9" s="2791"/>
      <c r="N9" s="2790">
        <f t="shared" ref="N9" si="1">O$70</f>
        <v>0</v>
      </c>
      <c r="O9" s="2791"/>
      <c r="P9" s="2790">
        <f t="shared" ref="P9" si="2">Q$70</f>
        <v>0</v>
      </c>
      <c r="Q9" s="2791"/>
      <c r="R9" s="2790">
        <f t="shared" ref="R9" si="3">S$70</f>
        <v>0</v>
      </c>
      <c r="S9" s="2791"/>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49"/>
      <c r="B11" s="2182" t="s">
        <v>2953</v>
      </c>
      <c r="C11" s="659"/>
      <c r="D11" s="2408"/>
      <c r="E11" s="2409"/>
      <c r="F11" s="2407"/>
      <c r="G11" s="660"/>
      <c r="H11" s="2794"/>
      <c r="I11" s="182"/>
      <c r="J11" s="2794"/>
      <c r="K11" s="2338"/>
      <c r="L11" s="2794"/>
      <c r="M11" s="2339"/>
      <c r="N11" s="2794"/>
      <c r="O11" s="2339"/>
      <c r="P11" s="2794"/>
      <c r="Q11" s="2339"/>
      <c r="R11" s="2794"/>
      <c r="S11" s="2339"/>
    </row>
    <row r="12" spans="1:19">
      <c r="A12" s="2650"/>
      <c r="B12" s="2740" t="s">
        <v>2954</v>
      </c>
      <c r="C12" s="2407"/>
      <c r="D12" s="2408"/>
      <c r="E12" s="2409"/>
      <c r="F12" s="2407"/>
      <c r="G12" s="660"/>
      <c r="H12" s="2794"/>
      <c r="I12" s="2339"/>
      <c r="J12" s="2794"/>
      <c r="K12" s="2338"/>
      <c r="L12" s="2794"/>
      <c r="M12" s="2339"/>
      <c r="N12" s="2794"/>
      <c r="O12" s="2339"/>
      <c r="P12" s="2794"/>
      <c r="Q12" s="2339"/>
      <c r="R12" s="2794"/>
      <c r="S12" s="2339"/>
    </row>
    <row r="13" spans="1:19">
      <c r="A13" s="2795"/>
      <c r="B13" s="2741" t="s">
        <v>2955</v>
      </c>
      <c r="C13" s="2407"/>
      <c r="D13" s="2408"/>
      <c r="E13" s="2409"/>
      <c r="F13" s="2407"/>
      <c r="G13" s="660"/>
      <c r="H13" s="2794"/>
      <c r="I13" s="2339"/>
      <c r="J13" s="2794"/>
      <c r="K13" s="2338"/>
      <c r="L13" s="2794"/>
      <c r="M13" s="2339"/>
      <c r="N13" s="2794"/>
      <c r="O13" s="2339"/>
      <c r="P13" s="2794"/>
      <c r="Q13" s="2339"/>
      <c r="R13" s="2794"/>
      <c r="S13" s="2339"/>
    </row>
    <row r="14" spans="1:19">
      <c r="A14" s="2795"/>
      <c r="B14" s="2742" t="s">
        <v>2956</v>
      </c>
      <c r="C14" s="2407"/>
      <c r="D14" s="2408"/>
      <c r="E14" s="2409"/>
      <c r="F14" s="2407"/>
      <c r="G14" s="660"/>
      <c r="H14" s="2794"/>
      <c r="I14" s="2339"/>
      <c r="J14" s="2794"/>
      <c r="K14" s="2338"/>
      <c r="L14" s="2794"/>
      <c r="M14" s="2339"/>
      <c r="N14" s="2794"/>
      <c r="O14" s="2339"/>
      <c r="P14" s="2794"/>
      <c r="Q14" s="2339"/>
      <c r="R14" s="2794"/>
      <c r="S14" s="2339"/>
    </row>
    <row r="15" spans="1:19">
      <c r="A15" s="2795"/>
      <c r="B15" s="2742" t="s">
        <v>2957</v>
      </c>
      <c r="C15" s="2407"/>
      <c r="D15" s="2408"/>
      <c r="E15" s="2409"/>
      <c r="F15" s="2407"/>
      <c r="G15" s="660"/>
      <c r="H15" s="2794"/>
      <c r="I15" s="2338"/>
      <c r="J15" s="2794"/>
      <c r="K15" s="2338"/>
      <c r="L15" s="2794"/>
      <c r="M15" s="2338"/>
      <c r="N15" s="2794"/>
      <c r="O15" s="2338"/>
      <c r="P15" s="2794"/>
      <c r="Q15" s="2338"/>
      <c r="R15" s="2794"/>
      <c r="S15" s="2338"/>
    </row>
    <row r="16" spans="1:19">
      <c r="A16" s="2795"/>
      <c r="B16" s="2742" t="s">
        <v>2958</v>
      </c>
      <c r="C16" s="2407"/>
      <c r="D16" s="2408"/>
      <c r="E16" s="2409"/>
      <c r="F16" s="2407"/>
      <c r="G16" s="660"/>
      <c r="H16" s="2794"/>
      <c r="I16" s="2339"/>
      <c r="J16" s="2794"/>
      <c r="K16" s="2338"/>
      <c r="L16" s="2794"/>
      <c r="M16" s="2339"/>
      <c r="N16" s="2794"/>
      <c r="O16" s="2339"/>
      <c r="P16" s="2794"/>
      <c r="Q16" s="2339"/>
      <c r="R16" s="2794"/>
      <c r="S16" s="2339"/>
    </row>
    <row r="17" spans="1:19">
      <c r="A17" s="2795"/>
      <c r="B17" s="2742" t="s">
        <v>2959</v>
      </c>
      <c r="C17" s="2407"/>
      <c r="D17" s="2408"/>
      <c r="E17" s="2409"/>
      <c r="F17" s="2407"/>
      <c r="G17" s="660"/>
      <c r="H17" s="2794"/>
      <c r="I17" s="2339"/>
      <c r="J17" s="2794"/>
      <c r="K17" s="2338"/>
      <c r="L17" s="2794"/>
      <c r="M17" s="2339"/>
      <c r="N17" s="2794"/>
      <c r="O17" s="2339"/>
      <c r="P17" s="2794"/>
      <c r="Q17" s="2339"/>
      <c r="R17" s="2794"/>
      <c r="S17" s="2339"/>
    </row>
    <row r="18" spans="1:19">
      <c r="A18" s="2795"/>
      <c r="B18" s="2743" t="s">
        <v>2960</v>
      </c>
      <c r="C18" s="2407"/>
      <c r="D18" s="2408"/>
      <c r="E18" s="2409"/>
      <c r="F18" s="2407"/>
      <c r="G18" s="660"/>
      <c r="H18" s="2794"/>
      <c r="I18" s="2339"/>
      <c r="J18" s="2794"/>
      <c r="K18" s="2338"/>
      <c r="L18" s="2794"/>
      <c r="M18" s="2339"/>
      <c r="N18" s="2794"/>
      <c r="O18" s="2339"/>
      <c r="P18" s="2794"/>
      <c r="Q18" s="2339"/>
      <c r="R18" s="2794"/>
      <c r="S18" s="2339"/>
    </row>
    <row r="19" spans="1:19">
      <c r="A19" s="2795"/>
      <c r="B19" s="2744" t="s">
        <v>2961</v>
      </c>
      <c r="C19" s="2433"/>
      <c r="D19" s="2434"/>
      <c r="E19" s="2435"/>
      <c r="F19" s="2436"/>
      <c r="G19" s="661"/>
      <c r="H19" s="2796"/>
      <c r="I19" s="2346"/>
      <c r="J19" s="2796"/>
      <c r="K19" s="2347"/>
      <c r="L19" s="2796"/>
      <c r="M19" s="2346"/>
      <c r="N19" s="2796"/>
      <c r="O19" s="2346"/>
      <c r="P19" s="2796"/>
      <c r="Q19" s="2346"/>
      <c r="R19" s="2796"/>
      <c r="S19" s="2346"/>
    </row>
    <row r="20" spans="1:19">
      <c r="A20" s="2795"/>
      <c r="B20" s="2745"/>
      <c r="C20" s="2407"/>
      <c r="D20" s="2408"/>
      <c r="E20" s="2409"/>
      <c r="F20" s="2438"/>
      <c r="G20" s="660"/>
      <c r="H20" s="2794"/>
      <c r="I20" s="2350"/>
      <c r="J20" s="2794"/>
      <c r="K20" s="2349"/>
      <c r="L20" s="2794"/>
      <c r="M20" s="2349"/>
      <c r="N20" s="2794"/>
      <c r="O20" s="2349"/>
      <c r="P20" s="2794"/>
      <c r="Q20" s="2349"/>
      <c r="R20" s="2794"/>
      <c r="S20" s="2349"/>
    </row>
    <row r="21" spans="1:19">
      <c r="A21" s="2797"/>
      <c r="B21" s="2798" t="s">
        <v>2695</v>
      </c>
      <c r="C21" s="2407"/>
      <c r="D21" s="2408"/>
      <c r="E21" s="2409"/>
      <c r="F21" s="2438"/>
      <c r="G21" s="662"/>
      <c r="H21" s="2794"/>
      <c r="I21" s="2352">
        <f>SUBTOTAL(9,I22:I64)</f>
        <v>414093.8</v>
      </c>
      <c r="J21" s="2794"/>
      <c r="K21" s="2352">
        <f>SUBTOTAL(9,K22:K64)</f>
        <v>540519.64</v>
      </c>
      <c r="L21" s="2794"/>
      <c r="M21" s="2352">
        <f>SUBTOTAL(9,M22:M57)</f>
        <v>0</v>
      </c>
      <c r="N21" s="2794"/>
      <c r="O21" s="2352">
        <f>SUBTOTAL(9,O22:O57)</f>
        <v>0</v>
      </c>
      <c r="P21" s="2794"/>
      <c r="Q21" s="2352">
        <f>SUBTOTAL(9,Q22:Q57)</f>
        <v>0</v>
      </c>
      <c r="R21" s="2794"/>
      <c r="S21" s="2352">
        <f>SUBTOTAL(9,S22:S57)</f>
        <v>0</v>
      </c>
    </row>
    <row r="22" spans="1:19">
      <c r="A22" s="2795"/>
      <c r="B22" s="2745" t="s">
        <v>6033</v>
      </c>
      <c r="C22" s="2407"/>
      <c r="D22" s="2408">
        <v>246</v>
      </c>
      <c r="E22" s="2409" t="s">
        <v>2803</v>
      </c>
      <c r="F22" s="2438"/>
      <c r="G22" s="662">
        <f t="shared" ref="G22:G58" si="4">ROUND(D22*F22,0)</f>
        <v>0</v>
      </c>
      <c r="H22" s="2794"/>
      <c r="I22" s="2350"/>
      <c r="J22" s="2794"/>
      <c r="K22" s="2350"/>
      <c r="L22" s="2794"/>
      <c r="M22" s="2349"/>
      <c r="N22" s="2794"/>
      <c r="O22" s="2349"/>
      <c r="P22" s="2794"/>
      <c r="Q22" s="2349"/>
      <c r="R22" s="2794"/>
      <c r="S22" s="2349"/>
    </row>
    <row r="23" spans="1:19">
      <c r="A23" s="2795"/>
      <c r="B23" s="2746" t="s">
        <v>6034</v>
      </c>
      <c r="C23" s="2407"/>
      <c r="D23" s="2408"/>
      <c r="E23" s="2409"/>
      <c r="F23" s="2438"/>
      <c r="G23" s="662">
        <f t="shared" si="4"/>
        <v>0</v>
      </c>
      <c r="H23" s="2794"/>
      <c r="I23" s="2350"/>
      <c r="J23" s="2794"/>
      <c r="K23" s="2350"/>
      <c r="L23" s="2794"/>
      <c r="M23" s="2349"/>
      <c r="N23" s="2794"/>
      <c r="O23" s="2349"/>
      <c r="P23" s="2794"/>
      <c r="Q23" s="2349"/>
      <c r="R23" s="2794"/>
      <c r="S23" s="2349"/>
    </row>
    <row r="24" spans="1:19">
      <c r="A24" s="2795"/>
      <c r="B24" s="2799" t="s">
        <v>6035</v>
      </c>
      <c r="C24" s="2407"/>
      <c r="D24" s="2408"/>
      <c r="E24" s="2409"/>
      <c r="F24" s="2438"/>
      <c r="G24" s="662">
        <f t="shared" si="4"/>
        <v>0</v>
      </c>
      <c r="H24" s="2794"/>
      <c r="I24" s="2350">
        <v>332990</v>
      </c>
      <c r="J24" s="2794"/>
      <c r="K24" s="2350"/>
      <c r="L24" s="2794"/>
      <c r="M24" s="2349"/>
      <c r="N24" s="2794"/>
      <c r="O24" s="2349"/>
      <c r="P24" s="2794"/>
      <c r="Q24" s="2349"/>
      <c r="R24" s="2794"/>
      <c r="S24" s="2349"/>
    </row>
    <row r="25" spans="1:19">
      <c r="A25" s="2795"/>
      <c r="B25" s="2799" t="s">
        <v>6036</v>
      </c>
      <c r="C25" s="2407"/>
      <c r="D25" s="2408"/>
      <c r="E25" s="2409"/>
      <c r="F25" s="2438"/>
      <c r="G25" s="662">
        <f t="shared" si="4"/>
        <v>0</v>
      </c>
      <c r="H25" s="2794"/>
      <c r="I25" s="2350"/>
      <c r="J25" s="2794"/>
      <c r="K25" s="2350">
        <v>513719.64</v>
      </c>
      <c r="L25" s="2794"/>
      <c r="M25" s="2349"/>
      <c r="N25" s="2794"/>
      <c r="O25" s="2349"/>
      <c r="P25" s="2794"/>
      <c r="Q25" s="2349"/>
      <c r="R25" s="2794"/>
      <c r="S25" s="2349"/>
    </row>
    <row r="26" spans="1:19">
      <c r="A26" s="2795"/>
      <c r="B26" s="2746" t="s">
        <v>6037</v>
      </c>
      <c r="C26" s="2407"/>
      <c r="D26" s="2408"/>
      <c r="E26" s="2409"/>
      <c r="F26" s="2438"/>
      <c r="G26" s="662">
        <f t="shared" si="4"/>
        <v>0</v>
      </c>
      <c r="H26" s="2794"/>
      <c r="I26" s="2350"/>
      <c r="J26" s="2794"/>
      <c r="K26" s="2350"/>
      <c r="L26" s="2794"/>
      <c r="M26" s="2349"/>
      <c r="N26" s="2794"/>
      <c r="O26" s="2349"/>
      <c r="P26" s="2794"/>
      <c r="Q26" s="2349"/>
      <c r="R26" s="2794"/>
      <c r="S26" s="2349"/>
    </row>
    <row r="27" spans="1:19" s="488" customFormat="1" ht="30">
      <c r="A27" s="2800"/>
      <c r="B27" s="2801" t="s">
        <v>6038</v>
      </c>
      <c r="C27" s="2802"/>
      <c r="D27" s="2803"/>
      <c r="E27" s="2802"/>
      <c r="F27" s="2804"/>
      <c r="G27" s="710">
        <f t="shared" ref="G27:G31" si="5">ROUND(D27*F27,0)</f>
        <v>0</v>
      </c>
      <c r="H27" s="2805" t="s">
        <v>2931</v>
      </c>
      <c r="I27" s="2806"/>
      <c r="J27" s="2805" t="s">
        <v>2931</v>
      </c>
      <c r="K27" s="2806"/>
      <c r="L27" s="2807"/>
      <c r="M27" s="2806"/>
      <c r="N27" s="2807"/>
      <c r="O27" s="2806"/>
      <c r="P27" s="2807"/>
      <c r="Q27" s="2806"/>
      <c r="R27" s="2807"/>
      <c r="S27" s="2806"/>
    </row>
    <row r="28" spans="1:19">
      <c r="A28" s="2795"/>
      <c r="B28" s="2799" t="s">
        <v>6039</v>
      </c>
      <c r="C28" s="2407"/>
      <c r="D28" s="2408"/>
      <c r="E28" s="2409"/>
      <c r="F28" s="2438"/>
      <c r="G28" s="662">
        <f t="shared" si="5"/>
        <v>0</v>
      </c>
      <c r="H28" s="2794" t="s">
        <v>2931</v>
      </c>
      <c r="I28" s="2350"/>
      <c r="J28" s="2794" t="s">
        <v>2931</v>
      </c>
      <c r="K28" s="2350"/>
      <c r="L28" s="2794"/>
      <c r="M28" s="2349"/>
      <c r="N28" s="2794"/>
      <c r="O28" s="2349"/>
      <c r="P28" s="2794"/>
      <c r="Q28" s="2349"/>
      <c r="R28" s="2794"/>
      <c r="S28" s="2349"/>
    </row>
    <row r="29" spans="1:19">
      <c r="A29" s="2795"/>
      <c r="B29" s="2799" t="s">
        <v>6040</v>
      </c>
      <c r="C29" s="2407"/>
      <c r="D29" s="2408"/>
      <c r="E29" s="2409"/>
      <c r="F29" s="2438"/>
      <c r="G29" s="662">
        <f t="shared" si="5"/>
        <v>0</v>
      </c>
      <c r="H29" s="2794" t="s">
        <v>2931</v>
      </c>
      <c r="I29" s="2350"/>
      <c r="J29" s="2794" t="s">
        <v>2931</v>
      </c>
      <c r="K29" s="2350"/>
      <c r="L29" s="2794"/>
      <c r="M29" s="2349"/>
      <c r="N29" s="2794"/>
      <c r="O29" s="2349"/>
      <c r="P29" s="2794"/>
      <c r="Q29" s="2349"/>
      <c r="R29" s="2794"/>
      <c r="S29" s="2349"/>
    </row>
    <row r="30" spans="1:19">
      <c r="A30" s="2795"/>
      <c r="B30" s="2799" t="s">
        <v>6041</v>
      </c>
      <c r="C30" s="2407"/>
      <c r="D30" s="2408"/>
      <c r="E30" s="2409"/>
      <c r="F30" s="2438"/>
      <c r="G30" s="662">
        <f t="shared" si="5"/>
        <v>0</v>
      </c>
      <c r="H30" s="2794" t="s">
        <v>2931</v>
      </c>
      <c r="I30" s="2350"/>
      <c r="J30" s="2794" t="s">
        <v>2931</v>
      </c>
      <c r="K30" s="2350"/>
      <c r="L30" s="2794"/>
      <c r="M30" s="2349"/>
      <c r="N30" s="2794"/>
      <c r="O30" s="2349"/>
      <c r="P30" s="2794"/>
      <c r="Q30" s="2349"/>
      <c r="R30" s="2794"/>
      <c r="S30" s="2349"/>
    </row>
    <row r="31" spans="1:19">
      <c r="A31" s="2795"/>
      <c r="B31" s="2799" t="s">
        <v>6042</v>
      </c>
      <c r="C31" s="2407"/>
      <c r="D31" s="2408"/>
      <c r="E31" s="2409"/>
      <c r="F31" s="2438"/>
      <c r="G31" s="662">
        <f t="shared" si="5"/>
        <v>0</v>
      </c>
      <c r="H31" s="2794" t="s">
        <v>2931</v>
      </c>
      <c r="I31" s="2350"/>
      <c r="J31" s="2794" t="s">
        <v>2931</v>
      </c>
      <c r="K31" s="2350"/>
      <c r="L31" s="2794"/>
      <c r="M31" s="2349"/>
      <c r="N31" s="2794"/>
      <c r="O31" s="2349"/>
      <c r="P31" s="2794"/>
      <c r="Q31" s="2349"/>
      <c r="R31" s="2794"/>
      <c r="S31" s="2349"/>
    </row>
    <row r="32" spans="1:19">
      <c r="A32" s="2795"/>
      <c r="B32" s="2799"/>
      <c r="C32" s="2407"/>
      <c r="D32" s="2408"/>
      <c r="E32" s="2409"/>
      <c r="F32" s="2438"/>
      <c r="G32" s="662"/>
      <c r="H32" s="2794"/>
      <c r="I32" s="2350"/>
      <c r="J32" s="2794"/>
      <c r="K32" s="2350"/>
      <c r="L32" s="2794"/>
      <c r="M32" s="2349"/>
      <c r="N32" s="2794"/>
      <c r="O32" s="2349"/>
      <c r="P32" s="2794"/>
      <c r="Q32" s="2349"/>
      <c r="R32" s="2794"/>
      <c r="S32" s="2349"/>
    </row>
    <row r="33" spans="1:19">
      <c r="A33" s="2795"/>
      <c r="B33" s="2808" t="s">
        <v>6043</v>
      </c>
      <c r="C33" s="2407"/>
      <c r="D33" s="2408"/>
      <c r="E33" s="2409"/>
      <c r="F33" s="2438"/>
      <c r="G33" s="662">
        <f t="shared" si="4"/>
        <v>0</v>
      </c>
      <c r="H33" s="2794"/>
      <c r="I33" s="2350"/>
      <c r="J33" s="2794"/>
      <c r="K33" s="2350"/>
      <c r="L33" s="2794"/>
      <c r="M33" s="2349"/>
      <c r="N33" s="2794"/>
      <c r="O33" s="2349"/>
      <c r="P33" s="2794"/>
      <c r="Q33" s="2349"/>
      <c r="R33" s="2794"/>
      <c r="S33" s="2349"/>
    </row>
    <row r="34" spans="1:19">
      <c r="A34" s="2795"/>
      <c r="B34" s="2799" t="s">
        <v>6044</v>
      </c>
      <c r="C34" s="2407"/>
      <c r="D34" s="2408">
        <v>246</v>
      </c>
      <c r="E34" s="2409" t="s">
        <v>2803</v>
      </c>
      <c r="F34" s="2438"/>
      <c r="G34" s="662">
        <f t="shared" si="4"/>
        <v>0</v>
      </c>
      <c r="H34" s="2794" t="s">
        <v>2931</v>
      </c>
      <c r="I34" s="2350"/>
      <c r="J34" s="2794" t="s">
        <v>2931</v>
      </c>
      <c r="K34" s="2350"/>
      <c r="L34" s="2794"/>
      <c r="M34" s="2349"/>
      <c r="N34" s="2794"/>
      <c r="O34" s="2349"/>
      <c r="P34" s="2794"/>
      <c r="Q34" s="2349"/>
      <c r="R34" s="2794"/>
      <c r="S34" s="2349"/>
    </row>
    <row r="35" spans="1:19">
      <c r="A35" s="2795"/>
      <c r="B35" s="2799" t="s">
        <v>6045</v>
      </c>
      <c r="C35" s="2407"/>
      <c r="D35" s="2408">
        <v>2</v>
      </c>
      <c r="E35" s="2409" t="s">
        <v>2803</v>
      </c>
      <c r="F35" s="2438"/>
      <c r="G35" s="662">
        <f t="shared" si="4"/>
        <v>0</v>
      </c>
      <c r="H35" s="2794" t="s">
        <v>2929</v>
      </c>
      <c r="I35" s="2350"/>
      <c r="J35" s="2794" t="s">
        <v>2929</v>
      </c>
      <c r="K35" s="2350"/>
      <c r="L35" s="2794"/>
      <c r="M35" s="2349"/>
      <c r="N35" s="2794"/>
      <c r="O35" s="2349"/>
      <c r="P35" s="2794"/>
      <c r="Q35" s="2349"/>
      <c r="R35" s="2794"/>
      <c r="S35" s="2349"/>
    </row>
    <row r="36" spans="1:19">
      <c r="A36" s="2795"/>
      <c r="B36" s="2799" t="s">
        <v>6046</v>
      </c>
      <c r="C36" s="2407"/>
      <c r="D36" s="2408">
        <v>15</v>
      </c>
      <c r="E36" s="2409" t="s">
        <v>2803</v>
      </c>
      <c r="F36" s="2438"/>
      <c r="G36" s="662">
        <f t="shared" si="4"/>
        <v>0</v>
      </c>
      <c r="H36" s="2794" t="s">
        <v>2929</v>
      </c>
      <c r="I36" s="2350"/>
      <c r="J36" s="2794" t="s">
        <v>2929</v>
      </c>
      <c r="K36" s="2350"/>
      <c r="L36" s="2794"/>
      <c r="M36" s="2349"/>
      <c r="N36" s="2794"/>
      <c r="O36" s="2349"/>
      <c r="P36" s="2794"/>
      <c r="Q36" s="2349"/>
      <c r="R36" s="2794"/>
      <c r="S36" s="2349"/>
    </row>
    <row r="37" spans="1:19">
      <c r="A37" s="2795"/>
      <c r="B37" s="2799" t="s">
        <v>6047</v>
      </c>
      <c r="C37" s="2407"/>
      <c r="D37" s="2408">
        <v>11</v>
      </c>
      <c r="E37" s="2409" t="s">
        <v>2803</v>
      </c>
      <c r="F37" s="2438"/>
      <c r="G37" s="662">
        <f t="shared" si="4"/>
        <v>0</v>
      </c>
      <c r="H37" s="2794" t="s">
        <v>2929</v>
      </c>
      <c r="I37" s="2350"/>
      <c r="J37" s="2794" t="s">
        <v>2929</v>
      </c>
      <c r="K37" s="2350"/>
      <c r="L37" s="2794"/>
      <c r="M37" s="2349"/>
      <c r="N37" s="2794"/>
      <c r="O37" s="2349"/>
      <c r="P37" s="2794"/>
      <c r="Q37" s="2349"/>
      <c r="R37" s="2794"/>
      <c r="S37" s="2349"/>
    </row>
    <row r="38" spans="1:19">
      <c r="A38" s="2795"/>
      <c r="B38" s="2799" t="s">
        <v>6048</v>
      </c>
      <c r="C38" s="2407"/>
      <c r="D38" s="2408">
        <v>3</v>
      </c>
      <c r="E38" s="2409" t="s">
        <v>2803</v>
      </c>
      <c r="F38" s="2438"/>
      <c r="G38" s="662">
        <f t="shared" si="4"/>
        <v>0</v>
      </c>
      <c r="H38" s="2794" t="s">
        <v>2929</v>
      </c>
      <c r="I38" s="2350"/>
      <c r="J38" s="2794" t="s">
        <v>2929</v>
      </c>
      <c r="K38" s="2350"/>
      <c r="L38" s="2794"/>
      <c r="M38" s="2349"/>
      <c r="N38" s="2794"/>
      <c r="O38" s="2349"/>
      <c r="P38" s="2794"/>
      <c r="Q38" s="2349"/>
      <c r="R38" s="2794"/>
      <c r="S38" s="2349"/>
    </row>
    <row r="39" spans="1:19">
      <c r="A39" s="2795"/>
      <c r="B39" s="2799" t="s">
        <v>6049</v>
      </c>
      <c r="C39" s="2407"/>
      <c r="D39" s="2408"/>
      <c r="E39" s="2409"/>
      <c r="F39" s="2438"/>
      <c r="G39" s="662">
        <f>ROUND(D39*F39,0)</f>
        <v>0</v>
      </c>
      <c r="H39" s="2794"/>
      <c r="I39" s="2350">
        <v>15200</v>
      </c>
      <c r="J39" s="2794" t="s">
        <v>2931</v>
      </c>
      <c r="K39" s="2350"/>
      <c r="L39" s="2794"/>
      <c r="M39" s="2349"/>
      <c r="N39" s="2794"/>
      <c r="O39" s="2349"/>
      <c r="P39" s="2794"/>
      <c r="Q39" s="2349"/>
      <c r="R39" s="2794"/>
      <c r="S39" s="2349"/>
    </row>
    <row r="40" spans="1:19">
      <c r="A40" s="2795"/>
      <c r="B40" s="2799" t="s">
        <v>6050</v>
      </c>
      <c r="C40" s="2407"/>
      <c r="D40" s="2408"/>
      <c r="E40" s="2409"/>
      <c r="F40" s="2438"/>
      <c r="G40" s="662">
        <f>ROUND(D40*F40,0)</f>
        <v>0</v>
      </c>
      <c r="H40" s="2794"/>
      <c r="I40" s="2444">
        <v>24303.8</v>
      </c>
      <c r="J40" s="2794" t="s">
        <v>2931</v>
      </c>
      <c r="K40" s="2350"/>
      <c r="L40" s="2794"/>
      <c r="M40" s="2349"/>
      <c r="N40" s="2794"/>
      <c r="O40" s="2349"/>
      <c r="P40" s="2794"/>
      <c r="Q40" s="2349"/>
      <c r="R40" s="2794"/>
      <c r="S40" s="2349"/>
    </row>
    <row r="41" spans="1:19">
      <c r="A41" s="2795"/>
      <c r="B41" s="2799" t="s">
        <v>6051</v>
      </c>
      <c r="C41" s="2407"/>
      <c r="D41" s="2408"/>
      <c r="E41" s="2409"/>
      <c r="F41" s="2438"/>
      <c r="G41" s="662">
        <f>ROUND(D41*F41,0)</f>
        <v>0</v>
      </c>
      <c r="H41" s="2794"/>
      <c r="I41" s="2350">
        <v>14800</v>
      </c>
      <c r="J41" s="2794" t="s">
        <v>2931</v>
      </c>
      <c r="K41" s="2350"/>
      <c r="L41" s="2794"/>
      <c r="M41" s="2349"/>
      <c r="N41" s="2794"/>
      <c r="O41" s="2349"/>
      <c r="P41" s="2794"/>
      <c r="Q41" s="2349"/>
      <c r="R41" s="2794"/>
      <c r="S41" s="2349"/>
    </row>
    <row r="42" spans="1:19">
      <c r="A42" s="2795"/>
      <c r="B42" s="2745"/>
      <c r="C42" s="2407"/>
      <c r="D42" s="2408"/>
      <c r="E42" s="2409"/>
      <c r="F42" s="2438"/>
      <c r="G42" s="662">
        <f t="shared" si="4"/>
        <v>0</v>
      </c>
      <c r="H42" s="2794"/>
      <c r="I42" s="2350"/>
      <c r="J42" s="2794"/>
      <c r="K42" s="2350"/>
      <c r="L42" s="2794"/>
      <c r="M42" s="2349"/>
      <c r="N42" s="2794"/>
      <c r="O42" s="2349"/>
      <c r="P42" s="2794"/>
      <c r="Q42" s="2349"/>
      <c r="R42" s="2794"/>
      <c r="S42" s="2349"/>
    </row>
    <row r="43" spans="1:19">
      <c r="A43" s="2795"/>
      <c r="B43" s="2745" t="s">
        <v>6052</v>
      </c>
      <c r="C43" s="2407"/>
      <c r="D43" s="2408">
        <f>27*4</f>
        <v>108</v>
      </c>
      <c r="E43" s="2409" t="s">
        <v>2803</v>
      </c>
      <c r="F43" s="2438"/>
      <c r="G43" s="662">
        <f t="shared" si="4"/>
        <v>0</v>
      </c>
      <c r="H43" s="2794"/>
      <c r="I43" s="2350"/>
      <c r="J43" s="2794"/>
      <c r="K43" s="2350"/>
      <c r="L43" s="2794"/>
      <c r="M43" s="2349"/>
      <c r="N43" s="2794"/>
      <c r="O43" s="2349"/>
      <c r="P43" s="2794"/>
      <c r="Q43" s="2349"/>
      <c r="R43" s="2794"/>
      <c r="S43" s="2349"/>
    </row>
    <row r="44" spans="1:19">
      <c r="A44" s="2795"/>
      <c r="B44" s="2746" t="s">
        <v>6034</v>
      </c>
      <c r="C44" s="2407"/>
      <c r="D44" s="2408"/>
      <c r="E44" s="2409"/>
      <c r="F44" s="2438"/>
      <c r="G44" s="662">
        <f t="shared" si="4"/>
        <v>0</v>
      </c>
      <c r="H44" s="2794"/>
      <c r="I44" s="2350"/>
      <c r="J44" s="2794"/>
      <c r="K44" s="2350"/>
      <c r="L44" s="2794"/>
      <c r="M44" s="2349"/>
      <c r="N44" s="2794"/>
      <c r="O44" s="2349"/>
      <c r="P44" s="2794"/>
      <c r="Q44" s="2349"/>
      <c r="R44" s="2794"/>
      <c r="S44" s="2349"/>
    </row>
    <row r="45" spans="1:19">
      <c r="A45" s="2795"/>
      <c r="B45" s="2799" t="s">
        <v>6053</v>
      </c>
      <c r="C45" s="2407"/>
      <c r="D45" s="2408"/>
      <c r="E45" s="2409"/>
      <c r="F45" s="2438"/>
      <c r="G45" s="662">
        <f t="shared" si="4"/>
        <v>0</v>
      </c>
      <c r="H45" s="2794"/>
      <c r="I45" s="2350"/>
      <c r="J45" s="2794"/>
      <c r="K45" s="2350"/>
      <c r="L45" s="2794"/>
      <c r="M45" s="2349"/>
      <c r="N45" s="2794"/>
      <c r="O45" s="2349"/>
      <c r="P45" s="2794"/>
      <c r="Q45" s="2349"/>
      <c r="R45" s="2794"/>
      <c r="S45" s="2349"/>
    </row>
    <row r="46" spans="1:19">
      <c r="A46" s="2795"/>
      <c r="B46" s="2799" t="s">
        <v>6054</v>
      </c>
      <c r="C46" s="2407"/>
      <c r="D46" s="2408"/>
      <c r="E46" s="2409"/>
      <c r="F46" s="2438"/>
      <c r="G46" s="662">
        <f t="shared" ref="G46:G54" si="6">ROUND(D46*F46,0)</f>
        <v>0</v>
      </c>
      <c r="H46" s="2794"/>
      <c r="I46" s="2350"/>
      <c r="J46" s="2794"/>
      <c r="K46" s="2350"/>
      <c r="L46" s="2794"/>
      <c r="M46" s="2349"/>
      <c r="N46" s="2794"/>
      <c r="O46" s="2349"/>
      <c r="P46" s="2794"/>
      <c r="Q46" s="2349"/>
      <c r="R46" s="2794"/>
      <c r="S46" s="2349"/>
    </row>
    <row r="47" spans="1:19">
      <c r="A47" s="2795"/>
      <c r="B47" s="2746" t="s">
        <v>6055</v>
      </c>
      <c r="C47" s="2407"/>
      <c r="D47" s="2408"/>
      <c r="E47" s="2409"/>
      <c r="F47" s="2438"/>
      <c r="G47" s="662">
        <f t="shared" si="6"/>
        <v>0</v>
      </c>
      <c r="H47" s="2794"/>
      <c r="I47" s="2350"/>
      <c r="J47" s="2794"/>
      <c r="K47" s="2350"/>
      <c r="L47" s="2794"/>
      <c r="M47" s="2349"/>
      <c r="N47" s="2794"/>
      <c r="O47" s="2349"/>
      <c r="P47" s="2794"/>
      <c r="Q47" s="2349"/>
      <c r="R47" s="2794"/>
      <c r="S47" s="2349"/>
    </row>
    <row r="48" spans="1:19">
      <c r="A48" s="2795"/>
      <c r="B48" s="2799" t="s">
        <v>6056</v>
      </c>
      <c r="C48" s="2407"/>
      <c r="D48" s="2408"/>
      <c r="E48" s="2409"/>
      <c r="F48" s="2438"/>
      <c r="G48" s="662">
        <f t="shared" si="6"/>
        <v>0</v>
      </c>
      <c r="H48" s="2794"/>
      <c r="I48" s="2350"/>
      <c r="J48" s="2794"/>
      <c r="K48" s="2350"/>
      <c r="L48" s="2794"/>
      <c r="M48" s="2349"/>
      <c r="N48" s="2794"/>
      <c r="O48" s="2349"/>
      <c r="P48" s="2794"/>
      <c r="Q48" s="2349"/>
      <c r="R48" s="2794"/>
      <c r="S48" s="2349"/>
    </row>
    <row r="49" spans="1:19">
      <c r="A49" s="2795"/>
      <c r="B49" s="2799" t="s">
        <v>6057</v>
      </c>
      <c r="C49" s="2407"/>
      <c r="D49" s="2408"/>
      <c r="E49" s="2409"/>
      <c r="F49" s="2438"/>
      <c r="G49" s="662">
        <f t="shared" si="6"/>
        <v>0</v>
      </c>
      <c r="H49" s="2794"/>
      <c r="I49" s="2350"/>
      <c r="J49" s="2794"/>
      <c r="K49" s="2350"/>
      <c r="L49" s="2794"/>
      <c r="M49" s="2349"/>
      <c r="N49" s="2794"/>
      <c r="O49" s="2349"/>
      <c r="P49" s="2794"/>
      <c r="Q49" s="2349"/>
      <c r="R49" s="2794"/>
      <c r="S49" s="2349"/>
    </row>
    <row r="50" spans="1:19">
      <c r="A50" s="2795"/>
      <c r="B50" s="2799" t="s">
        <v>6058</v>
      </c>
      <c r="C50" s="2407"/>
      <c r="D50" s="2408"/>
      <c r="E50" s="2409"/>
      <c r="F50" s="2438"/>
      <c r="G50" s="662">
        <f t="shared" si="6"/>
        <v>0</v>
      </c>
      <c r="H50" s="2794"/>
      <c r="I50" s="2350"/>
      <c r="J50" s="2794"/>
      <c r="K50" s="2350"/>
      <c r="L50" s="2794"/>
      <c r="M50" s="2349"/>
      <c r="N50" s="2794"/>
      <c r="O50" s="2349"/>
      <c r="P50" s="2794"/>
      <c r="Q50" s="2349"/>
      <c r="R50" s="2794"/>
      <c r="S50" s="2349"/>
    </row>
    <row r="51" spans="1:19">
      <c r="A51" s="2795"/>
      <c r="B51" s="2799" t="s">
        <v>6059</v>
      </c>
      <c r="C51" s="2407"/>
      <c r="D51" s="2408"/>
      <c r="E51" s="2409"/>
      <c r="F51" s="2438"/>
      <c r="G51" s="662">
        <f t="shared" si="6"/>
        <v>0</v>
      </c>
      <c r="H51" s="2794"/>
      <c r="I51" s="2350"/>
      <c r="J51" s="2794"/>
      <c r="K51" s="2350"/>
      <c r="L51" s="2794"/>
      <c r="M51" s="2349"/>
      <c r="N51" s="2794"/>
      <c r="O51" s="2349"/>
      <c r="P51" s="2794"/>
      <c r="Q51" s="2349"/>
      <c r="R51" s="2794"/>
      <c r="S51" s="2349"/>
    </row>
    <row r="52" spans="1:19" ht="30">
      <c r="A52" s="2795"/>
      <c r="B52" s="2809" t="s">
        <v>6060</v>
      </c>
      <c r="C52" s="2407"/>
      <c r="D52" s="2408"/>
      <c r="E52" s="2409"/>
      <c r="F52" s="2438"/>
      <c r="G52" s="662">
        <f t="shared" si="6"/>
        <v>0</v>
      </c>
      <c r="H52" s="2794"/>
      <c r="I52" s="2350"/>
      <c r="J52" s="2794"/>
      <c r="K52" s="2350"/>
      <c r="L52" s="2794"/>
      <c r="M52" s="2349"/>
      <c r="N52" s="2794"/>
      <c r="O52" s="2349"/>
      <c r="P52" s="2794"/>
      <c r="Q52" s="2349"/>
      <c r="R52" s="2794"/>
      <c r="S52" s="2349"/>
    </row>
    <row r="53" spans="1:19">
      <c r="A53" s="2795"/>
      <c r="B53" s="2746" t="s">
        <v>6061</v>
      </c>
      <c r="C53" s="2407"/>
      <c r="D53" s="2408"/>
      <c r="E53" s="2409"/>
      <c r="F53" s="2438"/>
      <c r="G53" s="662">
        <f t="shared" si="6"/>
        <v>0</v>
      </c>
      <c r="H53" s="2794"/>
      <c r="I53" s="2350"/>
      <c r="J53" s="2794"/>
      <c r="K53" s="2350"/>
      <c r="L53" s="2794"/>
      <c r="M53" s="2349"/>
      <c r="N53" s="2794"/>
      <c r="O53" s="2349"/>
      <c r="P53" s="2794"/>
      <c r="Q53" s="2349"/>
      <c r="R53" s="2794"/>
      <c r="S53" s="2349"/>
    </row>
    <row r="54" spans="1:19" ht="30">
      <c r="A54" s="2795"/>
      <c r="B54" s="2809" t="s">
        <v>6062</v>
      </c>
      <c r="C54" s="2407"/>
      <c r="D54" s="2408"/>
      <c r="E54" s="2409"/>
      <c r="F54" s="2438"/>
      <c r="G54" s="662">
        <f t="shared" si="6"/>
        <v>0</v>
      </c>
      <c r="H54" s="2794"/>
      <c r="I54" s="2350"/>
      <c r="J54" s="2794"/>
      <c r="K54" s="2350"/>
      <c r="L54" s="2794"/>
      <c r="M54" s="2349"/>
      <c r="N54" s="2794"/>
      <c r="O54" s="2349"/>
      <c r="P54" s="2794"/>
      <c r="Q54" s="2349"/>
      <c r="R54" s="2794"/>
      <c r="S54" s="2349"/>
    </row>
    <row r="55" spans="1:19">
      <c r="A55" s="2795"/>
      <c r="B55" s="2799" t="s">
        <v>6063</v>
      </c>
      <c r="C55" s="2407"/>
      <c r="D55" s="2408"/>
      <c r="E55" s="2409"/>
      <c r="F55" s="2438"/>
      <c r="G55" s="662">
        <f t="shared" si="4"/>
        <v>0</v>
      </c>
      <c r="H55" s="2794"/>
      <c r="I55" s="2350"/>
      <c r="J55" s="2794"/>
      <c r="K55" s="2350"/>
      <c r="L55" s="2794"/>
      <c r="M55" s="2349"/>
      <c r="N55" s="2794"/>
      <c r="O55" s="2349"/>
      <c r="P55" s="2794"/>
      <c r="Q55" s="2349"/>
      <c r="R55" s="2794"/>
      <c r="S55" s="2349"/>
    </row>
    <row r="56" spans="1:19">
      <c r="A56" s="2795"/>
      <c r="B56" s="2799" t="s">
        <v>6064</v>
      </c>
      <c r="C56" s="2407"/>
      <c r="D56" s="2408"/>
      <c r="E56" s="2409"/>
      <c r="F56" s="2438"/>
      <c r="G56" s="662">
        <f t="shared" si="4"/>
        <v>0</v>
      </c>
      <c r="H56" s="2794"/>
      <c r="I56" s="2350"/>
      <c r="J56" s="2794"/>
      <c r="K56" s="2350"/>
      <c r="L56" s="2794"/>
      <c r="M56" s="2349"/>
      <c r="N56" s="2794"/>
      <c r="O56" s="2349"/>
      <c r="P56" s="2794"/>
      <c r="Q56" s="2349"/>
      <c r="R56" s="2794"/>
      <c r="S56" s="2349"/>
    </row>
    <row r="57" spans="1:19">
      <c r="A57" s="2795"/>
      <c r="B57" s="2799" t="s">
        <v>6065</v>
      </c>
      <c r="C57" s="2407"/>
      <c r="D57" s="2408"/>
      <c r="E57" s="2409"/>
      <c r="F57" s="2438"/>
      <c r="G57" s="662">
        <f t="shared" si="4"/>
        <v>0</v>
      </c>
      <c r="H57" s="2794"/>
      <c r="I57" s="2350"/>
      <c r="J57" s="2794"/>
      <c r="K57" s="2350"/>
      <c r="L57" s="2794"/>
      <c r="M57" s="2349"/>
      <c r="N57" s="2794"/>
      <c r="O57" s="2349"/>
      <c r="P57" s="2794"/>
      <c r="Q57" s="2349"/>
      <c r="R57" s="2794"/>
      <c r="S57" s="2349"/>
    </row>
    <row r="58" spans="1:19" s="175" customFormat="1" ht="30">
      <c r="A58" s="2795"/>
      <c r="B58" s="2810" t="s">
        <v>6066</v>
      </c>
      <c r="C58" s="2811"/>
      <c r="D58" s="2812"/>
      <c r="E58" s="2813"/>
      <c r="F58" s="2814"/>
      <c r="G58" s="668">
        <f t="shared" si="4"/>
        <v>0</v>
      </c>
      <c r="H58" s="2805"/>
      <c r="I58" s="2806"/>
      <c r="J58" s="2805"/>
      <c r="K58" s="2350"/>
      <c r="L58" s="2805"/>
      <c r="M58" s="2815"/>
      <c r="N58" s="2805"/>
      <c r="O58" s="2815"/>
      <c r="P58" s="2805"/>
      <c r="Q58" s="2815"/>
      <c r="R58" s="2805"/>
      <c r="S58" s="2815"/>
    </row>
    <row r="59" spans="1:19" s="175" customFormat="1">
      <c r="A59" s="2816" t="s">
        <v>2587</v>
      </c>
      <c r="B59" s="2810" t="s">
        <v>2657</v>
      </c>
      <c r="C59" s="2811"/>
      <c r="D59" s="2812"/>
      <c r="E59" s="2813"/>
      <c r="F59" s="2814"/>
      <c r="G59" s="653">
        <f>SUM(G60:G62)</f>
        <v>26800</v>
      </c>
      <c r="H59" s="2805"/>
      <c r="I59" s="2684">
        <f>$G59</f>
        <v>26800</v>
      </c>
      <c r="J59" s="2805"/>
      <c r="K59" s="2684">
        <f>$G59</f>
        <v>26800</v>
      </c>
      <c r="L59" s="2805"/>
      <c r="M59" s="2815"/>
      <c r="N59" s="2805"/>
      <c r="O59" s="2815"/>
      <c r="P59" s="2805"/>
      <c r="Q59" s="2815"/>
      <c r="R59" s="2805"/>
      <c r="S59" s="2815"/>
    </row>
    <row r="60" spans="1:19">
      <c r="A60" s="2795"/>
      <c r="B60" s="2799" t="s">
        <v>6067</v>
      </c>
      <c r="C60" s="2407"/>
      <c r="D60" s="2408">
        <v>108</v>
      </c>
      <c r="E60" s="2409" t="s">
        <v>2803</v>
      </c>
      <c r="F60" s="2438">
        <v>200</v>
      </c>
      <c r="G60" s="668">
        <f t="shared" ref="G60:G63" si="7">ROUND(D60*F60,0)</f>
        <v>21600</v>
      </c>
      <c r="H60" s="2794"/>
      <c r="I60" s="2350"/>
      <c r="J60" s="2805"/>
      <c r="K60" s="2806"/>
      <c r="L60" s="2794"/>
      <c r="M60" s="2349"/>
      <c r="N60" s="2794"/>
      <c r="O60" s="2349"/>
      <c r="P60" s="2794"/>
      <c r="Q60" s="2349"/>
      <c r="R60" s="2794"/>
      <c r="S60" s="2349"/>
    </row>
    <row r="61" spans="1:19">
      <c r="A61" s="2795"/>
      <c r="B61" s="2799" t="s">
        <v>6024</v>
      </c>
      <c r="C61" s="2407"/>
      <c r="D61" s="2408">
        <v>1</v>
      </c>
      <c r="E61" s="2409" t="s">
        <v>2818</v>
      </c>
      <c r="F61" s="2438">
        <v>2500</v>
      </c>
      <c r="G61" s="668">
        <f t="shared" si="7"/>
        <v>2500</v>
      </c>
      <c r="H61" s="2794"/>
      <c r="I61" s="2350"/>
      <c r="J61" s="2805"/>
      <c r="K61" s="2806"/>
      <c r="L61" s="2794"/>
      <c r="M61" s="2349"/>
      <c r="N61" s="2794"/>
      <c r="O61" s="2349"/>
      <c r="P61" s="2794"/>
      <c r="Q61" s="2349"/>
      <c r="R61" s="2794"/>
      <c r="S61" s="2349"/>
    </row>
    <row r="62" spans="1:19">
      <c r="A62" s="2795"/>
      <c r="B62" s="2799" t="s">
        <v>5169</v>
      </c>
      <c r="C62" s="2407"/>
      <c r="D62" s="2408">
        <v>108</v>
      </c>
      <c r="E62" s="2409" t="s">
        <v>2803</v>
      </c>
      <c r="F62" s="2438">
        <f>100*0.25</f>
        <v>25</v>
      </c>
      <c r="G62" s="668">
        <f t="shared" si="7"/>
        <v>2700</v>
      </c>
      <c r="H62" s="2794"/>
      <c r="I62" s="2350"/>
      <c r="J62" s="2805"/>
      <c r="K62" s="2806"/>
      <c r="L62" s="2794"/>
      <c r="M62" s="2349"/>
      <c r="N62" s="2794"/>
      <c r="O62" s="2349"/>
      <c r="P62" s="2794"/>
      <c r="Q62" s="2349"/>
      <c r="R62" s="2794"/>
      <c r="S62" s="2349"/>
    </row>
    <row r="63" spans="1:19">
      <c r="A63" s="2795"/>
      <c r="B63" s="2745"/>
      <c r="C63" s="2407"/>
      <c r="D63" s="2408"/>
      <c r="E63" s="2409"/>
      <c r="F63" s="2438"/>
      <c r="G63" s="668">
        <f t="shared" si="7"/>
        <v>0</v>
      </c>
      <c r="H63" s="2794"/>
      <c r="I63" s="2350"/>
      <c r="J63" s="2805"/>
      <c r="K63" s="2806"/>
      <c r="L63" s="2794"/>
      <c r="M63" s="2349"/>
      <c r="N63" s="2794"/>
      <c r="O63" s="2349"/>
      <c r="P63" s="2794"/>
      <c r="Q63" s="2349"/>
      <c r="R63" s="2794"/>
      <c r="S63" s="2349"/>
    </row>
    <row r="64" spans="1:19">
      <c r="A64" s="2795"/>
      <c r="B64" s="2745"/>
      <c r="C64" s="2355"/>
      <c r="D64" s="2356"/>
      <c r="E64" s="2409"/>
      <c r="F64" s="2357"/>
      <c r="G64" s="668">
        <f t="shared" ref="G64" si="8">ROUND(D64*F64,0)</f>
        <v>0</v>
      </c>
      <c r="H64" s="2794"/>
      <c r="I64" s="2350"/>
      <c r="J64" s="2805"/>
      <c r="K64" s="2806"/>
      <c r="L64" s="2794"/>
      <c r="M64" s="2350"/>
      <c r="N64" s="2794"/>
      <c r="O64" s="2350"/>
      <c r="P64" s="2794"/>
      <c r="Q64" s="2350"/>
      <c r="R64" s="2794"/>
      <c r="S64" s="2350"/>
    </row>
    <row r="65" spans="1:34" ht="15.75" thickBot="1">
      <c r="A65" s="2795"/>
      <c r="B65" s="2747"/>
      <c r="C65" s="2355"/>
      <c r="D65" s="2356"/>
      <c r="E65" s="2409"/>
      <c r="F65" s="2357"/>
      <c r="G65" s="662"/>
      <c r="H65" s="2794"/>
      <c r="I65" s="2349"/>
      <c r="J65" s="2794"/>
      <c r="K65" s="2350"/>
      <c r="L65" s="2794"/>
      <c r="M65" s="2349"/>
      <c r="N65" s="2794"/>
      <c r="O65" s="2349"/>
      <c r="P65" s="2794"/>
      <c r="Q65" s="2349"/>
      <c r="R65" s="2794"/>
      <c r="S65" s="2349"/>
    </row>
    <row r="66" spans="1:34" ht="15.75" thickTop="1">
      <c r="A66" s="13"/>
      <c r="B66" s="226" t="s">
        <v>3265</v>
      </c>
      <c r="C66" s="15"/>
      <c r="D66" s="168"/>
      <c r="E66" s="176"/>
      <c r="F66" s="17"/>
      <c r="G66" s="227">
        <f>SUBTOTAL(9,G22:G65)</f>
        <v>53600</v>
      </c>
      <c r="H66" s="19"/>
      <c r="I66" s="225">
        <f>SUBTOTAL(9,I20:I65)</f>
        <v>414093.8</v>
      </c>
      <c r="J66" s="19"/>
      <c r="K66" s="225">
        <f>SUBTOTAL(9,K20:K65)</f>
        <v>540519.64</v>
      </c>
      <c r="L66" s="19"/>
      <c r="M66" s="225">
        <f>SUBTOTAL(9,M20:M65)</f>
        <v>0</v>
      </c>
      <c r="N66" s="19"/>
      <c r="O66" s="225">
        <f>SUBTOTAL(9,O20:O65)</f>
        <v>0</v>
      </c>
      <c r="P66" s="19"/>
      <c r="Q66" s="225">
        <f>SUBTOTAL(9,Q20:Q65)</f>
        <v>0</v>
      </c>
      <c r="R66" s="19"/>
      <c r="S66" s="225">
        <f>SUBTOTAL(9,S20:S65)</f>
        <v>0</v>
      </c>
    </row>
    <row r="67" spans="1:34">
      <c r="A67" s="2751"/>
      <c r="B67" s="2359" t="s">
        <v>2976</v>
      </c>
      <c r="C67" s="2360"/>
      <c r="D67" s="2361"/>
      <c r="E67" s="2362"/>
      <c r="F67" s="2363"/>
      <c r="G67" s="654"/>
      <c r="H67" s="2817">
        <v>0</v>
      </c>
      <c r="I67" s="645"/>
      <c r="J67" s="2817">
        <v>0</v>
      </c>
      <c r="K67" s="645"/>
      <c r="L67" s="2817">
        <v>0</v>
      </c>
      <c r="M67" s="645"/>
      <c r="N67" s="2817">
        <v>0</v>
      </c>
      <c r="O67" s="645"/>
      <c r="P67" s="2817">
        <v>0</v>
      </c>
      <c r="Q67" s="645"/>
      <c r="R67" s="2817">
        <v>0</v>
      </c>
      <c r="S67" s="645"/>
    </row>
    <row r="68" spans="1:34">
      <c r="A68" s="2751"/>
      <c r="B68" s="2359" t="s">
        <v>2977</v>
      </c>
      <c r="C68" s="2360"/>
      <c r="D68" s="2361"/>
      <c r="E68" s="2362"/>
      <c r="F68" s="2363"/>
      <c r="G68" s="654">
        <f>F67*G66</f>
        <v>0</v>
      </c>
      <c r="H68" s="2818"/>
      <c r="I68" s="2819">
        <f>H67*I66</f>
        <v>0</v>
      </c>
      <c r="J68" s="2818"/>
      <c r="K68" s="2819">
        <f>J67*K66</f>
        <v>0</v>
      </c>
      <c r="L68" s="2818"/>
      <c r="M68" s="2819">
        <f>L67*M66</f>
        <v>0</v>
      </c>
      <c r="N68" s="2818"/>
      <c r="O68" s="2819">
        <f>N67*O66</f>
        <v>0</v>
      </c>
      <c r="P68" s="2818"/>
      <c r="Q68" s="2819">
        <f>P67*Q66</f>
        <v>0</v>
      </c>
      <c r="R68" s="2818"/>
      <c r="S68" s="2819">
        <f>R67*S66</f>
        <v>0</v>
      </c>
    </row>
    <row r="69" spans="1:34">
      <c r="A69" s="2751"/>
      <c r="B69" s="2359"/>
      <c r="C69" s="2360"/>
      <c r="D69" s="2361"/>
      <c r="E69" s="2362"/>
      <c r="F69" s="2363"/>
      <c r="G69" s="654"/>
      <c r="H69" s="2818"/>
      <c r="I69" s="2819"/>
      <c r="J69" s="2818"/>
      <c r="K69" s="2819"/>
      <c r="L69" s="2818"/>
      <c r="M69" s="2819"/>
      <c r="N69" s="2818"/>
      <c r="O69" s="2819"/>
      <c r="P69" s="2818"/>
      <c r="Q69" s="2819"/>
      <c r="R69" s="2818"/>
      <c r="S69" s="2819"/>
    </row>
    <row r="70" spans="1:34">
      <c r="A70" s="2751"/>
      <c r="B70" s="2359" t="s">
        <v>2978</v>
      </c>
      <c r="C70" s="2360"/>
      <c r="D70" s="2361"/>
      <c r="E70" s="2362"/>
      <c r="F70" s="2363"/>
      <c r="G70" s="654">
        <f>SUM(G66:G68)</f>
        <v>53600</v>
      </c>
      <c r="H70" s="2820"/>
      <c r="I70" s="2819">
        <f>SUM(I66:I68)</f>
        <v>414093.8</v>
      </c>
      <c r="J70" s="2820"/>
      <c r="K70" s="2819">
        <f>SUM(K66:K68)</f>
        <v>540519.64</v>
      </c>
      <c r="L70" s="2820"/>
      <c r="M70" s="2819">
        <f>SUM(M66:M68)</f>
        <v>0</v>
      </c>
      <c r="N70" s="2820"/>
      <c r="O70" s="2819">
        <f>SUM(O66:O68)</f>
        <v>0</v>
      </c>
      <c r="P70" s="2820"/>
      <c r="Q70" s="2819">
        <f>SUM(Q66:Q68)</f>
        <v>0</v>
      </c>
      <c r="R70" s="2820"/>
      <c r="S70" s="2819">
        <f>SUM(S66:S68)</f>
        <v>0</v>
      </c>
    </row>
    <row r="71" spans="1:34">
      <c r="A71" s="2751"/>
      <c r="B71" s="2368" t="s">
        <v>2979</v>
      </c>
      <c r="C71" s="2360"/>
      <c r="D71" s="2361"/>
      <c r="E71" s="2362"/>
      <c r="F71" s="2368"/>
      <c r="G71" s="655">
        <f>G70/'Area Calculations'!$F$5</f>
        <v>0.60447491880187654</v>
      </c>
      <c r="H71" s="2821"/>
      <c r="I71" s="2822">
        <f>I70/'Area Calculations'!$F$5</f>
        <v>4.6699499278238905</v>
      </c>
      <c r="J71" s="2821"/>
      <c r="K71" s="2822">
        <f>K70/'Area Calculations'!$F$5</f>
        <v>6.0957195055936486</v>
      </c>
      <c r="L71" s="2821"/>
      <c r="M71" s="2822">
        <f>M70/'Area Calculations'!$F$5</f>
        <v>0</v>
      </c>
      <c r="N71" s="2821"/>
      <c r="O71" s="2822">
        <f>O70/'Area Calculations'!$F$5</f>
        <v>0</v>
      </c>
      <c r="P71" s="2821"/>
      <c r="Q71" s="2822">
        <f>Q70/'Area Calculations'!$F$5</f>
        <v>0</v>
      </c>
      <c r="R71" s="2823"/>
      <c r="S71" s="2822">
        <f>S70/'Area Calculations'!$F$5</f>
        <v>0</v>
      </c>
    </row>
    <row r="72" spans="1:34">
      <c r="A72" s="2751"/>
      <c r="B72" s="2372"/>
      <c r="C72" s="2360"/>
      <c r="D72" s="2361"/>
      <c r="E72" s="2362"/>
      <c r="F72" s="2363"/>
      <c r="G72" s="656"/>
      <c r="H72" s="2824"/>
      <c r="I72" s="2824"/>
      <c r="J72" s="2824"/>
      <c r="K72" s="2825"/>
      <c r="L72" s="2824"/>
      <c r="M72" s="2824"/>
      <c r="N72" s="2824"/>
      <c r="O72" s="2824"/>
      <c r="P72" s="2824"/>
      <c r="Q72" s="2824"/>
      <c r="R72" s="2824"/>
      <c r="S72" s="2824"/>
    </row>
    <row r="73" spans="1:34" ht="16.5" hidden="1" thickTop="1" thickBot="1">
      <c r="A73" s="830" t="s">
        <v>2980</v>
      </c>
      <c r="B73" s="831"/>
      <c r="C73" s="12"/>
      <c r="D73" s="169"/>
      <c r="E73" s="177"/>
      <c r="F73" s="12"/>
      <c r="G73" s="228"/>
      <c r="H73" s="20"/>
      <c r="I73" s="20"/>
      <c r="J73" s="20"/>
      <c r="K73" s="20"/>
      <c r="L73" s="20"/>
      <c r="M73" s="20"/>
      <c r="N73" s="20"/>
      <c r="O73" s="20"/>
      <c r="P73" s="20"/>
      <c r="Q73" s="20"/>
      <c r="R73" s="20"/>
      <c r="S73" s="20"/>
    </row>
    <row r="74" spans="1:34" ht="15.75" hidden="1" thickTop="1">
      <c r="A74" s="2661"/>
      <c r="B74" s="2406"/>
      <c r="C74" s="2662"/>
      <c r="D74" s="2663"/>
      <c r="E74" s="2664"/>
      <c r="F74" s="2662"/>
      <c r="G74" s="2665"/>
      <c r="H74" s="2757"/>
      <c r="I74" s="2757"/>
      <c r="J74" s="2757"/>
      <c r="K74" s="2757"/>
      <c r="L74" s="2757"/>
      <c r="M74" s="2757"/>
      <c r="N74" s="2757"/>
      <c r="O74" s="2757"/>
      <c r="P74" s="2757"/>
      <c r="Q74" s="2757"/>
      <c r="R74" s="2757"/>
      <c r="S74" s="2757"/>
    </row>
    <row r="75" spans="1:34" hidden="1">
      <c r="A75" s="2661"/>
      <c r="B75" s="2406"/>
      <c r="C75" s="2662"/>
      <c r="D75" s="2663"/>
      <c r="E75" s="2664"/>
      <c r="F75" s="2662"/>
      <c r="G75" s="2665"/>
      <c r="H75" s="2757"/>
      <c r="I75" s="2757"/>
      <c r="J75" s="2757"/>
      <c r="K75" s="2757"/>
      <c r="L75" s="2757"/>
      <c r="M75" s="2757"/>
      <c r="N75" s="2757"/>
      <c r="O75" s="2757"/>
      <c r="P75" s="2757"/>
      <c r="Q75" s="2757"/>
      <c r="R75" s="2757"/>
      <c r="S75" s="2757"/>
    </row>
    <row r="76" spans="1:34" ht="15.75" hidden="1" thickBot="1">
      <c r="A76" s="2661"/>
      <c r="B76" s="2406"/>
      <c r="C76" s="2662"/>
      <c r="D76" s="2663"/>
      <c r="E76" s="2664"/>
      <c r="F76" s="2662"/>
      <c r="G76" s="2665"/>
      <c r="H76" s="2757"/>
      <c r="I76" s="2757"/>
      <c r="J76" s="2757"/>
      <c r="K76" s="2757"/>
      <c r="L76" s="2757"/>
      <c r="M76" s="2757"/>
      <c r="N76" s="2757"/>
      <c r="O76" s="2757"/>
      <c r="P76" s="2757"/>
      <c r="Q76" s="2757"/>
      <c r="R76" s="2757"/>
      <c r="S76" s="2757"/>
    </row>
    <row r="77" spans="1:34" s="2" customFormat="1" ht="16.5" hidden="1" thickTop="1" thickBot="1">
      <c r="A77" s="830" t="s">
        <v>2981</v>
      </c>
      <c r="B77" s="831"/>
      <c r="C77" s="12"/>
      <c r="D77" s="169"/>
      <c r="E77" s="177"/>
      <c r="F77" s="12"/>
      <c r="G77" s="228"/>
      <c r="H77" s="20"/>
      <c r="I77" s="20"/>
      <c r="J77" s="20"/>
      <c r="K77" s="20"/>
      <c r="L77" s="20"/>
      <c r="M77" s="20"/>
      <c r="N77" s="20"/>
      <c r="O77" s="20"/>
      <c r="P77" s="20"/>
      <c r="Q77" s="20"/>
      <c r="R77" s="20"/>
      <c r="S77" s="20"/>
      <c r="T77"/>
      <c r="U77"/>
      <c r="V77"/>
      <c r="W77"/>
      <c r="X77"/>
      <c r="Y77"/>
      <c r="Z77"/>
      <c r="AA77"/>
      <c r="AB77"/>
      <c r="AC77"/>
      <c r="AD77"/>
      <c r="AE77"/>
      <c r="AF77"/>
      <c r="AG77"/>
      <c r="AH77"/>
    </row>
    <row r="78" spans="1:34" s="2" customFormat="1" ht="15.75" hidden="1" thickTop="1">
      <c r="A78" s="2661"/>
      <c r="B78" s="2406"/>
      <c r="C78" s="2662"/>
      <c r="D78" s="2663"/>
      <c r="E78" s="2664"/>
      <c r="F78" s="2662"/>
      <c r="G78" s="2665"/>
      <c r="H78" s="2757"/>
      <c r="I78" s="2757"/>
      <c r="J78" s="2757"/>
      <c r="K78" s="2757"/>
      <c r="L78" s="2757"/>
      <c r="M78" s="2757"/>
      <c r="N78" s="2757"/>
      <c r="O78" s="2757"/>
      <c r="P78" s="2757"/>
      <c r="Q78" s="2757"/>
      <c r="R78" s="2757"/>
      <c r="S78" s="2757"/>
      <c r="T78"/>
      <c r="U78"/>
      <c r="V78"/>
      <c r="W78"/>
      <c r="X78"/>
      <c r="Y78"/>
      <c r="Z78"/>
      <c r="AA78"/>
      <c r="AB78"/>
      <c r="AC78"/>
      <c r="AD78"/>
      <c r="AE78"/>
      <c r="AF78"/>
      <c r="AG78"/>
      <c r="AH78"/>
    </row>
    <row r="79" spans="1:34" s="2" customFormat="1" hidden="1">
      <c r="A79" s="2661"/>
      <c r="B79" s="2406"/>
      <c r="C79" s="2662"/>
      <c r="D79" s="2663"/>
      <c r="E79" s="2664"/>
      <c r="F79" s="2662"/>
      <c r="G79" s="2665"/>
      <c r="H79" s="2757"/>
      <c r="I79" s="2757"/>
      <c r="J79" s="2757"/>
      <c r="K79" s="2757"/>
      <c r="L79" s="2757"/>
      <c r="M79" s="2757"/>
      <c r="N79" s="2757"/>
      <c r="O79" s="2757"/>
      <c r="P79" s="2757"/>
      <c r="Q79" s="2757"/>
      <c r="R79" s="2757"/>
      <c r="S79" s="2757"/>
      <c r="T79"/>
      <c r="U79"/>
      <c r="V79"/>
      <c r="W79"/>
      <c r="X79"/>
      <c r="Y79"/>
      <c r="Z79"/>
      <c r="AA79"/>
      <c r="AB79"/>
      <c r="AC79"/>
      <c r="AD79"/>
      <c r="AE79"/>
      <c r="AF79"/>
      <c r="AG79"/>
      <c r="AH79"/>
    </row>
    <row r="80" spans="1:34" ht="15.75" hidden="1" thickBot="1">
      <c r="A80" s="2661"/>
      <c r="B80" s="2406"/>
      <c r="C80" s="2662"/>
      <c r="D80" s="2663"/>
      <c r="E80" s="2664"/>
      <c r="F80" s="2662"/>
      <c r="G80" s="2665"/>
      <c r="H80" s="2757"/>
      <c r="I80" s="2757"/>
      <c r="J80" s="2757"/>
      <c r="K80" s="2757"/>
      <c r="L80" s="2757"/>
      <c r="M80" s="2757"/>
      <c r="N80" s="2757"/>
      <c r="O80" s="2757"/>
      <c r="P80" s="2757"/>
      <c r="Q80" s="2757"/>
      <c r="R80" s="2757"/>
      <c r="S80" s="2757"/>
    </row>
    <row r="81" spans="1:34" s="2" customFormat="1" ht="16.5" hidden="1" thickTop="1" thickBot="1">
      <c r="A81" s="830" t="s">
        <v>2982</v>
      </c>
      <c r="B81" s="831"/>
      <c r="C81" s="12"/>
      <c r="D81" s="169"/>
      <c r="E81" s="177"/>
      <c r="F81" s="12"/>
      <c r="G81" s="228"/>
      <c r="H81" s="20"/>
      <c r="I81" s="20"/>
      <c r="J81" s="20"/>
      <c r="K81" s="20"/>
      <c r="L81" s="20"/>
      <c r="M81" s="20"/>
      <c r="N81" s="20"/>
      <c r="O81" s="20"/>
      <c r="P81" s="20"/>
      <c r="Q81" s="20"/>
      <c r="R81" s="20"/>
      <c r="S81" s="20"/>
      <c r="T81"/>
      <c r="U81"/>
      <c r="V81"/>
      <c r="W81"/>
      <c r="X81"/>
      <c r="Y81"/>
      <c r="Z81"/>
      <c r="AA81"/>
      <c r="AB81"/>
      <c r="AC81"/>
      <c r="AD81"/>
      <c r="AE81"/>
      <c r="AF81"/>
      <c r="AG81"/>
      <c r="AH81"/>
    </row>
    <row r="82" spans="1:34" s="2" customFormat="1" ht="15.75" hidden="1" thickTop="1">
      <c r="A82" s="2661"/>
      <c r="B82" s="2406"/>
      <c r="C82" s="2662"/>
      <c r="D82" s="2663"/>
      <c r="E82" s="2664"/>
      <c r="F82" s="2662"/>
      <c r="G82" s="2665"/>
      <c r="H82" s="2757"/>
      <c r="I82" s="2757"/>
      <c r="J82" s="2757"/>
      <c r="K82" s="2757"/>
      <c r="L82" s="2757"/>
      <c r="M82" s="2757"/>
      <c r="N82" s="2757"/>
      <c r="O82" s="2757"/>
      <c r="P82" s="2757"/>
      <c r="Q82" s="2757"/>
      <c r="R82" s="2757"/>
      <c r="S82" s="2757"/>
      <c r="T82"/>
      <c r="U82"/>
      <c r="V82"/>
      <c r="W82"/>
      <c r="X82"/>
      <c r="Y82"/>
      <c r="Z82"/>
      <c r="AA82"/>
      <c r="AB82"/>
      <c r="AC82"/>
      <c r="AD82"/>
      <c r="AE82"/>
      <c r="AF82"/>
      <c r="AG82"/>
      <c r="AH82"/>
    </row>
    <row r="83" spans="1:34" s="2" customFormat="1" hidden="1">
      <c r="A83" s="2758"/>
      <c r="B83" s="2406"/>
      <c r="C83" s="2407"/>
      <c r="D83" s="2408"/>
      <c r="E83" s="2409"/>
      <c r="F83" s="2407"/>
      <c r="G83" s="2759"/>
      <c r="H83" s="2760"/>
      <c r="I83" s="2760"/>
      <c r="J83" s="2760"/>
      <c r="K83" s="2760"/>
      <c r="L83" s="2760"/>
      <c r="M83" s="2760"/>
      <c r="N83" s="2760"/>
      <c r="O83" s="2760"/>
      <c r="P83" s="2760"/>
      <c r="Q83" s="2760"/>
      <c r="R83" s="2760"/>
      <c r="S83" s="2760"/>
      <c r="T83"/>
      <c r="U83"/>
      <c r="V83"/>
      <c r="W83"/>
      <c r="X83"/>
      <c r="Y83"/>
      <c r="Z83"/>
      <c r="AA83"/>
      <c r="AB83"/>
      <c r="AC83"/>
      <c r="AD83"/>
      <c r="AE83"/>
      <c r="AF83"/>
      <c r="AG83"/>
      <c r="AH83"/>
    </row>
    <row r="84" spans="1:34" s="2" customFormat="1" ht="15.75" hidden="1" thickBot="1">
      <c r="A84" s="2761"/>
      <c r="B84" s="2386"/>
      <c r="C84" s="2407"/>
      <c r="D84" s="2408"/>
      <c r="E84" s="2409"/>
      <c r="F84" s="2407"/>
      <c r="G84" s="2759"/>
      <c r="H84" s="2763"/>
      <c r="I84" s="2763"/>
      <c r="J84" s="2763"/>
      <c r="K84" s="2763"/>
      <c r="L84" s="2763"/>
      <c r="M84" s="2763"/>
      <c r="N84" s="2763"/>
      <c r="O84" s="2763"/>
      <c r="P84" s="2763"/>
      <c r="Q84" s="2763"/>
      <c r="R84" s="2763"/>
      <c r="S84" s="2763"/>
    </row>
    <row r="85" spans="1:34" s="2" customFormat="1" ht="16.5" hidden="1" thickTop="1" thickBot="1">
      <c r="A85" s="830" t="s">
        <v>2983</v>
      </c>
      <c r="B85" s="831"/>
      <c r="C85" s="12"/>
      <c r="D85" s="169"/>
      <c r="E85" s="177"/>
      <c r="F85" s="12"/>
      <c r="G85" s="228"/>
      <c r="H85" s="20"/>
      <c r="I85" s="20"/>
      <c r="J85" s="20"/>
      <c r="K85" s="20"/>
      <c r="L85" s="20"/>
      <c r="M85" s="20"/>
      <c r="N85" s="20"/>
      <c r="O85" s="20"/>
      <c r="P85" s="20"/>
      <c r="Q85" s="20"/>
      <c r="R85" s="20"/>
      <c r="S85" s="20"/>
      <c r="T85"/>
      <c r="U85"/>
      <c r="V85"/>
      <c r="W85"/>
      <c r="X85"/>
      <c r="Y85"/>
      <c r="Z85"/>
      <c r="AA85"/>
      <c r="AB85"/>
      <c r="AC85"/>
      <c r="AD85"/>
      <c r="AE85"/>
      <c r="AF85"/>
      <c r="AG85"/>
      <c r="AH85"/>
    </row>
    <row r="86" spans="1:34" ht="15.75" hidden="1" thickTop="1">
      <c r="A86" s="2667"/>
      <c r="B86" s="2668"/>
      <c r="C86" s="2662"/>
      <c r="D86" s="2663"/>
      <c r="E86" s="2664"/>
      <c r="F86" s="2662"/>
      <c r="G86" s="2665"/>
      <c r="H86" s="2757"/>
      <c r="I86" s="2757"/>
      <c r="J86" s="2757"/>
      <c r="K86" s="2757"/>
      <c r="L86" s="2757"/>
      <c r="M86" s="2757"/>
      <c r="N86" s="2757"/>
      <c r="O86" s="2757"/>
      <c r="P86" s="2757"/>
      <c r="Q86" s="2757"/>
      <c r="R86" s="2757"/>
      <c r="S86" s="2757"/>
      <c r="T86" s="2"/>
      <c r="U86" s="2"/>
      <c r="V86" s="2"/>
      <c r="W86" s="2"/>
      <c r="X86" s="2"/>
      <c r="Y86" s="2"/>
      <c r="Z86" s="2"/>
      <c r="AA86" s="2"/>
      <c r="AB86" s="2"/>
      <c r="AC86" s="2"/>
      <c r="AD86" s="2"/>
      <c r="AE86" s="2"/>
      <c r="AF86" s="2"/>
      <c r="AG86" s="2"/>
      <c r="AH86" s="2"/>
    </row>
    <row r="87" spans="1:34" hidden="1">
      <c r="A87" s="2761"/>
      <c r="B87" s="2386"/>
      <c r="C87" s="2407"/>
      <c r="D87" s="2408"/>
      <c r="E87" s="2409"/>
      <c r="F87" s="2407"/>
      <c r="G87" s="2759"/>
      <c r="H87" s="2764"/>
      <c r="I87" s="2764"/>
      <c r="J87" s="2764"/>
      <c r="K87" s="2764"/>
      <c r="L87" s="2764"/>
      <c r="M87" s="2764"/>
      <c r="N87" s="2764"/>
      <c r="O87" s="2764"/>
      <c r="P87" s="2764"/>
      <c r="Q87" s="2764"/>
      <c r="R87" s="2764"/>
      <c r="S87" s="2764"/>
      <c r="T87" s="2"/>
      <c r="U87" s="2"/>
      <c r="V87" s="2"/>
      <c r="W87" s="2"/>
      <c r="X87" s="2"/>
      <c r="Y87" s="2"/>
      <c r="Z87" s="2"/>
      <c r="AA87" s="2"/>
      <c r="AB87" s="2"/>
      <c r="AC87" s="2"/>
      <c r="AD87" s="2"/>
      <c r="AE87" s="2"/>
      <c r="AF87" s="2"/>
      <c r="AG87" s="2"/>
      <c r="AH87" s="2"/>
    </row>
    <row r="88" spans="1:34" ht="15.75" hidden="1" thickBot="1">
      <c r="A88" s="2761"/>
      <c r="B88" s="2386"/>
      <c r="C88" s="2407"/>
      <c r="D88" s="2408"/>
      <c r="E88" s="2409"/>
      <c r="F88" s="2407"/>
      <c r="G88" s="2759"/>
      <c r="H88" s="2764"/>
      <c r="I88" s="2764"/>
      <c r="J88" s="2764"/>
      <c r="K88" s="2764"/>
      <c r="L88" s="2764"/>
      <c r="M88" s="2764"/>
      <c r="N88" s="2764"/>
      <c r="O88" s="2764"/>
      <c r="P88" s="2764"/>
      <c r="Q88" s="2764"/>
      <c r="R88" s="2764"/>
      <c r="S88" s="2764"/>
      <c r="T88" s="2"/>
      <c r="U88" s="2"/>
      <c r="V88" s="2"/>
      <c r="W88" s="2"/>
      <c r="X88" s="2"/>
      <c r="Y88" s="2"/>
      <c r="Z88" s="2"/>
      <c r="AA88" s="2"/>
      <c r="AB88" s="2"/>
      <c r="AC88" s="2"/>
      <c r="AD88" s="2"/>
      <c r="AE88" s="2"/>
      <c r="AF88" s="2"/>
      <c r="AG88" s="2"/>
      <c r="AH88" s="2"/>
    </row>
    <row r="89" spans="1:34" ht="16.5" hidden="1" thickTop="1" thickBot="1">
      <c r="A89" s="830" t="s">
        <v>2984</v>
      </c>
      <c r="B89" s="831"/>
      <c r="C89" s="12"/>
      <c r="D89" s="169"/>
      <c r="E89" s="177"/>
      <c r="F89" s="12"/>
      <c r="G89" s="228"/>
      <c r="H89" s="20"/>
      <c r="I89" s="20"/>
      <c r="J89" s="20"/>
      <c r="K89" s="20"/>
      <c r="L89" s="20"/>
      <c r="M89" s="20"/>
      <c r="N89" s="20"/>
      <c r="O89" s="20"/>
      <c r="P89" s="20"/>
      <c r="Q89" s="20"/>
      <c r="R89" s="20"/>
      <c r="S89" s="20"/>
    </row>
    <row r="90" spans="1:34" ht="15.75" hidden="1" thickTop="1">
      <c r="A90" s="2758"/>
      <c r="B90" s="2406" t="s">
        <v>2985</v>
      </c>
      <c r="C90" s="2407"/>
      <c r="D90" s="2408"/>
      <c r="E90" s="2409"/>
      <c r="F90" s="2407"/>
      <c r="G90" s="2759"/>
      <c r="H90" s="2764"/>
      <c r="I90" s="2764"/>
      <c r="J90" s="2764"/>
      <c r="K90" s="2764"/>
      <c r="L90" s="2764"/>
      <c r="M90" s="2764"/>
      <c r="N90" s="2764"/>
      <c r="O90" s="2764"/>
      <c r="P90" s="2764"/>
      <c r="Q90" s="2764"/>
      <c r="R90" s="2764"/>
      <c r="S90" s="2764"/>
    </row>
    <row r="91" spans="1:34" hidden="1">
      <c r="A91" s="2758"/>
      <c r="B91" s="2406" t="s">
        <v>2986</v>
      </c>
      <c r="C91" s="2407"/>
      <c r="D91" s="2408"/>
      <c r="E91" s="2409"/>
      <c r="F91" s="2407"/>
      <c r="G91" s="2759"/>
      <c r="H91" s="2764"/>
      <c r="I91" s="2764"/>
      <c r="J91" s="2764"/>
      <c r="K91" s="2764"/>
      <c r="L91" s="2764"/>
      <c r="M91" s="2764"/>
      <c r="N91" s="2764"/>
      <c r="O91" s="2764"/>
      <c r="P91" s="2764"/>
      <c r="Q91" s="2764"/>
      <c r="R91" s="2764"/>
      <c r="S91" s="2764"/>
    </row>
    <row r="92" spans="1:34" hidden="1">
      <c r="A92" s="2758"/>
      <c r="B92" s="2406" t="s">
        <v>2987</v>
      </c>
      <c r="C92" s="2407"/>
      <c r="D92" s="2408"/>
      <c r="E92" s="2409"/>
      <c r="F92" s="2407"/>
      <c r="G92" s="2759"/>
      <c r="H92" s="2764"/>
      <c r="I92" s="2764"/>
      <c r="J92" s="2764"/>
      <c r="K92" s="2764"/>
      <c r="L92" s="2764"/>
      <c r="M92" s="2764"/>
      <c r="N92" s="2764"/>
      <c r="O92" s="2764"/>
      <c r="P92" s="2764"/>
      <c r="Q92" s="2764"/>
      <c r="R92" s="2764"/>
      <c r="S92" s="2764"/>
    </row>
    <row r="93" spans="1:34" hidden="1">
      <c r="A93" s="2758"/>
      <c r="B93" s="2406" t="s">
        <v>2988</v>
      </c>
      <c r="C93" s="2407"/>
      <c r="D93" s="2408"/>
      <c r="E93" s="2409"/>
      <c r="F93" s="2407"/>
      <c r="G93" s="2759"/>
      <c r="H93" s="2764"/>
      <c r="I93" s="2764"/>
      <c r="J93" s="2764"/>
      <c r="K93" s="2764"/>
      <c r="L93" s="2764"/>
      <c r="M93" s="2764"/>
      <c r="N93" s="2764"/>
      <c r="O93" s="2764"/>
      <c r="P93" s="2764"/>
      <c r="Q93" s="2764"/>
      <c r="R93" s="2764"/>
      <c r="S93" s="2764"/>
    </row>
    <row r="94" spans="1:34" ht="15.75" hidden="1" thickBot="1">
      <c r="A94" s="646"/>
      <c r="B94" s="619"/>
      <c r="C94" s="616"/>
      <c r="D94" s="621"/>
      <c r="E94" s="622"/>
      <c r="F94" s="616"/>
      <c r="G94" s="620"/>
      <c r="H94" s="647"/>
      <c r="I94" s="647"/>
      <c r="J94" s="647"/>
      <c r="K94" s="647"/>
      <c r="L94" s="647"/>
      <c r="M94" s="647"/>
      <c r="N94" s="647"/>
      <c r="O94" s="647"/>
      <c r="P94" s="647"/>
      <c r="Q94" s="647"/>
      <c r="R94" s="647"/>
      <c r="S94" s="647"/>
    </row>
    <row r="95" spans="1:34" ht="16.5" hidden="1" thickTop="1" thickBot="1">
      <c r="A95" s="7" t="s">
        <v>2989</v>
      </c>
      <c r="B95" s="8"/>
      <c r="C95" s="12"/>
      <c r="D95" s="169"/>
      <c r="E95" s="177"/>
      <c r="F95" s="12"/>
      <c r="G95" s="228"/>
      <c r="H95" s="20"/>
      <c r="I95" s="20"/>
      <c r="J95" s="20"/>
      <c r="K95" s="20"/>
      <c r="L95" s="20"/>
      <c r="M95" s="20"/>
      <c r="N95" s="20"/>
      <c r="O95" s="20"/>
      <c r="P95" s="20"/>
      <c r="Q95" s="20"/>
      <c r="R95" s="20"/>
      <c r="S95" s="20"/>
    </row>
    <row r="96" spans="1:34" ht="15.75" hidden="1" thickTop="1">
      <c r="A96" s="2661"/>
      <c r="B96" s="2647" t="s">
        <v>2990</v>
      </c>
      <c r="C96" s="2662"/>
      <c r="D96" s="2663"/>
      <c r="E96" s="2664"/>
      <c r="F96" s="2662"/>
      <c r="G96" s="2665"/>
      <c r="H96" s="2735"/>
      <c r="I96" s="2735"/>
      <c r="J96" s="2735"/>
      <c r="K96" s="2735"/>
      <c r="L96" s="2735"/>
      <c r="M96" s="2735"/>
      <c r="N96" s="2735"/>
      <c r="O96" s="2735"/>
      <c r="P96" s="2735"/>
      <c r="Q96" s="2735"/>
      <c r="R96" s="2735"/>
      <c r="S96" s="2735"/>
    </row>
    <row r="97" spans="1:19" hidden="1">
      <c r="A97" s="2758"/>
      <c r="B97" s="2406" t="s">
        <v>2991</v>
      </c>
      <c r="C97" s="2407"/>
      <c r="D97" s="2408"/>
      <c r="E97" s="2409"/>
      <c r="F97" s="2407"/>
      <c r="G97" s="2759"/>
      <c r="H97" s="2765"/>
      <c r="I97" s="2765"/>
      <c r="J97" s="2765"/>
      <c r="K97" s="2765"/>
      <c r="L97" s="2765"/>
      <c r="M97" s="2765"/>
      <c r="N97" s="2765"/>
      <c r="O97" s="2765"/>
      <c r="P97" s="2765"/>
      <c r="Q97" s="2765"/>
      <c r="R97" s="2765"/>
      <c r="S97" s="2765"/>
    </row>
    <row r="98" spans="1:19" ht="15.75" hidden="1" thickBot="1">
      <c r="A98" s="2766"/>
      <c r="B98" s="2787" t="s">
        <v>2992</v>
      </c>
      <c r="C98" s="2788"/>
      <c r="D98" s="2767"/>
      <c r="E98" s="2768"/>
      <c r="F98" s="2788"/>
      <c r="G98" s="2769"/>
      <c r="H98" s="2770"/>
      <c r="I98" s="2770"/>
      <c r="J98" s="2770"/>
      <c r="K98" s="2770"/>
      <c r="L98" s="2770"/>
      <c r="M98" s="2770"/>
      <c r="N98" s="2770"/>
      <c r="O98" s="2770"/>
      <c r="P98" s="2770"/>
      <c r="Q98" s="2770"/>
      <c r="R98" s="2770"/>
      <c r="S98" s="2770"/>
    </row>
    <row r="99" spans="1:19" ht="15.75" thickBot="1"/>
    <row r="100" spans="1:19" ht="16.5" thickTop="1" thickBot="1">
      <c r="A100" s="59" t="s">
        <v>2993</v>
      </c>
      <c r="B100" s="61"/>
    </row>
    <row r="101" spans="1:19" ht="15.75" thickTop="1">
      <c r="A101" s="60" t="s">
        <v>2936</v>
      </c>
      <c r="B101" s="2771"/>
    </row>
    <row r="102" spans="1:19">
      <c r="A102" s="2772" t="s">
        <v>2939</v>
      </c>
      <c r="B102" s="2771"/>
    </row>
    <row r="103" spans="1:19">
      <c r="A103" s="2773" t="s">
        <v>2941</v>
      </c>
      <c r="B103" s="2774"/>
    </row>
    <row r="104" spans="1:19">
      <c r="A104" s="2773" t="s">
        <v>2943</v>
      </c>
      <c r="B104" s="2775"/>
    </row>
    <row r="105" spans="1:19" ht="15.75" thickBot="1">
      <c r="A105" s="2776" t="s">
        <v>2994</v>
      </c>
      <c r="B105" s="2777">
        <f>$I$70</f>
        <v>414093.8</v>
      </c>
    </row>
    <row r="106" spans="1:19" ht="15.75" thickTop="1"/>
    <row r="107" spans="1:19">
      <c r="A107" s="62"/>
      <c r="B107" s="1" t="s">
        <v>2995</v>
      </c>
    </row>
    <row r="108" spans="1:19">
      <c r="A108" s="63"/>
      <c r="B108" s="1" t="s">
        <v>2996</v>
      </c>
    </row>
  </sheetData>
  <mergeCells count="35">
    <mergeCell ref="R5:S5"/>
    <mergeCell ref="J5:K5"/>
    <mergeCell ref="H5:I5"/>
    <mergeCell ref="L5:M5"/>
    <mergeCell ref="N5:O5"/>
    <mergeCell ref="P5:Q5"/>
    <mergeCell ref="R7:S7"/>
    <mergeCell ref="J6:K6"/>
    <mergeCell ref="H6:I6"/>
    <mergeCell ref="L6:M6"/>
    <mergeCell ref="N6:O6"/>
    <mergeCell ref="P6:Q6"/>
    <mergeCell ref="R6:S6"/>
    <mergeCell ref="J7:K7"/>
    <mergeCell ref="H7:I7"/>
    <mergeCell ref="L7:M7"/>
    <mergeCell ref="N7:O7"/>
    <mergeCell ref="P7:Q7"/>
    <mergeCell ref="R9:S9"/>
    <mergeCell ref="J8:K8"/>
    <mergeCell ref="H8:I8"/>
    <mergeCell ref="L8:M8"/>
    <mergeCell ref="N8:O8"/>
    <mergeCell ref="P8:Q8"/>
    <mergeCell ref="R8:S8"/>
    <mergeCell ref="J9:K9"/>
    <mergeCell ref="H9:I9"/>
    <mergeCell ref="L9:M9"/>
    <mergeCell ref="N9:O9"/>
    <mergeCell ref="P9:Q9"/>
    <mergeCell ref="A73:B73"/>
    <mergeCell ref="A77:B77"/>
    <mergeCell ref="A81:B81"/>
    <mergeCell ref="A85:B85"/>
    <mergeCell ref="A89:B89"/>
  </mergeCells>
  <conditionalFormatting sqref="H11:H18 J11:J18 L11:L18 N11:N18 P11:P18 R11:R18 H20:H65 J20:J65 L20:L65 N20:N65 P20:P65 R20:R65">
    <cfRule type="cellIs" dxfId="111" priority="9" operator="equal">
      <formula>"X"</formula>
    </cfRule>
    <cfRule type="cellIs" dxfId="110" priority="10" operator="equal">
      <formula>"I"</formula>
    </cfRule>
  </conditionalFormatting>
  <hyperlinks>
    <hyperlink ref="B4" location="'Cost Summary'!A1" display="BACK TO SUMMARY SHEET" xr:uid="{0B2B75CC-AE46-44A7-B067-A507807863EF}"/>
    <hyperlink ref="J8" r:id="rId1" xr:uid="{A3A93A70-470B-447C-B2AC-62F24037BE69}"/>
    <hyperlink ref="H8" r:id="rId2" xr:uid="{0D0DB965-6C62-4F66-904E-A07A10CF1390}"/>
  </hyperlinks>
  <pageMargins left="0.2" right="0.2" top="0.5" bottom="0.75" header="0.3" footer="0.3"/>
  <pageSetup paperSize="3" scale="77" fitToHeight="0" orientation="landscape"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rgb="FF00B050"/>
    <pageSetUpPr fitToPage="1"/>
  </sheetPr>
  <dimension ref="A1:AH96"/>
  <sheetViews>
    <sheetView zoomScale="90" zoomScaleNormal="90" workbookViewId="0">
      <pane ySplit="10" topLeftCell="A16" activePane="bottomLeft" state="frozen"/>
      <selection pane="bottomLeft" activeCell="A61" sqref="A61:B61"/>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5926</v>
      </c>
      <c r="I5" s="838"/>
      <c r="J5" s="841"/>
      <c r="K5" s="842"/>
      <c r="L5" s="841"/>
      <c r="M5" s="842"/>
      <c r="N5" s="841"/>
      <c r="O5" s="842"/>
      <c r="P5" s="841"/>
      <c r="Q5" s="842"/>
      <c r="R5" s="841"/>
      <c r="S5" s="842"/>
    </row>
    <row r="6" spans="1:19">
      <c r="A6" s="2778" t="s">
        <v>2938</v>
      </c>
      <c r="B6" s="2406" t="s">
        <v>2586</v>
      </c>
      <c r="C6" s="2407"/>
      <c r="D6" s="2408"/>
      <c r="E6" s="2409"/>
      <c r="F6" s="2407"/>
      <c r="G6" s="657" t="s">
        <v>2939</v>
      </c>
      <c r="H6" s="2779"/>
      <c r="I6" s="839"/>
      <c r="J6" s="2780"/>
      <c r="K6" s="843"/>
      <c r="L6" s="2780"/>
      <c r="M6" s="843"/>
      <c r="N6" s="2780"/>
      <c r="O6" s="843"/>
      <c r="P6" s="2780"/>
      <c r="Q6" s="843"/>
      <c r="R6" s="2780"/>
      <c r="S6" s="843"/>
    </row>
    <row r="7" spans="1:19">
      <c r="A7" s="2778" t="s">
        <v>2940</v>
      </c>
      <c r="B7" s="2413" t="s">
        <v>2658</v>
      </c>
      <c r="C7" s="2407"/>
      <c r="D7" s="2408"/>
      <c r="E7" s="2409"/>
      <c r="F7" s="2407"/>
      <c r="G7" s="2781" t="s">
        <v>2941</v>
      </c>
      <c r="H7" s="2782"/>
      <c r="I7" s="840"/>
      <c r="J7" s="2783"/>
      <c r="K7" s="844"/>
      <c r="L7" s="2783"/>
      <c r="M7" s="844"/>
      <c r="N7" s="2783"/>
      <c r="O7" s="844"/>
      <c r="P7" s="2783"/>
      <c r="Q7" s="844"/>
      <c r="R7" s="2783"/>
      <c r="S7" s="844"/>
    </row>
    <row r="8" spans="1:19">
      <c r="A8" s="2778" t="s">
        <v>2942</v>
      </c>
      <c r="B8" s="2418"/>
      <c r="C8" s="2407"/>
      <c r="D8" s="2408"/>
      <c r="E8" s="2409"/>
      <c r="F8" s="2407"/>
      <c r="G8" s="2781" t="s">
        <v>2943</v>
      </c>
      <c r="H8" s="2784"/>
      <c r="I8" s="836"/>
      <c r="J8" s="2785"/>
      <c r="K8" s="845"/>
      <c r="L8" s="2785"/>
      <c r="M8" s="845"/>
      <c r="N8" s="2785"/>
      <c r="O8" s="845"/>
      <c r="P8" s="2785"/>
      <c r="Q8" s="845"/>
      <c r="R8" s="2785"/>
      <c r="S8" s="845"/>
    </row>
    <row r="9" spans="1:19" ht="15.75" thickBot="1">
      <c r="A9" s="2786"/>
      <c r="B9" s="2787"/>
      <c r="C9" s="616"/>
      <c r="D9" s="621"/>
      <c r="E9" s="622"/>
      <c r="F9" s="2788"/>
      <c r="G9" s="2789" t="s">
        <v>2944</v>
      </c>
      <c r="H9" s="2792">
        <f>I$58</f>
        <v>52750</v>
      </c>
      <c r="I9" s="2793"/>
      <c r="J9" s="2790">
        <f t="shared" ref="J9" si="0">K$58</f>
        <v>0</v>
      </c>
      <c r="K9" s="2791"/>
      <c r="L9" s="2790">
        <f t="shared" ref="L9" si="1">M$58</f>
        <v>0</v>
      </c>
      <c r="M9" s="2791"/>
      <c r="N9" s="2790">
        <f t="shared" ref="N9" si="2">O$58</f>
        <v>0</v>
      </c>
      <c r="O9" s="2791"/>
      <c r="P9" s="2790">
        <f t="shared" ref="P9" si="3">Q$58</f>
        <v>0</v>
      </c>
      <c r="Q9" s="2791"/>
      <c r="R9" s="2790">
        <f t="shared" ref="R9" si="4">S$58</f>
        <v>0</v>
      </c>
      <c r="S9" s="2791"/>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49"/>
      <c r="B11" s="2182" t="s">
        <v>2953</v>
      </c>
      <c r="C11" s="659"/>
      <c r="D11" s="2408"/>
      <c r="E11" s="2409"/>
      <c r="F11" s="2407"/>
      <c r="G11" s="660"/>
      <c r="H11" s="2794"/>
      <c r="I11" s="2338"/>
      <c r="J11" s="2794"/>
      <c r="K11" s="182"/>
      <c r="L11" s="2794"/>
      <c r="M11" s="2339"/>
      <c r="N11" s="2794"/>
      <c r="O11" s="2339"/>
      <c r="P11" s="2794"/>
      <c r="Q11" s="2339"/>
      <c r="R11" s="2794"/>
      <c r="S11" s="2339"/>
    </row>
    <row r="12" spans="1:19">
      <c r="A12" s="2650"/>
      <c r="B12" s="2740" t="s">
        <v>2954</v>
      </c>
      <c r="C12" s="2407"/>
      <c r="D12" s="2408"/>
      <c r="E12" s="2409"/>
      <c r="F12" s="2407"/>
      <c r="G12" s="660"/>
      <c r="H12" s="2794"/>
      <c r="I12" s="2338"/>
      <c r="J12" s="2794"/>
      <c r="K12" s="2339"/>
      <c r="L12" s="2794"/>
      <c r="M12" s="2339"/>
      <c r="N12" s="2794"/>
      <c r="O12" s="2339"/>
      <c r="P12" s="2794"/>
      <c r="Q12" s="2339"/>
      <c r="R12" s="2794"/>
      <c r="S12" s="2339"/>
    </row>
    <row r="13" spans="1:19">
      <c r="A13" s="2795"/>
      <c r="B13" s="2741" t="s">
        <v>2955</v>
      </c>
      <c r="C13" s="2407"/>
      <c r="D13" s="2408"/>
      <c r="E13" s="2409"/>
      <c r="F13" s="2407"/>
      <c r="G13" s="660"/>
      <c r="H13" s="2794"/>
      <c r="I13" s="2338"/>
      <c r="J13" s="2794"/>
      <c r="K13" s="2339"/>
      <c r="L13" s="2794"/>
      <c r="M13" s="2339"/>
      <c r="N13" s="2794"/>
      <c r="O13" s="2339"/>
      <c r="P13" s="2794"/>
      <c r="Q13" s="2339"/>
      <c r="R13" s="2794"/>
      <c r="S13" s="2339"/>
    </row>
    <row r="14" spans="1:19">
      <c r="A14" s="2795"/>
      <c r="B14" s="2742" t="s">
        <v>2956</v>
      </c>
      <c r="C14" s="2407"/>
      <c r="D14" s="2408"/>
      <c r="E14" s="2409"/>
      <c r="F14" s="2407"/>
      <c r="G14" s="660"/>
      <c r="H14" s="2794"/>
      <c r="I14" s="2338"/>
      <c r="J14" s="2794"/>
      <c r="K14" s="2339"/>
      <c r="L14" s="2794"/>
      <c r="M14" s="2339"/>
      <c r="N14" s="2794"/>
      <c r="O14" s="2339"/>
      <c r="P14" s="2794"/>
      <c r="Q14" s="2339"/>
      <c r="R14" s="2794"/>
      <c r="S14" s="2339"/>
    </row>
    <row r="15" spans="1:19">
      <c r="A15" s="2795"/>
      <c r="B15" s="2742" t="s">
        <v>2957</v>
      </c>
      <c r="C15" s="2407"/>
      <c r="D15" s="2408"/>
      <c r="E15" s="2409"/>
      <c r="F15" s="2407"/>
      <c r="G15" s="660"/>
      <c r="H15" s="2794"/>
      <c r="I15" s="2338"/>
      <c r="J15" s="2794"/>
      <c r="K15" s="2338"/>
      <c r="L15" s="2794"/>
      <c r="M15" s="2338"/>
      <c r="N15" s="2794"/>
      <c r="O15" s="2338"/>
      <c r="P15" s="2794"/>
      <c r="Q15" s="2338"/>
      <c r="R15" s="2794"/>
      <c r="S15" s="2338"/>
    </row>
    <row r="16" spans="1:19">
      <c r="A16" s="2795"/>
      <c r="B16" s="2742" t="s">
        <v>2958</v>
      </c>
      <c r="C16" s="2407"/>
      <c r="D16" s="2408"/>
      <c r="E16" s="2409"/>
      <c r="F16" s="2407"/>
      <c r="G16" s="660"/>
      <c r="H16" s="2794"/>
      <c r="I16" s="2338"/>
      <c r="J16" s="2794"/>
      <c r="K16" s="2339"/>
      <c r="L16" s="2794"/>
      <c r="M16" s="2339"/>
      <c r="N16" s="2794"/>
      <c r="O16" s="2339"/>
      <c r="P16" s="2794"/>
      <c r="Q16" s="2339"/>
      <c r="R16" s="2794"/>
      <c r="S16" s="2339"/>
    </row>
    <row r="17" spans="1:19">
      <c r="A17" s="2795"/>
      <c r="B17" s="2742" t="s">
        <v>2959</v>
      </c>
      <c r="C17" s="2407"/>
      <c r="D17" s="2408"/>
      <c r="E17" s="2409"/>
      <c r="F17" s="2407"/>
      <c r="G17" s="660"/>
      <c r="H17" s="2794"/>
      <c r="I17" s="2338"/>
      <c r="J17" s="2794"/>
      <c r="K17" s="2339"/>
      <c r="L17" s="2794"/>
      <c r="M17" s="2339"/>
      <c r="N17" s="2794"/>
      <c r="O17" s="2339"/>
      <c r="P17" s="2794"/>
      <c r="Q17" s="2339"/>
      <c r="R17" s="2794"/>
      <c r="S17" s="2339"/>
    </row>
    <row r="18" spans="1:19">
      <c r="A18" s="2795"/>
      <c r="B18" s="2743" t="s">
        <v>2960</v>
      </c>
      <c r="C18" s="2407"/>
      <c r="D18" s="2408"/>
      <c r="E18" s="2409"/>
      <c r="F18" s="2407"/>
      <c r="G18" s="660"/>
      <c r="H18" s="2794"/>
      <c r="I18" s="2338"/>
      <c r="J18" s="2794"/>
      <c r="K18" s="2339"/>
      <c r="L18" s="2794"/>
      <c r="M18" s="2339"/>
      <c r="N18" s="2794"/>
      <c r="O18" s="2339"/>
      <c r="P18" s="2794"/>
      <c r="Q18" s="2339"/>
      <c r="R18" s="2794"/>
      <c r="S18" s="2339"/>
    </row>
    <row r="19" spans="1:19">
      <c r="A19" s="2795"/>
      <c r="B19" s="2744" t="s">
        <v>2961</v>
      </c>
      <c r="C19" s="2433"/>
      <c r="D19" s="2434"/>
      <c r="E19" s="2435"/>
      <c r="F19" s="2436"/>
      <c r="G19" s="661"/>
      <c r="H19" s="2796"/>
      <c r="I19" s="2347"/>
      <c r="J19" s="2796"/>
      <c r="K19" s="2346"/>
      <c r="L19" s="2796"/>
      <c r="M19" s="2346"/>
      <c r="N19" s="2796"/>
      <c r="O19" s="2346"/>
      <c r="P19" s="2796"/>
      <c r="Q19" s="2346"/>
      <c r="R19" s="2796"/>
      <c r="S19" s="2346"/>
    </row>
    <row r="20" spans="1:19">
      <c r="A20" s="2795"/>
      <c r="B20" s="2745"/>
      <c r="C20" s="2407"/>
      <c r="D20" s="2408"/>
      <c r="E20" s="2409"/>
      <c r="F20" s="2438"/>
      <c r="G20" s="660"/>
      <c r="H20" s="2794"/>
      <c r="I20" s="2349"/>
      <c r="J20" s="2794"/>
      <c r="K20" s="2350"/>
      <c r="L20" s="2794"/>
      <c r="M20" s="2349"/>
      <c r="N20" s="2794"/>
      <c r="O20" s="2349"/>
      <c r="P20" s="2794"/>
      <c r="Q20" s="2349"/>
      <c r="R20" s="2794"/>
      <c r="S20" s="2349"/>
    </row>
    <row r="21" spans="1:19">
      <c r="A21" s="2826" t="s">
        <v>2587</v>
      </c>
      <c r="B21" s="2745" t="s">
        <v>2659</v>
      </c>
      <c r="C21" s="2407"/>
      <c r="D21" s="2408"/>
      <c r="E21" s="2409"/>
      <c r="F21" s="2438"/>
      <c r="G21" s="660"/>
      <c r="H21" s="2794"/>
      <c r="I21" s="2684">
        <f>SUBTOTAL(9,I22:I52)</f>
        <v>52750</v>
      </c>
      <c r="J21" s="2794"/>
      <c r="K21" s="2350"/>
      <c r="L21" s="2794"/>
      <c r="M21" s="2349"/>
      <c r="N21" s="2794"/>
      <c r="O21" s="2349"/>
      <c r="P21" s="2794"/>
      <c r="Q21" s="2349"/>
      <c r="R21" s="2794"/>
      <c r="S21" s="2349"/>
    </row>
    <row r="22" spans="1:19">
      <c r="A22" s="2795"/>
      <c r="B22" s="2745"/>
      <c r="C22" s="2407"/>
      <c r="D22" s="2408"/>
      <c r="E22" s="2409"/>
      <c r="F22" s="2438"/>
      <c r="G22" s="660"/>
      <c r="H22" s="2794"/>
      <c r="I22" s="2349"/>
      <c r="J22" s="2794"/>
      <c r="K22" s="2350"/>
      <c r="L22" s="2794"/>
      <c r="M22" s="2349"/>
      <c r="N22" s="2794"/>
      <c r="O22" s="2349"/>
      <c r="P22" s="2794"/>
      <c r="Q22" s="2349"/>
      <c r="R22" s="2794"/>
      <c r="S22" s="2349"/>
    </row>
    <row r="23" spans="1:19">
      <c r="A23" s="2826" t="s">
        <v>2587</v>
      </c>
      <c r="B23" s="2798" t="s">
        <v>2695</v>
      </c>
      <c r="C23" s="2407"/>
      <c r="D23" s="2408"/>
      <c r="E23" s="2409"/>
      <c r="F23" s="2438"/>
      <c r="G23" s="662"/>
      <c r="H23" s="2794"/>
      <c r="I23" s="2352">
        <f>SUBTOTAL(9,I24:I30)</f>
        <v>36500</v>
      </c>
      <c r="J23" s="2794"/>
      <c r="K23" s="2352">
        <f>SUBTOTAL(9,K24:K30)</f>
        <v>0</v>
      </c>
      <c r="L23" s="2794"/>
      <c r="M23" s="2352">
        <f>SUBTOTAL(9,M24:M30)</f>
        <v>0</v>
      </c>
      <c r="N23" s="2794"/>
      <c r="O23" s="2352">
        <f>SUBTOTAL(9,O24:O30)</f>
        <v>0</v>
      </c>
      <c r="P23" s="2794"/>
      <c r="Q23" s="2352">
        <f>SUBTOTAL(9,Q24:Q30)</f>
        <v>0</v>
      </c>
      <c r="R23" s="2794"/>
      <c r="S23" s="2352">
        <f>SUBTOTAL(9,S24:S30)</f>
        <v>0</v>
      </c>
    </row>
    <row r="24" spans="1:19">
      <c r="A24" s="2795"/>
      <c r="B24" s="2745" t="s">
        <v>6068</v>
      </c>
      <c r="C24" s="2407"/>
      <c r="D24" s="2408"/>
      <c r="E24" s="2409"/>
      <c r="F24" s="2438"/>
      <c r="G24" s="662">
        <f t="shared" ref="G24:G52" si="5">ROUND(D24*F24,0)</f>
        <v>0</v>
      </c>
      <c r="H24" s="2794"/>
      <c r="I24" s="2350">
        <f>G24</f>
        <v>0</v>
      </c>
      <c r="J24" s="2794"/>
      <c r="K24" s="2350"/>
      <c r="L24" s="2794"/>
      <c r="M24" s="2349"/>
      <c r="N24" s="2794"/>
      <c r="O24" s="2349"/>
      <c r="P24" s="2794"/>
      <c r="Q24" s="2349"/>
      <c r="R24" s="2794"/>
      <c r="S24" s="2349"/>
    </row>
    <row r="25" spans="1:19">
      <c r="A25" s="2795"/>
      <c r="B25" s="2746" t="s">
        <v>6069</v>
      </c>
      <c r="C25" s="2407"/>
      <c r="D25" s="2408">
        <v>11</v>
      </c>
      <c r="E25" s="2409" t="s">
        <v>2803</v>
      </c>
      <c r="F25" s="2438">
        <v>250</v>
      </c>
      <c r="G25" s="662">
        <f t="shared" si="5"/>
        <v>2750</v>
      </c>
      <c r="H25" s="2794"/>
      <c r="I25" s="2350">
        <f t="shared" ref="I25:I52" si="6">G25</f>
        <v>2750</v>
      </c>
      <c r="J25" s="2794"/>
      <c r="K25" s="2350"/>
      <c r="L25" s="2794"/>
      <c r="M25" s="2349"/>
      <c r="N25" s="2794"/>
      <c r="O25" s="2349"/>
      <c r="P25" s="2794"/>
      <c r="Q25" s="2349"/>
      <c r="R25" s="2794"/>
      <c r="S25" s="2349"/>
    </row>
    <row r="26" spans="1:19">
      <c r="A26" s="2795"/>
      <c r="B26" s="2746" t="s">
        <v>2596</v>
      </c>
      <c r="C26" s="2407"/>
      <c r="D26" s="2408">
        <v>12</v>
      </c>
      <c r="E26" s="2409" t="s">
        <v>2803</v>
      </c>
      <c r="F26" s="2438">
        <v>500</v>
      </c>
      <c r="G26" s="662">
        <f t="shared" si="5"/>
        <v>6000</v>
      </c>
      <c r="H26" s="2794"/>
      <c r="I26" s="2350">
        <f t="shared" si="6"/>
        <v>6000</v>
      </c>
      <c r="J26" s="2794"/>
      <c r="K26" s="2350"/>
      <c r="L26" s="2794"/>
      <c r="M26" s="2349"/>
      <c r="N26" s="2794"/>
      <c r="O26" s="2349"/>
      <c r="P26" s="2794"/>
      <c r="Q26" s="2349"/>
      <c r="R26" s="2794"/>
      <c r="S26" s="2349"/>
    </row>
    <row r="27" spans="1:19">
      <c r="A27" s="2795"/>
      <c r="B27" s="2745" t="s">
        <v>6070</v>
      </c>
      <c r="C27" s="2407"/>
      <c r="D27" s="2408">
        <v>185</v>
      </c>
      <c r="E27" s="2409" t="s">
        <v>2803</v>
      </c>
      <c r="F27" s="2438">
        <v>150</v>
      </c>
      <c r="G27" s="662">
        <f t="shared" ref="G27" si="7">ROUND(D27*F27,0)</f>
        <v>27750</v>
      </c>
      <c r="H27" s="2794"/>
      <c r="I27" s="2350">
        <f t="shared" ref="I27" si="8">G27</f>
        <v>27750</v>
      </c>
      <c r="J27" s="2794"/>
      <c r="K27" s="2350"/>
      <c r="L27" s="2794"/>
      <c r="M27" s="2349"/>
      <c r="N27" s="2794"/>
      <c r="O27" s="2349"/>
      <c r="P27" s="2794"/>
      <c r="Q27" s="2349"/>
      <c r="R27" s="2794"/>
      <c r="S27" s="2349"/>
    </row>
    <row r="28" spans="1:19">
      <c r="A28" s="2795"/>
      <c r="B28" s="2745"/>
      <c r="C28" s="2407"/>
      <c r="D28" s="2408"/>
      <c r="E28" s="2409"/>
      <c r="F28" s="2438"/>
      <c r="G28" s="662">
        <f t="shared" si="5"/>
        <v>0</v>
      </c>
      <c r="H28" s="2794"/>
      <c r="I28" s="2350">
        <f t="shared" si="6"/>
        <v>0</v>
      </c>
      <c r="J28" s="2794"/>
      <c r="K28" s="2350"/>
      <c r="L28" s="2794"/>
      <c r="M28" s="2349"/>
      <c r="N28" s="2794"/>
      <c r="O28" s="2349"/>
      <c r="P28" s="2794"/>
      <c r="Q28" s="2349"/>
      <c r="R28" s="2794"/>
      <c r="S28" s="2349"/>
    </row>
    <row r="29" spans="1:19">
      <c r="A29" s="2795"/>
      <c r="B29" s="2745"/>
      <c r="C29" s="2407"/>
      <c r="D29" s="2408"/>
      <c r="E29" s="2409"/>
      <c r="F29" s="2438"/>
      <c r="G29" s="662">
        <f t="shared" si="5"/>
        <v>0</v>
      </c>
      <c r="H29" s="2794"/>
      <c r="I29" s="2350">
        <f t="shared" si="6"/>
        <v>0</v>
      </c>
      <c r="J29" s="2794"/>
      <c r="K29" s="2350"/>
      <c r="L29" s="2794"/>
      <c r="M29" s="2349"/>
      <c r="N29" s="2794"/>
      <c r="O29" s="2349"/>
      <c r="P29" s="2794"/>
      <c r="Q29" s="2349"/>
      <c r="R29" s="2794"/>
      <c r="S29" s="2349"/>
    </row>
    <row r="30" spans="1:19">
      <c r="A30" s="2795"/>
      <c r="B30" s="2745"/>
      <c r="C30" s="2407"/>
      <c r="D30" s="2408"/>
      <c r="E30" s="2409"/>
      <c r="F30" s="2438"/>
      <c r="G30" s="662">
        <f t="shared" si="5"/>
        <v>0</v>
      </c>
      <c r="H30" s="2794"/>
      <c r="I30" s="2350">
        <f t="shared" si="6"/>
        <v>0</v>
      </c>
      <c r="J30" s="2794"/>
      <c r="K30" s="2350"/>
      <c r="L30" s="2794"/>
      <c r="M30" s="2349"/>
      <c r="N30" s="2794"/>
      <c r="O30" s="2349"/>
      <c r="P30" s="2794"/>
      <c r="Q30" s="2349"/>
      <c r="R30" s="2794"/>
      <c r="S30" s="2349"/>
    </row>
    <row r="31" spans="1:19">
      <c r="A31" s="2826" t="s">
        <v>2587</v>
      </c>
      <c r="B31" s="2798" t="s">
        <v>3235</v>
      </c>
      <c r="C31" s="2407"/>
      <c r="D31" s="2408"/>
      <c r="E31" s="2409"/>
      <c r="F31" s="2438"/>
      <c r="G31" s="662">
        <f t="shared" si="5"/>
        <v>0</v>
      </c>
      <c r="H31" s="2794"/>
      <c r="I31" s="2352">
        <f>SUBTOTAL(9,I32:I33)</f>
        <v>1050</v>
      </c>
      <c r="J31" s="2794"/>
      <c r="K31" s="2352">
        <f>SUBTOTAL(9,K32:K33)</f>
        <v>0</v>
      </c>
      <c r="L31" s="2794"/>
      <c r="M31" s="2352">
        <f>SUBTOTAL(9,M32:M33)</f>
        <v>0</v>
      </c>
      <c r="N31" s="2794"/>
      <c r="O31" s="2352">
        <f>SUBTOTAL(9,O32:O33)</f>
        <v>0</v>
      </c>
      <c r="P31" s="2794"/>
      <c r="Q31" s="2352">
        <f>SUBTOTAL(9,Q32:Q33)</f>
        <v>0</v>
      </c>
      <c r="R31" s="2794"/>
      <c r="S31" s="2352">
        <f>SUBTOTAL(9,S32:S33)</f>
        <v>0</v>
      </c>
    </row>
    <row r="32" spans="1:19">
      <c r="A32" s="2795"/>
      <c r="B32" s="2745" t="s">
        <v>6070</v>
      </c>
      <c r="C32" s="2407"/>
      <c r="D32" s="2408">
        <v>7</v>
      </c>
      <c r="E32" s="2409" t="s">
        <v>2803</v>
      </c>
      <c r="F32" s="2438">
        <v>150</v>
      </c>
      <c r="G32" s="662">
        <f t="shared" ref="G32" si="9">ROUND(D32*F32,0)</f>
        <v>1050</v>
      </c>
      <c r="H32" s="2794"/>
      <c r="I32" s="2350">
        <f t="shared" ref="I32" si="10">G32</f>
        <v>1050</v>
      </c>
      <c r="J32" s="2794"/>
      <c r="K32" s="2350"/>
      <c r="L32" s="2794"/>
      <c r="M32" s="2349"/>
      <c r="N32" s="2794"/>
      <c r="O32" s="2349"/>
      <c r="P32" s="2794"/>
      <c r="Q32" s="2349"/>
      <c r="R32" s="2794"/>
      <c r="S32" s="2349"/>
    </row>
    <row r="33" spans="1:19">
      <c r="A33" s="2797"/>
      <c r="B33" s="2827"/>
      <c r="C33" s="2407"/>
      <c r="D33" s="2408"/>
      <c r="F33" s="2438"/>
      <c r="G33" s="662">
        <f t="shared" si="5"/>
        <v>0</v>
      </c>
      <c r="H33" s="2794"/>
      <c r="I33" s="2350"/>
      <c r="J33" s="2794"/>
      <c r="K33" s="2350"/>
      <c r="L33" s="2794"/>
      <c r="M33" s="2349"/>
      <c r="N33" s="2794"/>
      <c r="O33" s="2349"/>
      <c r="P33" s="2794"/>
      <c r="Q33" s="2349"/>
      <c r="R33" s="2794"/>
      <c r="S33" s="2349"/>
    </row>
    <row r="34" spans="1:19">
      <c r="A34" s="2826" t="s">
        <v>2587</v>
      </c>
      <c r="B34" s="2798" t="s">
        <v>2697</v>
      </c>
      <c r="C34" s="2407"/>
      <c r="D34" s="2408"/>
      <c r="E34" s="2409"/>
      <c r="F34" s="2438"/>
      <c r="G34" s="662">
        <f t="shared" si="5"/>
        <v>0</v>
      </c>
      <c r="H34" s="2794"/>
      <c r="I34" s="2352">
        <f>SUBTOTAL(9,I35:I37)</f>
        <v>7700</v>
      </c>
      <c r="J34" s="2794"/>
      <c r="K34" s="2352">
        <f>SUBTOTAL(9,K35:K37)</f>
        <v>0</v>
      </c>
      <c r="L34" s="2794"/>
      <c r="M34" s="2352">
        <f>SUBTOTAL(9,M35:M37)</f>
        <v>0</v>
      </c>
      <c r="N34" s="2794"/>
      <c r="O34" s="2352">
        <f>SUBTOTAL(9,O35:O37)</f>
        <v>0</v>
      </c>
      <c r="P34" s="2794"/>
      <c r="Q34" s="2352">
        <f>SUBTOTAL(9,Q35:Q37)</f>
        <v>0</v>
      </c>
      <c r="R34" s="2794"/>
      <c r="S34" s="2352">
        <f>SUBTOTAL(9,S35:S37)</f>
        <v>0</v>
      </c>
    </row>
    <row r="35" spans="1:19">
      <c r="A35" s="2795"/>
      <c r="B35" s="2745" t="s">
        <v>6070</v>
      </c>
      <c r="C35" s="2407"/>
      <c r="D35" s="2408">
        <v>18</v>
      </c>
      <c r="E35" s="2409" t="s">
        <v>2803</v>
      </c>
      <c r="F35" s="2438">
        <v>150</v>
      </c>
      <c r="G35" s="662">
        <f t="shared" si="5"/>
        <v>2700</v>
      </c>
      <c r="H35" s="2794"/>
      <c r="I35" s="2350">
        <f t="shared" ref="I35" si="11">G35</f>
        <v>2700</v>
      </c>
      <c r="J35" s="2794"/>
      <c r="K35" s="2350"/>
      <c r="L35" s="2794"/>
      <c r="M35" s="2349"/>
      <c r="N35" s="2794"/>
      <c r="O35" s="2349"/>
      <c r="P35" s="2794"/>
      <c r="Q35" s="2349"/>
      <c r="R35" s="2794"/>
      <c r="S35" s="2349"/>
    </row>
    <row r="36" spans="1:19">
      <c r="A36" s="2795"/>
      <c r="B36" s="2745" t="s">
        <v>6071</v>
      </c>
      <c r="C36" s="2407"/>
      <c r="D36" s="2408">
        <v>10</v>
      </c>
      <c r="E36" s="2409" t="s">
        <v>2803</v>
      </c>
      <c r="F36" s="2438">
        <v>500</v>
      </c>
      <c r="G36" s="662">
        <f t="shared" ref="G36" si="12">ROUND(D36*F36,0)</f>
        <v>5000</v>
      </c>
      <c r="H36" s="2794"/>
      <c r="I36" s="2350">
        <f t="shared" ref="I36" si="13">G36</f>
        <v>5000</v>
      </c>
      <c r="J36" s="2794"/>
      <c r="K36" s="2350"/>
      <c r="L36" s="2794"/>
      <c r="M36" s="2349"/>
      <c r="N36" s="2794"/>
      <c r="O36" s="2349"/>
      <c r="P36" s="2794"/>
      <c r="Q36" s="2349"/>
      <c r="R36" s="2794"/>
      <c r="S36" s="2349"/>
    </row>
    <row r="37" spans="1:19">
      <c r="A37" s="2797"/>
      <c r="B37" s="2745"/>
      <c r="C37" s="2407"/>
      <c r="D37" s="2408"/>
      <c r="E37" s="2409"/>
      <c r="F37" s="2438"/>
      <c r="G37" s="662">
        <f t="shared" si="5"/>
        <v>0</v>
      </c>
      <c r="H37" s="2794"/>
      <c r="I37" s="2350">
        <f t="shared" si="6"/>
        <v>0</v>
      </c>
      <c r="J37" s="2794"/>
      <c r="K37" s="2350"/>
      <c r="L37" s="2794"/>
      <c r="M37" s="2349"/>
      <c r="N37" s="2794"/>
      <c r="O37" s="2349"/>
      <c r="P37" s="2794"/>
      <c r="Q37" s="2349"/>
      <c r="R37" s="2794"/>
      <c r="S37" s="2349"/>
    </row>
    <row r="38" spans="1:19">
      <c r="A38" s="2826" t="s">
        <v>2587</v>
      </c>
      <c r="B38" s="2828" t="s">
        <v>6072</v>
      </c>
      <c r="C38" s="2407"/>
      <c r="D38" s="2408"/>
      <c r="E38" s="2409"/>
      <c r="F38" s="2438"/>
      <c r="G38" s="662">
        <f t="shared" si="5"/>
        <v>0</v>
      </c>
      <c r="H38" s="2794"/>
      <c r="I38" s="2352">
        <f>SUBTOTAL(9,I39:I52)</f>
        <v>7500</v>
      </c>
      <c r="J38" s="2794"/>
      <c r="K38" s="2352">
        <f>SUBTOTAL(9,K39:K52)</f>
        <v>0</v>
      </c>
      <c r="L38" s="2794"/>
      <c r="M38" s="2352">
        <f>SUBTOTAL(9,M39:M52)</f>
        <v>0</v>
      </c>
      <c r="N38" s="2794"/>
      <c r="O38" s="2352">
        <f>SUBTOTAL(9,O39:O52)</f>
        <v>0</v>
      </c>
      <c r="P38" s="2794"/>
      <c r="Q38" s="2352">
        <f>SUBTOTAL(9,Q39:Q52)</f>
        <v>0</v>
      </c>
      <c r="R38" s="2794"/>
      <c r="S38" s="2352">
        <f>SUBTOTAL(9,S39:S52)</f>
        <v>0</v>
      </c>
    </row>
    <row r="39" spans="1:19">
      <c r="A39" s="2795"/>
      <c r="B39" s="2745" t="s">
        <v>6071</v>
      </c>
      <c r="C39" s="2407"/>
      <c r="D39" s="2408">
        <v>1</v>
      </c>
      <c r="E39" s="2409" t="s">
        <v>2818</v>
      </c>
      <c r="F39" s="2438">
        <v>7500</v>
      </c>
      <c r="G39" s="662">
        <f t="shared" si="5"/>
        <v>7500</v>
      </c>
      <c r="H39" s="2794"/>
      <c r="I39" s="2350">
        <f t="shared" si="6"/>
        <v>7500</v>
      </c>
      <c r="J39" s="2794"/>
      <c r="K39" s="2350"/>
      <c r="L39" s="2794"/>
      <c r="M39" s="2349"/>
      <c r="N39" s="2794"/>
      <c r="O39" s="2349"/>
      <c r="P39" s="2794"/>
      <c r="Q39" s="2349"/>
      <c r="R39" s="2794"/>
      <c r="S39" s="2349"/>
    </row>
    <row r="40" spans="1:19">
      <c r="A40" s="2795"/>
      <c r="B40" s="2745"/>
      <c r="C40" s="2407"/>
      <c r="D40" s="2408"/>
      <c r="E40" s="2409"/>
      <c r="F40" s="2438"/>
      <c r="G40" s="662">
        <f t="shared" si="5"/>
        <v>0</v>
      </c>
      <c r="H40" s="2794"/>
      <c r="I40" s="2350">
        <f t="shared" si="6"/>
        <v>0</v>
      </c>
      <c r="J40" s="2794"/>
      <c r="K40" s="2350"/>
      <c r="L40" s="2794"/>
      <c r="M40" s="2349"/>
      <c r="N40" s="2794"/>
      <c r="O40" s="2349"/>
      <c r="P40" s="2794"/>
      <c r="Q40" s="2349"/>
      <c r="R40" s="2794"/>
      <c r="S40" s="2349"/>
    </row>
    <row r="41" spans="1:19">
      <c r="A41" s="2795"/>
      <c r="B41" s="2745"/>
      <c r="C41" s="2407"/>
      <c r="D41" s="2408"/>
      <c r="E41" s="2409"/>
      <c r="F41" s="2438"/>
      <c r="G41" s="662">
        <f t="shared" si="5"/>
        <v>0</v>
      </c>
      <c r="H41" s="2794"/>
      <c r="I41" s="2350">
        <f t="shared" si="6"/>
        <v>0</v>
      </c>
      <c r="J41" s="2794"/>
      <c r="K41" s="2350"/>
      <c r="L41" s="2794"/>
      <c r="M41" s="2349"/>
      <c r="N41" s="2794"/>
      <c r="O41" s="2349"/>
      <c r="P41" s="2794"/>
      <c r="Q41" s="2349"/>
      <c r="R41" s="2794"/>
      <c r="S41" s="2349"/>
    </row>
    <row r="42" spans="1:19">
      <c r="A42" s="2795"/>
      <c r="B42" s="2745"/>
      <c r="C42" s="2407"/>
      <c r="D42" s="2408"/>
      <c r="E42" s="2409"/>
      <c r="F42" s="2438"/>
      <c r="G42" s="662">
        <f t="shared" si="5"/>
        <v>0</v>
      </c>
      <c r="H42" s="2794"/>
      <c r="I42" s="2350">
        <f t="shared" si="6"/>
        <v>0</v>
      </c>
      <c r="J42" s="2794"/>
      <c r="K42" s="2350"/>
      <c r="L42" s="2794"/>
      <c r="M42" s="2349"/>
      <c r="N42" s="2794"/>
      <c r="O42" s="2349"/>
      <c r="P42" s="2794"/>
      <c r="Q42" s="2349"/>
      <c r="R42" s="2794"/>
      <c r="S42" s="2349"/>
    </row>
    <row r="43" spans="1:19">
      <c r="A43" s="2795"/>
      <c r="B43" s="2745"/>
      <c r="C43" s="2407"/>
      <c r="D43" s="2408"/>
      <c r="E43" s="2409"/>
      <c r="F43" s="2438"/>
      <c r="G43" s="662">
        <f t="shared" si="5"/>
        <v>0</v>
      </c>
      <c r="H43" s="2794"/>
      <c r="I43" s="2350">
        <f t="shared" si="6"/>
        <v>0</v>
      </c>
      <c r="J43" s="2794"/>
      <c r="K43" s="2350"/>
      <c r="L43" s="2794"/>
      <c r="M43" s="2349"/>
      <c r="N43" s="2794"/>
      <c r="O43" s="2349"/>
      <c r="P43" s="2794"/>
      <c r="Q43" s="2349"/>
      <c r="R43" s="2794"/>
      <c r="S43" s="2349"/>
    </row>
    <row r="44" spans="1:19">
      <c r="A44" s="2795"/>
      <c r="B44" s="2745"/>
      <c r="C44" s="2407"/>
      <c r="D44" s="2408"/>
      <c r="E44" s="2409"/>
      <c r="F44" s="2438"/>
      <c r="G44" s="662">
        <f t="shared" si="5"/>
        <v>0</v>
      </c>
      <c r="H44" s="2794"/>
      <c r="I44" s="2350">
        <f t="shared" si="6"/>
        <v>0</v>
      </c>
      <c r="J44" s="2794"/>
      <c r="K44" s="2350"/>
      <c r="L44" s="2794"/>
      <c r="M44" s="2349"/>
      <c r="N44" s="2794"/>
      <c r="O44" s="2349"/>
      <c r="P44" s="2794"/>
      <c r="Q44" s="2349"/>
      <c r="R44" s="2794"/>
      <c r="S44" s="2349"/>
    </row>
    <row r="45" spans="1:19">
      <c r="A45" s="2795"/>
      <c r="B45" s="2745"/>
      <c r="C45" s="2407"/>
      <c r="D45" s="2408"/>
      <c r="E45" s="2409"/>
      <c r="F45" s="2438"/>
      <c r="G45" s="662">
        <f t="shared" si="5"/>
        <v>0</v>
      </c>
      <c r="H45" s="2794"/>
      <c r="I45" s="2350">
        <f t="shared" si="6"/>
        <v>0</v>
      </c>
      <c r="J45" s="2794"/>
      <c r="K45" s="2350"/>
      <c r="L45" s="2794"/>
      <c r="M45" s="2349"/>
      <c r="N45" s="2794"/>
      <c r="O45" s="2349"/>
      <c r="P45" s="2794"/>
      <c r="Q45" s="2349"/>
      <c r="R45" s="2794"/>
      <c r="S45" s="2349"/>
    </row>
    <row r="46" spans="1:19">
      <c r="A46" s="2795"/>
      <c r="B46" s="2745"/>
      <c r="C46" s="2407"/>
      <c r="D46" s="2408"/>
      <c r="E46" s="2409"/>
      <c r="F46" s="2438"/>
      <c r="G46" s="662">
        <f t="shared" si="5"/>
        <v>0</v>
      </c>
      <c r="H46" s="2794"/>
      <c r="I46" s="2350">
        <f t="shared" si="6"/>
        <v>0</v>
      </c>
      <c r="J46" s="2794"/>
      <c r="K46" s="2350"/>
      <c r="L46" s="2794"/>
      <c r="M46" s="2349"/>
      <c r="N46" s="2794"/>
      <c r="O46" s="2349"/>
      <c r="P46" s="2794"/>
      <c r="Q46" s="2349"/>
      <c r="R46" s="2794"/>
      <c r="S46" s="2349"/>
    </row>
    <row r="47" spans="1:19">
      <c r="A47" s="2795"/>
      <c r="B47" s="2745"/>
      <c r="C47" s="2407"/>
      <c r="D47" s="2408"/>
      <c r="E47" s="2409"/>
      <c r="F47" s="2438"/>
      <c r="G47" s="662">
        <f t="shared" si="5"/>
        <v>0</v>
      </c>
      <c r="H47" s="2794"/>
      <c r="I47" s="2350">
        <f t="shared" si="6"/>
        <v>0</v>
      </c>
      <c r="J47" s="2794"/>
      <c r="K47" s="2350"/>
      <c r="L47" s="2794"/>
      <c r="M47" s="2349"/>
      <c r="N47" s="2794"/>
      <c r="O47" s="2349"/>
      <c r="P47" s="2794"/>
      <c r="Q47" s="2349"/>
      <c r="R47" s="2794"/>
      <c r="S47" s="2349"/>
    </row>
    <row r="48" spans="1:19">
      <c r="A48" s="2795"/>
      <c r="B48" s="2745"/>
      <c r="C48" s="2407"/>
      <c r="D48" s="2408"/>
      <c r="E48" s="2409"/>
      <c r="F48" s="2438"/>
      <c r="G48" s="662">
        <f t="shared" si="5"/>
        <v>0</v>
      </c>
      <c r="H48" s="2794"/>
      <c r="I48" s="2350">
        <f t="shared" si="6"/>
        <v>0</v>
      </c>
      <c r="J48" s="2794"/>
      <c r="K48" s="2350"/>
      <c r="L48" s="2794"/>
      <c r="M48" s="2349"/>
      <c r="N48" s="2794"/>
      <c r="O48" s="2349"/>
      <c r="P48" s="2794"/>
      <c r="Q48" s="2349"/>
      <c r="R48" s="2794"/>
      <c r="S48" s="2349"/>
    </row>
    <row r="49" spans="1:19">
      <c r="A49" s="2795"/>
      <c r="B49" s="2745"/>
      <c r="C49" s="2407"/>
      <c r="D49" s="2408"/>
      <c r="E49" s="2409"/>
      <c r="F49" s="2438"/>
      <c r="G49" s="662">
        <f t="shared" si="5"/>
        <v>0</v>
      </c>
      <c r="H49" s="2794"/>
      <c r="I49" s="2350">
        <f t="shared" si="6"/>
        <v>0</v>
      </c>
      <c r="J49" s="2794"/>
      <c r="K49" s="2350"/>
      <c r="L49" s="2794"/>
      <c r="M49" s="2349"/>
      <c r="N49" s="2794"/>
      <c r="O49" s="2349"/>
      <c r="P49" s="2794"/>
      <c r="Q49" s="2349"/>
      <c r="R49" s="2794"/>
      <c r="S49" s="2349"/>
    </row>
    <row r="50" spans="1:19">
      <c r="A50" s="2795"/>
      <c r="B50" s="2745"/>
      <c r="C50" s="2407"/>
      <c r="D50" s="2408"/>
      <c r="E50" s="2409"/>
      <c r="F50" s="2438"/>
      <c r="G50" s="662">
        <f t="shared" si="5"/>
        <v>0</v>
      </c>
      <c r="H50" s="2794"/>
      <c r="I50" s="2350">
        <f t="shared" si="6"/>
        <v>0</v>
      </c>
      <c r="J50" s="2794"/>
      <c r="K50" s="2350"/>
      <c r="L50" s="2794"/>
      <c r="M50" s="2349"/>
      <c r="N50" s="2794"/>
      <c r="O50" s="2349"/>
      <c r="P50" s="2794"/>
      <c r="Q50" s="2349"/>
      <c r="R50" s="2794"/>
      <c r="S50" s="2349"/>
    </row>
    <row r="51" spans="1:19">
      <c r="A51" s="2795"/>
      <c r="B51" s="2745"/>
      <c r="C51" s="2407"/>
      <c r="D51" s="2408"/>
      <c r="E51" s="2409"/>
      <c r="F51" s="2438"/>
      <c r="G51" s="662">
        <f t="shared" si="5"/>
        <v>0</v>
      </c>
      <c r="H51" s="2794"/>
      <c r="I51" s="2350">
        <f t="shared" si="6"/>
        <v>0</v>
      </c>
      <c r="J51" s="2794"/>
      <c r="K51" s="2350"/>
      <c r="L51" s="2794"/>
      <c r="M51" s="2349"/>
      <c r="N51" s="2794"/>
      <c r="O51" s="2349"/>
      <c r="P51" s="2794"/>
      <c r="Q51" s="2349"/>
      <c r="R51" s="2794"/>
      <c r="S51" s="2349"/>
    </row>
    <row r="52" spans="1:19">
      <c r="A52" s="2795"/>
      <c r="B52" s="2745"/>
      <c r="C52" s="2407"/>
      <c r="D52" s="2408"/>
      <c r="E52" s="2409"/>
      <c r="F52" s="2438"/>
      <c r="G52" s="662">
        <f t="shared" si="5"/>
        <v>0</v>
      </c>
      <c r="H52" s="2794"/>
      <c r="I52" s="2350">
        <f t="shared" si="6"/>
        <v>0</v>
      </c>
      <c r="J52" s="2794"/>
      <c r="K52" s="2350"/>
      <c r="L52" s="2794"/>
      <c r="M52" s="2349"/>
      <c r="N52" s="2794"/>
      <c r="O52" s="2349"/>
      <c r="P52" s="2794"/>
      <c r="Q52" s="2349"/>
      <c r="R52" s="2794"/>
      <c r="S52" s="2349"/>
    </row>
    <row r="53" spans="1:19" ht="15.75" thickBot="1">
      <c r="A53" s="2795"/>
      <c r="B53" s="2747"/>
      <c r="C53" s="2355"/>
      <c r="D53" s="2356"/>
      <c r="E53" s="2409"/>
      <c r="F53" s="2357"/>
      <c r="G53" s="662"/>
      <c r="H53" s="2794"/>
      <c r="I53" s="2350"/>
      <c r="J53" s="2794"/>
      <c r="K53" s="2350"/>
      <c r="L53" s="2794"/>
      <c r="M53" s="2350"/>
      <c r="N53" s="2794"/>
      <c r="O53" s="2350"/>
      <c r="P53" s="2794"/>
      <c r="Q53" s="2350"/>
      <c r="R53" s="2794"/>
      <c r="S53" s="2350"/>
    </row>
    <row r="54" spans="1:19" ht="15.75" thickTop="1">
      <c r="A54" s="13"/>
      <c r="B54" s="226" t="s">
        <v>3265</v>
      </c>
      <c r="C54" s="15"/>
      <c r="D54" s="168"/>
      <c r="E54" s="176"/>
      <c r="F54" s="17"/>
      <c r="G54" s="227">
        <f>SUBTOTAL(9,G24:G53)</f>
        <v>52750</v>
      </c>
      <c r="H54" s="19"/>
      <c r="I54" s="225">
        <f>SUBTOTAL(9,I22:I53)</f>
        <v>52750</v>
      </c>
      <c r="J54" s="19"/>
      <c r="K54" s="164">
        <f>SUM(K19:K53)</f>
        <v>0</v>
      </c>
      <c r="L54" s="19"/>
      <c r="M54" s="164">
        <f>SUM(M19:M53)</f>
        <v>0</v>
      </c>
      <c r="N54" s="19"/>
      <c r="O54" s="164">
        <f>SUM(O19:O53)</f>
        <v>0</v>
      </c>
      <c r="P54" s="19"/>
      <c r="Q54" s="164">
        <f>SUM(Q19:Q53)</f>
        <v>0</v>
      </c>
      <c r="R54" s="19"/>
      <c r="S54" s="164">
        <f>SUM(S19:S53)</f>
        <v>0</v>
      </c>
    </row>
    <row r="55" spans="1:19">
      <c r="A55" s="2751"/>
      <c r="B55" s="2359" t="s">
        <v>2976</v>
      </c>
      <c r="C55" s="2360"/>
      <c r="D55" s="2361"/>
      <c r="E55" s="2362"/>
      <c r="F55" s="2363"/>
      <c r="G55" s="654"/>
      <c r="H55" s="2817">
        <v>0</v>
      </c>
      <c r="I55" s="645"/>
      <c r="J55" s="2817">
        <v>0</v>
      </c>
      <c r="K55" s="645"/>
      <c r="L55" s="2817">
        <v>0</v>
      </c>
      <c r="M55" s="645"/>
      <c r="N55" s="2817">
        <v>0</v>
      </c>
      <c r="O55" s="645"/>
      <c r="P55" s="2817">
        <v>0</v>
      </c>
      <c r="Q55" s="645"/>
      <c r="R55" s="2817">
        <v>0</v>
      </c>
      <c r="S55" s="645"/>
    </row>
    <row r="56" spans="1:19">
      <c r="A56" s="2751"/>
      <c r="B56" s="2359" t="s">
        <v>2977</v>
      </c>
      <c r="C56" s="2360"/>
      <c r="D56" s="2361"/>
      <c r="E56" s="2362"/>
      <c r="F56" s="2363"/>
      <c r="G56" s="654">
        <f>F55*G54</f>
        <v>0</v>
      </c>
      <c r="H56" s="2818"/>
      <c r="I56" s="2819">
        <f>H55*I54</f>
        <v>0</v>
      </c>
      <c r="J56" s="2818"/>
      <c r="K56" s="2819">
        <f>J55*K54</f>
        <v>0</v>
      </c>
      <c r="L56" s="2818"/>
      <c r="M56" s="2819">
        <f>L55*M54</f>
        <v>0</v>
      </c>
      <c r="N56" s="2818"/>
      <c r="O56" s="2819">
        <f>N55*O54</f>
        <v>0</v>
      </c>
      <c r="P56" s="2818"/>
      <c r="Q56" s="2819">
        <f>P55*Q54</f>
        <v>0</v>
      </c>
      <c r="R56" s="2818"/>
      <c r="S56" s="2819">
        <f>R55*S54</f>
        <v>0</v>
      </c>
    </row>
    <row r="57" spans="1:19">
      <c r="A57" s="2751"/>
      <c r="B57" s="2359"/>
      <c r="C57" s="2360"/>
      <c r="D57" s="2361"/>
      <c r="E57" s="2362"/>
      <c r="F57" s="2363"/>
      <c r="G57" s="654"/>
      <c r="H57" s="2818"/>
      <c r="I57" s="2819"/>
      <c r="J57" s="2818"/>
      <c r="K57" s="2819"/>
      <c r="L57" s="2818"/>
      <c r="M57" s="2819"/>
      <c r="N57" s="2818"/>
      <c r="O57" s="2819"/>
      <c r="P57" s="2818"/>
      <c r="Q57" s="2819"/>
      <c r="R57" s="2818"/>
      <c r="S57" s="2819"/>
    </row>
    <row r="58" spans="1:19">
      <c r="A58" s="2751"/>
      <c r="B58" s="2359" t="s">
        <v>2978</v>
      </c>
      <c r="C58" s="2360"/>
      <c r="D58" s="2361"/>
      <c r="E58" s="2362"/>
      <c r="F58" s="2363"/>
      <c r="G58" s="654">
        <f>SUM(G54:G56)</f>
        <v>52750</v>
      </c>
      <c r="H58" s="2820"/>
      <c r="I58" s="2819">
        <f>SUM(I54:I56)</f>
        <v>52750</v>
      </c>
      <c r="J58" s="2820"/>
      <c r="K58" s="2819">
        <f>SUM(K54:K56)</f>
        <v>0</v>
      </c>
      <c r="L58" s="2820"/>
      <c r="M58" s="2819">
        <f>SUM(M54:M56)</f>
        <v>0</v>
      </c>
      <c r="N58" s="2820"/>
      <c r="O58" s="2819">
        <f>SUM(O54:O56)</f>
        <v>0</v>
      </c>
      <c r="P58" s="2820"/>
      <c r="Q58" s="2819">
        <f>SUM(Q54:Q56)</f>
        <v>0</v>
      </c>
      <c r="R58" s="2820"/>
      <c r="S58" s="2819">
        <f>SUM(S54:S56)</f>
        <v>0</v>
      </c>
    </row>
    <row r="59" spans="1:19">
      <c r="A59" s="2751"/>
      <c r="B59" s="2368" t="s">
        <v>2979</v>
      </c>
      <c r="C59" s="2360"/>
      <c r="D59" s="2361"/>
      <c r="E59" s="2362"/>
      <c r="F59" s="2368"/>
      <c r="G59" s="655">
        <f>G58/'Area Calculations'!$F$5</f>
        <v>0.59488902923132447</v>
      </c>
      <c r="H59" s="2821"/>
      <c r="I59" s="2822">
        <f>I58/'Area Calculations'!$F$5</f>
        <v>0.59488902923132447</v>
      </c>
      <c r="J59" s="2821"/>
      <c r="K59" s="2822">
        <f>K58/'Area Calculations'!$F$5</f>
        <v>0</v>
      </c>
      <c r="L59" s="2821"/>
      <c r="M59" s="2822">
        <f>M58/'Area Calculations'!$F$5</f>
        <v>0</v>
      </c>
      <c r="N59" s="2821"/>
      <c r="O59" s="2822">
        <f>O58/'Area Calculations'!$F$5</f>
        <v>0</v>
      </c>
      <c r="P59" s="2821"/>
      <c r="Q59" s="2822">
        <f>Q58/'Area Calculations'!$F$5</f>
        <v>0</v>
      </c>
      <c r="R59" s="2823"/>
      <c r="S59" s="2822">
        <f>S58/'Area Calculations'!$F$5</f>
        <v>0</v>
      </c>
    </row>
    <row r="60" spans="1:19">
      <c r="A60" s="2751"/>
      <c r="B60" s="2372"/>
      <c r="C60" s="2360"/>
      <c r="D60" s="2361"/>
      <c r="E60" s="2362"/>
      <c r="F60" s="2363"/>
      <c r="G60" s="656"/>
      <c r="H60" s="2824"/>
      <c r="I60" s="2825"/>
      <c r="J60" s="2824"/>
      <c r="K60" s="2824"/>
      <c r="L60" s="2824"/>
      <c r="M60" s="2824"/>
      <c r="N60" s="2824"/>
      <c r="O60" s="2824"/>
      <c r="P60" s="2824"/>
      <c r="Q60" s="2824"/>
      <c r="R60" s="2824"/>
      <c r="S60" s="2824"/>
    </row>
    <row r="61" spans="1:19" ht="16.5" hidden="1" thickTop="1" thickBot="1">
      <c r="A61" s="830" t="s">
        <v>2980</v>
      </c>
      <c r="B61" s="831"/>
      <c r="C61" s="12"/>
      <c r="D61" s="169"/>
      <c r="E61" s="177"/>
      <c r="F61" s="12"/>
      <c r="G61" s="228"/>
      <c r="H61" s="20"/>
      <c r="I61" s="20"/>
      <c r="J61" s="20"/>
      <c r="K61" s="20"/>
      <c r="L61" s="20"/>
      <c r="M61" s="20"/>
      <c r="N61" s="20"/>
      <c r="O61" s="20"/>
      <c r="P61" s="20"/>
      <c r="Q61" s="20"/>
      <c r="R61" s="20"/>
      <c r="S61" s="20"/>
    </row>
    <row r="62" spans="1:19" ht="15.75" hidden="1" thickTop="1">
      <c r="A62" s="2661"/>
      <c r="B62" s="2406"/>
      <c r="C62" s="2662"/>
      <c r="D62" s="2663"/>
      <c r="E62" s="2664"/>
      <c r="F62" s="2662"/>
      <c r="G62" s="2665"/>
      <c r="H62" s="2757"/>
      <c r="I62" s="2757"/>
      <c r="J62" s="2757"/>
      <c r="K62" s="2757"/>
      <c r="L62" s="2757"/>
      <c r="M62" s="2757"/>
      <c r="N62" s="2757"/>
      <c r="O62" s="2757"/>
      <c r="P62" s="2757"/>
      <c r="Q62" s="2757"/>
      <c r="R62" s="2757"/>
      <c r="S62" s="2757"/>
    </row>
    <row r="63" spans="1:19" hidden="1">
      <c r="A63" s="2661"/>
      <c r="B63" s="2406"/>
      <c r="C63" s="2662"/>
      <c r="D63" s="2663"/>
      <c r="E63" s="2664"/>
      <c r="F63" s="2662"/>
      <c r="G63" s="2665"/>
      <c r="H63" s="2757"/>
      <c r="I63" s="2757"/>
      <c r="J63" s="2757"/>
      <c r="K63" s="2757"/>
      <c r="L63" s="2757"/>
      <c r="M63" s="2757"/>
      <c r="N63" s="2757"/>
      <c r="O63" s="2757"/>
      <c r="P63" s="2757"/>
      <c r="Q63" s="2757"/>
      <c r="R63" s="2757"/>
      <c r="S63" s="2757"/>
    </row>
    <row r="64" spans="1:19" ht="15.75" hidden="1" thickBot="1">
      <c r="A64" s="2661"/>
      <c r="B64" s="2406"/>
      <c r="C64" s="2662"/>
      <c r="D64" s="2663"/>
      <c r="E64" s="2664"/>
      <c r="F64" s="2662"/>
      <c r="G64" s="2665"/>
      <c r="H64" s="2757"/>
      <c r="I64" s="2757"/>
      <c r="J64" s="2757"/>
      <c r="K64" s="2757"/>
      <c r="L64" s="2757"/>
      <c r="M64" s="2757"/>
      <c r="N64" s="2757"/>
      <c r="O64" s="2757"/>
      <c r="P64" s="2757"/>
      <c r="Q64" s="2757"/>
      <c r="R64" s="2757"/>
      <c r="S64" s="2757"/>
    </row>
    <row r="65" spans="1:34" s="2" customFormat="1" ht="16.5" hidden="1" thickTop="1" thickBot="1">
      <c r="A65" s="830" t="s">
        <v>2981</v>
      </c>
      <c r="B65" s="831"/>
      <c r="C65" s="12"/>
      <c r="D65" s="169"/>
      <c r="E65" s="177"/>
      <c r="F65" s="12"/>
      <c r="G65" s="228"/>
      <c r="H65" s="20"/>
      <c r="I65" s="20"/>
      <c r="J65" s="20"/>
      <c r="K65" s="20"/>
      <c r="L65" s="20"/>
      <c r="M65" s="20"/>
      <c r="N65" s="20"/>
      <c r="O65" s="20"/>
      <c r="P65" s="20"/>
      <c r="Q65" s="20"/>
      <c r="R65" s="20"/>
      <c r="S65" s="20"/>
      <c r="T65"/>
      <c r="U65"/>
      <c r="V65"/>
      <c r="W65"/>
      <c r="X65"/>
      <c r="Y65"/>
      <c r="Z65"/>
      <c r="AA65"/>
      <c r="AB65"/>
      <c r="AC65"/>
      <c r="AD65"/>
      <c r="AE65"/>
      <c r="AF65"/>
      <c r="AG65"/>
      <c r="AH65"/>
    </row>
    <row r="66" spans="1:34" s="2" customFormat="1" ht="15.75" hidden="1" thickTop="1">
      <c r="A66" s="2661"/>
      <c r="B66" s="2406"/>
      <c r="C66" s="2662"/>
      <c r="D66" s="2663"/>
      <c r="E66" s="2664"/>
      <c r="F66" s="2662"/>
      <c r="G66" s="2665"/>
      <c r="H66" s="2757"/>
      <c r="I66" s="2757"/>
      <c r="J66" s="2757"/>
      <c r="K66" s="2757"/>
      <c r="L66" s="2757"/>
      <c r="M66" s="2757"/>
      <c r="N66" s="2757"/>
      <c r="O66" s="2757"/>
      <c r="P66" s="2757"/>
      <c r="Q66" s="2757"/>
      <c r="R66" s="2757"/>
      <c r="S66" s="2757"/>
      <c r="T66"/>
      <c r="U66"/>
      <c r="V66"/>
      <c r="W66"/>
      <c r="X66"/>
      <c r="Y66"/>
      <c r="Z66"/>
      <c r="AA66"/>
      <c r="AB66"/>
      <c r="AC66"/>
      <c r="AD66"/>
      <c r="AE66"/>
      <c r="AF66"/>
      <c r="AG66"/>
      <c r="AH66"/>
    </row>
    <row r="67" spans="1:34" s="2" customFormat="1" hidden="1">
      <c r="A67" s="2661"/>
      <c r="B67" s="2406"/>
      <c r="C67" s="2662"/>
      <c r="D67" s="2663"/>
      <c r="E67" s="2664"/>
      <c r="F67" s="2662"/>
      <c r="G67" s="2665"/>
      <c r="H67" s="2757"/>
      <c r="I67" s="2757"/>
      <c r="J67" s="2757"/>
      <c r="K67" s="2757"/>
      <c r="L67" s="2757"/>
      <c r="M67" s="2757"/>
      <c r="N67" s="2757"/>
      <c r="O67" s="2757"/>
      <c r="P67" s="2757"/>
      <c r="Q67" s="2757"/>
      <c r="R67" s="2757"/>
      <c r="S67" s="2757"/>
      <c r="T67"/>
      <c r="U67"/>
      <c r="V67"/>
      <c r="W67"/>
      <c r="X67"/>
      <c r="Y67"/>
      <c r="Z67"/>
      <c r="AA67"/>
      <c r="AB67"/>
      <c r="AC67"/>
      <c r="AD67"/>
      <c r="AE67"/>
      <c r="AF67"/>
      <c r="AG67"/>
      <c r="AH67"/>
    </row>
    <row r="68" spans="1:34" ht="15.75" hidden="1" thickBot="1">
      <c r="A68" s="2661"/>
      <c r="B68" s="2406"/>
      <c r="C68" s="2662"/>
      <c r="D68" s="2663"/>
      <c r="E68" s="2664"/>
      <c r="F68" s="2662"/>
      <c r="G68" s="2665"/>
      <c r="H68" s="2757"/>
      <c r="I68" s="2757"/>
      <c r="J68" s="2757"/>
      <c r="K68" s="2757"/>
      <c r="L68" s="2757"/>
      <c r="M68" s="2757"/>
      <c r="N68" s="2757"/>
      <c r="O68" s="2757"/>
      <c r="P68" s="2757"/>
      <c r="Q68" s="2757"/>
      <c r="R68" s="2757"/>
      <c r="S68" s="2757"/>
    </row>
    <row r="69" spans="1:34" s="2" customFormat="1" ht="16.5" hidden="1" thickTop="1" thickBot="1">
      <c r="A69" s="830" t="s">
        <v>2982</v>
      </c>
      <c r="B69" s="831"/>
      <c r="C69" s="12"/>
      <c r="D69" s="169"/>
      <c r="E69" s="177"/>
      <c r="F69" s="12"/>
      <c r="G69" s="228"/>
      <c r="H69" s="20"/>
      <c r="I69" s="20"/>
      <c r="J69" s="20"/>
      <c r="K69" s="20"/>
      <c r="L69" s="20"/>
      <c r="M69" s="20"/>
      <c r="N69" s="20"/>
      <c r="O69" s="20"/>
      <c r="P69" s="20"/>
      <c r="Q69" s="20"/>
      <c r="R69" s="20"/>
      <c r="S69" s="20"/>
      <c r="T69"/>
      <c r="U69"/>
      <c r="V69"/>
      <c r="W69"/>
      <c r="X69"/>
      <c r="Y69"/>
      <c r="Z69"/>
      <c r="AA69"/>
      <c r="AB69"/>
      <c r="AC69"/>
      <c r="AD69"/>
      <c r="AE69"/>
      <c r="AF69"/>
      <c r="AG69"/>
      <c r="AH69"/>
    </row>
    <row r="70" spans="1:34" s="2" customFormat="1" ht="15.75" hidden="1" thickTop="1">
      <c r="A70" s="2661"/>
      <c r="B70" s="2406"/>
      <c r="C70" s="2662"/>
      <c r="D70" s="2663"/>
      <c r="E70" s="2664"/>
      <c r="F70" s="2662"/>
      <c r="G70" s="2665"/>
      <c r="H70" s="2757"/>
      <c r="I70" s="2757"/>
      <c r="J70" s="2757"/>
      <c r="K70" s="2757"/>
      <c r="L70" s="2757"/>
      <c r="M70" s="2757"/>
      <c r="N70" s="2757"/>
      <c r="O70" s="2757"/>
      <c r="P70" s="2757"/>
      <c r="Q70" s="2757"/>
      <c r="R70" s="2757"/>
      <c r="S70" s="2757"/>
      <c r="T70"/>
      <c r="U70"/>
      <c r="V70"/>
      <c r="W70"/>
      <c r="X70"/>
      <c r="Y70"/>
      <c r="Z70"/>
      <c r="AA70"/>
      <c r="AB70"/>
      <c r="AC70"/>
      <c r="AD70"/>
      <c r="AE70"/>
      <c r="AF70"/>
      <c r="AG70"/>
      <c r="AH70"/>
    </row>
    <row r="71" spans="1:34" s="2" customFormat="1" hidden="1">
      <c r="A71" s="2758"/>
      <c r="B71" s="2406"/>
      <c r="C71" s="2407"/>
      <c r="D71" s="2408"/>
      <c r="E71" s="2409"/>
      <c r="F71" s="2407"/>
      <c r="G71" s="2759"/>
      <c r="H71" s="2760"/>
      <c r="I71" s="2760"/>
      <c r="J71" s="2760"/>
      <c r="K71" s="2760"/>
      <c r="L71" s="2760"/>
      <c r="M71" s="2760"/>
      <c r="N71" s="2760"/>
      <c r="O71" s="2760"/>
      <c r="P71" s="2760"/>
      <c r="Q71" s="2760"/>
      <c r="R71" s="2760"/>
      <c r="S71" s="2760"/>
      <c r="T71"/>
      <c r="U71"/>
      <c r="V71"/>
      <c r="W71"/>
      <c r="X71"/>
      <c r="Y71"/>
      <c r="Z71"/>
      <c r="AA71"/>
      <c r="AB71"/>
      <c r="AC71"/>
      <c r="AD71"/>
      <c r="AE71"/>
      <c r="AF71"/>
      <c r="AG71"/>
      <c r="AH71"/>
    </row>
    <row r="72" spans="1:34" s="2" customFormat="1" ht="15.75" hidden="1" thickBot="1">
      <c r="A72" s="2761"/>
      <c r="B72" s="2386"/>
      <c r="C72" s="2407"/>
      <c r="D72" s="2408"/>
      <c r="E72" s="2409"/>
      <c r="F72" s="2407"/>
      <c r="G72" s="2759"/>
      <c r="H72" s="2763"/>
      <c r="I72" s="2763"/>
      <c r="J72" s="2763"/>
      <c r="K72" s="2763"/>
      <c r="L72" s="2763"/>
      <c r="M72" s="2763"/>
      <c r="N72" s="2763"/>
      <c r="O72" s="2763"/>
      <c r="P72" s="2763"/>
      <c r="Q72" s="2763"/>
      <c r="R72" s="2763"/>
      <c r="S72" s="2763"/>
    </row>
    <row r="73" spans="1:34" s="2" customFormat="1" ht="16.5" hidden="1" thickTop="1" thickBot="1">
      <c r="A73" s="830" t="s">
        <v>2983</v>
      </c>
      <c r="B73" s="831"/>
      <c r="C73" s="12"/>
      <c r="D73" s="169"/>
      <c r="E73" s="177"/>
      <c r="F73" s="12"/>
      <c r="G73" s="228"/>
      <c r="H73" s="20"/>
      <c r="I73" s="20"/>
      <c r="J73" s="20"/>
      <c r="K73" s="20"/>
      <c r="L73" s="20"/>
      <c r="M73" s="20"/>
      <c r="N73" s="20"/>
      <c r="O73" s="20"/>
      <c r="P73" s="20"/>
      <c r="Q73" s="20"/>
      <c r="R73" s="20"/>
      <c r="S73" s="20"/>
      <c r="T73"/>
      <c r="U73"/>
      <c r="V73"/>
      <c r="W73"/>
      <c r="X73"/>
      <c r="Y73"/>
      <c r="Z73"/>
      <c r="AA73"/>
      <c r="AB73"/>
      <c r="AC73"/>
      <c r="AD73"/>
      <c r="AE73"/>
      <c r="AF73"/>
      <c r="AG73"/>
      <c r="AH73"/>
    </row>
    <row r="74" spans="1:34" ht="15.75" hidden="1" thickTop="1">
      <c r="A74" s="2667"/>
      <c r="B74" s="2668"/>
      <c r="C74" s="2662"/>
      <c r="D74" s="2663"/>
      <c r="E74" s="2664"/>
      <c r="F74" s="2662"/>
      <c r="G74" s="2665"/>
      <c r="H74" s="2757"/>
      <c r="I74" s="2757"/>
      <c r="J74" s="2757"/>
      <c r="K74" s="2757"/>
      <c r="L74" s="2757"/>
      <c r="M74" s="2757"/>
      <c r="N74" s="2757"/>
      <c r="O74" s="2757"/>
      <c r="P74" s="2757"/>
      <c r="Q74" s="2757"/>
      <c r="R74" s="2757"/>
      <c r="S74" s="2757"/>
      <c r="T74" s="2"/>
      <c r="U74" s="2"/>
      <c r="V74" s="2"/>
      <c r="W74" s="2"/>
      <c r="X74" s="2"/>
      <c r="Y74" s="2"/>
      <c r="Z74" s="2"/>
      <c r="AA74" s="2"/>
      <c r="AB74" s="2"/>
      <c r="AC74" s="2"/>
      <c r="AD74" s="2"/>
      <c r="AE74" s="2"/>
      <c r="AF74" s="2"/>
      <c r="AG74" s="2"/>
      <c r="AH74" s="2"/>
    </row>
    <row r="75" spans="1:34" hidden="1">
      <c r="A75" s="2761"/>
      <c r="B75" s="2386"/>
      <c r="C75" s="2407"/>
      <c r="D75" s="2408"/>
      <c r="E75" s="2409"/>
      <c r="F75" s="2407"/>
      <c r="G75" s="2759"/>
      <c r="H75" s="2764"/>
      <c r="I75" s="2764"/>
      <c r="J75" s="2764"/>
      <c r="K75" s="2764"/>
      <c r="L75" s="2764"/>
      <c r="M75" s="2764"/>
      <c r="N75" s="2764"/>
      <c r="O75" s="2764"/>
      <c r="P75" s="2764"/>
      <c r="Q75" s="2764"/>
      <c r="R75" s="2764"/>
      <c r="S75" s="2764"/>
      <c r="T75" s="2"/>
      <c r="U75" s="2"/>
      <c r="V75" s="2"/>
      <c r="W75" s="2"/>
      <c r="X75" s="2"/>
      <c r="Y75" s="2"/>
      <c r="Z75" s="2"/>
      <c r="AA75" s="2"/>
      <c r="AB75" s="2"/>
      <c r="AC75" s="2"/>
      <c r="AD75" s="2"/>
      <c r="AE75" s="2"/>
      <c r="AF75" s="2"/>
      <c r="AG75" s="2"/>
      <c r="AH75" s="2"/>
    </row>
    <row r="76" spans="1:34" ht="15.75" hidden="1" thickBot="1">
      <c r="A76" s="2761"/>
      <c r="B76" s="2386"/>
      <c r="C76" s="2407"/>
      <c r="D76" s="2408"/>
      <c r="E76" s="2409"/>
      <c r="F76" s="2407"/>
      <c r="G76" s="2759"/>
      <c r="H76" s="2764"/>
      <c r="I76" s="2764"/>
      <c r="J76" s="2764"/>
      <c r="K76" s="2764"/>
      <c r="L76" s="2764"/>
      <c r="M76" s="2764"/>
      <c r="N76" s="2764"/>
      <c r="O76" s="2764"/>
      <c r="P76" s="2764"/>
      <c r="Q76" s="2764"/>
      <c r="R76" s="2764"/>
      <c r="S76" s="2764"/>
      <c r="T76" s="2"/>
      <c r="U76" s="2"/>
      <c r="V76" s="2"/>
      <c r="W76" s="2"/>
      <c r="X76" s="2"/>
      <c r="Y76" s="2"/>
      <c r="Z76" s="2"/>
      <c r="AA76" s="2"/>
      <c r="AB76" s="2"/>
      <c r="AC76" s="2"/>
      <c r="AD76" s="2"/>
      <c r="AE76" s="2"/>
      <c r="AF76" s="2"/>
      <c r="AG76" s="2"/>
      <c r="AH76" s="2"/>
    </row>
    <row r="77" spans="1:34" ht="16.5" hidden="1" thickTop="1" thickBot="1">
      <c r="A77" s="830" t="s">
        <v>2984</v>
      </c>
      <c r="B77" s="831"/>
      <c r="C77" s="12"/>
      <c r="D77" s="169"/>
      <c r="E77" s="177"/>
      <c r="F77" s="12"/>
      <c r="G77" s="228"/>
      <c r="H77" s="20"/>
      <c r="I77" s="20"/>
      <c r="J77" s="20"/>
      <c r="K77" s="20"/>
      <c r="L77" s="20"/>
      <c r="M77" s="20"/>
      <c r="N77" s="20"/>
      <c r="O77" s="20"/>
      <c r="P77" s="20"/>
      <c r="Q77" s="20"/>
      <c r="R77" s="20"/>
      <c r="S77" s="20"/>
    </row>
    <row r="78" spans="1:34" ht="15.75" hidden="1" thickTop="1">
      <c r="A78" s="2758"/>
      <c r="B78" s="2406" t="s">
        <v>2985</v>
      </c>
      <c r="C78" s="2407"/>
      <c r="D78" s="2408"/>
      <c r="E78" s="2409"/>
      <c r="F78" s="2407"/>
      <c r="G78" s="2759"/>
      <c r="H78" s="2764"/>
      <c r="I78" s="2764"/>
      <c r="J78" s="2764"/>
      <c r="K78" s="2764"/>
      <c r="L78" s="2764"/>
      <c r="M78" s="2764"/>
      <c r="N78" s="2764"/>
      <c r="O78" s="2764"/>
      <c r="P78" s="2764"/>
      <c r="Q78" s="2764"/>
      <c r="R78" s="2764"/>
      <c r="S78" s="2764"/>
    </row>
    <row r="79" spans="1:34" hidden="1">
      <c r="A79" s="2758"/>
      <c r="B79" s="2406" t="s">
        <v>2986</v>
      </c>
      <c r="C79" s="2407"/>
      <c r="D79" s="2408"/>
      <c r="E79" s="2409"/>
      <c r="F79" s="2407"/>
      <c r="G79" s="2759"/>
      <c r="H79" s="2764"/>
      <c r="I79" s="2764"/>
      <c r="J79" s="2764"/>
      <c r="K79" s="2764"/>
      <c r="L79" s="2764"/>
      <c r="M79" s="2764"/>
      <c r="N79" s="2764"/>
      <c r="O79" s="2764"/>
      <c r="P79" s="2764"/>
      <c r="Q79" s="2764"/>
      <c r="R79" s="2764"/>
      <c r="S79" s="2764"/>
    </row>
    <row r="80" spans="1:34" hidden="1">
      <c r="A80" s="2758"/>
      <c r="B80" s="2406" t="s">
        <v>2987</v>
      </c>
      <c r="C80" s="2407"/>
      <c r="D80" s="2408"/>
      <c r="E80" s="2409"/>
      <c r="F80" s="2407"/>
      <c r="G80" s="2759"/>
      <c r="H80" s="2764"/>
      <c r="I80" s="2764"/>
      <c r="J80" s="2764"/>
      <c r="K80" s="2764"/>
      <c r="L80" s="2764"/>
      <c r="M80" s="2764"/>
      <c r="N80" s="2764"/>
      <c r="O80" s="2764"/>
      <c r="P80" s="2764"/>
      <c r="Q80" s="2764"/>
      <c r="R80" s="2764"/>
      <c r="S80" s="2764"/>
    </row>
    <row r="81" spans="1:19" hidden="1">
      <c r="A81" s="2758"/>
      <c r="B81" s="2406" t="s">
        <v>2988</v>
      </c>
      <c r="C81" s="2407"/>
      <c r="D81" s="2408"/>
      <c r="E81" s="2409"/>
      <c r="F81" s="2407"/>
      <c r="G81" s="2759"/>
      <c r="H81" s="2764"/>
      <c r="I81" s="2764"/>
      <c r="J81" s="2764"/>
      <c r="K81" s="2764"/>
      <c r="L81" s="2764"/>
      <c r="M81" s="2764"/>
      <c r="N81" s="2764"/>
      <c r="O81" s="2764"/>
      <c r="P81" s="2764"/>
      <c r="Q81" s="2764"/>
      <c r="R81" s="2764"/>
      <c r="S81" s="2764"/>
    </row>
    <row r="82" spans="1:19" ht="15.75" hidden="1" thickBot="1">
      <c r="A82" s="646"/>
      <c r="B82" s="619"/>
      <c r="C82" s="616"/>
      <c r="D82" s="621"/>
      <c r="E82" s="622"/>
      <c r="F82" s="616"/>
      <c r="G82" s="620"/>
      <c r="H82" s="647"/>
      <c r="I82" s="647"/>
      <c r="J82" s="647"/>
      <c r="K82" s="647"/>
      <c r="L82" s="647"/>
      <c r="M82" s="647"/>
      <c r="N82" s="647"/>
      <c r="O82" s="647"/>
      <c r="P82" s="647"/>
      <c r="Q82" s="647"/>
      <c r="R82" s="647"/>
      <c r="S82" s="647"/>
    </row>
    <row r="83" spans="1:19" ht="16.5" hidden="1" thickTop="1" thickBot="1">
      <c r="A83" s="7" t="s">
        <v>2989</v>
      </c>
      <c r="B83" s="8"/>
      <c r="C83" s="12"/>
      <c r="D83" s="169"/>
      <c r="E83" s="177"/>
      <c r="F83" s="12"/>
      <c r="G83" s="228"/>
      <c r="H83" s="20"/>
      <c r="I83" s="20"/>
      <c r="J83" s="20"/>
      <c r="K83" s="20"/>
      <c r="L83" s="20"/>
      <c r="M83" s="20"/>
      <c r="N83" s="20"/>
      <c r="O83" s="20"/>
      <c r="P83" s="20"/>
      <c r="Q83" s="20"/>
      <c r="R83" s="20"/>
      <c r="S83" s="20"/>
    </row>
    <row r="84" spans="1:19" ht="15.75" hidden="1" thickTop="1">
      <c r="A84" s="2661"/>
      <c r="B84" s="2647" t="s">
        <v>2990</v>
      </c>
      <c r="C84" s="2662"/>
      <c r="D84" s="2663"/>
      <c r="E84" s="2664"/>
      <c r="F84" s="2662"/>
      <c r="G84" s="2665"/>
      <c r="H84" s="2735"/>
      <c r="I84" s="2735"/>
      <c r="J84" s="2735"/>
      <c r="K84" s="2735"/>
      <c r="L84" s="2735"/>
      <c r="M84" s="2735"/>
      <c r="N84" s="2735"/>
      <c r="O84" s="2735"/>
      <c r="P84" s="2735"/>
      <c r="Q84" s="2735"/>
      <c r="R84" s="2735"/>
      <c r="S84" s="2735"/>
    </row>
    <row r="85" spans="1:19" hidden="1">
      <c r="A85" s="2758"/>
      <c r="B85" s="2406" t="s">
        <v>2991</v>
      </c>
      <c r="C85" s="2407"/>
      <c r="D85" s="2408"/>
      <c r="E85" s="2409"/>
      <c r="F85" s="2407"/>
      <c r="G85" s="2759"/>
      <c r="H85" s="2765"/>
      <c r="I85" s="2765"/>
      <c r="J85" s="2765"/>
      <c r="K85" s="2765"/>
      <c r="L85" s="2765"/>
      <c r="M85" s="2765"/>
      <c r="N85" s="2765"/>
      <c r="O85" s="2765"/>
      <c r="P85" s="2765"/>
      <c r="Q85" s="2765"/>
      <c r="R85" s="2765"/>
      <c r="S85" s="2765"/>
    </row>
    <row r="86" spans="1:19" ht="15.75" hidden="1" thickBot="1">
      <c r="A86" s="2766"/>
      <c r="B86" s="2787" t="s">
        <v>2992</v>
      </c>
      <c r="C86" s="2788"/>
      <c r="D86" s="2767"/>
      <c r="E86" s="2768"/>
      <c r="F86" s="2788"/>
      <c r="G86" s="2769"/>
      <c r="H86" s="2770"/>
      <c r="I86" s="2770"/>
      <c r="J86" s="2770"/>
      <c r="K86" s="2770"/>
      <c r="L86" s="2770"/>
      <c r="M86" s="2770"/>
      <c r="N86" s="2770"/>
      <c r="O86" s="2770"/>
      <c r="P86" s="2770"/>
      <c r="Q86" s="2770"/>
      <c r="R86" s="2770"/>
      <c r="S86" s="2770"/>
    </row>
    <row r="87" spans="1:19" ht="15.75" thickBot="1"/>
    <row r="88" spans="1:19" ht="16.5" thickTop="1" thickBot="1">
      <c r="A88" s="59" t="s">
        <v>2993</v>
      </c>
      <c r="B88" s="61"/>
    </row>
    <row r="89" spans="1:19" ht="15.75" thickTop="1">
      <c r="A89" s="60" t="s">
        <v>2936</v>
      </c>
      <c r="B89" s="2771"/>
    </row>
    <row r="90" spans="1:19">
      <c r="A90" s="2772" t="s">
        <v>2939</v>
      </c>
      <c r="B90" s="2771"/>
    </row>
    <row r="91" spans="1:19">
      <c r="A91" s="2773" t="s">
        <v>2941</v>
      </c>
      <c r="B91" s="2774"/>
    </row>
    <row r="92" spans="1:19">
      <c r="A92" s="2773" t="s">
        <v>2943</v>
      </c>
      <c r="B92" s="2775"/>
    </row>
    <row r="93" spans="1:19" ht="15.75" thickBot="1">
      <c r="A93" s="2776" t="s">
        <v>2994</v>
      </c>
      <c r="B93" s="2777">
        <f>$I$58</f>
        <v>52750</v>
      </c>
    </row>
    <row r="94" spans="1:19" ht="15.75" thickTop="1"/>
    <row r="95" spans="1:19">
      <c r="A95" s="62"/>
      <c r="B95" s="1" t="s">
        <v>2995</v>
      </c>
    </row>
    <row r="96" spans="1:19">
      <c r="A96" s="63"/>
      <c r="B96" s="1" t="s">
        <v>2996</v>
      </c>
    </row>
  </sheetData>
  <mergeCells count="35">
    <mergeCell ref="H5:I5"/>
    <mergeCell ref="J5:K5"/>
    <mergeCell ref="L5:M5"/>
    <mergeCell ref="N5:O5"/>
    <mergeCell ref="P5:Q5"/>
    <mergeCell ref="J8:K8"/>
    <mergeCell ref="L8:M8"/>
    <mergeCell ref="N8:O8"/>
    <mergeCell ref="P8:Q8"/>
    <mergeCell ref="H6:I6"/>
    <mergeCell ref="J6:K6"/>
    <mergeCell ref="L6:M6"/>
    <mergeCell ref="N6:O6"/>
    <mergeCell ref="P6:Q6"/>
    <mergeCell ref="H7:I7"/>
    <mergeCell ref="J7:K7"/>
    <mergeCell ref="L7:M7"/>
    <mergeCell ref="N7:O7"/>
    <mergeCell ref="P7:Q7"/>
    <mergeCell ref="R5:S5"/>
    <mergeCell ref="R6:S6"/>
    <mergeCell ref="R7:S7"/>
    <mergeCell ref="R8:S8"/>
    <mergeCell ref="A77:B77"/>
    <mergeCell ref="R9:S9"/>
    <mergeCell ref="A61:B61"/>
    <mergeCell ref="A65:B65"/>
    <mergeCell ref="A69:B69"/>
    <mergeCell ref="A73:B73"/>
    <mergeCell ref="H9:I9"/>
    <mergeCell ref="J9:K9"/>
    <mergeCell ref="L9:M9"/>
    <mergeCell ref="N9:O9"/>
    <mergeCell ref="P9:Q9"/>
    <mergeCell ref="H8:I8"/>
  </mergeCells>
  <conditionalFormatting sqref="H11:H18 J11:J18 L11:L18 N11:N18 P11:P18 R11:R18">
    <cfRule type="cellIs" dxfId="109" priority="21" operator="equal">
      <formula>"X"</formula>
    </cfRule>
    <cfRule type="cellIs" dxfId="108" priority="22" operator="equal">
      <formula>"I"</formula>
    </cfRule>
  </conditionalFormatting>
  <conditionalFormatting sqref="H20:H53">
    <cfRule type="cellIs" dxfId="107" priority="3" operator="equal">
      <formula>"X"</formula>
    </cfRule>
    <cfRule type="cellIs" dxfId="106" priority="4" operator="equal">
      <formula>"I"</formula>
    </cfRule>
  </conditionalFormatting>
  <conditionalFormatting sqref="J20:J53 L20:L53 N20:N53 P20:P53 R20:R53">
    <cfRule type="cellIs" dxfId="105" priority="1" operator="equal">
      <formula>"X"</formula>
    </cfRule>
    <cfRule type="cellIs" dxfId="104" priority="2" operator="equal">
      <formula>"I"</formula>
    </cfRule>
  </conditionalFormatting>
  <hyperlinks>
    <hyperlink ref="B4" location="'Cost Summary'!A1" display="BACK TO SUMMARY SHEET" xr:uid="{4EBD81A8-6475-4998-BB7B-71D1BBF478D1}"/>
  </hyperlinks>
  <pageMargins left="0.2" right="0.2" top="0.5" bottom="0.75" header="0.3" footer="0.3"/>
  <pageSetup paperSize="3" scale="77" fitToHeight="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8969-2D3F-439C-AEDE-33411F69AF25}">
  <sheetPr>
    <tabColor rgb="FF00B050"/>
    <pageSetUpPr fitToPage="1"/>
  </sheetPr>
  <dimension ref="A1:AH94"/>
  <sheetViews>
    <sheetView zoomScale="90" zoomScaleNormal="90" workbookViewId="0">
      <pane ySplit="10" topLeftCell="A11" activePane="bottomLeft" state="frozen"/>
      <selection pane="bottomLeft" activeCell="B4" sqref="B4"/>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5926</v>
      </c>
      <c r="I5" s="838"/>
      <c r="J5" s="841"/>
      <c r="K5" s="842"/>
      <c r="L5" s="841"/>
      <c r="M5" s="842"/>
      <c r="N5" s="841"/>
      <c r="O5" s="842"/>
      <c r="P5" s="841"/>
      <c r="Q5" s="842"/>
      <c r="R5" s="841"/>
      <c r="S5" s="842"/>
    </row>
    <row r="6" spans="1:19">
      <c r="A6" s="2778" t="s">
        <v>2938</v>
      </c>
      <c r="B6" s="2406" t="s">
        <v>2588</v>
      </c>
      <c r="C6" s="2407"/>
      <c r="D6" s="2408"/>
      <c r="E6" s="2409"/>
      <c r="F6" s="2407"/>
      <c r="G6" s="657" t="s">
        <v>2939</v>
      </c>
      <c r="H6" s="2779"/>
      <c r="I6" s="839"/>
      <c r="J6" s="2780"/>
      <c r="K6" s="843"/>
      <c r="L6" s="2780"/>
      <c r="M6" s="843"/>
      <c r="N6" s="2780"/>
      <c r="O6" s="843"/>
      <c r="P6" s="2780"/>
      <c r="Q6" s="843"/>
      <c r="R6" s="2780"/>
      <c r="S6" s="843"/>
    </row>
    <row r="7" spans="1:19">
      <c r="A7" s="2778" t="s">
        <v>2940</v>
      </c>
      <c r="B7" s="2413" t="s">
        <v>2660</v>
      </c>
      <c r="C7" s="2407"/>
      <c r="D7" s="2408"/>
      <c r="E7" s="2409"/>
      <c r="F7" s="2407"/>
      <c r="G7" s="2781" t="s">
        <v>2941</v>
      </c>
      <c r="H7" s="2782"/>
      <c r="I7" s="840"/>
      <c r="J7" s="2783"/>
      <c r="K7" s="844"/>
      <c r="L7" s="2783"/>
      <c r="M7" s="844"/>
      <c r="N7" s="2783"/>
      <c r="O7" s="844"/>
      <c r="P7" s="2783"/>
      <c r="Q7" s="844"/>
      <c r="R7" s="2783"/>
      <c r="S7" s="844"/>
    </row>
    <row r="8" spans="1:19">
      <c r="A8" s="2778" t="s">
        <v>2942</v>
      </c>
      <c r="B8" s="2418"/>
      <c r="C8" s="2407"/>
      <c r="D8" s="2408"/>
      <c r="E8" s="2409"/>
      <c r="F8" s="2407"/>
      <c r="G8" s="2781" t="s">
        <v>2943</v>
      </c>
      <c r="H8" s="2784"/>
      <c r="I8" s="836"/>
      <c r="J8" s="2785"/>
      <c r="K8" s="845"/>
      <c r="L8" s="2785"/>
      <c r="M8" s="845"/>
      <c r="N8" s="2785"/>
      <c r="O8" s="845"/>
      <c r="P8" s="2785"/>
      <c r="Q8" s="845"/>
      <c r="R8" s="2785"/>
      <c r="S8" s="845"/>
    </row>
    <row r="9" spans="1:19" ht="15.75" thickBot="1">
      <c r="A9" s="2786"/>
      <c r="B9" s="2787"/>
      <c r="C9" s="616"/>
      <c r="D9" s="621"/>
      <c r="E9" s="622"/>
      <c r="F9" s="2788"/>
      <c r="G9" s="2789" t="s">
        <v>2944</v>
      </c>
      <c r="H9" s="2792">
        <f>I$56</f>
        <v>350000</v>
      </c>
      <c r="I9" s="2793"/>
      <c r="J9" s="2790">
        <f t="shared" ref="J9" si="0">K$56</f>
        <v>0</v>
      </c>
      <c r="K9" s="2791"/>
      <c r="L9" s="2790">
        <f t="shared" ref="L9" si="1">M$56</f>
        <v>0</v>
      </c>
      <c r="M9" s="2791"/>
      <c r="N9" s="2790">
        <f t="shared" ref="N9" si="2">O$56</f>
        <v>0</v>
      </c>
      <c r="O9" s="2791"/>
      <c r="P9" s="2790">
        <f t="shared" ref="P9" si="3">Q$56</f>
        <v>0</v>
      </c>
      <c r="Q9" s="2791"/>
      <c r="R9" s="2790">
        <f t="shared" ref="R9" si="4">S$56</f>
        <v>0</v>
      </c>
      <c r="S9" s="2791"/>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649"/>
      <c r="B11" s="2182" t="s">
        <v>2953</v>
      </c>
      <c r="C11" s="659"/>
      <c r="D11" s="2408"/>
      <c r="E11" s="2409"/>
      <c r="F11" s="2407"/>
      <c r="G11" s="660"/>
      <c r="H11" s="2794"/>
      <c r="I11" s="2338"/>
      <c r="J11" s="2794"/>
      <c r="K11" s="182"/>
      <c r="L11" s="2794"/>
      <c r="M11" s="2339"/>
      <c r="N11" s="2794"/>
      <c r="O11" s="2339"/>
      <c r="P11" s="2794"/>
      <c r="Q11" s="2339"/>
      <c r="R11" s="2794"/>
      <c r="S11" s="2339"/>
    </row>
    <row r="12" spans="1:19">
      <c r="A12" s="2650"/>
      <c r="B12" s="2740" t="s">
        <v>2954</v>
      </c>
      <c r="C12" s="2407"/>
      <c r="D12" s="2408"/>
      <c r="E12" s="2409"/>
      <c r="F12" s="2407"/>
      <c r="G12" s="660"/>
      <c r="H12" s="2794"/>
      <c r="I12" s="2338"/>
      <c r="J12" s="2794"/>
      <c r="K12" s="2339"/>
      <c r="L12" s="2794"/>
      <c r="M12" s="2339"/>
      <c r="N12" s="2794"/>
      <c r="O12" s="2339"/>
      <c r="P12" s="2794"/>
      <c r="Q12" s="2339"/>
      <c r="R12" s="2794"/>
      <c r="S12" s="2339"/>
    </row>
    <row r="13" spans="1:19">
      <c r="A13" s="2795"/>
      <c r="B13" s="2741" t="s">
        <v>2955</v>
      </c>
      <c r="C13" s="2407"/>
      <c r="D13" s="2408"/>
      <c r="E13" s="2409"/>
      <c r="F13" s="2407"/>
      <c r="G13" s="660"/>
      <c r="H13" s="2794"/>
      <c r="I13" s="2338"/>
      <c r="J13" s="2794"/>
      <c r="K13" s="2339"/>
      <c r="L13" s="2794"/>
      <c r="M13" s="2339"/>
      <c r="N13" s="2794"/>
      <c r="O13" s="2339"/>
      <c r="P13" s="2794"/>
      <c r="Q13" s="2339"/>
      <c r="R13" s="2794"/>
      <c r="S13" s="2339"/>
    </row>
    <row r="14" spans="1:19">
      <c r="A14" s="2795"/>
      <c r="B14" s="2742" t="s">
        <v>2956</v>
      </c>
      <c r="C14" s="2407"/>
      <c r="D14" s="2408"/>
      <c r="E14" s="2409"/>
      <c r="F14" s="2407"/>
      <c r="G14" s="660"/>
      <c r="H14" s="2794"/>
      <c r="I14" s="2338"/>
      <c r="J14" s="2794"/>
      <c r="K14" s="2339"/>
      <c r="L14" s="2794"/>
      <c r="M14" s="2339"/>
      <c r="N14" s="2794"/>
      <c r="O14" s="2339"/>
      <c r="P14" s="2794"/>
      <c r="Q14" s="2339"/>
      <c r="R14" s="2794"/>
      <c r="S14" s="2339"/>
    </row>
    <row r="15" spans="1:19">
      <c r="A15" s="2795"/>
      <c r="B15" s="2742" t="s">
        <v>2957</v>
      </c>
      <c r="C15" s="2407"/>
      <c r="D15" s="2408"/>
      <c r="E15" s="2409"/>
      <c r="F15" s="2407"/>
      <c r="G15" s="660"/>
      <c r="H15" s="2794"/>
      <c r="I15" s="2338"/>
      <c r="J15" s="2794"/>
      <c r="K15" s="2338"/>
      <c r="L15" s="2794"/>
      <c r="M15" s="2338"/>
      <c r="N15" s="2794"/>
      <c r="O15" s="2338"/>
      <c r="P15" s="2794"/>
      <c r="Q15" s="2338"/>
      <c r="R15" s="2794"/>
      <c r="S15" s="2338"/>
    </row>
    <row r="16" spans="1:19">
      <c r="A16" s="2795"/>
      <c r="B16" s="2742" t="s">
        <v>2958</v>
      </c>
      <c r="C16" s="2407"/>
      <c r="D16" s="2408"/>
      <c r="E16" s="2409"/>
      <c r="F16" s="2407"/>
      <c r="G16" s="660"/>
      <c r="H16" s="2794"/>
      <c r="I16" s="2338"/>
      <c r="J16" s="2794"/>
      <c r="K16" s="2339"/>
      <c r="L16" s="2794"/>
      <c r="M16" s="2339"/>
      <c r="N16" s="2794"/>
      <c r="O16" s="2339"/>
      <c r="P16" s="2794"/>
      <c r="Q16" s="2339"/>
      <c r="R16" s="2794"/>
      <c r="S16" s="2339"/>
    </row>
    <row r="17" spans="1:19">
      <c r="A17" s="2795"/>
      <c r="B17" s="2742" t="s">
        <v>2959</v>
      </c>
      <c r="C17" s="2407"/>
      <c r="D17" s="2408"/>
      <c r="E17" s="2409"/>
      <c r="F17" s="2407"/>
      <c r="G17" s="660"/>
      <c r="H17" s="2794"/>
      <c r="I17" s="2338"/>
      <c r="J17" s="2794"/>
      <c r="K17" s="2339"/>
      <c r="L17" s="2794"/>
      <c r="M17" s="2339"/>
      <c r="N17" s="2794"/>
      <c r="O17" s="2339"/>
      <c r="P17" s="2794"/>
      <c r="Q17" s="2339"/>
      <c r="R17" s="2794"/>
      <c r="S17" s="2339"/>
    </row>
    <row r="18" spans="1:19">
      <c r="A18" s="2795"/>
      <c r="B18" s="2743" t="s">
        <v>2960</v>
      </c>
      <c r="C18" s="2407"/>
      <c r="D18" s="2408"/>
      <c r="E18" s="2409"/>
      <c r="F18" s="2407"/>
      <c r="G18" s="660"/>
      <c r="H18" s="2794"/>
      <c r="I18" s="2338"/>
      <c r="J18" s="2794"/>
      <c r="K18" s="2339"/>
      <c r="L18" s="2794"/>
      <c r="M18" s="2339"/>
      <c r="N18" s="2794"/>
      <c r="O18" s="2339"/>
      <c r="P18" s="2794"/>
      <c r="Q18" s="2339"/>
      <c r="R18" s="2794"/>
      <c r="S18" s="2339"/>
    </row>
    <row r="19" spans="1:19">
      <c r="A19" s="2795"/>
      <c r="B19" s="2744" t="s">
        <v>2961</v>
      </c>
      <c r="C19" s="2433"/>
      <c r="D19" s="2434"/>
      <c r="E19" s="2435"/>
      <c r="F19" s="2436"/>
      <c r="G19" s="661"/>
      <c r="H19" s="2796"/>
      <c r="I19" s="2347"/>
      <c r="J19" s="2796"/>
      <c r="K19" s="2346"/>
      <c r="L19" s="2796"/>
      <c r="M19" s="2346"/>
      <c r="N19" s="2796"/>
      <c r="O19" s="2346"/>
      <c r="P19" s="2796"/>
      <c r="Q19" s="2346"/>
      <c r="R19" s="2796"/>
      <c r="S19" s="2346"/>
    </row>
    <row r="20" spans="1:19">
      <c r="A20" s="2795"/>
      <c r="B20" s="2745"/>
      <c r="C20" s="2407"/>
      <c r="D20" s="2408"/>
      <c r="E20" s="2409"/>
      <c r="F20" s="2438"/>
      <c r="G20" s="660"/>
      <c r="H20" s="2794"/>
      <c r="I20" s="2349"/>
      <c r="J20" s="2794"/>
      <c r="K20" s="2350"/>
      <c r="L20" s="2794"/>
      <c r="M20" s="2349"/>
      <c r="N20" s="2794"/>
      <c r="O20" s="2349"/>
      <c r="P20" s="2794"/>
      <c r="Q20" s="2349"/>
      <c r="R20" s="2794"/>
      <c r="S20" s="2349"/>
    </row>
    <row r="21" spans="1:19">
      <c r="A21" s="2795"/>
      <c r="B21" s="2351" t="s">
        <v>2695</v>
      </c>
      <c r="C21" s="2407"/>
      <c r="D21" s="2408"/>
      <c r="E21" s="2409"/>
      <c r="F21" s="2357"/>
      <c r="G21" s="660"/>
      <c r="H21" s="2794"/>
      <c r="I21" s="2352">
        <f>SUBTOTAL(9,I22:I23)</f>
        <v>350000</v>
      </c>
      <c r="J21" s="2794"/>
      <c r="K21" s="2350"/>
      <c r="L21" s="2794"/>
      <c r="M21" s="2349"/>
      <c r="N21" s="2794"/>
      <c r="O21" s="2349"/>
      <c r="P21" s="2794"/>
      <c r="Q21" s="2349"/>
      <c r="R21" s="2794"/>
      <c r="S21" s="2349"/>
    </row>
    <row r="22" spans="1:19">
      <c r="A22" s="2816" t="s">
        <v>2587</v>
      </c>
      <c r="B22" s="2745" t="s">
        <v>2661</v>
      </c>
      <c r="C22" s="2407"/>
      <c r="D22" s="2408">
        <v>1</v>
      </c>
      <c r="E22" s="2409" t="s">
        <v>2818</v>
      </c>
      <c r="F22" s="2438">
        <v>350000</v>
      </c>
      <c r="G22" s="670">
        <f t="shared" ref="G22:G23" si="5">ROUND(D22*F22,0)</f>
        <v>350000</v>
      </c>
      <c r="H22" s="2794"/>
      <c r="I22" s="2684">
        <f t="shared" ref="I22" si="6">G22</f>
        <v>350000</v>
      </c>
      <c r="J22" s="2794"/>
      <c r="K22" s="2350"/>
      <c r="L22" s="2794"/>
      <c r="M22" s="2349"/>
      <c r="N22" s="2794"/>
      <c r="O22" s="2349"/>
      <c r="P22" s="2794"/>
      <c r="Q22" s="2349"/>
      <c r="R22" s="2794"/>
      <c r="S22" s="2349"/>
    </row>
    <row r="23" spans="1:19">
      <c r="A23" s="2795"/>
      <c r="B23" s="2745" t="s">
        <v>6073</v>
      </c>
      <c r="C23" s="2407"/>
      <c r="D23" s="2408"/>
      <c r="E23" s="2409"/>
      <c r="F23" s="2438"/>
      <c r="G23" s="662">
        <f t="shared" si="5"/>
        <v>0</v>
      </c>
      <c r="H23" s="2794"/>
      <c r="I23" s="2350"/>
      <c r="J23" s="2794"/>
      <c r="K23" s="2350"/>
      <c r="L23" s="2794"/>
      <c r="M23" s="2349"/>
      <c r="N23" s="2794"/>
      <c r="O23" s="2349"/>
      <c r="P23" s="2794"/>
      <c r="Q23" s="2349"/>
      <c r="R23" s="2794"/>
      <c r="S23" s="2349"/>
    </row>
    <row r="24" spans="1:19">
      <c r="A24" s="2795"/>
      <c r="B24" s="2745"/>
      <c r="C24" s="2407"/>
      <c r="D24" s="2408"/>
      <c r="E24" s="2409"/>
      <c r="F24" s="2438"/>
      <c r="G24" s="662">
        <f t="shared" ref="G24:G49" si="7">ROUND(D24*F24,0)</f>
        <v>0</v>
      </c>
      <c r="H24" s="2794"/>
      <c r="I24" s="2350"/>
      <c r="J24" s="2794"/>
      <c r="K24" s="2350"/>
      <c r="L24" s="2794"/>
      <c r="M24" s="2349"/>
      <c r="N24" s="2794"/>
      <c r="O24" s="2349"/>
      <c r="P24" s="2794"/>
      <c r="Q24" s="2349"/>
      <c r="R24" s="2794"/>
      <c r="S24" s="2349"/>
    </row>
    <row r="25" spans="1:19">
      <c r="A25" s="2795"/>
      <c r="B25" s="2745"/>
      <c r="C25" s="2407"/>
      <c r="D25" s="2408"/>
      <c r="E25" s="2409"/>
      <c r="F25" s="2438"/>
      <c r="G25" s="662">
        <f t="shared" si="7"/>
        <v>0</v>
      </c>
      <c r="H25" s="2794"/>
      <c r="I25" s="2350"/>
      <c r="J25" s="2794"/>
      <c r="K25" s="2350"/>
      <c r="L25" s="2794"/>
      <c r="M25" s="2349"/>
      <c r="N25" s="2794"/>
      <c r="O25" s="2349"/>
      <c r="P25" s="2794"/>
      <c r="Q25" s="2349"/>
      <c r="R25" s="2794"/>
      <c r="S25" s="2349"/>
    </row>
    <row r="26" spans="1:19">
      <c r="A26" s="2795"/>
      <c r="B26" s="2745"/>
      <c r="C26" s="2407"/>
      <c r="D26" s="2408"/>
      <c r="E26" s="2409"/>
      <c r="F26" s="2438"/>
      <c r="G26" s="662">
        <f t="shared" si="7"/>
        <v>0</v>
      </c>
      <c r="H26" s="2794"/>
      <c r="I26" s="2350"/>
      <c r="J26" s="2794"/>
      <c r="K26" s="2350"/>
      <c r="L26" s="2794"/>
      <c r="M26" s="2349"/>
      <c r="N26" s="2794"/>
      <c r="O26" s="2349"/>
      <c r="P26" s="2794"/>
      <c r="Q26" s="2349"/>
      <c r="R26" s="2794"/>
      <c r="S26" s="2349"/>
    </row>
    <row r="27" spans="1:19">
      <c r="A27" s="2795"/>
      <c r="B27" s="2745"/>
      <c r="C27" s="2407"/>
      <c r="D27" s="2408"/>
      <c r="E27" s="2409"/>
      <c r="F27" s="2438"/>
      <c r="G27" s="662">
        <f t="shared" si="7"/>
        <v>0</v>
      </c>
      <c r="H27" s="2794"/>
      <c r="I27" s="2350"/>
      <c r="J27" s="2794"/>
      <c r="K27" s="2350"/>
      <c r="L27" s="2794"/>
      <c r="M27" s="2349"/>
      <c r="N27" s="2794"/>
      <c r="O27" s="2349"/>
      <c r="P27" s="2794"/>
      <c r="Q27" s="2349"/>
      <c r="R27" s="2794"/>
      <c r="S27" s="2349"/>
    </row>
    <row r="28" spans="1:19">
      <c r="A28" s="2795"/>
      <c r="B28" s="2745"/>
      <c r="C28" s="2407"/>
      <c r="D28" s="2408"/>
      <c r="E28" s="2409"/>
      <c r="F28" s="2438"/>
      <c r="G28" s="662">
        <f t="shared" si="7"/>
        <v>0</v>
      </c>
      <c r="H28" s="2794"/>
      <c r="I28" s="2350"/>
      <c r="J28" s="2794"/>
      <c r="K28" s="2350"/>
      <c r="L28" s="2794"/>
      <c r="M28" s="2349"/>
      <c r="N28" s="2794"/>
      <c r="O28" s="2349"/>
      <c r="P28" s="2794"/>
      <c r="Q28" s="2349"/>
      <c r="R28" s="2794"/>
      <c r="S28" s="2349"/>
    </row>
    <row r="29" spans="1:19">
      <c r="A29" s="2795"/>
      <c r="B29" s="2745"/>
      <c r="C29" s="2407"/>
      <c r="D29" s="2408"/>
      <c r="E29" s="2409"/>
      <c r="F29" s="2438"/>
      <c r="G29" s="662">
        <f t="shared" si="7"/>
        <v>0</v>
      </c>
      <c r="H29" s="2794"/>
      <c r="I29" s="2350"/>
      <c r="J29" s="2794"/>
      <c r="K29" s="2350"/>
      <c r="L29" s="2794"/>
      <c r="M29" s="2349"/>
      <c r="N29" s="2794"/>
      <c r="O29" s="2349"/>
      <c r="P29" s="2794"/>
      <c r="Q29" s="2349"/>
      <c r="R29" s="2794"/>
      <c r="S29" s="2349"/>
    </row>
    <row r="30" spans="1:19">
      <c r="A30" s="2795"/>
      <c r="B30" s="2745"/>
      <c r="C30" s="2407"/>
      <c r="D30" s="2408"/>
      <c r="E30" s="2409"/>
      <c r="F30" s="2438"/>
      <c r="G30" s="662">
        <f t="shared" si="7"/>
        <v>0</v>
      </c>
      <c r="H30" s="2794"/>
      <c r="I30" s="2350"/>
      <c r="J30" s="2794"/>
      <c r="K30" s="2350"/>
      <c r="L30" s="2794"/>
      <c r="M30" s="2349"/>
      <c r="N30" s="2794"/>
      <c r="O30" s="2349"/>
      <c r="P30" s="2794"/>
      <c r="Q30" s="2349"/>
      <c r="R30" s="2794"/>
      <c r="S30" s="2349"/>
    </row>
    <row r="31" spans="1:19">
      <c r="A31" s="2795"/>
      <c r="B31" s="2745"/>
      <c r="C31" s="2407"/>
      <c r="D31" s="2408"/>
      <c r="E31" s="2409"/>
      <c r="F31" s="2438"/>
      <c r="G31" s="662">
        <f t="shared" si="7"/>
        <v>0</v>
      </c>
      <c r="H31" s="2794"/>
      <c r="I31" s="2350"/>
      <c r="J31" s="2794"/>
      <c r="K31" s="2350"/>
      <c r="L31" s="2794"/>
      <c r="M31" s="2349"/>
      <c r="N31" s="2794"/>
      <c r="O31" s="2349"/>
      <c r="P31" s="2794"/>
      <c r="Q31" s="2349"/>
      <c r="R31" s="2794"/>
      <c r="S31" s="2349"/>
    </row>
    <row r="32" spans="1:19">
      <c r="A32" s="2795"/>
      <c r="B32" s="2745"/>
      <c r="C32" s="2407"/>
      <c r="D32" s="2408"/>
      <c r="E32" s="2409"/>
      <c r="F32" s="2438"/>
      <c r="G32" s="662">
        <f t="shared" si="7"/>
        <v>0</v>
      </c>
      <c r="H32" s="2794"/>
      <c r="I32" s="2350"/>
      <c r="J32" s="2794"/>
      <c r="K32" s="2350"/>
      <c r="L32" s="2794"/>
      <c r="M32" s="2349"/>
      <c r="N32" s="2794"/>
      <c r="O32" s="2349"/>
      <c r="P32" s="2794"/>
      <c r="Q32" s="2349"/>
      <c r="R32" s="2794"/>
      <c r="S32" s="2349"/>
    </row>
    <row r="33" spans="1:19">
      <c r="A33" s="2795"/>
      <c r="B33" s="2745"/>
      <c r="C33" s="2407"/>
      <c r="D33" s="2408"/>
      <c r="E33" s="2409"/>
      <c r="F33" s="2438"/>
      <c r="G33" s="662">
        <f t="shared" si="7"/>
        <v>0</v>
      </c>
      <c r="H33" s="2794"/>
      <c r="I33" s="2350"/>
      <c r="J33" s="2794"/>
      <c r="K33" s="2350"/>
      <c r="L33" s="2794"/>
      <c r="M33" s="2349"/>
      <c r="N33" s="2794"/>
      <c r="O33" s="2349"/>
      <c r="P33" s="2794"/>
      <c r="Q33" s="2349"/>
      <c r="R33" s="2794"/>
      <c r="S33" s="2349"/>
    </row>
    <row r="34" spans="1:19">
      <c r="A34" s="2795"/>
      <c r="B34" s="2745"/>
      <c r="C34" s="2407"/>
      <c r="D34" s="2408"/>
      <c r="E34" s="2409"/>
      <c r="F34" s="2438"/>
      <c r="G34" s="662">
        <f t="shared" si="7"/>
        <v>0</v>
      </c>
      <c r="H34" s="2794"/>
      <c r="I34" s="2350"/>
      <c r="J34" s="2794"/>
      <c r="K34" s="2350"/>
      <c r="L34" s="2794"/>
      <c r="M34" s="2349"/>
      <c r="N34" s="2794"/>
      <c r="O34" s="2349"/>
      <c r="P34" s="2794"/>
      <c r="Q34" s="2349"/>
      <c r="R34" s="2794"/>
      <c r="S34" s="2349"/>
    </row>
    <row r="35" spans="1:19">
      <c r="A35" s="2795"/>
      <c r="B35" s="2745"/>
      <c r="C35" s="2407"/>
      <c r="D35" s="2408"/>
      <c r="E35" s="2409"/>
      <c r="F35" s="2438"/>
      <c r="G35" s="662">
        <f t="shared" si="7"/>
        <v>0</v>
      </c>
      <c r="H35" s="2794"/>
      <c r="I35" s="2350"/>
      <c r="J35" s="2794"/>
      <c r="K35" s="2350"/>
      <c r="L35" s="2794"/>
      <c r="M35" s="2349"/>
      <c r="N35" s="2794"/>
      <c r="O35" s="2349"/>
      <c r="P35" s="2794"/>
      <c r="Q35" s="2349"/>
      <c r="R35" s="2794"/>
      <c r="S35" s="2349"/>
    </row>
    <row r="36" spans="1:19">
      <c r="A36" s="2795"/>
      <c r="B36" s="2745"/>
      <c r="C36" s="2407"/>
      <c r="D36" s="2408"/>
      <c r="E36" s="2409"/>
      <c r="F36" s="2438"/>
      <c r="G36" s="662">
        <f t="shared" si="7"/>
        <v>0</v>
      </c>
      <c r="H36" s="2794"/>
      <c r="I36" s="2350"/>
      <c r="J36" s="2794"/>
      <c r="K36" s="2350"/>
      <c r="L36" s="2794"/>
      <c r="M36" s="2349"/>
      <c r="N36" s="2794"/>
      <c r="O36" s="2349"/>
      <c r="P36" s="2794"/>
      <c r="Q36" s="2349"/>
      <c r="R36" s="2794"/>
      <c r="S36" s="2349"/>
    </row>
    <row r="37" spans="1:19">
      <c r="A37" s="2795"/>
      <c r="B37" s="2745"/>
      <c r="C37" s="2407"/>
      <c r="D37" s="2408"/>
      <c r="E37" s="2409"/>
      <c r="F37" s="2438"/>
      <c r="G37" s="662">
        <f t="shared" si="7"/>
        <v>0</v>
      </c>
      <c r="H37" s="2794"/>
      <c r="I37" s="2350"/>
      <c r="J37" s="2794"/>
      <c r="K37" s="2350"/>
      <c r="L37" s="2794"/>
      <c r="M37" s="2349"/>
      <c r="N37" s="2794"/>
      <c r="O37" s="2349"/>
      <c r="P37" s="2794"/>
      <c r="Q37" s="2349"/>
      <c r="R37" s="2794"/>
      <c r="S37" s="2349"/>
    </row>
    <row r="38" spans="1:19">
      <c r="A38" s="2795"/>
      <c r="B38" s="2745"/>
      <c r="C38" s="2407"/>
      <c r="D38" s="2408"/>
      <c r="E38" s="2409"/>
      <c r="F38" s="2438"/>
      <c r="G38" s="662">
        <f t="shared" si="7"/>
        <v>0</v>
      </c>
      <c r="H38" s="2794"/>
      <c r="I38" s="2350"/>
      <c r="J38" s="2794"/>
      <c r="K38" s="2350"/>
      <c r="L38" s="2794"/>
      <c r="M38" s="2349"/>
      <c r="N38" s="2794"/>
      <c r="O38" s="2349"/>
      <c r="P38" s="2794"/>
      <c r="Q38" s="2349"/>
      <c r="R38" s="2794"/>
      <c r="S38" s="2349"/>
    </row>
    <row r="39" spans="1:19">
      <c r="A39" s="2795"/>
      <c r="B39" s="2745"/>
      <c r="C39" s="2407"/>
      <c r="D39" s="2408"/>
      <c r="E39" s="2409"/>
      <c r="F39" s="2438"/>
      <c r="G39" s="662">
        <f t="shared" si="7"/>
        <v>0</v>
      </c>
      <c r="H39" s="2794"/>
      <c r="I39" s="2350"/>
      <c r="J39" s="2794"/>
      <c r="K39" s="2350"/>
      <c r="L39" s="2794"/>
      <c r="M39" s="2349"/>
      <c r="N39" s="2794"/>
      <c r="O39" s="2349"/>
      <c r="P39" s="2794"/>
      <c r="Q39" s="2349"/>
      <c r="R39" s="2794"/>
      <c r="S39" s="2349"/>
    </row>
    <row r="40" spans="1:19">
      <c r="A40" s="2795"/>
      <c r="B40" s="2745"/>
      <c r="C40" s="2407"/>
      <c r="D40" s="2408"/>
      <c r="E40" s="2409"/>
      <c r="F40" s="2438"/>
      <c r="G40" s="662">
        <f t="shared" si="7"/>
        <v>0</v>
      </c>
      <c r="H40" s="2794"/>
      <c r="I40" s="2350"/>
      <c r="J40" s="2794"/>
      <c r="K40" s="2350"/>
      <c r="L40" s="2794"/>
      <c r="M40" s="2349"/>
      <c r="N40" s="2794"/>
      <c r="O40" s="2349"/>
      <c r="P40" s="2794"/>
      <c r="Q40" s="2349"/>
      <c r="R40" s="2794"/>
      <c r="S40" s="2349"/>
    </row>
    <row r="41" spans="1:19">
      <c r="A41" s="2795"/>
      <c r="B41" s="2745"/>
      <c r="C41" s="2407"/>
      <c r="D41" s="2408"/>
      <c r="E41" s="2409"/>
      <c r="F41" s="2438"/>
      <c r="G41" s="662">
        <f t="shared" si="7"/>
        <v>0</v>
      </c>
      <c r="H41" s="2794"/>
      <c r="I41" s="2350"/>
      <c r="J41" s="2794"/>
      <c r="K41" s="2350"/>
      <c r="L41" s="2794"/>
      <c r="M41" s="2349"/>
      <c r="N41" s="2794"/>
      <c r="O41" s="2349"/>
      <c r="P41" s="2794"/>
      <c r="Q41" s="2349"/>
      <c r="R41" s="2794"/>
      <c r="S41" s="2349"/>
    </row>
    <row r="42" spans="1:19">
      <c r="A42" s="2795"/>
      <c r="B42" s="2745"/>
      <c r="C42" s="2407"/>
      <c r="D42" s="2408"/>
      <c r="E42" s="2409"/>
      <c r="F42" s="2438"/>
      <c r="G42" s="662">
        <f t="shared" si="7"/>
        <v>0</v>
      </c>
      <c r="H42" s="2794"/>
      <c r="I42" s="2350"/>
      <c r="J42" s="2794"/>
      <c r="K42" s="2350"/>
      <c r="L42" s="2794"/>
      <c r="M42" s="2349"/>
      <c r="N42" s="2794"/>
      <c r="O42" s="2349"/>
      <c r="P42" s="2794"/>
      <c r="Q42" s="2349"/>
      <c r="R42" s="2794"/>
      <c r="S42" s="2349"/>
    </row>
    <row r="43" spans="1:19">
      <c r="A43" s="2795"/>
      <c r="B43" s="2745"/>
      <c r="C43" s="2407"/>
      <c r="D43" s="2408"/>
      <c r="E43" s="2409"/>
      <c r="F43" s="2438"/>
      <c r="G43" s="662">
        <f t="shared" si="7"/>
        <v>0</v>
      </c>
      <c r="H43" s="2794"/>
      <c r="I43" s="2350"/>
      <c r="J43" s="2794"/>
      <c r="K43" s="2350"/>
      <c r="L43" s="2794"/>
      <c r="M43" s="2349"/>
      <c r="N43" s="2794"/>
      <c r="O43" s="2349"/>
      <c r="P43" s="2794"/>
      <c r="Q43" s="2349"/>
      <c r="R43" s="2794"/>
      <c r="S43" s="2349"/>
    </row>
    <row r="44" spans="1:19">
      <c r="A44" s="2795"/>
      <c r="B44" s="2745"/>
      <c r="C44" s="2407"/>
      <c r="D44" s="2408"/>
      <c r="E44" s="2409"/>
      <c r="F44" s="2438"/>
      <c r="G44" s="662">
        <f t="shared" si="7"/>
        <v>0</v>
      </c>
      <c r="H44" s="2794"/>
      <c r="I44" s="2350"/>
      <c r="J44" s="2794"/>
      <c r="K44" s="2350"/>
      <c r="L44" s="2794"/>
      <c r="M44" s="2349"/>
      <c r="N44" s="2794"/>
      <c r="O44" s="2349"/>
      <c r="P44" s="2794"/>
      <c r="Q44" s="2349"/>
      <c r="R44" s="2794"/>
      <c r="S44" s="2349"/>
    </row>
    <row r="45" spans="1:19">
      <c r="A45" s="2795"/>
      <c r="B45" s="2745"/>
      <c r="C45" s="2407"/>
      <c r="D45" s="2408"/>
      <c r="E45" s="2409"/>
      <c r="F45" s="2438"/>
      <c r="G45" s="662">
        <f t="shared" si="7"/>
        <v>0</v>
      </c>
      <c r="H45" s="2794"/>
      <c r="I45" s="2350"/>
      <c r="J45" s="2794"/>
      <c r="K45" s="2350"/>
      <c r="L45" s="2794"/>
      <c r="M45" s="2349"/>
      <c r="N45" s="2794"/>
      <c r="O45" s="2349"/>
      <c r="P45" s="2794"/>
      <c r="Q45" s="2349"/>
      <c r="R45" s="2794"/>
      <c r="S45" s="2349"/>
    </row>
    <row r="46" spans="1:19">
      <c r="A46" s="2795"/>
      <c r="B46" s="2745"/>
      <c r="C46" s="2407"/>
      <c r="D46" s="2408"/>
      <c r="E46" s="2409"/>
      <c r="F46" s="2438"/>
      <c r="G46" s="662">
        <f t="shared" si="7"/>
        <v>0</v>
      </c>
      <c r="H46" s="2794"/>
      <c r="I46" s="2350"/>
      <c r="J46" s="2794"/>
      <c r="K46" s="2350"/>
      <c r="L46" s="2794"/>
      <c r="M46" s="2349"/>
      <c r="N46" s="2794"/>
      <c r="O46" s="2349"/>
      <c r="P46" s="2794"/>
      <c r="Q46" s="2349"/>
      <c r="R46" s="2794"/>
      <c r="S46" s="2349"/>
    </row>
    <row r="47" spans="1:19">
      <c r="A47" s="2795"/>
      <c r="B47" s="2745"/>
      <c r="C47" s="2407"/>
      <c r="D47" s="2408"/>
      <c r="E47" s="2409"/>
      <c r="F47" s="2438"/>
      <c r="G47" s="662">
        <f t="shared" si="7"/>
        <v>0</v>
      </c>
      <c r="H47" s="2794"/>
      <c r="I47" s="2350"/>
      <c r="J47" s="2794"/>
      <c r="K47" s="2350"/>
      <c r="L47" s="2794"/>
      <c r="M47" s="2349"/>
      <c r="N47" s="2794"/>
      <c r="O47" s="2349"/>
      <c r="P47" s="2794"/>
      <c r="Q47" s="2349"/>
      <c r="R47" s="2794"/>
      <c r="S47" s="2349"/>
    </row>
    <row r="48" spans="1:19">
      <c r="A48" s="2795"/>
      <c r="B48" s="2745"/>
      <c r="C48" s="2407"/>
      <c r="D48" s="2408"/>
      <c r="E48" s="2409"/>
      <c r="F48" s="2438"/>
      <c r="G48" s="662">
        <f t="shared" si="7"/>
        <v>0</v>
      </c>
      <c r="H48" s="2794"/>
      <c r="I48" s="2350"/>
      <c r="J48" s="2794"/>
      <c r="K48" s="2350"/>
      <c r="L48" s="2794"/>
      <c r="M48" s="2349"/>
      <c r="N48" s="2794"/>
      <c r="O48" s="2349"/>
      <c r="P48" s="2794"/>
      <c r="Q48" s="2349"/>
      <c r="R48" s="2794"/>
      <c r="S48" s="2349"/>
    </row>
    <row r="49" spans="1:34">
      <c r="A49" s="2795"/>
      <c r="B49" s="2745"/>
      <c r="C49" s="2407"/>
      <c r="D49" s="2408"/>
      <c r="E49" s="2409"/>
      <c r="F49" s="2438"/>
      <c r="G49" s="662">
        <f t="shared" si="7"/>
        <v>0</v>
      </c>
      <c r="H49" s="2794"/>
      <c r="I49" s="2350"/>
      <c r="J49" s="2794"/>
      <c r="K49" s="2350"/>
      <c r="L49" s="2794"/>
      <c r="M49" s="2349"/>
      <c r="N49" s="2794"/>
      <c r="O49" s="2349"/>
      <c r="P49" s="2794"/>
      <c r="Q49" s="2349"/>
      <c r="R49" s="2794"/>
      <c r="S49" s="2349"/>
    </row>
    <row r="50" spans="1:34">
      <c r="A50" s="2795"/>
      <c r="B50" s="2747"/>
      <c r="C50" s="2355"/>
      <c r="D50" s="2356"/>
      <c r="E50" s="2409"/>
      <c r="F50" s="2357"/>
      <c r="G50" s="662"/>
      <c r="H50" s="2794"/>
      <c r="I50" s="2350"/>
      <c r="J50" s="2794"/>
      <c r="K50" s="2350"/>
      <c r="L50" s="2794"/>
      <c r="M50" s="2350"/>
      <c r="N50" s="2794"/>
      <c r="O50" s="2350"/>
      <c r="P50" s="2794"/>
      <c r="Q50" s="2350"/>
      <c r="R50" s="2794"/>
      <c r="S50" s="2350"/>
    </row>
    <row r="51" spans="1:34" ht="15.75" thickBot="1">
      <c r="A51" s="2795"/>
      <c r="B51" s="2747"/>
      <c r="C51" s="2355"/>
      <c r="D51" s="2356"/>
      <c r="E51" s="2409"/>
      <c r="F51" s="2357"/>
      <c r="G51" s="662"/>
      <c r="H51" s="2794"/>
      <c r="I51" s="2350"/>
      <c r="J51" s="2794"/>
      <c r="K51" s="2349"/>
      <c r="L51" s="2794"/>
      <c r="M51" s="2349"/>
      <c r="N51" s="2794"/>
      <c r="O51" s="2349"/>
      <c r="P51" s="2794"/>
      <c r="Q51" s="2349"/>
      <c r="R51" s="2794"/>
      <c r="S51" s="2349"/>
    </row>
    <row r="52" spans="1:34" ht="15.75" thickTop="1">
      <c r="A52" s="13"/>
      <c r="B52" s="226" t="s">
        <v>3265</v>
      </c>
      <c r="C52" s="15"/>
      <c r="D52" s="168"/>
      <c r="E52" s="176"/>
      <c r="F52" s="17"/>
      <c r="G52" s="227">
        <f>SUBTOTAL(9,G22:G51)</f>
        <v>350000</v>
      </c>
      <c r="H52" s="19"/>
      <c r="I52" s="225">
        <f>SUBTOTAL(9,I22:I51)</f>
        <v>350000</v>
      </c>
      <c r="J52" s="19"/>
      <c r="K52" s="164">
        <f>SUM(K19:K51)</f>
        <v>0</v>
      </c>
      <c r="L52" s="19"/>
      <c r="M52" s="164">
        <f>SUM(M19:M51)</f>
        <v>0</v>
      </c>
      <c r="N52" s="19"/>
      <c r="O52" s="164">
        <f>SUM(O19:O51)</f>
        <v>0</v>
      </c>
      <c r="P52" s="19"/>
      <c r="Q52" s="164">
        <f>SUM(Q19:Q51)</f>
        <v>0</v>
      </c>
      <c r="R52" s="19"/>
      <c r="S52" s="164">
        <f>SUM(S19:S51)</f>
        <v>0</v>
      </c>
    </row>
    <row r="53" spans="1:34">
      <c r="A53" s="2751"/>
      <c r="B53" s="2359" t="s">
        <v>2976</v>
      </c>
      <c r="C53" s="2360"/>
      <c r="D53" s="2361"/>
      <c r="E53" s="2362"/>
      <c r="F53" s="2363"/>
      <c r="G53" s="654"/>
      <c r="H53" s="2817">
        <v>0</v>
      </c>
      <c r="I53" s="645"/>
      <c r="J53" s="2817">
        <v>0</v>
      </c>
      <c r="K53" s="645"/>
      <c r="L53" s="2817">
        <v>0</v>
      </c>
      <c r="M53" s="645"/>
      <c r="N53" s="2817">
        <v>0</v>
      </c>
      <c r="O53" s="645"/>
      <c r="P53" s="2817">
        <v>0</v>
      </c>
      <c r="Q53" s="645"/>
      <c r="R53" s="2817">
        <v>0</v>
      </c>
      <c r="S53" s="645"/>
    </row>
    <row r="54" spans="1:34">
      <c r="A54" s="2751"/>
      <c r="B54" s="2359" t="s">
        <v>2977</v>
      </c>
      <c r="C54" s="2360"/>
      <c r="D54" s="2361"/>
      <c r="E54" s="2362"/>
      <c r="F54" s="2363"/>
      <c r="G54" s="654">
        <f>F53*G52</f>
        <v>0</v>
      </c>
      <c r="H54" s="2818"/>
      <c r="I54" s="2819">
        <f>H53*I52</f>
        <v>0</v>
      </c>
      <c r="J54" s="2818"/>
      <c r="K54" s="2819">
        <f>J53*K52</f>
        <v>0</v>
      </c>
      <c r="L54" s="2818"/>
      <c r="M54" s="2819">
        <f>L53*M52</f>
        <v>0</v>
      </c>
      <c r="N54" s="2818"/>
      <c r="O54" s="2819">
        <f>N53*O52</f>
        <v>0</v>
      </c>
      <c r="P54" s="2818"/>
      <c r="Q54" s="2819">
        <f>P53*Q52</f>
        <v>0</v>
      </c>
      <c r="R54" s="2818"/>
      <c r="S54" s="2819">
        <f>R53*S52</f>
        <v>0</v>
      </c>
    </row>
    <row r="55" spans="1:34">
      <c r="A55" s="2751"/>
      <c r="B55" s="2359"/>
      <c r="C55" s="2360"/>
      <c r="D55" s="2361"/>
      <c r="E55" s="2362"/>
      <c r="F55" s="2363"/>
      <c r="G55" s="654"/>
      <c r="H55" s="2818"/>
      <c r="I55" s="2819"/>
      <c r="J55" s="2818"/>
      <c r="K55" s="2819"/>
      <c r="L55" s="2818"/>
      <c r="M55" s="2819"/>
      <c r="N55" s="2818"/>
      <c r="O55" s="2819"/>
      <c r="P55" s="2818"/>
      <c r="Q55" s="2819"/>
      <c r="R55" s="2818"/>
      <c r="S55" s="2819"/>
    </row>
    <row r="56" spans="1:34">
      <c r="A56" s="2751"/>
      <c r="B56" s="2359" t="s">
        <v>2978</v>
      </c>
      <c r="C56" s="2360"/>
      <c r="D56" s="2361"/>
      <c r="E56" s="2362"/>
      <c r="F56" s="2363"/>
      <c r="G56" s="654">
        <f>SUM(G52:G54)</f>
        <v>350000</v>
      </c>
      <c r="H56" s="2820"/>
      <c r="I56" s="2819">
        <f>SUM(I52:I54)</f>
        <v>350000</v>
      </c>
      <c r="J56" s="2820"/>
      <c r="K56" s="2819">
        <f>SUM(K52:K54)</f>
        <v>0</v>
      </c>
      <c r="L56" s="2820"/>
      <c r="M56" s="2819">
        <f>SUM(M52:M54)</f>
        <v>0</v>
      </c>
      <c r="N56" s="2820"/>
      <c r="O56" s="2819">
        <f>SUM(O52:O54)</f>
        <v>0</v>
      </c>
      <c r="P56" s="2820"/>
      <c r="Q56" s="2819">
        <f>SUM(Q52:Q54)</f>
        <v>0</v>
      </c>
      <c r="R56" s="2820"/>
      <c r="S56" s="2819">
        <f>SUM(S52:S54)</f>
        <v>0</v>
      </c>
    </row>
    <row r="57" spans="1:34">
      <c r="A57" s="2751"/>
      <c r="B57" s="2368" t="s">
        <v>2979</v>
      </c>
      <c r="C57" s="2360"/>
      <c r="D57" s="2361"/>
      <c r="E57" s="2362"/>
      <c r="F57" s="2368"/>
      <c r="G57" s="655">
        <f>G56/'Area Calculations'!$F$5</f>
        <v>3.9471309996391195</v>
      </c>
      <c r="H57" s="2821"/>
      <c r="I57" s="2822">
        <f>I56/'Area Calculations'!$F$5</f>
        <v>3.9471309996391195</v>
      </c>
      <c r="J57" s="2821"/>
      <c r="K57" s="2822">
        <f>K56/'Area Calculations'!$F$5</f>
        <v>0</v>
      </c>
      <c r="L57" s="2821"/>
      <c r="M57" s="2822">
        <f>M56/'Area Calculations'!$F$5</f>
        <v>0</v>
      </c>
      <c r="N57" s="2821"/>
      <c r="O57" s="2822">
        <f>O56/'Area Calculations'!$F$5</f>
        <v>0</v>
      </c>
      <c r="P57" s="2821"/>
      <c r="Q57" s="2822">
        <f>Q56/'Area Calculations'!$F$5</f>
        <v>0</v>
      </c>
      <c r="R57" s="2823"/>
      <c r="S57" s="2822">
        <f>S56/'Area Calculations'!$F$5</f>
        <v>0</v>
      </c>
    </row>
    <row r="58" spans="1:34">
      <c r="A58" s="2751"/>
      <c r="B58" s="2372"/>
      <c r="C58" s="2360"/>
      <c r="D58" s="2361"/>
      <c r="E58" s="2362"/>
      <c r="F58" s="2363"/>
      <c r="G58" s="656"/>
      <c r="H58" s="2824"/>
      <c r="I58" s="2825"/>
      <c r="J58" s="2824"/>
      <c r="K58" s="2824"/>
      <c r="L58" s="2824"/>
      <c r="M58" s="2824"/>
      <c r="N58" s="2824"/>
      <c r="O58" s="2824"/>
      <c r="P58" s="2824"/>
      <c r="Q58" s="2824"/>
      <c r="R58" s="2824"/>
      <c r="S58" s="2824"/>
    </row>
    <row r="59" spans="1:34" ht="16.5" hidden="1" thickTop="1" thickBot="1">
      <c r="A59" s="830" t="s">
        <v>2980</v>
      </c>
      <c r="B59" s="831"/>
      <c r="C59" s="12"/>
      <c r="D59" s="169"/>
      <c r="E59" s="177"/>
      <c r="F59" s="12"/>
      <c r="G59" s="228"/>
      <c r="H59" s="20"/>
      <c r="I59" s="20"/>
      <c r="J59" s="20"/>
      <c r="K59" s="20"/>
      <c r="L59" s="20"/>
      <c r="M59" s="20"/>
      <c r="N59" s="20"/>
      <c r="O59" s="20"/>
      <c r="P59" s="20"/>
      <c r="Q59" s="20"/>
      <c r="R59" s="20"/>
      <c r="S59" s="20"/>
    </row>
    <row r="60" spans="1:34" ht="15.75" hidden="1" thickTop="1">
      <c r="A60" s="2661"/>
      <c r="B60" s="2406"/>
      <c r="C60" s="2662"/>
      <c r="D60" s="2663"/>
      <c r="E60" s="2664"/>
      <c r="F60" s="2662"/>
      <c r="G60" s="2665"/>
      <c r="H60" s="2757"/>
      <c r="I60" s="2757"/>
      <c r="J60" s="2757"/>
      <c r="K60" s="2757"/>
      <c r="L60" s="2757"/>
      <c r="M60" s="2757"/>
      <c r="N60" s="2757"/>
      <c r="O60" s="2757"/>
      <c r="P60" s="2757"/>
      <c r="Q60" s="2757"/>
      <c r="R60" s="2757"/>
      <c r="S60" s="2757"/>
    </row>
    <row r="61" spans="1:34" hidden="1">
      <c r="A61" s="2661"/>
      <c r="B61" s="2406"/>
      <c r="C61" s="2662"/>
      <c r="D61" s="2663"/>
      <c r="E61" s="2664"/>
      <c r="F61" s="2662"/>
      <c r="G61" s="2665"/>
      <c r="H61" s="2757"/>
      <c r="I61" s="2757"/>
      <c r="J61" s="2757"/>
      <c r="K61" s="2757"/>
      <c r="L61" s="2757"/>
      <c r="M61" s="2757"/>
      <c r="N61" s="2757"/>
      <c r="O61" s="2757"/>
      <c r="P61" s="2757"/>
      <c r="Q61" s="2757"/>
      <c r="R61" s="2757"/>
      <c r="S61" s="2757"/>
    </row>
    <row r="62" spans="1:34" ht="15.75" hidden="1" thickBot="1">
      <c r="A62" s="2661"/>
      <c r="B62" s="2406"/>
      <c r="C62" s="2662"/>
      <c r="D62" s="2663"/>
      <c r="E62" s="2664"/>
      <c r="F62" s="2662"/>
      <c r="G62" s="2665"/>
      <c r="H62" s="2757"/>
      <c r="I62" s="2757"/>
      <c r="J62" s="2757"/>
      <c r="K62" s="2757"/>
      <c r="L62" s="2757"/>
      <c r="M62" s="2757"/>
      <c r="N62" s="2757"/>
      <c r="O62" s="2757"/>
      <c r="P62" s="2757"/>
      <c r="Q62" s="2757"/>
      <c r="R62" s="2757"/>
      <c r="S62" s="2757"/>
    </row>
    <row r="63" spans="1:34" s="2" customFormat="1" ht="16.5" hidden="1" thickTop="1" thickBot="1">
      <c r="A63" s="830" t="s">
        <v>2981</v>
      </c>
      <c r="B63" s="831"/>
      <c r="C63" s="12"/>
      <c r="D63" s="169"/>
      <c r="E63" s="177"/>
      <c r="F63" s="12"/>
      <c r="G63" s="228"/>
      <c r="H63" s="20"/>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hidden="1" thickTop="1">
      <c r="A64" s="2661"/>
      <c r="B64" s="2406"/>
      <c r="C64" s="2662"/>
      <c r="D64" s="2663"/>
      <c r="E64" s="2664"/>
      <c r="F64" s="2662"/>
      <c r="G64" s="2665"/>
      <c r="H64" s="2757"/>
      <c r="I64" s="2757"/>
      <c r="J64" s="2757"/>
      <c r="K64" s="2757"/>
      <c r="L64" s="2757"/>
      <c r="M64" s="2757"/>
      <c r="N64" s="2757"/>
      <c r="O64" s="2757"/>
      <c r="P64" s="2757"/>
      <c r="Q64" s="2757"/>
      <c r="R64" s="2757"/>
      <c r="S64" s="2757"/>
      <c r="T64"/>
      <c r="U64"/>
      <c r="V64"/>
      <c r="W64"/>
      <c r="X64"/>
      <c r="Y64"/>
      <c r="Z64"/>
      <c r="AA64"/>
      <c r="AB64"/>
      <c r="AC64"/>
      <c r="AD64"/>
      <c r="AE64"/>
      <c r="AF64"/>
      <c r="AG64"/>
      <c r="AH64"/>
    </row>
    <row r="65" spans="1:34" s="2" customFormat="1" hidden="1">
      <c r="A65" s="2661"/>
      <c r="B65" s="2406"/>
      <c r="C65" s="2662"/>
      <c r="D65" s="2663"/>
      <c r="E65" s="2664"/>
      <c r="F65" s="2662"/>
      <c r="G65" s="2665"/>
      <c r="H65" s="2757"/>
      <c r="I65" s="2757"/>
      <c r="J65" s="2757"/>
      <c r="K65" s="2757"/>
      <c r="L65" s="2757"/>
      <c r="M65" s="2757"/>
      <c r="N65" s="2757"/>
      <c r="O65" s="2757"/>
      <c r="P65" s="2757"/>
      <c r="Q65" s="2757"/>
      <c r="R65" s="2757"/>
      <c r="S65" s="2757"/>
      <c r="T65"/>
      <c r="U65"/>
      <c r="V65"/>
      <c r="W65"/>
      <c r="X65"/>
      <c r="Y65"/>
      <c r="Z65"/>
      <c r="AA65"/>
      <c r="AB65"/>
      <c r="AC65"/>
      <c r="AD65"/>
      <c r="AE65"/>
      <c r="AF65"/>
      <c r="AG65"/>
      <c r="AH65"/>
    </row>
    <row r="66" spans="1:34" ht="15.75" hidden="1" thickBot="1">
      <c r="A66" s="2661"/>
      <c r="B66" s="2406"/>
      <c r="C66" s="2662"/>
      <c r="D66" s="2663"/>
      <c r="E66" s="2664"/>
      <c r="F66" s="2662"/>
      <c r="G66" s="2665"/>
      <c r="H66" s="2757"/>
      <c r="I66" s="2757"/>
      <c r="J66" s="2757"/>
      <c r="K66" s="2757"/>
      <c r="L66" s="2757"/>
      <c r="M66" s="2757"/>
      <c r="N66" s="2757"/>
      <c r="O66" s="2757"/>
      <c r="P66" s="2757"/>
      <c r="Q66" s="2757"/>
      <c r="R66" s="2757"/>
      <c r="S66" s="2757"/>
    </row>
    <row r="67" spans="1:34" s="2" customFormat="1" ht="16.5" hidden="1" thickTop="1" thickBot="1">
      <c r="A67" s="830" t="s">
        <v>2982</v>
      </c>
      <c r="B67" s="831"/>
      <c r="C67" s="12"/>
      <c r="D67" s="169"/>
      <c r="E67" s="177"/>
      <c r="F67" s="12"/>
      <c r="G67" s="228"/>
      <c r="H67" s="20"/>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hidden="1" thickTop="1">
      <c r="A68" s="2661"/>
      <c r="B68" s="2406"/>
      <c r="C68" s="2662"/>
      <c r="D68" s="2663"/>
      <c r="E68" s="2664"/>
      <c r="F68" s="2662"/>
      <c r="G68" s="2665"/>
      <c r="H68" s="2757"/>
      <c r="I68" s="2757"/>
      <c r="J68" s="2757"/>
      <c r="K68" s="2757"/>
      <c r="L68" s="2757"/>
      <c r="M68" s="2757"/>
      <c r="N68" s="2757"/>
      <c r="O68" s="2757"/>
      <c r="P68" s="2757"/>
      <c r="Q68" s="2757"/>
      <c r="R68" s="2757"/>
      <c r="S68" s="2757"/>
      <c r="T68"/>
      <c r="U68"/>
      <c r="V68"/>
      <c r="W68"/>
      <c r="X68"/>
      <c r="Y68"/>
      <c r="Z68"/>
      <c r="AA68"/>
      <c r="AB68"/>
      <c r="AC68"/>
      <c r="AD68"/>
      <c r="AE68"/>
      <c r="AF68"/>
      <c r="AG68"/>
      <c r="AH68"/>
    </row>
    <row r="69" spans="1:34" s="2" customFormat="1" hidden="1">
      <c r="A69" s="2758"/>
      <c r="B69" s="2406"/>
      <c r="C69" s="2407"/>
      <c r="D69" s="2408"/>
      <c r="E69" s="2409"/>
      <c r="F69" s="2407"/>
      <c r="G69" s="2759"/>
      <c r="H69" s="2760"/>
      <c r="I69" s="2760"/>
      <c r="J69" s="2760"/>
      <c r="K69" s="2760"/>
      <c r="L69" s="2760"/>
      <c r="M69" s="2760"/>
      <c r="N69" s="2760"/>
      <c r="O69" s="2760"/>
      <c r="P69" s="2760"/>
      <c r="Q69" s="2760"/>
      <c r="R69" s="2760"/>
      <c r="S69" s="2760"/>
      <c r="T69"/>
      <c r="U69"/>
      <c r="V69"/>
      <c r="W69"/>
      <c r="X69"/>
      <c r="Y69"/>
      <c r="Z69"/>
      <c r="AA69"/>
      <c r="AB69"/>
      <c r="AC69"/>
      <c r="AD69"/>
      <c r="AE69"/>
      <c r="AF69"/>
      <c r="AG69"/>
      <c r="AH69"/>
    </row>
    <row r="70" spans="1:34" s="2" customFormat="1" ht="15.75" hidden="1" thickBot="1">
      <c r="A70" s="2761"/>
      <c r="B70" s="2386"/>
      <c r="C70" s="2407"/>
      <c r="D70" s="2408"/>
      <c r="E70" s="2409"/>
      <c r="F70" s="2407"/>
      <c r="G70" s="2759"/>
      <c r="H70" s="2763"/>
      <c r="I70" s="2763"/>
      <c r="J70" s="2763"/>
      <c r="K70" s="2763"/>
      <c r="L70" s="2763"/>
      <c r="M70" s="2763"/>
      <c r="N70" s="2763"/>
      <c r="O70" s="2763"/>
      <c r="P70" s="2763"/>
      <c r="Q70" s="2763"/>
      <c r="R70" s="2763"/>
      <c r="S70" s="2763"/>
    </row>
    <row r="71" spans="1:34" s="2" customFormat="1" ht="16.5" hidden="1" thickTop="1" thickBot="1">
      <c r="A71" s="830" t="s">
        <v>2983</v>
      </c>
      <c r="B71" s="831"/>
      <c r="C71" s="12"/>
      <c r="D71" s="169"/>
      <c r="E71" s="177"/>
      <c r="F71" s="12"/>
      <c r="G71" s="228"/>
      <c r="H71" s="20"/>
      <c r="I71" s="20"/>
      <c r="J71" s="20"/>
      <c r="K71" s="20"/>
      <c r="L71" s="20"/>
      <c r="M71" s="20"/>
      <c r="N71" s="20"/>
      <c r="O71" s="20"/>
      <c r="P71" s="20"/>
      <c r="Q71" s="20"/>
      <c r="R71" s="20"/>
      <c r="S71" s="20"/>
      <c r="T71"/>
      <c r="U71"/>
      <c r="V71"/>
      <c r="W71"/>
      <c r="X71"/>
      <c r="Y71"/>
      <c r="Z71"/>
      <c r="AA71"/>
      <c r="AB71"/>
      <c r="AC71"/>
      <c r="AD71"/>
      <c r="AE71"/>
      <c r="AF71"/>
      <c r="AG71"/>
      <c r="AH71"/>
    </row>
    <row r="72" spans="1:34" ht="15.75" hidden="1" thickTop="1">
      <c r="A72" s="2667"/>
      <c r="B72" s="2668"/>
      <c r="C72" s="2662"/>
      <c r="D72" s="2663"/>
      <c r="E72" s="2664"/>
      <c r="F72" s="2662"/>
      <c r="G72" s="2665"/>
      <c r="H72" s="2757"/>
      <c r="I72" s="2757"/>
      <c r="J72" s="2757"/>
      <c r="K72" s="2757"/>
      <c r="L72" s="2757"/>
      <c r="M72" s="2757"/>
      <c r="N72" s="2757"/>
      <c r="O72" s="2757"/>
      <c r="P72" s="2757"/>
      <c r="Q72" s="2757"/>
      <c r="R72" s="2757"/>
      <c r="S72" s="2757"/>
      <c r="T72" s="2"/>
      <c r="U72" s="2"/>
      <c r="V72" s="2"/>
      <c r="W72" s="2"/>
      <c r="X72" s="2"/>
      <c r="Y72" s="2"/>
      <c r="Z72" s="2"/>
      <c r="AA72" s="2"/>
      <c r="AB72" s="2"/>
      <c r="AC72" s="2"/>
      <c r="AD72" s="2"/>
      <c r="AE72" s="2"/>
      <c r="AF72" s="2"/>
      <c r="AG72" s="2"/>
      <c r="AH72" s="2"/>
    </row>
    <row r="73" spans="1:34" hidden="1">
      <c r="A73" s="2761"/>
      <c r="B73" s="2386"/>
      <c r="C73" s="2407"/>
      <c r="D73" s="2408"/>
      <c r="E73" s="2409"/>
      <c r="F73" s="2407"/>
      <c r="G73" s="2759"/>
      <c r="H73" s="2764"/>
      <c r="I73" s="2764"/>
      <c r="J73" s="2764"/>
      <c r="K73" s="2764"/>
      <c r="L73" s="2764"/>
      <c r="M73" s="2764"/>
      <c r="N73" s="2764"/>
      <c r="O73" s="2764"/>
      <c r="P73" s="2764"/>
      <c r="Q73" s="2764"/>
      <c r="R73" s="2764"/>
      <c r="S73" s="2764"/>
      <c r="T73" s="2"/>
      <c r="U73" s="2"/>
      <c r="V73" s="2"/>
      <c r="W73" s="2"/>
      <c r="X73" s="2"/>
      <c r="Y73" s="2"/>
      <c r="Z73" s="2"/>
      <c r="AA73" s="2"/>
      <c r="AB73" s="2"/>
      <c r="AC73" s="2"/>
      <c r="AD73" s="2"/>
      <c r="AE73" s="2"/>
      <c r="AF73" s="2"/>
      <c r="AG73" s="2"/>
      <c r="AH73" s="2"/>
    </row>
    <row r="74" spans="1:34" ht="15.75" hidden="1" thickBot="1">
      <c r="A74" s="2761"/>
      <c r="B74" s="2386"/>
      <c r="C74" s="2407"/>
      <c r="D74" s="2408"/>
      <c r="E74" s="2409"/>
      <c r="F74" s="2407"/>
      <c r="G74" s="2759"/>
      <c r="H74" s="2764"/>
      <c r="I74" s="2764"/>
      <c r="J74" s="2764"/>
      <c r="K74" s="2764"/>
      <c r="L74" s="2764"/>
      <c r="M74" s="2764"/>
      <c r="N74" s="2764"/>
      <c r="O74" s="2764"/>
      <c r="P74" s="2764"/>
      <c r="Q74" s="2764"/>
      <c r="R74" s="2764"/>
      <c r="S74" s="2764"/>
      <c r="T74" s="2"/>
      <c r="U74" s="2"/>
      <c r="V74" s="2"/>
      <c r="W74" s="2"/>
      <c r="X74" s="2"/>
      <c r="Y74" s="2"/>
      <c r="Z74" s="2"/>
      <c r="AA74" s="2"/>
      <c r="AB74" s="2"/>
      <c r="AC74" s="2"/>
      <c r="AD74" s="2"/>
      <c r="AE74" s="2"/>
      <c r="AF74" s="2"/>
      <c r="AG74" s="2"/>
      <c r="AH74" s="2"/>
    </row>
    <row r="75" spans="1:34" ht="16.5" hidden="1" thickTop="1" thickBot="1">
      <c r="A75" s="830" t="s">
        <v>2984</v>
      </c>
      <c r="B75" s="831"/>
      <c r="C75" s="12"/>
      <c r="D75" s="169"/>
      <c r="E75" s="177"/>
      <c r="F75" s="12"/>
      <c r="G75" s="228"/>
      <c r="H75" s="20"/>
      <c r="I75" s="20"/>
      <c r="J75" s="20"/>
      <c r="K75" s="20"/>
      <c r="L75" s="20"/>
      <c r="M75" s="20"/>
      <c r="N75" s="20"/>
      <c r="O75" s="20"/>
      <c r="P75" s="20"/>
      <c r="Q75" s="20"/>
      <c r="R75" s="20"/>
      <c r="S75" s="20"/>
    </row>
    <row r="76" spans="1:34" ht="15.75" hidden="1" thickTop="1">
      <c r="A76" s="2758"/>
      <c r="B76" s="2406" t="s">
        <v>2985</v>
      </c>
      <c r="C76" s="2407"/>
      <c r="D76" s="2408"/>
      <c r="E76" s="2409"/>
      <c r="F76" s="2407"/>
      <c r="G76" s="2759"/>
      <c r="H76" s="2764"/>
      <c r="I76" s="2764"/>
      <c r="J76" s="2764"/>
      <c r="K76" s="2764"/>
      <c r="L76" s="2764"/>
      <c r="M76" s="2764"/>
      <c r="N76" s="2764"/>
      <c r="O76" s="2764"/>
      <c r="P76" s="2764"/>
      <c r="Q76" s="2764"/>
      <c r="R76" s="2764"/>
      <c r="S76" s="2764"/>
    </row>
    <row r="77" spans="1:34" hidden="1">
      <c r="A77" s="2758"/>
      <c r="B77" s="2406" t="s">
        <v>2986</v>
      </c>
      <c r="C77" s="2407"/>
      <c r="D77" s="2408"/>
      <c r="E77" s="2409"/>
      <c r="F77" s="2407"/>
      <c r="G77" s="2759"/>
      <c r="H77" s="2764"/>
      <c r="I77" s="2764"/>
      <c r="J77" s="2764"/>
      <c r="K77" s="2764"/>
      <c r="L77" s="2764"/>
      <c r="M77" s="2764"/>
      <c r="N77" s="2764"/>
      <c r="O77" s="2764"/>
      <c r="P77" s="2764"/>
      <c r="Q77" s="2764"/>
      <c r="R77" s="2764"/>
      <c r="S77" s="2764"/>
    </row>
    <row r="78" spans="1:34" hidden="1">
      <c r="A78" s="2758"/>
      <c r="B78" s="2406" t="s">
        <v>2987</v>
      </c>
      <c r="C78" s="2407"/>
      <c r="D78" s="2408"/>
      <c r="E78" s="2409"/>
      <c r="F78" s="2407"/>
      <c r="G78" s="2759"/>
      <c r="H78" s="2764"/>
      <c r="I78" s="2764"/>
      <c r="J78" s="2764"/>
      <c r="K78" s="2764"/>
      <c r="L78" s="2764"/>
      <c r="M78" s="2764"/>
      <c r="N78" s="2764"/>
      <c r="O78" s="2764"/>
      <c r="P78" s="2764"/>
      <c r="Q78" s="2764"/>
      <c r="R78" s="2764"/>
      <c r="S78" s="2764"/>
    </row>
    <row r="79" spans="1:34" hidden="1">
      <c r="A79" s="2758"/>
      <c r="B79" s="2406" t="s">
        <v>2988</v>
      </c>
      <c r="C79" s="2407"/>
      <c r="D79" s="2408"/>
      <c r="E79" s="2409"/>
      <c r="F79" s="2407"/>
      <c r="G79" s="2759"/>
      <c r="H79" s="2764"/>
      <c r="I79" s="2764"/>
      <c r="J79" s="2764"/>
      <c r="K79" s="2764"/>
      <c r="L79" s="2764"/>
      <c r="M79" s="2764"/>
      <c r="N79" s="2764"/>
      <c r="O79" s="2764"/>
      <c r="P79" s="2764"/>
      <c r="Q79" s="2764"/>
      <c r="R79" s="2764"/>
      <c r="S79" s="2764"/>
    </row>
    <row r="80" spans="1:34" ht="15.75" hidden="1" thickBot="1">
      <c r="A80" s="646"/>
      <c r="B80" s="619"/>
      <c r="C80" s="616"/>
      <c r="D80" s="621"/>
      <c r="E80" s="622"/>
      <c r="F80" s="616"/>
      <c r="G80" s="620"/>
      <c r="H80" s="647"/>
      <c r="I80" s="647"/>
      <c r="J80" s="647"/>
      <c r="K80" s="647"/>
      <c r="L80" s="647"/>
      <c r="M80" s="647"/>
      <c r="N80" s="647"/>
      <c r="O80" s="647"/>
      <c r="P80" s="647"/>
      <c r="Q80" s="647"/>
      <c r="R80" s="647"/>
      <c r="S80" s="647"/>
    </row>
    <row r="81" spans="1:19" ht="16.5" hidden="1" thickTop="1" thickBot="1">
      <c r="A81" s="7" t="s">
        <v>2989</v>
      </c>
      <c r="B81" s="8"/>
      <c r="C81" s="12"/>
      <c r="D81" s="169"/>
      <c r="E81" s="177"/>
      <c r="F81" s="12"/>
      <c r="G81" s="228"/>
      <c r="H81" s="20"/>
      <c r="I81" s="20"/>
      <c r="J81" s="20"/>
      <c r="K81" s="20"/>
      <c r="L81" s="20"/>
      <c r="M81" s="20"/>
      <c r="N81" s="20"/>
      <c r="O81" s="20"/>
      <c r="P81" s="20"/>
      <c r="Q81" s="20"/>
      <c r="R81" s="20"/>
      <c r="S81" s="20"/>
    </row>
    <row r="82" spans="1:19" ht="15.75" hidden="1" thickTop="1">
      <c r="A82" s="2661"/>
      <c r="B82" s="2829" t="s">
        <v>2990</v>
      </c>
      <c r="C82" s="2662"/>
      <c r="D82" s="2663"/>
      <c r="E82" s="2664"/>
      <c r="F82" s="2662"/>
      <c r="G82" s="2665"/>
      <c r="H82" s="2830"/>
      <c r="I82" s="2830"/>
      <c r="J82" s="2830"/>
      <c r="K82" s="2830"/>
      <c r="L82" s="2830"/>
      <c r="M82" s="2830"/>
      <c r="N82" s="2830"/>
      <c r="O82" s="2830"/>
      <c r="P82" s="2830"/>
      <c r="Q82" s="2830"/>
      <c r="R82" s="2830"/>
      <c r="S82" s="2830"/>
    </row>
    <row r="83" spans="1:19" hidden="1">
      <c r="A83" s="2758"/>
      <c r="B83" s="2406" t="s">
        <v>2991</v>
      </c>
      <c r="C83" s="2407"/>
      <c r="D83" s="2408"/>
      <c r="E83" s="2409"/>
      <c r="F83" s="2407"/>
      <c r="G83" s="2759"/>
      <c r="H83" s="2765"/>
      <c r="I83" s="2765"/>
      <c r="J83" s="2765"/>
      <c r="K83" s="2765"/>
      <c r="L83" s="2765"/>
      <c r="M83" s="2765"/>
      <c r="N83" s="2765"/>
      <c r="O83" s="2765"/>
      <c r="P83" s="2765"/>
      <c r="Q83" s="2765"/>
      <c r="R83" s="2765"/>
      <c r="S83" s="2765"/>
    </row>
    <row r="84" spans="1:19" ht="15.75" hidden="1" thickBot="1">
      <c r="A84" s="2766"/>
      <c r="B84" s="2787" t="s">
        <v>2992</v>
      </c>
      <c r="C84" s="2788"/>
      <c r="D84" s="2767"/>
      <c r="E84" s="2768"/>
      <c r="F84" s="2788"/>
      <c r="G84" s="2769"/>
      <c r="H84" s="2770"/>
      <c r="I84" s="2770"/>
      <c r="J84" s="2770"/>
      <c r="K84" s="2770"/>
      <c r="L84" s="2770"/>
      <c r="M84" s="2770"/>
      <c r="N84" s="2770"/>
      <c r="O84" s="2770"/>
      <c r="P84" s="2770"/>
      <c r="Q84" s="2770"/>
      <c r="R84" s="2770"/>
      <c r="S84" s="2770"/>
    </row>
    <row r="85" spans="1:19" ht="15.75" thickBot="1"/>
    <row r="86" spans="1:19" ht="16.5" thickTop="1" thickBot="1">
      <c r="A86" s="59" t="s">
        <v>2993</v>
      </c>
      <c r="B86" s="61"/>
    </row>
    <row r="87" spans="1:19" ht="15.75" thickTop="1">
      <c r="A87" s="60" t="s">
        <v>2936</v>
      </c>
      <c r="B87" s="2771"/>
    </row>
    <row r="88" spans="1:19">
      <c r="A88" s="2772" t="s">
        <v>2939</v>
      </c>
      <c r="B88" s="2771"/>
    </row>
    <row r="89" spans="1:19">
      <c r="A89" s="2773" t="s">
        <v>2941</v>
      </c>
      <c r="B89" s="2774"/>
    </row>
    <row r="90" spans="1:19">
      <c r="A90" s="2773" t="s">
        <v>2943</v>
      </c>
      <c r="B90" s="2775"/>
    </row>
    <row r="91" spans="1:19" ht="15.75" thickBot="1">
      <c r="A91" s="2776" t="s">
        <v>2994</v>
      </c>
      <c r="B91" s="2777">
        <f>$I$56</f>
        <v>350000</v>
      </c>
    </row>
    <row r="92" spans="1:19" ht="15.75" thickTop="1"/>
    <row r="93" spans="1:19">
      <c r="A93" s="62"/>
      <c r="B93" s="1" t="s">
        <v>2995</v>
      </c>
    </row>
    <row r="94" spans="1:19">
      <c r="A94" s="63"/>
      <c r="B94" s="1" t="s">
        <v>2996</v>
      </c>
    </row>
  </sheetData>
  <mergeCells count="35">
    <mergeCell ref="A59:B59"/>
    <mergeCell ref="A63:B63"/>
    <mergeCell ref="A67:B67"/>
    <mergeCell ref="A71:B71"/>
    <mergeCell ref="A75:B75"/>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J11:J18 L11:L18 N11:N18 P11:P18 R11:R18">
    <cfRule type="cellIs" dxfId="103" priority="11" operator="equal">
      <formula>"X"</formula>
    </cfRule>
    <cfRule type="cellIs" dxfId="102" priority="12" operator="equal">
      <formula>"I"</formula>
    </cfRule>
  </conditionalFormatting>
  <conditionalFormatting sqref="H20:H51 J20:J51 L20:L51 N20:N51 P20:P51 R20:R51">
    <cfRule type="cellIs" dxfId="101" priority="1" operator="equal">
      <formula>"X"</formula>
    </cfRule>
    <cfRule type="cellIs" dxfId="100" priority="2" operator="equal">
      <formula>"I"</formula>
    </cfRule>
  </conditionalFormatting>
  <hyperlinks>
    <hyperlink ref="B4" location="'Cost Summary'!A1" display="BACK TO SUMMARY SHEET" xr:uid="{73DCA0F8-29B7-436B-9E82-62476DE3F876}"/>
  </hyperlinks>
  <pageMargins left="0.2" right="0.2" top="0.5" bottom="0.75" header="0.3" footer="0.3"/>
  <pageSetup paperSize="3" scale="77" fitToHeight="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rgb="FF00B050"/>
    <pageSetUpPr fitToPage="1"/>
  </sheetPr>
  <dimension ref="A1:AH101"/>
  <sheetViews>
    <sheetView zoomScale="90" zoomScaleNormal="90" workbookViewId="0">
      <pane ySplit="10" topLeftCell="A16" activePane="bottomLeft" state="frozen"/>
      <selection pane="bottomLeft" activeCell="I23" sqref="I23"/>
      <selection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6074</v>
      </c>
      <c r="I5" s="838"/>
      <c r="J5" s="837"/>
      <c r="K5" s="838"/>
      <c r="L5" s="841"/>
      <c r="M5" s="842"/>
      <c r="N5" s="841"/>
      <c r="O5" s="842"/>
      <c r="P5" s="841"/>
      <c r="Q5" s="842"/>
      <c r="R5" s="841"/>
      <c r="S5" s="842"/>
    </row>
    <row r="6" spans="1:19">
      <c r="A6" s="2778" t="s">
        <v>2938</v>
      </c>
      <c r="B6" s="2406" t="s">
        <v>6075</v>
      </c>
      <c r="C6" s="2407"/>
      <c r="D6" s="2408"/>
      <c r="E6" s="2409"/>
      <c r="F6" s="2407"/>
      <c r="G6" s="657" t="s">
        <v>2939</v>
      </c>
      <c r="H6" s="2779" t="s">
        <v>6076</v>
      </c>
      <c r="I6" s="839"/>
      <c r="J6" s="2780"/>
      <c r="K6" s="843"/>
      <c r="L6" s="2780"/>
      <c r="M6" s="843"/>
      <c r="N6" s="2780"/>
      <c r="O6" s="843"/>
      <c r="P6" s="2780"/>
      <c r="Q6" s="843"/>
      <c r="R6" s="2780"/>
      <c r="S6" s="843"/>
    </row>
    <row r="7" spans="1:19">
      <c r="A7" s="2778" t="s">
        <v>2940</v>
      </c>
      <c r="B7" s="2413" t="s">
        <v>6077</v>
      </c>
      <c r="C7" s="2407"/>
      <c r="D7" s="2408"/>
      <c r="E7" s="2409"/>
      <c r="F7" s="2407"/>
      <c r="G7" s="2781" t="s">
        <v>2941</v>
      </c>
      <c r="H7" s="2782" t="s">
        <v>6078</v>
      </c>
      <c r="I7" s="840"/>
      <c r="J7" s="2783"/>
      <c r="K7" s="844"/>
      <c r="L7" s="2783"/>
      <c r="M7" s="844"/>
      <c r="N7" s="2783"/>
      <c r="O7" s="844"/>
      <c r="P7" s="2783"/>
      <c r="Q7" s="844"/>
      <c r="R7" s="2783"/>
      <c r="S7" s="844"/>
    </row>
    <row r="8" spans="1:19">
      <c r="A8" s="2778" t="s">
        <v>2942</v>
      </c>
      <c r="B8" s="2418"/>
      <c r="C8" s="2407"/>
      <c r="D8" s="2408"/>
      <c r="E8" s="2409"/>
      <c r="F8" s="2407"/>
      <c r="G8" s="2781" t="s">
        <v>2943</v>
      </c>
      <c r="H8" s="2784" t="s">
        <v>6079</v>
      </c>
      <c r="I8" s="836"/>
      <c r="J8" s="2785"/>
      <c r="K8" s="845"/>
      <c r="L8" s="2785"/>
      <c r="M8" s="845"/>
      <c r="N8" s="2785"/>
      <c r="O8" s="845"/>
      <c r="P8" s="2785"/>
      <c r="Q8" s="845"/>
      <c r="R8" s="2785"/>
      <c r="S8" s="845"/>
    </row>
    <row r="9" spans="1:19" ht="15.75" thickBot="1">
      <c r="A9" s="2786"/>
      <c r="B9" s="2787"/>
      <c r="C9" s="616"/>
      <c r="D9" s="621"/>
      <c r="E9" s="622"/>
      <c r="F9" s="2788"/>
      <c r="G9" s="2789" t="s">
        <v>2944</v>
      </c>
      <c r="H9" s="2792">
        <f>I$63</f>
        <v>188733.95</v>
      </c>
      <c r="I9" s="2793"/>
      <c r="J9" s="2790">
        <f t="shared" ref="J9" si="0">K$63</f>
        <v>0</v>
      </c>
      <c r="K9" s="2791"/>
      <c r="L9" s="2790">
        <f t="shared" ref="L9" si="1">M$63</f>
        <v>0</v>
      </c>
      <c r="M9" s="2791"/>
      <c r="N9" s="2790">
        <f t="shared" ref="N9" si="2">O$63</f>
        <v>0</v>
      </c>
      <c r="O9" s="2791"/>
      <c r="P9" s="2790">
        <f t="shared" ref="P9" si="3">Q$63</f>
        <v>0</v>
      </c>
      <c r="Q9" s="2791"/>
      <c r="R9" s="2790">
        <f t="shared" ref="R9" si="4">S$63</f>
        <v>0</v>
      </c>
      <c r="S9" s="2791"/>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2831"/>
      <c r="B11" s="2182" t="s">
        <v>2953</v>
      </c>
      <c r="C11" s="659"/>
      <c r="D11" s="2408"/>
      <c r="E11" s="2409"/>
      <c r="F11" s="2407"/>
      <c r="G11" s="660"/>
      <c r="H11" s="2794"/>
      <c r="I11" s="2338"/>
      <c r="J11" s="2794"/>
      <c r="K11" s="182"/>
      <c r="L11" s="2794"/>
      <c r="M11" s="2339"/>
      <c r="N11" s="2794"/>
      <c r="O11" s="2339"/>
      <c r="P11" s="2794"/>
      <c r="Q11" s="2339"/>
      <c r="R11" s="2794"/>
      <c r="S11" s="2339"/>
    </row>
    <row r="12" spans="1:19">
      <c r="A12" s="2832"/>
      <c r="B12" s="2740" t="s">
        <v>2954</v>
      </c>
      <c r="C12" s="2407"/>
      <c r="D12" s="2408"/>
      <c r="E12" s="2409"/>
      <c r="F12" s="2407"/>
      <c r="G12" s="660"/>
      <c r="H12" s="2794"/>
      <c r="I12" s="2338"/>
      <c r="J12" s="2794"/>
      <c r="K12" s="2339"/>
      <c r="L12" s="2794"/>
      <c r="M12" s="2339"/>
      <c r="N12" s="2794"/>
      <c r="O12" s="2339"/>
      <c r="P12" s="2794"/>
      <c r="Q12" s="2339"/>
      <c r="R12" s="2794"/>
      <c r="S12" s="2339"/>
    </row>
    <row r="13" spans="1:19">
      <c r="A13" s="2795"/>
      <c r="B13" s="2833" t="s">
        <v>2955</v>
      </c>
      <c r="C13" s="2407"/>
      <c r="D13" s="2408"/>
      <c r="E13" s="2409"/>
      <c r="F13" s="2407"/>
      <c r="G13" s="660"/>
      <c r="H13" s="2794"/>
      <c r="I13" s="2338"/>
      <c r="J13" s="2794"/>
      <c r="K13" s="2339"/>
      <c r="L13" s="2794"/>
      <c r="M13" s="2339"/>
      <c r="N13" s="2794"/>
      <c r="O13" s="2339"/>
      <c r="P13" s="2794"/>
      <c r="Q13" s="2339"/>
      <c r="R13" s="2794"/>
      <c r="S13" s="2339"/>
    </row>
    <row r="14" spans="1:19">
      <c r="A14" s="2795"/>
      <c r="B14" s="2834" t="s">
        <v>2956</v>
      </c>
      <c r="C14" s="2407"/>
      <c r="D14" s="2408"/>
      <c r="E14" s="2409"/>
      <c r="F14" s="2407"/>
      <c r="G14" s="660"/>
      <c r="H14" s="2794"/>
      <c r="I14" s="2338"/>
      <c r="J14" s="2794"/>
      <c r="K14" s="2339"/>
      <c r="L14" s="2794"/>
      <c r="M14" s="2339"/>
      <c r="N14" s="2794"/>
      <c r="O14" s="2339"/>
      <c r="P14" s="2794"/>
      <c r="Q14" s="2339"/>
      <c r="R14" s="2794"/>
      <c r="S14" s="2339"/>
    </row>
    <row r="15" spans="1:19">
      <c r="A15" s="2795"/>
      <c r="B15" s="2834" t="s">
        <v>2957</v>
      </c>
      <c r="C15" s="2407"/>
      <c r="D15" s="2408"/>
      <c r="E15" s="2409"/>
      <c r="F15" s="2407"/>
      <c r="G15" s="660"/>
      <c r="H15" s="2794"/>
      <c r="I15" s="2338"/>
      <c r="J15" s="2794"/>
      <c r="K15" s="2338"/>
      <c r="L15" s="2794"/>
      <c r="M15" s="2338"/>
      <c r="N15" s="2794"/>
      <c r="O15" s="2338"/>
      <c r="P15" s="2794"/>
      <c r="Q15" s="2338"/>
      <c r="R15" s="2794"/>
      <c r="S15" s="2338"/>
    </row>
    <row r="16" spans="1:19">
      <c r="A16" s="2795"/>
      <c r="B16" s="2834" t="s">
        <v>2958</v>
      </c>
      <c r="C16" s="2407"/>
      <c r="D16" s="2408"/>
      <c r="E16" s="2409"/>
      <c r="F16" s="2407"/>
      <c r="G16" s="660"/>
      <c r="H16" s="2794"/>
      <c r="I16" s="2338"/>
      <c r="J16" s="2794"/>
      <c r="K16" s="2339"/>
      <c r="L16" s="2794"/>
      <c r="M16" s="2339"/>
      <c r="N16" s="2794"/>
      <c r="O16" s="2339"/>
      <c r="P16" s="2794"/>
      <c r="Q16" s="2339"/>
      <c r="R16" s="2794"/>
      <c r="S16" s="2339"/>
    </row>
    <row r="17" spans="1:19">
      <c r="A17" s="2795"/>
      <c r="B17" s="2834" t="s">
        <v>2959</v>
      </c>
      <c r="C17" s="2407"/>
      <c r="D17" s="2408"/>
      <c r="E17" s="2409"/>
      <c r="F17" s="2407"/>
      <c r="G17" s="660"/>
      <c r="H17" s="2794"/>
      <c r="I17" s="2338"/>
      <c r="J17" s="2794"/>
      <c r="K17" s="2339"/>
      <c r="L17" s="2794"/>
      <c r="M17" s="2339"/>
      <c r="N17" s="2794"/>
      <c r="O17" s="2339"/>
      <c r="P17" s="2794"/>
      <c r="Q17" s="2339"/>
      <c r="R17" s="2794"/>
      <c r="S17" s="2339"/>
    </row>
    <row r="18" spans="1:19">
      <c r="A18" s="2795"/>
      <c r="B18" s="2835" t="s">
        <v>2960</v>
      </c>
      <c r="C18" s="2407"/>
      <c r="D18" s="2408"/>
      <c r="E18" s="2409"/>
      <c r="F18" s="2407"/>
      <c r="G18" s="660"/>
      <c r="H18" s="2794"/>
      <c r="I18" s="2338"/>
      <c r="J18" s="2794"/>
      <c r="K18" s="2339"/>
      <c r="L18" s="2794"/>
      <c r="M18" s="2339"/>
      <c r="N18" s="2794"/>
      <c r="O18" s="2339"/>
      <c r="P18" s="2794"/>
      <c r="Q18" s="2339"/>
      <c r="R18" s="2794"/>
      <c r="S18" s="2339"/>
    </row>
    <row r="19" spans="1:19">
      <c r="A19" s="2795"/>
      <c r="B19" s="2836" t="s">
        <v>2961</v>
      </c>
      <c r="C19" s="2433"/>
      <c r="D19" s="2434"/>
      <c r="E19" s="2435"/>
      <c r="F19" s="2436"/>
      <c r="G19" s="661"/>
      <c r="H19" s="2796"/>
      <c r="I19" s="2347"/>
      <c r="J19" s="2796"/>
      <c r="K19" s="2346"/>
      <c r="L19" s="2796"/>
      <c r="M19" s="2346"/>
      <c r="N19" s="2796"/>
      <c r="O19" s="2346"/>
      <c r="P19" s="2796"/>
      <c r="Q19" s="2346"/>
      <c r="R19" s="2796"/>
      <c r="S19" s="2346"/>
    </row>
    <row r="20" spans="1:19">
      <c r="A20" s="2795"/>
      <c r="B20" s="2837"/>
      <c r="C20" s="2407"/>
      <c r="D20" s="2408"/>
      <c r="E20" s="2409"/>
      <c r="F20" s="2438"/>
      <c r="G20" s="660"/>
      <c r="H20" s="2794"/>
      <c r="I20" s="2349"/>
      <c r="J20" s="2794"/>
      <c r="K20" s="2350"/>
      <c r="L20" s="2794"/>
      <c r="M20" s="2349"/>
      <c r="N20" s="2794"/>
      <c r="O20" s="2349"/>
      <c r="P20" s="2794"/>
      <c r="Q20" s="2349"/>
      <c r="R20" s="2794"/>
      <c r="S20" s="2349"/>
    </row>
    <row r="21" spans="1:19">
      <c r="A21" s="2795"/>
      <c r="B21" s="2351" t="s">
        <v>2695</v>
      </c>
      <c r="C21" s="2407"/>
      <c r="D21" s="2408"/>
      <c r="E21" s="2409"/>
      <c r="F21" s="2357"/>
      <c r="G21" s="660"/>
      <c r="H21" s="2794"/>
      <c r="I21" s="2352">
        <f>SUBTOTAL(9,I22:I46)</f>
        <v>184253.95</v>
      </c>
      <c r="J21" s="2794"/>
      <c r="K21" s="2352">
        <f>SUBTOTAL(9,K22:K46)</f>
        <v>0</v>
      </c>
      <c r="L21" s="2794"/>
      <c r="M21" s="2352">
        <f>SUBTOTAL(9,M22:M46)</f>
        <v>0</v>
      </c>
      <c r="N21" s="2794"/>
      <c r="O21" s="2352">
        <f>SUBTOTAL(9,O22:O46)</f>
        <v>0</v>
      </c>
      <c r="P21" s="2794"/>
      <c r="Q21" s="2352">
        <f>SUBTOTAL(9,Q22:Q46)</f>
        <v>0</v>
      </c>
      <c r="R21" s="2794"/>
      <c r="S21" s="2352">
        <f>SUBTOTAL(9,S22:S46)</f>
        <v>0</v>
      </c>
    </row>
    <row r="22" spans="1:19">
      <c r="A22" s="2795"/>
      <c r="B22" s="2837" t="s">
        <v>2994</v>
      </c>
      <c r="C22" s="2407"/>
      <c r="D22" s="2408"/>
      <c r="E22" s="2409"/>
      <c r="F22" s="2438"/>
      <c r="G22" s="662">
        <f t="shared" ref="G22:G57" si="5">ROUND(D22*F22,0)</f>
        <v>0</v>
      </c>
      <c r="H22" s="2794"/>
      <c r="I22" s="2349">
        <f>188733.95-I45-I49</f>
        <v>133317.55000000002</v>
      </c>
      <c r="J22" s="2794"/>
      <c r="K22" s="2350"/>
      <c r="L22" s="2794"/>
      <c r="M22" s="2349"/>
      <c r="N22" s="2794"/>
      <c r="O22" s="2349"/>
      <c r="P22" s="2794"/>
      <c r="Q22" s="2349"/>
      <c r="R22" s="2794"/>
      <c r="S22" s="2349"/>
    </row>
    <row r="23" spans="1:19">
      <c r="A23" s="2795"/>
      <c r="B23" s="2837" t="s">
        <v>6080</v>
      </c>
      <c r="C23" s="2407"/>
      <c r="D23" s="2408"/>
      <c r="E23" s="2409"/>
      <c r="F23" s="2438"/>
      <c r="G23" s="662">
        <f t="shared" si="5"/>
        <v>0</v>
      </c>
      <c r="H23" s="2794"/>
      <c r="I23" s="2350">
        <f t="shared" ref="I23:I57" si="6">G23</f>
        <v>0</v>
      </c>
      <c r="J23" s="2794"/>
      <c r="K23" s="2350"/>
      <c r="L23" s="2794"/>
      <c r="M23" s="2349"/>
      <c r="N23" s="2794"/>
      <c r="O23" s="2349"/>
      <c r="P23" s="2794"/>
      <c r="Q23" s="2349"/>
      <c r="R23" s="2794"/>
      <c r="S23" s="2349"/>
    </row>
    <row r="24" spans="1:19">
      <c r="A24" s="2795"/>
      <c r="B24" s="2837" t="s">
        <v>6081</v>
      </c>
      <c r="C24" s="2407"/>
      <c r="D24" s="2408"/>
      <c r="E24" s="2409"/>
      <c r="F24" s="2438"/>
      <c r="G24" s="662">
        <f t="shared" si="5"/>
        <v>0</v>
      </c>
      <c r="H24" s="2794"/>
      <c r="I24" s="2350">
        <f t="shared" si="6"/>
        <v>0</v>
      </c>
      <c r="J24" s="2794"/>
      <c r="K24" s="2350"/>
      <c r="L24" s="2794"/>
      <c r="M24" s="2349"/>
      <c r="N24" s="2794"/>
      <c r="O24" s="2349"/>
      <c r="P24" s="2794"/>
      <c r="Q24" s="2349"/>
      <c r="R24" s="2794"/>
      <c r="S24" s="2349"/>
    </row>
    <row r="25" spans="1:19">
      <c r="A25" s="2795"/>
      <c r="B25" s="2837" t="s">
        <v>6082</v>
      </c>
      <c r="C25" s="2407"/>
      <c r="D25" s="2408"/>
      <c r="E25" s="2409"/>
      <c r="F25" s="2438"/>
      <c r="G25" s="662">
        <f t="shared" si="5"/>
        <v>0</v>
      </c>
      <c r="H25" s="2794"/>
      <c r="I25" s="2350">
        <f t="shared" si="6"/>
        <v>0</v>
      </c>
      <c r="J25" s="2794"/>
      <c r="K25" s="2350"/>
      <c r="L25" s="2794"/>
      <c r="M25" s="2349"/>
      <c r="N25" s="2794"/>
      <c r="O25" s="2349"/>
      <c r="P25" s="2794"/>
      <c r="Q25" s="2349"/>
      <c r="R25" s="2794"/>
      <c r="S25" s="2349"/>
    </row>
    <row r="26" spans="1:19">
      <c r="A26" s="2795"/>
      <c r="B26" s="2837" t="s">
        <v>6083</v>
      </c>
      <c r="C26" s="2407"/>
      <c r="D26" s="2408"/>
      <c r="E26" s="2409"/>
      <c r="F26" s="2438"/>
      <c r="G26" s="662">
        <f t="shared" ref="G26:G31" si="7">ROUND(D26*F26,0)</f>
        <v>0</v>
      </c>
      <c r="H26" s="2794"/>
      <c r="I26" s="2350">
        <f t="shared" ref="I26:I31" si="8">G26</f>
        <v>0</v>
      </c>
      <c r="J26" s="2794"/>
      <c r="K26" s="2350"/>
      <c r="L26" s="2794"/>
      <c r="M26" s="2349"/>
      <c r="N26" s="2794"/>
      <c r="O26" s="2349"/>
      <c r="P26" s="2794"/>
      <c r="Q26" s="2349"/>
      <c r="R26" s="2794"/>
      <c r="S26" s="2349"/>
    </row>
    <row r="27" spans="1:19">
      <c r="A27" s="2795"/>
      <c r="B27" s="2837" t="s">
        <v>4343</v>
      </c>
      <c r="C27" s="2407"/>
      <c r="D27" s="2408"/>
      <c r="E27" s="2409"/>
      <c r="F27" s="2438"/>
      <c r="G27" s="662">
        <f t="shared" si="7"/>
        <v>0</v>
      </c>
      <c r="H27" s="2794"/>
      <c r="I27" s="2350">
        <f t="shared" si="8"/>
        <v>0</v>
      </c>
      <c r="J27" s="2794"/>
      <c r="K27" s="2350"/>
      <c r="L27" s="2794"/>
      <c r="M27" s="2349"/>
      <c r="N27" s="2794"/>
      <c r="O27" s="2349"/>
      <c r="P27" s="2794"/>
      <c r="Q27" s="2349"/>
      <c r="R27" s="2794"/>
      <c r="S27" s="2349"/>
    </row>
    <row r="28" spans="1:19">
      <c r="A28" s="2795"/>
      <c r="B28" s="2837" t="s">
        <v>6084</v>
      </c>
      <c r="C28" s="2407"/>
      <c r="D28" s="2408"/>
      <c r="E28" s="2409"/>
      <c r="F28" s="2438"/>
      <c r="G28" s="662">
        <f t="shared" si="7"/>
        <v>0</v>
      </c>
      <c r="H28" s="2794"/>
      <c r="I28" s="2350">
        <f t="shared" si="8"/>
        <v>0</v>
      </c>
      <c r="J28" s="2794"/>
      <c r="K28" s="2350"/>
      <c r="L28" s="2794"/>
      <c r="M28" s="2349"/>
      <c r="N28" s="2794"/>
      <c r="O28" s="2349"/>
      <c r="P28" s="2794"/>
      <c r="Q28" s="2349"/>
      <c r="R28" s="2794"/>
      <c r="S28" s="2349"/>
    </row>
    <row r="29" spans="1:19">
      <c r="A29" s="2795"/>
      <c r="B29" s="2837" t="s">
        <v>4413</v>
      </c>
      <c r="C29" s="2407"/>
      <c r="D29" s="2408"/>
      <c r="E29" s="2409"/>
      <c r="F29" s="2438"/>
      <c r="G29" s="662">
        <f t="shared" si="7"/>
        <v>0</v>
      </c>
      <c r="H29" s="2794"/>
      <c r="I29" s="2350">
        <f t="shared" si="8"/>
        <v>0</v>
      </c>
      <c r="J29" s="2794"/>
      <c r="K29" s="2350"/>
      <c r="L29" s="2794"/>
      <c r="M29" s="2349"/>
      <c r="N29" s="2794"/>
      <c r="O29" s="2349"/>
      <c r="P29" s="2794"/>
      <c r="Q29" s="2349"/>
      <c r="R29" s="2794"/>
      <c r="S29" s="2349"/>
    </row>
    <row r="30" spans="1:19">
      <c r="A30" s="2795"/>
      <c r="B30" s="2837" t="s">
        <v>6085</v>
      </c>
      <c r="C30" s="2407"/>
      <c r="D30" s="2408"/>
      <c r="E30" s="2409"/>
      <c r="F30" s="2438"/>
      <c r="G30" s="662">
        <f t="shared" si="7"/>
        <v>0</v>
      </c>
      <c r="H30" s="2794"/>
      <c r="I30" s="2350">
        <f t="shared" si="8"/>
        <v>0</v>
      </c>
      <c r="J30" s="2794"/>
      <c r="K30" s="2350"/>
      <c r="L30" s="2794"/>
      <c r="M30" s="2349"/>
      <c r="N30" s="2794"/>
      <c r="O30" s="2349"/>
      <c r="P30" s="2794"/>
      <c r="Q30" s="2349"/>
      <c r="R30" s="2794"/>
      <c r="S30" s="2349"/>
    </row>
    <row r="31" spans="1:19">
      <c r="A31" s="2795"/>
      <c r="B31" s="2837" t="s">
        <v>6086</v>
      </c>
      <c r="C31" s="2407"/>
      <c r="D31" s="2408"/>
      <c r="E31" s="2409"/>
      <c r="F31" s="2438"/>
      <c r="G31" s="662">
        <f t="shared" si="7"/>
        <v>0</v>
      </c>
      <c r="H31" s="2794"/>
      <c r="I31" s="2350">
        <f t="shared" si="8"/>
        <v>0</v>
      </c>
      <c r="J31" s="2794"/>
      <c r="K31" s="2350"/>
      <c r="L31" s="2794"/>
      <c r="M31" s="2349"/>
      <c r="N31" s="2794"/>
      <c r="O31" s="2349"/>
      <c r="P31" s="2794"/>
      <c r="Q31" s="2349"/>
      <c r="R31" s="2794"/>
      <c r="S31" s="2349"/>
    </row>
    <row r="32" spans="1:19">
      <c r="A32" s="2795"/>
      <c r="B32" s="2837" t="s">
        <v>6087</v>
      </c>
      <c r="C32" s="2407"/>
      <c r="D32" s="2408"/>
      <c r="E32" s="2409"/>
      <c r="F32" s="2438"/>
      <c r="G32" s="662">
        <f t="shared" si="5"/>
        <v>0</v>
      </c>
      <c r="H32" s="2794"/>
      <c r="I32" s="2350">
        <f t="shared" si="6"/>
        <v>0</v>
      </c>
      <c r="J32" s="2794"/>
      <c r="K32" s="2350"/>
      <c r="L32" s="2794"/>
      <c r="M32" s="2349"/>
      <c r="N32" s="2794"/>
      <c r="O32" s="2349"/>
      <c r="P32" s="2794"/>
      <c r="Q32" s="2349"/>
      <c r="R32" s="2794"/>
      <c r="S32" s="2349"/>
    </row>
    <row r="33" spans="1:19">
      <c r="A33" s="2795"/>
      <c r="B33" s="2837" t="s">
        <v>6088</v>
      </c>
      <c r="C33" s="2407"/>
      <c r="D33" s="2408"/>
      <c r="E33" s="2409"/>
      <c r="F33" s="2438"/>
      <c r="G33" s="662">
        <f t="shared" si="5"/>
        <v>0</v>
      </c>
      <c r="H33" s="2794"/>
      <c r="I33" s="2350">
        <f t="shared" si="6"/>
        <v>0</v>
      </c>
      <c r="J33" s="2794"/>
      <c r="K33" s="2350"/>
      <c r="L33" s="2794"/>
      <c r="M33" s="2349"/>
      <c r="N33" s="2794"/>
      <c r="O33" s="2349"/>
      <c r="P33" s="2794"/>
      <c r="Q33" s="2349"/>
      <c r="R33" s="2794"/>
      <c r="S33" s="2349"/>
    </row>
    <row r="34" spans="1:19">
      <c r="A34" s="2795"/>
      <c r="B34" s="2837" t="s">
        <v>6089</v>
      </c>
      <c r="C34" s="2407"/>
      <c r="D34" s="2408"/>
      <c r="E34" s="2409"/>
      <c r="F34" s="2438"/>
      <c r="G34" s="662">
        <f t="shared" si="5"/>
        <v>0</v>
      </c>
      <c r="H34" s="2794"/>
      <c r="I34" s="2350">
        <f t="shared" si="6"/>
        <v>0</v>
      </c>
      <c r="J34" s="2794"/>
      <c r="K34" s="2350"/>
      <c r="L34" s="2794"/>
      <c r="M34" s="2349"/>
      <c r="N34" s="2794"/>
      <c r="O34" s="2349"/>
      <c r="P34" s="2794"/>
      <c r="Q34" s="2349"/>
      <c r="R34" s="2794"/>
      <c r="S34" s="2349"/>
    </row>
    <row r="35" spans="1:19">
      <c r="A35" s="2795"/>
      <c r="B35" s="2837" t="s">
        <v>6090</v>
      </c>
      <c r="C35" s="2407"/>
      <c r="D35" s="2408"/>
      <c r="E35" s="2409"/>
      <c r="F35" s="2438"/>
      <c r="G35" s="662">
        <f t="shared" si="5"/>
        <v>0</v>
      </c>
      <c r="H35" s="2794"/>
      <c r="I35" s="2350">
        <f t="shared" si="6"/>
        <v>0</v>
      </c>
      <c r="J35" s="2794"/>
      <c r="K35" s="2350"/>
      <c r="L35" s="2794"/>
      <c r="M35" s="2349"/>
      <c r="N35" s="2794"/>
      <c r="O35" s="2349"/>
      <c r="P35" s="2794"/>
      <c r="Q35" s="2349"/>
      <c r="R35" s="2794"/>
      <c r="S35" s="2349"/>
    </row>
    <row r="36" spans="1:19">
      <c r="A36" s="2795"/>
      <c r="B36" s="2837"/>
      <c r="C36" s="2407"/>
      <c r="D36" s="2408"/>
      <c r="E36" s="2409"/>
      <c r="F36" s="2438"/>
      <c r="G36" s="662">
        <f t="shared" si="5"/>
        <v>0</v>
      </c>
      <c r="H36" s="2794"/>
      <c r="I36" s="2350">
        <f t="shared" si="6"/>
        <v>0</v>
      </c>
      <c r="J36" s="2794"/>
      <c r="K36" s="2350"/>
      <c r="L36" s="2794"/>
      <c r="M36" s="2349"/>
      <c r="N36" s="2794"/>
      <c r="O36" s="2349"/>
      <c r="P36" s="2794"/>
      <c r="Q36" s="2349"/>
      <c r="R36" s="2794"/>
      <c r="S36" s="2349"/>
    </row>
    <row r="37" spans="1:19">
      <c r="A37" s="2795"/>
      <c r="B37" s="2837" t="s">
        <v>6091</v>
      </c>
      <c r="C37" s="2407"/>
      <c r="D37" s="2408"/>
      <c r="E37" s="2409"/>
      <c r="F37" s="2438"/>
      <c r="G37" s="662">
        <f t="shared" ref="G37:G44" si="9">ROUND(D37*F37,0)</f>
        <v>0</v>
      </c>
      <c r="H37" s="2794"/>
      <c r="I37" s="2350">
        <f t="shared" ref="I37:I46" si="10">G37</f>
        <v>0</v>
      </c>
      <c r="J37" s="2794"/>
      <c r="K37" s="2350"/>
      <c r="L37" s="2794"/>
      <c r="M37" s="2349"/>
      <c r="N37" s="2794"/>
      <c r="O37" s="2349"/>
      <c r="P37" s="2794"/>
      <c r="Q37" s="2349"/>
      <c r="R37" s="2794"/>
      <c r="S37" s="2349"/>
    </row>
    <row r="38" spans="1:19">
      <c r="A38" s="2795"/>
      <c r="B38" s="2837" t="s">
        <v>6092</v>
      </c>
      <c r="C38" s="2407"/>
      <c r="D38" s="2408">
        <v>1</v>
      </c>
      <c r="E38" s="2409"/>
      <c r="F38" s="2438"/>
      <c r="G38" s="662">
        <f t="shared" si="9"/>
        <v>0</v>
      </c>
      <c r="H38" s="2794"/>
      <c r="I38" s="2350">
        <f t="shared" si="10"/>
        <v>0</v>
      </c>
      <c r="J38" s="2794"/>
      <c r="K38" s="2350"/>
      <c r="L38" s="2794"/>
      <c r="M38" s="2349"/>
      <c r="N38" s="2794"/>
      <c r="O38" s="2349"/>
      <c r="P38" s="2794"/>
      <c r="Q38" s="2349"/>
      <c r="R38" s="2794"/>
      <c r="S38" s="2349"/>
    </row>
    <row r="39" spans="1:19">
      <c r="A39" s="2795"/>
      <c r="B39" s="2837" t="s">
        <v>6093</v>
      </c>
      <c r="C39" s="2407"/>
      <c r="D39" s="2408">
        <v>2</v>
      </c>
      <c r="E39" s="2409"/>
      <c r="F39" s="2438"/>
      <c r="G39" s="662">
        <f t="shared" si="9"/>
        <v>0</v>
      </c>
      <c r="H39" s="2794"/>
      <c r="I39" s="2350">
        <f t="shared" si="10"/>
        <v>0</v>
      </c>
      <c r="J39" s="2794"/>
      <c r="K39" s="2350"/>
      <c r="L39" s="2794"/>
      <c r="M39" s="2349"/>
      <c r="N39" s="2794"/>
      <c r="O39" s="2349"/>
      <c r="P39" s="2794"/>
      <c r="Q39" s="2349"/>
      <c r="R39" s="2794"/>
      <c r="S39" s="2349"/>
    </row>
    <row r="40" spans="1:19">
      <c r="A40" s="2795"/>
      <c r="B40" s="2837" t="s">
        <v>6094</v>
      </c>
      <c r="C40" s="2407"/>
      <c r="D40" s="2408">
        <v>3</v>
      </c>
      <c r="E40" s="2409"/>
      <c r="F40" s="2438"/>
      <c r="G40" s="662">
        <f t="shared" si="9"/>
        <v>0</v>
      </c>
      <c r="H40" s="2794"/>
      <c r="I40" s="2350">
        <f t="shared" si="10"/>
        <v>0</v>
      </c>
      <c r="J40" s="2794"/>
      <c r="K40" s="2350"/>
      <c r="L40" s="2794"/>
      <c r="M40" s="2349"/>
      <c r="N40" s="2794"/>
      <c r="O40" s="2349"/>
      <c r="P40" s="2794"/>
      <c r="Q40" s="2349"/>
      <c r="R40" s="2794"/>
      <c r="S40" s="2349"/>
    </row>
    <row r="41" spans="1:19">
      <c r="A41" s="2795"/>
      <c r="B41" s="2837"/>
      <c r="C41" s="2407"/>
      <c r="D41" s="2408"/>
      <c r="E41" s="2409"/>
      <c r="F41" s="2438"/>
      <c r="G41" s="662">
        <f t="shared" si="9"/>
        <v>0</v>
      </c>
      <c r="H41" s="2794"/>
      <c r="I41" s="2350">
        <f t="shared" si="10"/>
        <v>0</v>
      </c>
      <c r="J41" s="2794"/>
      <c r="K41" s="2350"/>
      <c r="L41" s="2794"/>
      <c r="M41" s="2349"/>
      <c r="N41" s="2794"/>
      <c r="O41" s="2349"/>
      <c r="P41" s="2794"/>
      <c r="Q41" s="2349"/>
      <c r="R41" s="2794"/>
      <c r="S41" s="2349"/>
    </row>
    <row r="42" spans="1:19">
      <c r="A42" s="2795"/>
      <c r="B42" s="2837"/>
      <c r="C42" s="2407"/>
      <c r="D42" s="2408"/>
      <c r="E42" s="2409"/>
      <c r="F42" s="2438"/>
      <c r="G42" s="662">
        <f t="shared" si="9"/>
        <v>0</v>
      </c>
      <c r="H42" s="2794"/>
      <c r="I42" s="2350">
        <f t="shared" si="10"/>
        <v>0</v>
      </c>
      <c r="J42" s="2794"/>
      <c r="K42" s="2350"/>
      <c r="L42" s="2794"/>
      <c r="M42" s="2349"/>
      <c r="N42" s="2794"/>
      <c r="O42" s="2349"/>
      <c r="P42" s="2794"/>
      <c r="Q42" s="2349"/>
      <c r="R42" s="2794"/>
      <c r="S42" s="2349"/>
    </row>
    <row r="43" spans="1:19">
      <c r="A43" s="2795"/>
      <c r="B43" s="2837"/>
      <c r="C43" s="2407"/>
      <c r="D43" s="2408"/>
      <c r="E43" s="2409"/>
      <c r="F43" s="2438"/>
      <c r="G43" s="662">
        <f t="shared" si="9"/>
        <v>0</v>
      </c>
      <c r="H43" s="2794"/>
      <c r="I43" s="2350">
        <f t="shared" si="10"/>
        <v>0</v>
      </c>
      <c r="J43" s="2794"/>
      <c r="K43" s="2350"/>
      <c r="L43" s="2794"/>
      <c r="M43" s="2349"/>
      <c r="N43" s="2794"/>
      <c r="O43" s="2349"/>
      <c r="P43" s="2794"/>
      <c r="Q43" s="2349"/>
      <c r="R43" s="2794"/>
      <c r="S43" s="2349"/>
    </row>
    <row r="44" spans="1:19">
      <c r="A44" s="2795"/>
      <c r="B44" s="2837" t="s">
        <v>4757</v>
      </c>
      <c r="C44" s="2407"/>
      <c r="D44" s="2408"/>
      <c r="E44" s="2409"/>
      <c r="F44" s="2438"/>
      <c r="G44" s="662">
        <f t="shared" si="9"/>
        <v>0</v>
      </c>
      <c r="H44" s="2794"/>
      <c r="I44" s="2350">
        <f t="shared" si="10"/>
        <v>0</v>
      </c>
      <c r="J44" s="2794"/>
      <c r="K44" s="2350"/>
      <c r="L44" s="2794"/>
      <c r="M44" s="2349"/>
      <c r="N44" s="2794"/>
      <c r="O44" s="2349"/>
      <c r="P44" s="2794"/>
      <c r="Q44" s="2349"/>
      <c r="R44" s="2794"/>
      <c r="S44" s="2349"/>
    </row>
    <row r="45" spans="1:19" s="175" customFormat="1" ht="30">
      <c r="A45" s="2795"/>
      <c r="B45" s="2838" t="s">
        <v>6095</v>
      </c>
      <c r="C45" s="2811"/>
      <c r="D45" s="2812"/>
      <c r="E45" s="2813"/>
      <c r="F45" s="2814"/>
      <c r="G45" s="668">
        <f t="shared" si="5"/>
        <v>0</v>
      </c>
      <c r="H45" s="2805"/>
      <c r="I45" s="2806">
        <v>50936.4</v>
      </c>
      <c r="J45" s="2805"/>
      <c r="K45" s="2806"/>
      <c r="L45" s="2805"/>
      <c r="M45" s="2815"/>
      <c r="N45" s="2805"/>
      <c r="O45" s="2815"/>
      <c r="P45" s="2805"/>
      <c r="Q45" s="2815"/>
      <c r="R45" s="2805"/>
      <c r="S45" s="2815"/>
    </row>
    <row r="46" spans="1:19" s="175" customFormat="1" ht="25.5">
      <c r="A46" s="2795"/>
      <c r="B46" s="2839" t="s">
        <v>6096</v>
      </c>
      <c r="C46" s="2811"/>
      <c r="D46" s="2812"/>
      <c r="E46" s="2813"/>
      <c r="F46" s="2814"/>
      <c r="G46" s="668">
        <f t="shared" si="5"/>
        <v>0</v>
      </c>
      <c r="H46" s="2805"/>
      <c r="I46" s="2806">
        <f t="shared" si="10"/>
        <v>0</v>
      </c>
      <c r="J46" s="2805"/>
      <c r="K46" s="2806"/>
      <c r="L46" s="2805"/>
      <c r="M46" s="2815"/>
      <c r="N46" s="2805"/>
      <c r="O46" s="2815"/>
      <c r="P46" s="2805"/>
      <c r="Q46" s="2815"/>
      <c r="R46" s="2805"/>
      <c r="S46" s="2815"/>
    </row>
    <row r="47" spans="1:19">
      <c r="A47" s="2840"/>
      <c r="B47" s="564"/>
      <c r="C47" s="659"/>
      <c r="D47" s="2408"/>
      <c r="E47" s="2409"/>
      <c r="F47" s="2438"/>
      <c r="G47" s="662"/>
      <c r="H47" s="2794"/>
      <c r="I47" s="2350"/>
      <c r="J47" s="2794"/>
      <c r="K47" s="2350"/>
      <c r="L47" s="2794"/>
      <c r="M47" s="2349"/>
      <c r="N47" s="2794"/>
      <c r="O47" s="2349"/>
      <c r="P47" s="2794"/>
      <c r="Q47" s="2349"/>
      <c r="R47" s="2794"/>
      <c r="S47" s="2349"/>
    </row>
    <row r="48" spans="1:19">
      <c r="A48" s="2840"/>
      <c r="B48" s="452" t="s">
        <v>6097</v>
      </c>
      <c r="C48" s="659"/>
      <c r="D48" s="2841"/>
      <c r="E48" s="2409"/>
      <c r="F48" s="2438"/>
      <c r="G48" s="662">
        <f>ROUND(D48*F48,0)</f>
        <v>0</v>
      </c>
      <c r="H48" s="2794"/>
      <c r="I48" s="2352">
        <f>SUBTOTAL(9,I49:I52)</f>
        <v>4480</v>
      </c>
      <c r="J48" s="2794"/>
      <c r="K48" s="2352">
        <f>SUBTOTAL(9,K49:K52)</f>
        <v>0</v>
      </c>
      <c r="L48" s="2794"/>
      <c r="M48" s="2352">
        <f>SUBTOTAL(9,M49:M52)</f>
        <v>0</v>
      </c>
      <c r="N48" s="2794"/>
      <c r="O48" s="2352">
        <f>SUBTOTAL(9,O49:O52)</f>
        <v>0</v>
      </c>
      <c r="P48" s="2794"/>
      <c r="Q48" s="2352">
        <f>SUBTOTAL(9,Q49:Q52)</f>
        <v>0</v>
      </c>
      <c r="R48" s="2794"/>
      <c r="S48" s="2352">
        <f>SUBTOTAL(9,S49:S52)</f>
        <v>0</v>
      </c>
    </row>
    <row r="49" spans="1:19">
      <c r="A49" s="2840"/>
      <c r="B49" s="564" t="s">
        <v>2994</v>
      </c>
      <c r="C49" s="659"/>
      <c r="D49" s="2408"/>
      <c r="E49" s="2409"/>
      <c r="F49" s="2438"/>
      <c r="G49" s="662"/>
      <c r="H49" s="2794"/>
      <c r="I49" s="2350">
        <v>4480</v>
      </c>
      <c r="J49" s="2794"/>
      <c r="K49" s="2350"/>
      <c r="L49" s="2794"/>
      <c r="M49" s="2349"/>
      <c r="N49" s="2794"/>
      <c r="O49" s="2349"/>
      <c r="P49" s="2794"/>
      <c r="Q49" s="2349"/>
      <c r="R49" s="2794"/>
      <c r="S49" s="2349"/>
    </row>
    <row r="50" spans="1:19">
      <c r="A50" s="2795"/>
      <c r="B50" s="2837" t="s">
        <v>6098</v>
      </c>
      <c r="C50" s="2407"/>
      <c r="D50" s="2408"/>
      <c r="E50" s="2409"/>
      <c r="F50" s="2438"/>
      <c r="G50" s="662">
        <f t="shared" si="5"/>
        <v>0</v>
      </c>
      <c r="H50" s="2794"/>
      <c r="I50" s="2350">
        <f t="shared" si="6"/>
        <v>0</v>
      </c>
      <c r="J50" s="2794"/>
      <c r="K50" s="2350"/>
      <c r="L50" s="2794"/>
      <c r="M50" s="2349"/>
      <c r="N50" s="2794"/>
      <c r="O50" s="2349"/>
      <c r="P50" s="2794"/>
      <c r="Q50" s="2349"/>
      <c r="R50" s="2794"/>
      <c r="S50" s="2349"/>
    </row>
    <row r="51" spans="1:19">
      <c r="A51" s="2795"/>
      <c r="B51" s="2837" t="s">
        <v>571</v>
      </c>
      <c r="C51" s="2407"/>
      <c r="D51" s="2408"/>
      <c r="E51" s="2409"/>
      <c r="F51" s="2438"/>
      <c r="G51" s="662">
        <f t="shared" si="5"/>
        <v>0</v>
      </c>
      <c r="H51" s="2794"/>
      <c r="I51" s="2350">
        <f t="shared" si="6"/>
        <v>0</v>
      </c>
      <c r="J51" s="2794"/>
      <c r="K51" s="2350"/>
      <c r="L51" s="2794"/>
      <c r="M51" s="2349"/>
      <c r="N51" s="2794"/>
      <c r="O51" s="2349"/>
      <c r="P51" s="2794"/>
      <c r="Q51" s="2349"/>
      <c r="R51" s="2794"/>
      <c r="S51" s="2349"/>
    </row>
    <row r="52" spans="1:19">
      <c r="A52" s="2795"/>
      <c r="B52" s="2837"/>
      <c r="C52" s="2407"/>
      <c r="D52" s="2408"/>
      <c r="E52" s="2409"/>
      <c r="F52" s="2438"/>
      <c r="G52" s="662">
        <f t="shared" si="5"/>
        <v>0</v>
      </c>
      <c r="H52" s="2794"/>
      <c r="I52" s="2350">
        <f t="shared" si="6"/>
        <v>0</v>
      </c>
      <c r="J52" s="2794"/>
      <c r="K52" s="2350"/>
      <c r="L52" s="2794"/>
      <c r="M52" s="2349"/>
      <c r="N52" s="2794"/>
      <c r="O52" s="2349"/>
      <c r="P52" s="2794"/>
      <c r="Q52" s="2349"/>
      <c r="R52" s="2794"/>
      <c r="S52" s="2349"/>
    </row>
    <row r="53" spans="1:19">
      <c r="A53" s="2840"/>
      <c r="B53" s="452" t="s">
        <v>6099</v>
      </c>
      <c r="C53" s="659"/>
      <c r="D53" s="2841"/>
      <c r="E53" s="2409"/>
      <c r="F53" s="2438"/>
      <c r="G53" s="662">
        <f>ROUND(D53*F53,0)</f>
        <v>0</v>
      </c>
      <c r="H53" s="2794"/>
      <c r="I53" s="2352">
        <f>SUBTOTAL(9,I54:I57)</f>
        <v>0</v>
      </c>
      <c r="J53" s="2794"/>
      <c r="K53" s="2352">
        <f>SUBTOTAL(9,K54:K57)</f>
        <v>0</v>
      </c>
      <c r="L53" s="2794"/>
      <c r="M53" s="2352">
        <f>SUBTOTAL(9,M54:M57)</f>
        <v>0</v>
      </c>
      <c r="N53" s="2794"/>
      <c r="O53" s="2352">
        <f>SUBTOTAL(9,O54:O57)</f>
        <v>0</v>
      </c>
      <c r="P53" s="2794"/>
      <c r="Q53" s="2352">
        <f>SUBTOTAL(9,Q54:Q57)</f>
        <v>0</v>
      </c>
      <c r="R53" s="2794"/>
      <c r="S53" s="2352">
        <f>SUBTOTAL(9,S54:S57)</f>
        <v>0</v>
      </c>
    </row>
    <row r="54" spans="1:19">
      <c r="A54" s="2795"/>
      <c r="B54" s="2837"/>
      <c r="C54" s="2407"/>
      <c r="D54" s="2408"/>
      <c r="E54" s="2409"/>
      <c r="F54" s="2438"/>
      <c r="G54" s="662">
        <f t="shared" si="5"/>
        <v>0</v>
      </c>
      <c r="H54" s="2794"/>
      <c r="I54" s="2350">
        <f t="shared" si="6"/>
        <v>0</v>
      </c>
      <c r="J54" s="2794"/>
      <c r="K54" s="2350"/>
      <c r="L54" s="2794"/>
      <c r="M54" s="2349"/>
      <c r="N54" s="2794"/>
      <c r="O54" s="2349"/>
      <c r="P54" s="2794"/>
      <c r="Q54" s="2349"/>
      <c r="R54" s="2794"/>
      <c r="S54" s="2349"/>
    </row>
    <row r="55" spans="1:19">
      <c r="A55" s="2795"/>
      <c r="B55" s="2837"/>
      <c r="C55" s="2407"/>
      <c r="D55" s="2408"/>
      <c r="E55" s="2409"/>
      <c r="F55" s="2438"/>
      <c r="G55" s="662">
        <f t="shared" si="5"/>
        <v>0</v>
      </c>
      <c r="H55" s="2794"/>
      <c r="I55" s="2350">
        <f t="shared" si="6"/>
        <v>0</v>
      </c>
      <c r="J55" s="2794"/>
      <c r="K55" s="2350"/>
      <c r="L55" s="2794"/>
      <c r="M55" s="2349"/>
      <c r="N55" s="2794"/>
      <c r="O55" s="2349"/>
      <c r="P55" s="2794"/>
      <c r="Q55" s="2349"/>
      <c r="R55" s="2794"/>
      <c r="S55" s="2349"/>
    </row>
    <row r="56" spans="1:19">
      <c r="A56" s="2795"/>
      <c r="B56" s="2837"/>
      <c r="C56" s="2407"/>
      <c r="D56" s="2408"/>
      <c r="E56" s="2409"/>
      <c r="F56" s="2438"/>
      <c r="G56" s="662">
        <f t="shared" si="5"/>
        <v>0</v>
      </c>
      <c r="H56" s="2794"/>
      <c r="I56" s="2350">
        <f t="shared" si="6"/>
        <v>0</v>
      </c>
      <c r="J56" s="2794"/>
      <c r="K56" s="2350"/>
      <c r="L56" s="2794"/>
      <c r="M56" s="2349"/>
      <c r="N56" s="2794"/>
      <c r="O56" s="2349"/>
      <c r="P56" s="2794"/>
      <c r="Q56" s="2349"/>
      <c r="R56" s="2794"/>
      <c r="S56" s="2349"/>
    </row>
    <row r="57" spans="1:19">
      <c r="A57" s="2795"/>
      <c r="B57" s="2837"/>
      <c r="C57" s="2407"/>
      <c r="D57" s="2408"/>
      <c r="E57" s="2409"/>
      <c r="F57" s="2438"/>
      <c r="G57" s="662">
        <f t="shared" si="5"/>
        <v>0</v>
      </c>
      <c r="H57" s="2794"/>
      <c r="I57" s="2350">
        <f t="shared" si="6"/>
        <v>0</v>
      </c>
      <c r="J57" s="2794"/>
      <c r="K57" s="2350"/>
      <c r="L57" s="2794"/>
      <c r="M57" s="2349"/>
      <c r="N57" s="2794"/>
      <c r="O57" s="2349"/>
      <c r="P57" s="2794"/>
      <c r="Q57" s="2349"/>
      <c r="R57" s="2794"/>
      <c r="S57" s="2349"/>
    </row>
    <row r="58" spans="1:19" ht="15.75" thickBot="1">
      <c r="A58" s="2795"/>
      <c r="B58" s="2747"/>
      <c r="C58" s="2355"/>
      <c r="D58" s="2356"/>
      <c r="E58" s="2409"/>
      <c r="F58" s="2357"/>
      <c r="G58" s="662"/>
      <c r="H58" s="2794"/>
      <c r="I58" s="2350"/>
      <c r="J58" s="2794"/>
      <c r="K58" s="2350"/>
      <c r="L58" s="2794"/>
      <c r="M58" s="2350"/>
      <c r="N58" s="2794"/>
      <c r="O58" s="2350"/>
      <c r="P58" s="2794"/>
      <c r="Q58" s="2350"/>
      <c r="R58" s="2794"/>
      <c r="S58" s="2350"/>
    </row>
    <row r="59" spans="1:19" ht="15.75" thickTop="1">
      <c r="A59" s="13"/>
      <c r="B59" s="226" t="s">
        <v>3265</v>
      </c>
      <c r="C59" s="15"/>
      <c r="D59" s="168"/>
      <c r="E59" s="176"/>
      <c r="F59" s="17"/>
      <c r="G59" s="227">
        <f>SUBTOTAL(9,G21:G58)</f>
        <v>0</v>
      </c>
      <c r="H59" s="19"/>
      <c r="I59" s="225">
        <f>SUBTOTAL(9,I20:I58)</f>
        <v>188733.95</v>
      </c>
      <c r="J59" s="19"/>
      <c r="K59" s="225">
        <f>SUBTOTAL(9,K20:K58)</f>
        <v>0</v>
      </c>
      <c r="L59" s="19"/>
      <c r="M59" s="225">
        <f>SUBTOTAL(9,M20:M58)</f>
        <v>0</v>
      </c>
      <c r="N59" s="19"/>
      <c r="O59" s="225">
        <f>SUBTOTAL(9,O20:O58)</f>
        <v>0</v>
      </c>
      <c r="P59" s="19"/>
      <c r="Q59" s="225">
        <f>SUBTOTAL(9,Q20:Q58)</f>
        <v>0</v>
      </c>
      <c r="R59" s="19"/>
      <c r="S59" s="225">
        <f>SUBTOTAL(9,S20:S58)</f>
        <v>0</v>
      </c>
    </row>
    <row r="60" spans="1:19">
      <c r="A60" s="2751"/>
      <c r="B60" s="2359" t="s">
        <v>2976</v>
      </c>
      <c r="C60" s="2360"/>
      <c r="D60" s="2361"/>
      <c r="E60" s="2362"/>
      <c r="F60" s="2363"/>
      <c r="G60" s="654"/>
      <c r="H60" s="2817">
        <v>0</v>
      </c>
      <c r="I60" s="645"/>
      <c r="J60" s="2817">
        <v>0</v>
      </c>
      <c r="K60" s="645"/>
      <c r="L60" s="2817">
        <v>0</v>
      </c>
      <c r="M60" s="645"/>
      <c r="N60" s="2817">
        <v>0</v>
      </c>
      <c r="O60" s="645"/>
      <c r="P60" s="2817">
        <v>0</v>
      </c>
      <c r="Q60" s="645"/>
      <c r="R60" s="2817">
        <v>0</v>
      </c>
      <c r="S60" s="645"/>
    </row>
    <row r="61" spans="1:19">
      <c r="A61" s="2751"/>
      <c r="B61" s="2359" t="s">
        <v>2977</v>
      </c>
      <c r="C61" s="2360"/>
      <c r="D61" s="2361"/>
      <c r="E61" s="2362"/>
      <c r="F61" s="2363"/>
      <c r="G61" s="654">
        <f>F60*G59</f>
        <v>0</v>
      </c>
      <c r="H61" s="2818"/>
      <c r="I61" s="2819">
        <f>H60*I59</f>
        <v>0</v>
      </c>
      <c r="J61" s="2818"/>
      <c r="K61" s="2819">
        <f>J60*K59</f>
        <v>0</v>
      </c>
      <c r="L61" s="2818"/>
      <c r="M61" s="2819">
        <f>L60*M59</f>
        <v>0</v>
      </c>
      <c r="N61" s="2818"/>
      <c r="O61" s="2819">
        <f>N60*O59</f>
        <v>0</v>
      </c>
      <c r="P61" s="2818"/>
      <c r="Q61" s="2819">
        <f>P60*Q59</f>
        <v>0</v>
      </c>
      <c r="R61" s="2818"/>
      <c r="S61" s="2819">
        <f>R60*S59</f>
        <v>0</v>
      </c>
    </row>
    <row r="62" spans="1:19">
      <c r="A62" s="2751"/>
      <c r="B62" s="2359"/>
      <c r="C62" s="2360"/>
      <c r="D62" s="2361"/>
      <c r="E62" s="2362"/>
      <c r="F62" s="2363"/>
      <c r="G62" s="654"/>
      <c r="H62" s="2818"/>
      <c r="I62" s="2819"/>
      <c r="J62" s="2818"/>
      <c r="K62" s="2819"/>
      <c r="L62" s="2818"/>
      <c r="M62" s="2819"/>
      <c r="N62" s="2818"/>
      <c r="O62" s="2819"/>
      <c r="P62" s="2818"/>
      <c r="Q62" s="2819"/>
      <c r="R62" s="2818"/>
      <c r="S62" s="2819"/>
    </row>
    <row r="63" spans="1:19">
      <c r="A63" s="2751"/>
      <c r="B63" s="2359" t="s">
        <v>2978</v>
      </c>
      <c r="C63" s="2360"/>
      <c r="D63" s="2361"/>
      <c r="E63" s="2362"/>
      <c r="F63" s="2363"/>
      <c r="G63" s="654">
        <f>SUM(G59:G61)</f>
        <v>0</v>
      </c>
      <c r="H63" s="2820"/>
      <c r="I63" s="2819">
        <f>SUM(I59:I61)</f>
        <v>188733.95</v>
      </c>
      <c r="J63" s="2820"/>
      <c r="K63" s="2819">
        <f>SUM(K59:K61)</f>
        <v>0</v>
      </c>
      <c r="L63" s="2820"/>
      <c r="M63" s="2819">
        <f>SUM(M59:M61)</f>
        <v>0</v>
      </c>
      <c r="N63" s="2820"/>
      <c r="O63" s="2819">
        <f>SUM(O59:O61)</f>
        <v>0</v>
      </c>
      <c r="P63" s="2820"/>
      <c r="Q63" s="2819">
        <f>SUM(Q59:Q61)</f>
        <v>0</v>
      </c>
      <c r="R63" s="2820"/>
      <c r="S63" s="2819">
        <f>SUM(S59:S61)</f>
        <v>0</v>
      </c>
    </row>
    <row r="64" spans="1:19">
      <c r="A64" s="2751"/>
      <c r="B64" s="2368" t="s">
        <v>2979</v>
      </c>
      <c r="C64" s="2360"/>
      <c r="D64" s="2361"/>
      <c r="E64" s="2362"/>
      <c r="F64" s="2368"/>
      <c r="G64" s="655">
        <f>G63/'Area Calculations'!$F$5</f>
        <v>0</v>
      </c>
      <c r="H64" s="2821"/>
      <c r="I64" s="2822">
        <f>I63/'Area Calculations'!$F$5</f>
        <v>2.1284503563695418</v>
      </c>
      <c r="J64" s="2821"/>
      <c r="K64" s="2822">
        <f>K63/'Area Calculations'!$F$5</f>
        <v>0</v>
      </c>
      <c r="L64" s="2821"/>
      <c r="M64" s="2822">
        <f>M63/'Area Calculations'!$F$5</f>
        <v>0</v>
      </c>
      <c r="N64" s="2821"/>
      <c r="O64" s="2822">
        <f>O63/'Area Calculations'!$F$5</f>
        <v>0</v>
      </c>
      <c r="P64" s="2821"/>
      <c r="Q64" s="2822">
        <f>Q63/'Area Calculations'!$F$5</f>
        <v>0</v>
      </c>
      <c r="R64" s="2823"/>
      <c r="S64" s="2822">
        <f>S63/'Area Calculations'!$F$5</f>
        <v>0</v>
      </c>
    </row>
    <row r="65" spans="1:34">
      <c r="A65" s="2751"/>
      <c r="B65" s="2372"/>
      <c r="C65" s="2360"/>
      <c r="D65" s="2361"/>
      <c r="E65" s="2362"/>
      <c r="F65" s="2363"/>
      <c r="G65" s="656"/>
      <c r="H65" s="2824"/>
      <c r="I65" s="2825"/>
      <c r="J65" s="2824"/>
      <c r="K65" s="2824"/>
      <c r="L65" s="2824"/>
      <c r="M65" s="2824"/>
      <c r="N65" s="2824"/>
      <c r="O65" s="2824"/>
      <c r="P65" s="2824"/>
      <c r="Q65" s="2824"/>
      <c r="R65" s="2824"/>
      <c r="S65" s="2824"/>
    </row>
    <row r="66" spans="1:34" ht="16.5" hidden="1" thickTop="1" thickBot="1">
      <c r="A66" s="830" t="s">
        <v>2980</v>
      </c>
      <c r="B66" s="831"/>
      <c r="C66" s="12"/>
      <c r="D66" s="169"/>
      <c r="E66" s="177"/>
      <c r="F66" s="12"/>
      <c r="G66" s="228"/>
      <c r="H66" s="20"/>
      <c r="I66" s="20"/>
      <c r="J66" s="20"/>
      <c r="K66" s="20"/>
      <c r="L66" s="20"/>
      <c r="M66" s="20"/>
      <c r="N66" s="20"/>
      <c r="O66" s="20"/>
      <c r="P66" s="20"/>
      <c r="Q66" s="20"/>
      <c r="R66" s="20"/>
      <c r="S66" s="20"/>
    </row>
    <row r="67" spans="1:34" ht="15.75" hidden="1" thickTop="1">
      <c r="A67" s="2842"/>
      <c r="B67" s="2406"/>
      <c r="C67" s="2843"/>
      <c r="D67" s="2844"/>
      <c r="E67" s="2845"/>
      <c r="F67" s="2843"/>
      <c r="G67" s="2846"/>
      <c r="H67" s="2847"/>
      <c r="I67" s="2847"/>
      <c r="J67" s="2847"/>
      <c r="K67" s="2847"/>
      <c r="L67" s="2847"/>
      <c r="M67" s="2847"/>
      <c r="N67" s="2847"/>
      <c r="O67" s="2847"/>
      <c r="P67" s="2847"/>
      <c r="Q67" s="2847"/>
      <c r="R67" s="2847"/>
      <c r="S67" s="2847"/>
    </row>
    <row r="68" spans="1:34" hidden="1">
      <c r="A68" s="2842"/>
      <c r="B68" s="2406"/>
      <c r="C68" s="2843"/>
      <c r="D68" s="2844"/>
      <c r="E68" s="2845"/>
      <c r="F68" s="2843"/>
      <c r="G68" s="2846"/>
      <c r="H68" s="2847"/>
      <c r="I68" s="2847"/>
      <c r="J68" s="2847"/>
      <c r="K68" s="2847"/>
      <c r="L68" s="2847"/>
      <c r="M68" s="2847"/>
      <c r="N68" s="2847"/>
      <c r="O68" s="2847"/>
      <c r="P68" s="2847"/>
      <c r="Q68" s="2847"/>
      <c r="R68" s="2847"/>
      <c r="S68" s="2847"/>
    </row>
    <row r="69" spans="1:34" ht="15.75" hidden="1" thickBot="1">
      <c r="A69" s="2842"/>
      <c r="B69" s="2406"/>
      <c r="C69" s="2843"/>
      <c r="D69" s="2844"/>
      <c r="E69" s="2845"/>
      <c r="F69" s="2843"/>
      <c r="G69" s="2846"/>
      <c r="H69" s="2847"/>
      <c r="I69" s="2847"/>
      <c r="J69" s="2847"/>
      <c r="K69" s="2847"/>
      <c r="L69" s="2847"/>
      <c r="M69" s="2847"/>
      <c r="N69" s="2847"/>
      <c r="O69" s="2847"/>
      <c r="P69" s="2847"/>
      <c r="Q69" s="2847"/>
      <c r="R69" s="2847"/>
      <c r="S69" s="2847"/>
    </row>
    <row r="70" spans="1:34" s="2" customFormat="1" ht="16.5" hidden="1" thickTop="1" thickBot="1">
      <c r="A70" s="830" t="s">
        <v>2981</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s="2" customFormat="1" ht="15.75" hidden="1" thickTop="1">
      <c r="A71" s="2842"/>
      <c r="B71" s="2406"/>
      <c r="C71" s="2843"/>
      <c r="D71" s="2844"/>
      <c r="E71" s="2845"/>
      <c r="F71" s="2843"/>
      <c r="G71" s="2846"/>
      <c r="H71" s="2847"/>
      <c r="I71" s="2847"/>
      <c r="J71" s="2847"/>
      <c r="K71" s="2847"/>
      <c r="L71" s="2847"/>
      <c r="M71" s="2847"/>
      <c r="N71" s="2847"/>
      <c r="O71" s="2847"/>
      <c r="P71" s="2847"/>
      <c r="Q71" s="2847"/>
      <c r="R71" s="2847"/>
      <c r="S71" s="2847"/>
      <c r="T71"/>
      <c r="U71"/>
      <c r="V71"/>
      <c r="W71"/>
      <c r="X71"/>
      <c r="Y71"/>
      <c r="Z71"/>
      <c r="AA71"/>
      <c r="AB71"/>
      <c r="AC71"/>
      <c r="AD71"/>
      <c r="AE71"/>
      <c r="AF71"/>
      <c r="AG71"/>
      <c r="AH71"/>
    </row>
    <row r="72" spans="1:34" s="2" customFormat="1" hidden="1">
      <c r="A72" s="2842"/>
      <c r="B72" s="2406"/>
      <c r="C72" s="2843"/>
      <c r="D72" s="2844"/>
      <c r="E72" s="2845"/>
      <c r="F72" s="2843"/>
      <c r="G72" s="2846"/>
      <c r="H72" s="2847"/>
      <c r="I72" s="2847"/>
      <c r="J72" s="2847"/>
      <c r="K72" s="2847"/>
      <c r="L72" s="2847"/>
      <c r="M72" s="2847"/>
      <c r="N72" s="2847"/>
      <c r="O72" s="2847"/>
      <c r="P72" s="2847"/>
      <c r="Q72" s="2847"/>
      <c r="R72" s="2847"/>
      <c r="S72" s="2847"/>
      <c r="T72"/>
      <c r="U72"/>
      <c r="V72"/>
      <c r="W72"/>
      <c r="X72"/>
      <c r="Y72"/>
      <c r="Z72"/>
      <c r="AA72"/>
      <c r="AB72"/>
      <c r="AC72"/>
      <c r="AD72"/>
      <c r="AE72"/>
      <c r="AF72"/>
      <c r="AG72"/>
      <c r="AH72"/>
    </row>
    <row r="73" spans="1:34" ht="15.75" hidden="1" thickBot="1">
      <c r="A73" s="2842"/>
      <c r="B73" s="2406"/>
      <c r="C73" s="2843"/>
      <c r="D73" s="2844"/>
      <c r="E73" s="2845"/>
      <c r="F73" s="2843"/>
      <c r="G73" s="2846"/>
      <c r="H73" s="2847"/>
      <c r="I73" s="2847"/>
      <c r="J73" s="2847"/>
      <c r="K73" s="2847"/>
      <c r="L73" s="2847"/>
      <c r="M73" s="2847"/>
      <c r="N73" s="2847"/>
      <c r="O73" s="2847"/>
      <c r="P73" s="2847"/>
      <c r="Q73" s="2847"/>
      <c r="R73" s="2847"/>
      <c r="S73" s="2847"/>
    </row>
    <row r="74" spans="1:34" s="2" customFormat="1" ht="16.5" hidden="1" thickTop="1" thickBot="1">
      <c r="A74" s="830" t="s">
        <v>2982</v>
      </c>
      <c r="B74" s="831"/>
      <c r="C74" s="12"/>
      <c r="D74" s="169"/>
      <c r="E74" s="177"/>
      <c r="F74" s="12"/>
      <c r="G74" s="228"/>
      <c r="H74" s="20"/>
      <c r="I74" s="20"/>
      <c r="J74" s="20"/>
      <c r="K74" s="20"/>
      <c r="L74" s="20"/>
      <c r="M74" s="20"/>
      <c r="N74" s="20"/>
      <c r="O74" s="20"/>
      <c r="P74" s="20"/>
      <c r="Q74" s="20"/>
      <c r="R74" s="20"/>
      <c r="S74" s="20"/>
      <c r="T74"/>
      <c r="U74"/>
      <c r="V74"/>
      <c r="W74"/>
      <c r="X74"/>
      <c r="Y74"/>
      <c r="Z74"/>
      <c r="AA74"/>
      <c r="AB74"/>
      <c r="AC74"/>
      <c r="AD74"/>
      <c r="AE74"/>
      <c r="AF74"/>
      <c r="AG74"/>
      <c r="AH74"/>
    </row>
    <row r="75" spans="1:34" s="2" customFormat="1" ht="15.75" hidden="1" thickTop="1">
      <c r="A75" s="2842"/>
      <c r="B75" s="2406"/>
      <c r="C75" s="2843"/>
      <c r="D75" s="2844"/>
      <c r="E75" s="2845"/>
      <c r="F75" s="2843"/>
      <c r="G75" s="2846"/>
      <c r="H75" s="2847"/>
      <c r="I75" s="2847"/>
      <c r="J75" s="2847"/>
      <c r="K75" s="2847"/>
      <c r="L75" s="2847"/>
      <c r="M75" s="2847"/>
      <c r="N75" s="2847"/>
      <c r="O75" s="2847"/>
      <c r="P75" s="2847"/>
      <c r="Q75" s="2847"/>
      <c r="R75" s="2847"/>
      <c r="S75" s="2847"/>
      <c r="T75"/>
      <c r="U75"/>
      <c r="V75"/>
      <c r="W75"/>
      <c r="X75"/>
      <c r="Y75"/>
      <c r="Z75"/>
      <c r="AA75"/>
      <c r="AB75"/>
      <c r="AC75"/>
      <c r="AD75"/>
      <c r="AE75"/>
      <c r="AF75"/>
      <c r="AG75"/>
      <c r="AH75"/>
    </row>
    <row r="76" spans="1:34" s="2" customFormat="1" hidden="1">
      <c r="A76" s="2758"/>
      <c r="B76" s="2406"/>
      <c r="C76" s="2407"/>
      <c r="D76" s="2408"/>
      <c r="E76" s="2409"/>
      <c r="F76" s="2407"/>
      <c r="G76" s="2759"/>
      <c r="H76" s="2760"/>
      <c r="I76" s="2760"/>
      <c r="J76" s="2760"/>
      <c r="K76" s="2760"/>
      <c r="L76" s="2760"/>
      <c r="M76" s="2760"/>
      <c r="N76" s="2760"/>
      <c r="O76" s="2760"/>
      <c r="P76" s="2760"/>
      <c r="Q76" s="2760"/>
      <c r="R76" s="2760"/>
      <c r="S76" s="2760"/>
      <c r="T76"/>
      <c r="U76"/>
      <c r="V76"/>
      <c r="W76"/>
      <c r="X76"/>
      <c r="Y76"/>
      <c r="Z76"/>
      <c r="AA76"/>
      <c r="AB76"/>
      <c r="AC76"/>
      <c r="AD76"/>
      <c r="AE76"/>
      <c r="AF76"/>
      <c r="AG76"/>
      <c r="AH76"/>
    </row>
    <row r="77" spans="1:34" s="2" customFormat="1" ht="15.75" hidden="1" thickBot="1">
      <c r="A77" s="2761"/>
      <c r="B77" s="2386"/>
      <c r="C77" s="2407"/>
      <c r="D77" s="2408"/>
      <c r="E77" s="2409"/>
      <c r="F77" s="2407"/>
      <c r="G77" s="2759"/>
      <c r="H77" s="2763"/>
      <c r="I77" s="2763"/>
      <c r="J77" s="2763"/>
      <c r="K77" s="2763"/>
      <c r="L77" s="2763"/>
      <c r="M77" s="2763"/>
      <c r="N77" s="2763"/>
      <c r="O77" s="2763"/>
      <c r="P77" s="2763"/>
      <c r="Q77" s="2763"/>
      <c r="R77" s="2763"/>
      <c r="S77" s="2763"/>
    </row>
    <row r="78" spans="1:34" s="2" customFormat="1" ht="16.5" hidden="1" thickTop="1" thickBot="1">
      <c r="A78" s="830" t="s">
        <v>2983</v>
      </c>
      <c r="B78" s="831"/>
      <c r="C78" s="12"/>
      <c r="D78" s="169"/>
      <c r="E78" s="177"/>
      <c r="F78" s="12"/>
      <c r="G78" s="228"/>
      <c r="H78" s="20"/>
      <c r="I78" s="20"/>
      <c r="J78" s="20"/>
      <c r="K78" s="20"/>
      <c r="L78" s="20"/>
      <c r="M78" s="20"/>
      <c r="N78" s="20"/>
      <c r="O78" s="20"/>
      <c r="P78" s="20"/>
      <c r="Q78" s="20"/>
      <c r="R78" s="20"/>
      <c r="S78" s="20"/>
      <c r="T78"/>
      <c r="U78"/>
      <c r="V78"/>
      <c r="W78"/>
      <c r="X78"/>
      <c r="Y78"/>
      <c r="Z78"/>
      <c r="AA78"/>
      <c r="AB78"/>
      <c r="AC78"/>
      <c r="AD78"/>
      <c r="AE78"/>
      <c r="AF78"/>
      <c r="AG78"/>
      <c r="AH78"/>
    </row>
    <row r="79" spans="1:34" ht="15.75" hidden="1" thickTop="1">
      <c r="A79" s="2848"/>
      <c r="B79" s="2849"/>
      <c r="C79" s="2843"/>
      <c r="D79" s="2844"/>
      <c r="E79" s="2845"/>
      <c r="F79" s="2843"/>
      <c r="G79" s="2846"/>
      <c r="H79" s="2847"/>
      <c r="I79" s="2847"/>
      <c r="J79" s="2847"/>
      <c r="K79" s="2847"/>
      <c r="L79" s="2847"/>
      <c r="M79" s="2847"/>
      <c r="N79" s="2847"/>
      <c r="O79" s="2847"/>
      <c r="P79" s="2847"/>
      <c r="Q79" s="2847"/>
      <c r="R79" s="2847"/>
      <c r="S79" s="2847"/>
      <c r="T79" s="2"/>
      <c r="U79" s="2"/>
      <c r="V79" s="2"/>
      <c r="W79" s="2"/>
      <c r="X79" s="2"/>
      <c r="Y79" s="2"/>
      <c r="Z79" s="2"/>
      <c r="AA79" s="2"/>
      <c r="AB79" s="2"/>
      <c r="AC79" s="2"/>
      <c r="AD79" s="2"/>
      <c r="AE79" s="2"/>
      <c r="AF79" s="2"/>
      <c r="AG79" s="2"/>
      <c r="AH79" s="2"/>
    </row>
    <row r="80" spans="1:34" hidden="1">
      <c r="A80" s="2761"/>
      <c r="B80" s="2386"/>
      <c r="C80" s="2407"/>
      <c r="D80" s="2408"/>
      <c r="E80" s="2409"/>
      <c r="F80" s="2407"/>
      <c r="G80" s="2759"/>
      <c r="H80" s="2764"/>
      <c r="I80" s="2764"/>
      <c r="J80" s="2764"/>
      <c r="K80" s="2764"/>
      <c r="L80" s="2764"/>
      <c r="M80" s="2764"/>
      <c r="N80" s="2764"/>
      <c r="O80" s="2764"/>
      <c r="P80" s="2764"/>
      <c r="Q80" s="2764"/>
      <c r="R80" s="2764"/>
      <c r="S80" s="2764"/>
      <c r="T80" s="2"/>
      <c r="U80" s="2"/>
      <c r="V80" s="2"/>
      <c r="W80" s="2"/>
      <c r="X80" s="2"/>
      <c r="Y80" s="2"/>
      <c r="Z80" s="2"/>
      <c r="AA80" s="2"/>
      <c r="AB80" s="2"/>
      <c r="AC80" s="2"/>
      <c r="AD80" s="2"/>
      <c r="AE80" s="2"/>
      <c r="AF80" s="2"/>
      <c r="AG80" s="2"/>
      <c r="AH80" s="2"/>
    </row>
    <row r="81" spans="1:34" ht="15.75" hidden="1" thickBot="1">
      <c r="A81" s="2761"/>
      <c r="B81" s="2386"/>
      <c r="C81" s="2407"/>
      <c r="D81" s="2408"/>
      <c r="E81" s="2409"/>
      <c r="F81" s="2407"/>
      <c r="G81" s="2759"/>
      <c r="H81" s="2764"/>
      <c r="I81" s="2764"/>
      <c r="J81" s="2764"/>
      <c r="K81" s="2764"/>
      <c r="L81" s="2764"/>
      <c r="M81" s="2764"/>
      <c r="N81" s="2764"/>
      <c r="O81" s="2764"/>
      <c r="P81" s="2764"/>
      <c r="Q81" s="2764"/>
      <c r="R81" s="2764"/>
      <c r="S81" s="2764"/>
      <c r="T81" s="2"/>
      <c r="U81" s="2"/>
      <c r="V81" s="2"/>
      <c r="W81" s="2"/>
      <c r="X81" s="2"/>
      <c r="Y81" s="2"/>
      <c r="Z81" s="2"/>
      <c r="AA81" s="2"/>
      <c r="AB81" s="2"/>
      <c r="AC81" s="2"/>
      <c r="AD81" s="2"/>
      <c r="AE81" s="2"/>
      <c r="AF81" s="2"/>
      <c r="AG81" s="2"/>
      <c r="AH81" s="2"/>
    </row>
    <row r="82" spans="1:34" ht="16.5" hidden="1" thickTop="1" thickBot="1">
      <c r="A82" s="830" t="s">
        <v>2984</v>
      </c>
      <c r="B82" s="831"/>
      <c r="C82" s="12"/>
      <c r="D82" s="169"/>
      <c r="E82" s="177"/>
      <c r="F82" s="12"/>
      <c r="G82" s="228"/>
      <c r="H82" s="20"/>
      <c r="I82" s="20"/>
      <c r="J82" s="20"/>
      <c r="K82" s="20"/>
      <c r="L82" s="20"/>
      <c r="M82" s="20"/>
      <c r="N82" s="20"/>
      <c r="O82" s="20"/>
      <c r="P82" s="20"/>
      <c r="Q82" s="20"/>
      <c r="R82" s="20"/>
      <c r="S82" s="20"/>
    </row>
    <row r="83" spans="1:34" ht="15.75" hidden="1" thickTop="1">
      <c r="A83" s="2758"/>
      <c r="B83" s="2406" t="s">
        <v>2985</v>
      </c>
      <c r="C83" s="2407"/>
      <c r="D83" s="2408"/>
      <c r="E83" s="2409"/>
      <c r="F83" s="2407"/>
      <c r="G83" s="2759"/>
      <c r="H83" s="2764"/>
      <c r="I83" s="2764"/>
      <c r="J83" s="2764"/>
      <c r="K83" s="2764"/>
      <c r="L83" s="2764"/>
      <c r="M83" s="2764"/>
      <c r="N83" s="2764"/>
      <c r="O83" s="2764"/>
      <c r="P83" s="2764"/>
      <c r="Q83" s="2764"/>
      <c r="R83" s="2764"/>
      <c r="S83" s="2764"/>
    </row>
    <row r="84" spans="1:34" hidden="1">
      <c r="A84" s="2758"/>
      <c r="B84" s="2406" t="s">
        <v>2986</v>
      </c>
      <c r="C84" s="2407"/>
      <c r="D84" s="2408"/>
      <c r="E84" s="2409"/>
      <c r="F84" s="2407"/>
      <c r="G84" s="2759"/>
      <c r="H84" s="2764"/>
      <c r="I84" s="2764"/>
      <c r="J84" s="2764"/>
      <c r="K84" s="2764"/>
      <c r="L84" s="2764"/>
      <c r="M84" s="2764"/>
      <c r="N84" s="2764"/>
      <c r="O84" s="2764"/>
      <c r="P84" s="2764"/>
      <c r="Q84" s="2764"/>
      <c r="R84" s="2764"/>
      <c r="S84" s="2764"/>
    </row>
    <row r="85" spans="1:34" hidden="1">
      <c r="A85" s="2758"/>
      <c r="B85" s="2406" t="s">
        <v>2987</v>
      </c>
      <c r="C85" s="2407"/>
      <c r="D85" s="2408"/>
      <c r="E85" s="2409"/>
      <c r="F85" s="2407"/>
      <c r="G85" s="2759"/>
      <c r="H85" s="2764"/>
      <c r="I85" s="2764"/>
      <c r="J85" s="2764"/>
      <c r="K85" s="2764"/>
      <c r="L85" s="2764"/>
      <c r="M85" s="2764"/>
      <c r="N85" s="2764"/>
      <c r="O85" s="2764"/>
      <c r="P85" s="2764"/>
      <c r="Q85" s="2764"/>
      <c r="R85" s="2764"/>
      <c r="S85" s="2764"/>
    </row>
    <row r="86" spans="1:34" hidden="1">
      <c r="A86" s="2758"/>
      <c r="B86" s="2406" t="s">
        <v>2988</v>
      </c>
      <c r="C86" s="2407"/>
      <c r="D86" s="2408"/>
      <c r="E86" s="2409"/>
      <c r="F86" s="2407"/>
      <c r="G86" s="2759"/>
      <c r="H86" s="2764"/>
      <c r="I86" s="2764"/>
      <c r="J86" s="2764"/>
      <c r="K86" s="2764"/>
      <c r="L86" s="2764"/>
      <c r="M86" s="2764"/>
      <c r="N86" s="2764"/>
      <c r="O86" s="2764"/>
      <c r="P86" s="2764"/>
      <c r="Q86" s="2764"/>
      <c r="R86" s="2764"/>
      <c r="S86" s="2764"/>
    </row>
    <row r="87" spans="1:34" ht="15.75" hidden="1" thickBot="1">
      <c r="A87" s="646"/>
      <c r="B87" s="619"/>
      <c r="C87" s="616"/>
      <c r="D87" s="621"/>
      <c r="E87" s="622"/>
      <c r="F87" s="616"/>
      <c r="G87" s="620"/>
      <c r="H87" s="647"/>
      <c r="I87" s="647"/>
      <c r="J87" s="647"/>
      <c r="K87" s="647"/>
      <c r="L87" s="647"/>
      <c r="M87" s="647"/>
      <c r="N87" s="647"/>
      <c r="O87" s="647"/>
      <c r="P87" s="647"/>
      <c r="Q87" s="647"/>
      <c r="R87" s="647"/>
      <c r="S87" s="647"/>
    </row>
    <row r="88" spans="1:34" ht="16.5" hidden="1" thickTop="1" thickBot="1">
      <c r="A88" s="7" t="s">
        <v>2989</v>
      </c>
      <c r="B88" s="8"/>
      <c r="C88" s="12"/>
      <c r="D88" s="169"/>
      <c r="E88" s="177"/>
      <c r="F88" s="12"/>
      <c r="G88" s="228"/>
      <c r="H88" s="20"/>
      <c r="I88" s="20"/>
      <c r="J88" s="20"/>
      <c r="K88" s="20"/>
      <c r="L88" s="20"/>
      <c r="M88" s="20"/>
      <c r="N88" s="20"/>
      <c r="O88" s="20"/>
      <c r="P88" s="20"/>
      <c r="Q88" s="20"/>
      <c r="R88" s="20"/>
      <c r="S88" s="20"/>
    </row>
    <row r="89" spans="1:34" ht="15.75" hidden="1" thickTop="1">
      <c r="A89" s="2842"/>
      <c r="B89" s="2829" t="s">
        <v>2990</v>
      </c>
      <c r="C89" s="2843"/>
      <c r="D89" s="2844"/>
      <c r="E89" s="2845"/>
      <c r="F89" s="2843"/>
      <c r="G89" s="2846"/>
      <c r="H89" s="2830"/>
      <c r="I89" s="2830"/>
      <c r="J89" s="2830"/>
      <c r="K89" s="2830"/>
      <c r="L89" s="2830"/>
      <c r="M89" s="2830"/>
      <c r="N89" s="2830"/>
      <c r="O89" s="2830"/>
      <c r="P89" s="2830"/>
      <c r="Q89" s="2830"/>
      <c r="R89" s="2830"/>
      <c r="S89" s="2830"/>
    </row>
    <row r="90" spans="1:34" hidden="1">
      <c r="A90" s="2758"/>
      <c r="B90" s="2406" t="s">
        <v>2991</v>
      </c>
      <c r="C90" s="2407"/>
      <c r="D90" s="2408"/>
      <c r="E90" s="2409"/>
      <c r="F90" s="2407"/>
      <c r="G90" s="2759"/>
      <c r="H90" s="2765"/>
      <c r="I90" s="2765"/>
      <c r="J90" s="2765"/>
      <c r="K90" s="2765"/>
      <c r="L90" s="2765"/>
      <c r="M90" s="2765"/>
      <c r="N90" s="2765"/>
      <c r="O90" s="2765"/>
      <c r="P90" s="2765"/>
      <c r="Q90" s="2765"/>
      <c r="R90" s="2765"/>
      <c r="S90" s="2765"/>
    </row>
    <row r="91" spans="1:34" ht="15.75" hidden="1" thickBot="1">
      <c r="A91" s="2766"/>
      <c r="B91" s="2787" t="s">
        <v>2992</v>
      </c>
      <c r="C91" s="2788"/>
      <c r="D91" s="2767"/>
      <c r="E91" s="2768"/>
      <c r="F91" s="2788"/>
      <c r="G91" s="2769"/>
      <c r="H91" s="2770"/>
      <c r="I91" s="2770"/>
      <c r="J91" s="2770"/>
      <c r="K91" s="2770"/>
      <c r="L91" s="2770"/>
      <c r="M91" s="2770"/>
      <c r="N91" s="2770"/>
      <c r="O91" s="2770"/>
      <c r="P91" s="2770"/>
      <c r="Q91" s="2770"/>
      <c r="R91" s="2770"/>
      <c r="S91" s="2770"/>
    </row>
    <row r="92" spans="1:34" ht="15.75" thickBot="1"/>
    <row r="93" spans="1:34" ht="16.5" thickTop="1" thickBot="1">
      <c r="A93" s="59" t="s">
        <v>2993</v>
      </c>
      <c r="B93" s="61"/>
    </row>
    <row r="94" spans="1:34" ht="15.75" thickTop="1">
      <c r="A94" s="60" t="s">
        <v>2936</v>
      </c>
      <c r="B94" s="2771"/>
    </row>
    <row r="95" spans="1:34">
      <c r="A95" s="2772" t="s">
        <v>2939</v>
      </c>
      <c r="B95" s="2771"/>
    </row>
    <row r="96" spans="1:34">
      <c r="A96" s="2773" t="s">
        <v>2941</v>
      </c>
      <c r="B96" s="2774"/>
    </row>
    <row r="97" spans="1:2">
      <c r="A97" s="2773" t="s">
        <v>2943</v>
      </c>
      <c r="B97" s="2775"/>
    </row>
    <row r="98" spans="1:2" ht="15.75" thickBot="1">
      <c r="A98" s="2776" t="s">
        <v>2994</v>
      </c>
      <c r="B98" s="2777">
        <f>$I$63</f>
        <v>188733.95</v>
      </c>
    </row>
    <row r="99" spans="1:2" ht="15.75" thickTop="1"/>
    <row r="100" spans="1:2">
      <c r="A100" s="62"/>
      <c r="B100" s="1" t="s">
        <v>2995</v>
      </c>
    </row>
    <row r="101" spans="1:2">
      <c r="A101" s="63"/>
      <c r="B101" s="1" t="s">
        <v>2996</v>
      </c>
    </row>
  </sheetData>
  <mergeCells count="35">
    <mergeCell ref="R6:S6"/>
    <mergeCell ref="H5:I5"/>
    <mergeCell ref="J5:K5"/>
    <mergeCell ref="L5:M5"/>
    <mergeCell ref="N5:O5"/>
    <mergeCell ref="P5:Q5"/>
    <mergeCell ref="R5:S5"/>
    <mergeCell ref="H6:I6"/>
    <mergeCell ref="J6:K6"/>
    <mergeCell ref="L6:M6"/>
    <mergeCell ref="N6:O6"/>
    <mergeCell ref="P6:Q6"/>
    <mergeCell ref="A82:B82"/>
    <mergeCell ref="R8:S8"/>
    <mergeCell ref="H7:I7"/>
    <mergeCell ref="J7:K7"/>
    <mergeCell ref="L7:M7"/>
    <mergeCell ref="N7:O7"/>
    <mergeCell ref="P7:Q7"/>
    <mergeCell ref="R7:S7"/>
    <mergeCell ref="H8:I8"/>
    <mergeCell ref="J8:K8"/>
    <mergeCell ref="L8:M8"/>
    <mergeCell ref="N8:O8"/>
    <mergeCell ref="P8:Q8"/>
    <mergeCell ref="R9:S9"/>
    <mergeCell ref="A66:B66"/>
    <mergeCell ref="A70:B70"/>
    <mergeCell ref="N9:O9"/>
    <mergeCell ref="P9:Q9"/>
    <mergeCell ref="A74:B74"/>
    <mergeCell ref="A78:B78"/>
    <mergeCell ref="H9:I9"/>
    <mergeCell ref="J9:K9"/>
    <mergeCell ref="L9:M9"/>
  </mergeCells>
  <conditionalFormatting sqref="H11:H18 J11:J18 L11:L18 N11:N18 P11:P18 R11:R18 H20:H58 J20:J58 L20:L58 N20:N58 P20:P58 R20:R58">
    <cfRule type="cellIs" dxfId="99" priority="13" operator="equal">
      <formula>"X"</formula>
    </cfRule>
    <cfRule type="cellIs" dxfId="98" priority="14" operator="equal">
      <formula>"I"</formula>
    </cfRule>
  </conditionalFormatting>
  <hyperlinks>
    <hyperlink ref="B4" location="'Cost Summary'!A1" display="BACK TO SUMMARY SHEET" xr:uid="{D5B59057-29D3-4D8B-910D-A0753BD9934C}"/>
    <hyperlink ref="H8" r:id="rId1" xr:uid="{B73A157B-C703-4FAF-AB8C-A56C97763B9F}"/>
  </hyperlinks>
  <pageMargins left="0.2" right="0.2" top="0.5" bottom="0.75" header="0.3" footer="0.3"/>
  <pageSetup paperSize="3" scale="77" fitToHeight="0" orientation="landscape"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bottomRight" activeCell="I53" sqref="I53:I54"/>
      <selection pane="bottomLeft" activeCell="A20" sqref="A20"/>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989"/>
      <c r="K4" s="842"/>
      <c r="L4" s="989"/>
      <c r="M4" s="842"/>
      <c r="N4" s="989"/>
      <c r="O4" s="842"/>
      <c r="P4" s="989"/>
      <c r="Q4" s="842"/>
      <c r="R4" s="989"/>
      <c r="S4" s="842"/>
    </row>
    <row r="5" spans="1:19">
      <c r="A5" s="2778" t="s">
        <v>4871</v>
      </c>
      <c r="B5" s="2406" t="s">
        <v>6100</v>
      </c>
      <c r="C5" s="2407"/>
      <c r="D5" s="2407"/>
      <c r="E5" s="2407"/>
      <c r="F5" s="2407"/>
      <c r="G5" s="657" t="s">
        <v>2939</v>
      </c>
      <c r="H5" s="2780"/>
      <c r="I5" s="843"/>
      <c r="J5" s="2850"/>
      <c r="K5" s="843"/>
      <c r="L5" s="2850"/>
      <c r="M5" s="843"/>
      <c r="N5" s="2850"/>
      <c r="O5" s="843"/>
      <c r="P5" s="2850"/>
      <c r="Q5" s="843"/>
      <c r="R5" s="2850"/>
      <c r="S5" s="843"/>
    </row>
    <row r="6" spans="1:19">
      <c r="A6" s="2778" t="s">
        <v>4873</v>
      </c>
      <c r="B6" s="2413" t="s">
        <v>6101</v>
      </c>
      <c r="C6" s="2407"/>
      <c r="D6" s="2407"/>
      <c r="E6" s="2407"/>
      <c r="F6" s="2407"/>
      <c r="G6" s="657" t="s">
        <v>2941</v>
      </c>
      <c r="H6" s="2783"/>
      <c r="I6" s="844"/>
      <c r="J6" s="2851"/>
      <c r="K6" s="844"/>
      <c r="L6" s="2851"/>
      <c r="M6" s="844"/>
      <c r="N6" s="2851"/>
      <c r="O6" s="844"/>
      <c r="P6" s="2851"/>
      <c r="Q6" s="844"/>
      <c r="R6" s="2851"/>
      <c r="S6" s="844"/>
    </row>
    <row r="7" spans="1:19">
      <c r="A7" s="2778" t="s">
        <v>4875</v>
      </c>
      <c r="B7" s="2418"/>
      <c r="C7" s="2407"/>
      <c r="D7" s="2407"/>
      <c r="E7" s="2407"/>
      <c r="F7" s="2407"/>
      <c r="G7" s="657" t="s">
        <v>2943</v>
      </c>
      <c r="H7" s="2785"/>
      <c r="I7" s="845"/>
      <c r="J7" s="2852"/>
      <c r="K7" s="845"/>
      <c r="L7" s="2852"/>
      <c r="M7" s="845"/>
      <c r="N7" s="2852"/>
      <c r="O7" s="845"/>
      <c r="P7" s="2852"/>
      <c r="Q7" s="845"/>
      <c r="R7" s="2852"/>
      <c r="S7" s="845"/>
    </row>
    <row r="8" spans="1:19" ht="15.75" thickBot="1">
      <c r="A8" s="685" t="s">
        <v>2944</v>
      </c>
      <c r="B8" s="619"/>
      <c r="C8" s="616"/>
      <c r="D8" s="616"/>
      <c r="E8" s="616"/>
      <c r="F8" s="616"/>
      <c r="G8" s="685" t="s">
        <v>2944</v>
      </c>
      <c r="H8" s="2853">
        <f>I52</f>
        <v>0</v>
      </c>
      <c r="I8" s="2854"/>
      <c r="J8" s="2853">
        <f>K52</f>
        <v>0</v>
      </c>
      <c r="K8" s="2854"/>
      <c r="L8" s="2853">
        <f>M52</f>
        <v>0</v>
      </c>
      <c r="M8" s="2854"/>
      <c r="N8" s="2853">
        <f>O52</f>
        <v>0</v>
      </c>
      <c r="O8" s="2854"/>
      <c r="P8" s="2853">
        <f>Q52</f>
        <v>0</v>
      </c>
      <c r="Q8" s="2854"/>
      <c r="R8" s="2853">
        <f>S52</f>
        <v>0</v>
      </c>
      <c r="S8" s="2854"/>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758"/>
      <c r="B10" s="2855" t="s">
        <v>4876</v>
      </c>
      <c r="C10" s="2407"/>
      <c r="D10" s="2407"/>
      <c r="E10" s="2407"/>
      <c r="F10" s="2407"/>
      <c r="G10" s="660"/>
      <c r="H10" s="2856"/>
      <c r="I10" s="2856"/>
      <c r="J10" s="2856"/>
      <c r="K10" s="2856"/>
      <c r="L10" s="2856"/>
      <c r="M10" s="2856"/>
      <c r="N10" s="2856"/>
      <c r="O10" s="2856"/>
      <c r="P10" s="2856"/>
      <c r="Q10" s="2856"/>
      <c r="R10" s="2856"/>
      <c r="S10" s="2856"/>
    </row>
    <row r="11" spans="1:19" hidden="1">
      <c r="A11" s="2758"/>
      <c r="B11" s="2406" t="e">
        <f>'Area Calculations'!#REF!</f>
        <v>#REF!</v>
      </c>
      <c r="C11" s="2706" t="s">
        <v>4877</v>
      </c>
      <c r="D11" s="2407"/>
      <c r="E11" s="2407"/>
      <c r="F11" s="2407"/>
      <c r="G11" s="660"/>
      <c r="H11" s="2856"/>
      <c r="I11" s="2856"/>
      <c r="J11" s="2856"/>
      <c r="K11" s="2856"/>
      <c r="L11" s="2856"/>
      <c r="M11" s="2856"/>
      <c r="N11" s="2856"/>
      <c r="O11" s="2856"/>
      <c r="P11" s="2856"/>
      <c r="Q11" s="2856"/>
      <c r="R11" s="2856"/>
      <c r="S11" s="2856"/>
    </row>
    <row r="12" spans="1:19" hidden="1">
      <c r="A12" s="2758"/>
      <c r="B12" s="2406" t="e">
        <f>'Area Calculations'!#REF!</f>
        <v>#REF!</v>
      </c>
      <c r="C12" s="2706" t="s">
        <v>4877</v>
      </c>
      <c r="D12" s="2407"/>
      <c r="E12" s="2407"/>
      <c r="F12" s="2407"/>
      <c r="G12" s="660"/>
      <c r="H12" s="2856"/>
      <c r="I12" s="2856"/>
      <c r="J12" s="2856"/>
      <c r="K12" s="2856"/>
      <c r="L12" s="2856"/>
      <c r="M12" s="2856"/>
      <c r="N12" s="2856"/>
      <c r="O12" s="2856"/>
      <c r="P12" s="2856"/>
      <c r="Q12" s="2856"/>
      <c r="R12" s="2856"/>
      <c r="S12" s="2856"/>
    </row>
    <row r="13" spans="1:19" hidden="1">
      <c r="A13" s="2758"/>
      <c r="B13" s="2406" t="e">
        <f>'Area Calculations'!#REF!</f>
        <v>#REF!</v>
      </c>
      <c r="C13" s="2706" t="s">
        <v>4877</v>
      </c>
      <c r="D13" s="2407"/>
      <c r="E13" s="2407"/>
      <c r="F13" s="2407"/>
      <c r="G13" s="660"/>
      <c r="H13" s="2856"/>
      <c r="I13" s="2856"/>
      <c r="J13" s="2856"/>
      <c r="K13" s="2856"/>
      <c r="L13" s="2856"/>
      <c r="M13" s="2856"/>
      <c r="N13" s="2856"/>
      <c r="O13" s="2856"/>
      <c r="P13" s="2856"/>
      <c r="Q13" s="2856"/>
      <c r="R13" s="2856"/>
      <c r="S13" s="2856"/>
    </row>
    <row r="14" spans="1:19" hidden="1">
      <c r="A14" s="2758"/>
      <c r="B14" s="2406" t="e">
        <f>'Area Calculations'!#REF!</f>
        <v>#REF!</v>
      </c>
      <c r="C14" s="2706" t="s">
        <v>4877</v>
      </c>
      <c r="D14" s="2407"/>
      <c r="E14" s="2407"/>
      <c r="F14" s="2407"/>
      <c r="G14" s="660"/>
      <c r="H14" s="2856"/>
      <c r="I14" s="2856"/>
      <c r="J14" s="2856"/>
      <c r="K14" s="2856"/>
      <c r="L14" s="2856"/>
      <c r="M14" s="2856"/>
      <c r="N14" s="2856"/>
      <c r="O14" s="2856"/>
      <c r="P14" s="2856"/>
      <c r="Q14" s="2856"/>
      <c r="R14" s="2856"/>
      <c r="S14" s="2856"/>
    </row>
    <row r="15" spans="1:19" hidden="1">
      <c r="A15" s="2758"/>
      <c r="B15" s="2406" t="e">
        <f>'Area Calculations'!#REF!</f>
        <v>#REF!</v>
      </c>
      <c r="C15" s="2706" t="s">
        <v>4877</v>
      </c>
      <c r="D15" s="2407"/>
      <c r="E15" s="2407"/>
      <c r="F15" s="2407"/>
      <c r="G15" s="660"/>
      <c r="H15" s="2856"/>
      <c r="I15" s="2856"/>
      <c r="J15" s="2856"/>
      <c r="K15" s="2856"/>
      <c r="L15" s="2856"/>
      <c r="M15" s="2856"/>
      <c r="N15" s="2856"/>
      <c r="O15" s="2856"/>
      <c r="P15" s="2856"/>
      <c r="Q15" s="2856"/>
      <c r="R15" s="2856"/>
      <c r="S15" s="2856"/>
    </row>
    <row r="16" spans="1:19" hidden="1">
      <c r="A16" s="2758"/>
      <c r="B16" s="2406" t="e">
        <f>'Area Calculations'!#REF!</f>
        <v>#REF!</v>
      </c>
      <c r="C16" s="2706" t="s">
        <v>4877</v>
      </c>
      <c r="D16" s="2407"/>
      <c r="E16" s="2407"/>
      <c r="F16" s="2407"/>
      <c r="G16" s="660"/>
      <c r="H16" s="2856"/>
      <c r="I16" s="2856"/>
      <c r="J16" s="2856"/>
      <c r="K16" s="2856"/>
      <c r="L16" s="2856"/>
      <c r="M16" s="2856"/>
      <c r="N16" s="2856"/>
      <c r="O16" s="2856"/>
      <c r="P16" s="2856"/>
      <c r="Q16" s="2856"/>
      <c r="R16" s="2856"/>
      <c r="S16" s="2856"/>
    </row>
    <row r="17" spans="1:19" hidden="1">
      <c r="A17" s="2758"/>
      <c r="B17" s="2406" t="e">
        <f>'Area Calculations'!#REF!</f>
        <v>#REF!</v>
      </c>
      <c r="C17" s="2706" t="s">
        <v>4877</v>
      </c>
      <c r="D17" s="2407"/>
      <c r="E17" s="2407"/>
      <c r="F17" s="2407"/>
      <c r="G17" s="660"/>
      <c r="H17" s="2856"/>
      <c r="I17" s="2856"/>
      <c r="J17" s="2856"/>
      <c r="K17" s="2856"/>
      <c r="L17" s="2856"/>
      <c r="M17" s="2856"/>
      <c r="N17" s="2856"/>
      <c r="O17" s="2856"/>
      <c r="P17" s="2856"/>
      <c r="Q17" s="2856"/>
      <c r="R17" s="2856"/>
      <c r="S17" s="2856"/>
    </row>
    <row r="18" spans="1:19" hidden="1">
      <c r="A18" s="2758"/>
      <c r="B18" s="2406" t="e">
        <f>'Area Calculations'!#REF!</f>
        <v>#REF!</v>
      </c>
      <c r="C18" s="2706" t="s">
        <v>4877</v>
      </c>
      <c r="D18" s="2407"/>
      <c r="E18" s="2407"/>
      <c r="F18" s="2407"/>
      <c r="G18" s="660"/>
      <c r="H18" s="2856"/>
      <c r="I18" s="2856"/>
      <c r="J18" s="2856"/>
      <c r="K18" s="2856"/>
      <c r="L18" s="2856"/>
      <c r="M18" s="2856"/>
      <c r="N18" s="2856"/>
      <c r="O18" s="2856"/>
      <c r="P18" s="2856"/>
      <c r="Q18" s="2856"/>
      <c r="R18" s="2856"/>
      <c r="S18" s="2856"/>
    </row>
    <row r="19" spans="1:19" hidden="1">
      <c r="A19" s="2758"/>
      <c r="B19" s="2406" t="e">
        <f>'Area Calculations'!#REF!</f>
        <v>#REF!</v>
      </c>
      <c r="C19" s="2706" t="s">
        <v>4877</v>
      </c>
      <c r="D19" s="2407"/>
      <c r="E19" s="2407"/>
      <c r="F19" s="2407"/>
      <c r="G19" s="660"/>
      <c r="H19" s="2856"/>
      <c r="I19" s="2856"/>
      <c r="J19" s="2856"/>
      <c r="K19" s="2856"/>
      <c r="L19" s="2856"/>
      <c r="M19" s="2856"/>
      <c r="N19" s="2856"/>
      <c r="O19" s="2856"/>
      <c r="P19" s="2856"/>
      <c r="Q19" s="2856"/>
      <c r="R19" s="2856"/>
      <c r="S19" s="2856"/>
    </row>
    <row r="20" spans="1:19" ht="15.75" thickTop="1">
      <c r="A20" s="2758"/>
      <c r="B20" s="2406"/>
      <c r="C20" s="2706"/>
      <c r="D20" s="2407"/>
      <c r="E20" s="2407"/>
      <c r="F20" s="2407"/>
      <c r="G20" s="660"/>
      <c r="H20" s="2856"/>
      <c r="I20" s="2856"/>
      <c r="J20" s="2856"/>
      <c r="K20" s="2856"/>
      <c r="L20" s="2856"/>
      <c r="M20" s="2856"/>
      <c r="N20" s="2856"/>
      <c r="O20" s="2856"/>
      <c r="P20" s="2856"/>
      <c r="Q20" s="2856"/>
      <c r="R20" s="2856"/>
      <c r="S20" s="2856"/>
    </row>
    <row r="21" spans="1:19" ht="15.75" thickBot="1">
      <c r="A21" s="2758"/>
      <c r="B21" s="2709" t="s">
        <v>6100</v>
      </c>
      <c r="C21" s="2706"/>
      <c r="D21" s="2407"/>
      <c r="E21" s="2407"/>
      <c r="F21" s="2407"/>
      <c r="G21" s="660"/>
      <c r="H21" s="2856"/>
      <c r="I21" s="2856"/>
      <c r="J21" s="2856"/>
      <c r="K21" s="2856"/>
      <c r="L21" s="2856"/>
      <c r="M21" s="2856"/>
      <c r="N21" s="2856"/>
      <c r="O21" s="2856"/>
      <c r="P21" s="2856"/>
      <c r="Q21" s="2856"/>
      <c r="R21" s="2856"/>
      <c r="S21" s="2856"/>
    </row>
    <row r="22" spans="1:19">
      <c r="A22" s="2832"/>
      <c r="B22" s="2857" t="s">
        <v>2953</v>
      </c>
      <c r="C22" s="2706"/>
      <c r="D22" s="2407"/>
      <c r="E22" s="2407"/>
      <c r="F22" s="2407"/>
      <c r="G22" s="660"/>
      <c r="H22" s="2830"/>
      <c r="I22" s="2339"/>
      <c r="J22" s="2339"/>
      <c r="K22" s="2339"/>
      <c r="L22" s="2858"/>
      <c r="M22" s="2339"/>
      <c r="N22" s="2339"/>
      <c r="O22" s="2339"/>
      <c r="P22" s="2339"/>
      <c r="Q22" s="2339"/>
      <c r="R22" s="2339"/>
      <c r="S22" s="2339"/>
    </row>
    <row r="23" spans="1:19">
      <c r="A23" s="2832"/>
      <c r="B23" s="2859" t="s">
        <v>2954</v>
      </c>
      <c r="C23" s="2706"/>
      <c r="D23" s="2407"/>
      <c r="E23" s="2407"/>
      <c r="F23" s="2407"/>
      <c r="G23" s="660"/>
      <c r="H23" s="2858"/>
      <c r="I23" s="2338"/>
      <c r="J23" s="2858"/>
      <c r="K23" s="2339"/>
      <c r="L23" s="2858"/>
      <c r="M23" s="2339"/>
      <c r="N23" s="2339"/>
      <c r="O23" s="2339"/>
      <c r="P23" s="2339"/>
      <c r="Q23" s="2339"/>
      <c r="R23" s="2339"/>
      <c r="S23" s="2339"/>
    </row>
    <row r="24" spans="1:19">
      <c r="A24" s="2832"/>
      <c r="B24" s="2859" t="s">
        <v>2955</v>
      </c>
      <c r="C24" s="707"/>
      <c r="D24" s="2407"/>
      <c r="E24" s="2407"/>
      <c r="F24" s="2407"/>
      <c r="G24" s="660"/>
      <c r="H24" s="2858"/>
      <c r="I24" s="2338"/>
      <c r="J24" s="2858"/>
      <c r="K24" s="2339"/>
      <c r="L24" s="2858"/>
      <c r="M24" s="2339"/>
      <c r="N24" s="2339"/>
      <c r="O24" s="2339"/>
      <c r="P24" s="2339"/>
      <c r="Q24" s="2339"/>
      <c r="R24" s="2339"/>
      <c r="S24" s="2339"/>
    </row>
    <row r="25" spans="1:19">
      <c r="A25" s="2832"/>
      <c r="B25" s="2860" t="s">
        <v>2956</v>
      </c>
      <c r="C25" s="707"/>
      <c r="D25" s="2407"/>
      <c r="E25" s="2407"/>
      <c r="F25" s="2407"/>
      <c r="G25" s="660"/>
      <c r="H25" s="2858"/>
      <c r="I25" s="2338"/>
      <c r="J25" s="2858"/>
      <c r="K25" s="2339"/>
      <c r="L25" s="2858"/>
      <c r="M25" s="2339"/>
      <c r="N25" s="2339"/>
      <c r="O25" s="2339"/>
      <c r="P25" s="2339"/>
      <c r="Q25" s="2339"/>
      <c r="R25" s="2339"/>
      <c r="S25" s="2339"/>
    </row>
    <row r="26" spans="1:19" s="58" customFormat="1">
      <c r="A26" s="2861"/>
      <c r="B26" s="2860" t="s">
        <v>2957</v>
      </c>
      <c r="C26" s="662"/>
      <c r="D26" s="2357"/>
      <c r="E26" s="2357"/>
      <c r="F26" s="2357"/>
      <c r="G26" s="662"/>
      <c r="H26" s="2858"/>
      <c r="I26" s="2338"/>
      <c r="J26" s="2862"/>
      <c r="K26" s="2349"/>
      <c r="L26" s="2862"/>
      <c r="M26" s="2349"/>
      <c r="N26" s="2349"/>
      <c r="O26" s="2349"/>
      <c r="P26" s="2349"/>
      <c r="Q26" s="2349"/>
      <c r="R26" s="2349"/>
      <c r="S26" s="2349"/>
    </row>
    <row r="27" spans="1:19" s="58" customFormat="1">
      <c r="A27" s="2861"/>
      <c r="B27" s="2860" t="s">
        <v>2958</v>
      </c>
      <c r="C27" s="662"/>
      <c r="D27" s="2357"/>
      <c r="E27" s="2357"/>
      <c r="F27" s="2357"/>
      <c r="G27" s="662"/>
      <c r="H27" s="2858"/>
      <c r="I27" s="2338"/>
      <c r="J27" s="2862"/>
      <c r="K27" s="2349"/>
      <c r="L27" s="2862"/>
      <c r="M27" s="2349"/>
      <c r="N27" s="2349"/>
      <c r="O27" s="2349"/>
      <c r="P27" s="2349"/>
      <c r="Q27" s="2349"/>
      <c r="R27" s="2349"/>
      <c r="S27" s="2349"/>
    </row>
    <row r="28" spans="1:19" s="58" customFormat="1">
      <c r="A28" s="2861"/>
      <c r="B28" s="2860" t="s">
        <v>2959</v>
      </c>
      <c r="C28" s="662"/>
      <c r="D28" s="2357"/>
      <c r="E28" s="2357"/>
      <c r="F28" s="2357"/>
      <c r="G28" s="662"/>
      <c r="H28" s="2858"/>
      <c r="I28" s="2338"/>
      <c r="J28" s="2862"/>
      <c r="K28" s="2349"/>
      <c r="L28" s="2862"/>
      <c r="M28" s="2349"/>
      <c r="N28" s="2349"/>
      <c r="O28" s="2349"/>
      <c r="P28" s="2349"/>
      <c r="Q28" s="2349"/>
      <c r="R28" s="2349"/>
      <c r="S28" s="2349"/>
    </row>
    <row r="29" spans="1:19" s="58" customFormat="1">
      <c r="A29" s="2861"/>
      <c r="B29" s="2863" t="s">
        <v>2960</v>
      </c>
      <c r="C29" s="662"/>
      <c r="D29" s="2357"/>
      <c r="E29" s="2357"/>
      <c r="F29" s="2357"/>
      <c r="G29" s="662"/>
      <c r="H29" s="2858"/>
      <c r="I29" s="2338"/>
      <c r="J29" s="2862"/>
      <c r="K29" s="2349"/>
      <c r="L29" s="2862"/>
      <c r="M29" s="2349"/>
      <c r="N29" s="2349"/>
      <c r="O29" s="2349"/>
      <c r="P29" s="2349"/>
      <c r="Q29" s="2349"/>
      <c r="R29" s="2349"/>
      <c r="S29" s="2349"/>
    </row>
    <row r="30" spans="1:19" s="58" customFormat="1">
      <c r="A30" s="2861"/>
      <c r="B30" s="2864" t="s">
        <v>2961</v>
      </c>
      <c r="C30" s="665"/>
      <c r="D30" s="2717"/>
      <c r="E30" s="2717"/>
      <c r="F30" s="2717"/>
      <c r="G30" s="665"/>
      <c r="H30" s="2865"/>
      <c r="I30" s="2719"/>
      <c r="J30" s="2866"/>
      <c r="K30" s="2346"/>
      <c r="L30" s="2866"/>
      <c r="M30" s="2346"/>
      <c r="N30" s="2346"/>
      <c r="O30" s="2346"/>
      <c r="P30" s="2346"/>
      <c r="Q30" s="2346"/>
      <c r="R30" s="2346"/>
      <c r="S30" s="2346"/>
    </row>
    <row r="31" spans="1:19" s="58" customFormat="1">
      <c r="A31" s="2861"/>
      <c r="B31" s="77"/>
      <c r="C31" s="662"/>
      <c r="D31" s="2357"/>
      <c r="E31" s="2357"/>
      <c r="F31" s="2357"/>
      <c r="G31" s="662"/>
      <c r="H31" s="2858"/>
      <c r="I31" s="2338"/>
      <c r="J31" s="2862"/>
      <c r="K31" s="2349"/>
      <c r="L31" s="2862"/>
      <c r="M31" s="2349"/>
      <c r="N31" s="2349"/>
      <c r="O31" s="2349"/>
      <c r="P31" s="2349"/>
      <c r="Q31" s="2349"/>
      <c r="R31" s="2349"/>
      <c r="S31" s="2349"/>
    </row>
    <row r="32" spans="1:19" s="58" customFormat="1">
      <c r="A32" s="2867"/>
      <c r="B32" s="2868"/>
      <c r="C32" s="708"/>
      <c r="D32" s="2357"/>
      <c r="E32" s="2357"/>
      <c r="F32" s="2357"/>
      <c r="G32" s="662"/>
      <c r="H32" s="2858"/>
      <c r="I32" s="2338"/>
      <c r="J32" s="2862"/>
      <c r="K32" s="2349"/>
      <c r="L32" s="2862"/>
      <c r="M32" s="2349"/>
      <c r="N32" s="2349"/>
      <c r="O32" s="2349"/>
      <c r="P32" s="2349"/>
      <c r="Q32" s="2349"/>
      <c r="R32" s="2349"/>
      <c r="S32" s="2349"/>
    </row>
    <row r="33" spans="1:19" s="58" customFormat="1">
      <c r="A33" s="2867"/>
      <c r="B33" s="2869"/>
      <c r="C33" s="708"/>
      <c r="D33" s="2357"/>
      <c r="E33" s="2357"/>
      <c r="F33" s="2357"/>
      <c r="G33" s="662"/>
      <c r="H33" s="2858"/>
      <c r="I33" s="2338"/>
      <c r="J33" s="2862"/>
      <c r="K33" s="2349"/>
      <c r="L33" s="2862"/>
      <c r="M33" s="2349"/>
      <c r="N33" s="2349"/>
      <c r="O33" s="2349"/>
      <c r="P33" s="2349"/>
      <c r="Q33" s="2349"/>
      <c r="R33" s="2349"/>
      <c r="S33" s="2349"/>
    </row>
    <row r="34" spans="1:19" s="58" customFormat="1">
      <c r="A34" s="2867"/>
      <c r="B34" s="2869"/>
      <c r="C34" s="708"/>
      <c r="D34" s="2357"/>
      <c r="E34" s="2357"/>
      <c r="F34" s="2357"/>
      <c r="G34" s="662"/>
      <c r="H34" s="2858"/>
      <c r="I34" s="2338"/>
      <c r="J34" s="2862"/>
      <c r="K34" s="2349"/>
      <c r="L34" s="2862"/>
      <c r="M34" s="2349"/>
      <c r="N34" s="2349"/>
      <c r="O34" s="2349"/>
      <c r="P34" s="2349"/>
      <c r="Q34" s="2349"/>
      <c r="R34" s="2349"/>
      <c r="S34" s="2349"/>
    </row>
    <row r="35" spans="1:19" s="58" customFormat="1">
      <c r="A35" s="2867"/>
      <c r="B35" s="2870"/>
      <c r="C35" s="708"/>
      <c r="D35" s="2357"/>
      <c r="E35" s="2357"/>
      <c r="F35" s="2357"/>
      <c r="G35" s="662"/>
      <c r="H35" s="2858"/>
      <c r="I35" s="2338"/>
      <c r="J35" s="2862"/>
      <c r="K35" s="2349"/>
      <c r="L35" s="2862"/>
      <c r="M35" s="2349"/>
      <c r="N35" s="2349"/>
      <c r="O35" s="2349"/>
      <c r="P35" s="2349"/>
      <c r="Q35" s="2349"/>
      <c r="R35" s="2349"/>
      <c r="S35" s="2349"/>
    </row>
    <row r="36" spans="1:19" s="58" customFormat="1">
      <c r="A36" s="2867"/>
      <c r="B36" s="2869"/>
      <c r="C36" s="708"/>
      <c r="D36" s="2357"/>
      <c r="E36" s="2357"/>
      <c r="F36" s="2357"/>
      <c r="G36" s="662"/>
      <c r="H36" s="2858"/>
      <c r="I36" s="2338"/>
      <c r="J36" s="2862"/>
      <c r="K36" s="2349"/>
      <c r="L36" s="2862"/>
      <c r="M36" s="2349"/>
      <c r="N36" s="2349"/>
      <c r="O36" s="2349"/>
      <c r="P36" s="2349"/>
      <c r="Q36" s="2349"/>
      <c r="R36" s="2349"/>
      <c r="S36" s="2349"/>
    </row>
    <row r="37" spans="1:19" s="58" customFormat="1">
      <c r="A37" s="2867"/>
      <c r="B37" s="2869"/>
      <c r="C37" s="708"/>
      <c r="D37" s="2357"/>
      <c r="E37" s="709"/>
      <c r="F37" s="2722"/>
      <c r="G37" s="662"/>
      <c r="H37" s="2858"/>
      <c r="I37" s="2338"/>
      <c r="J37" s="2862"/>
      <c r="K37" s="2349"/>
      <c r="L37" s="2862"/>
      <c r="M37" s="2349"/>
      <c r="N37" s="2349"/>
      <c r="O37" s="2349"/>
      <c r="P37" s="2349"/>
      <c r="Q37" s="2349"/>
      <c r="R37" s="2349"/>
      <c r="S37" s="2349"/>
    </row>
    <row r="38" spans="1:19" s="58" customFormat="1">
      <c r="A38" s="2867"/>
      <c r="B38" s="2869"/>
      <c r="C38" s="708"/>
      <c r="D38" s="2357"/>
      <c r="E38" s="709"/>
      <c r="F38" s="2722"/>
      <c r="G38" s="662"/>
      <c r="H38" s="2858"/>
      <c r="I38" s="2338"/>
      <c r="J38" s="2862"/>
      <c r="K38" s="2349"/>
      <c r="L38" s="2862"/>
      <c r="M38" s="2349"/>
      <c r="N38" s="2349"/>
      <c r="O38" s="2349"/>
      <c r="P38" s="2349"/>
      <c r="Q38" s="2349"/>
      <c r="R38" s="2349"/>
      <c r="S38" s="2349"/>
    </row>
    <row r="39" spans="1:19" s="58" customFormat="1">
      <c r="A39" s="2867"/>
      <c r="B39" s="2869"/>
      <c r="C39" s="708"/>
      <c r="D39" s="2357"/>
      <c r="E39" s="709"/>
      <c r="F39" s="2722"/>
      <c r="G39" s="662"/>
      <c r="H39" s="2858"/>
      <c r="I39" s="2338"/>
      <c r="J39" s="2862"/>
      <c r="K39" s="2349"/>
      <c r="L39" s="2862"/>
      <c r="M39" s="2349"/>
      <c r="N39" s="2349"/>
      <c r="O39" s="2349"/>
      <c r="P39" s="2349"/>
      <c r="Q39" s="2349"/>
      <c r="R39" s="2349"/>
      <c r="S39" s="2349"/>
    </row>
    <row r="40" spans="1:19" s="58" customFormat="1">
      <c r="A40" s="2867"/>
      <c r="B40" s="2871"/>
      <c r="C40" s="708"/>
      <c r="D40" s="2357"/>
      <c r="E40" s="709"/>
      <c r="F40" s="2722"/>
      <c r="G40" s="662"/>
      <c r="H40" s="2858"/>
      <c r="I40" s="2338"/>
      <c r="J40" s="2862"/>
      <c r="K40" s="2349"/>
      <c r="L40" s="2862"/>
      <c r="M40" s="2349"/>
      <c r="N40" s="2349"/>
      <c r="O40" s="2349"/>
      <c r="P40" s="2349"/>
      <c r="Q40" s="2349"/>
      <c r="R40" s="2349"/>
      <c r="S40" s="2349"/>
    </row>
    <row r="41" spans="1:19" s="58" customFormat="1">
      <c r="A41" s="2867"/>
      <c r="B41" s="2872"/>
      <c r="C41" s="708"/>
      <c r="D41" s="2357"/>
      <c r="E41" s="709"/>
      <c r="F41" s="2722"/>
      <c r="G41" s="662"/>
      <c r="H41" s="2858"/>
      <c r="I41" s="2338"/>
      <c r="J41" s="2862"/>
      <c r="K41" s="2349"/>
      <c r="L41" s="2862"/>
      <c r="M41" s="2349"/>
      <c r="N41" s="2349"/>
      <c r="O41" s="2349"/>
      <c r="P41" s="2349"/>
      <c r="Q41" s="2349"/>
      <c r="R41" s="2349"/>
      <c r="S41" s="2349"/>
    </row>
    <row r="42" spans="1:19" s="58" customFormat="1">
      <c r="A42" s="2867"/>
      <c r="B42" s="78"/>
      <c r="C42" s="708"/>
      <c r="D42" s="2357"/>
      <c r="E42" s="709"/>
      <c r="F42" s="2722"/>
      <c r="G42" s="662"/>
      <c r="H42" s="2858"/>
      <c r="I42" s="2338"/>
      <c r="J42" s="2862"/>
      <c r="K42" s="2349"/>
      <c r="L42" s="2862"/>
      <c r="M42" s="2349"/>
      <c r="N42" s="2349"/>
      <c r="O42" s="2349"/>
      <c r="P42" s="2349"/>
      <c r="Q42" s="2349"/>
      <c r="R42" s="2349"/>
      <c r="S42" s="2349"/>
    </row>
    <row r="43" spans="1:19" s="58" customFormat="1">
      <c r="A43" s="2867"/>
      <c r="B43" s="2873"/>
      <c r="C43" s="708"/>
      <c r="D43" s="2357"/>
      <c r="E43" s="709"/>
      <c r="F43" s="2722"/>
      <c r="G43" s="662"/>
      <c r="H43" s="2858"/>
      <c r="I43" s="2338"/>
      <c r="J43" s="2862"/>
      <c r="K43" s="2349"/>
      <c r="L43" s="2862"/>
      <c r="M43" s="2349"/>
      <c r="N43" s="2349"/>
      <c r="O43" s="2349"/>
      <c r="P43" s="2349"/>
      <c r="Q43" s="2349"/>
      <c r="R43" s="2349"/>
      <c r="S43" s="2349"/>
    </row>
    <row r="44" spans="1:19" s="58" customFormat="1">
      <c r="A44" s="2867"/>
      <c r="B44" s="2873"/>
      <c r="C44" s="708"/>
      <c r="D44" s="2357"/>
      <c r="E44" s="709"/>
      <c r="F44" s="2722"/>
      <c r="G44" s="662"/>
      <c r="H44" s="2858"/>
      <c r="I44" s="2338"/>
      <c r="J44" s="2862"/>
      <c r="K44" s="2349"/>
      <c r="L44" s="2862"/>
      <c r="M44" s="2349"/>
      <c r="N44" s="2349"/>
      <c r="O44" s="2349"/>
      <c r="P44" s="2349"/>
      <c r="Q44" s="2349"/>
      <c r="R44" s="2349"/>
      <c r="S44" s="2349"/>
    </row>
    <row r="45" spans="1:19" s="58" customFormat="1">
      <c r="A45" s="2867"/>
      <c r="B45" s="2873"/>
      <c r="C45" s="708"/>
      <c r="D45" s="2357"/>
      <c r="E45" s="709"/>
      <c r="F45" s="2722"/>
      <c r="G45" s="662"/>
      <c r="H45" s="2858"/>
      <c r="I45" s="2338"/>
      <c r="J45" s="2862"/>
      <c r="K45" s="2349"/>
      <c r="L45" s="2862"/>
      <c r="M45" s="2349"/>
      <c r="N45" s="2349"/>
      <c r="O45" s="2349"/>
      <c r="P45" s="2349"/>
      <c r="Q45" s="2349"/>
      <c r="R45" s="2349"/>
      <c r="S45" s="2349"/>
    </row>
    <row r="46" spans="1:19" s="58" customFormat="1">
      <c r="A46" s="2867"/>
      <c r="B46" s="2873"/>
      <c r="C46" s="708"/>
      <c r="D46" s="2357"/>
      <c r="E46" s="709"/>
      <c r="F46" s="2722"/>
      <c r="G46" s="662"/>
      <c r="H46" s="2858"/>
      <c r="I46" s="2338"/>
      <c r="J46" s="2862"/>
      <c r="K46" s="2349"/>
      <c r="L46" s="2862"/>
      <c r="M46" s="2349"/>
      <c r="N46" s="2349"/>
      <c r="O46" s="2349"/>
      <c r="P46" s="2349"/>
      <c r="Q46" s="2349"/>
      <c r="R46" s="2349"/>
      <c r="S46" s="2349"/>
    </row>
    <row r="47" spans="1:19" s="58" customFormat="1" ht="15.75" thickBot="1">
      <c r="A47" s="2867"/>
      <c r="B47" s="2873"/>
      <c r="C47" s="708"/>
      <c r="D47" s="2357"/>
      <c r="E47" s="709"/>
      <c r="F47" s="2722"/>
      <c r="G47" s="662"/>
      <c r="H47" s="2858"/>
      <c r="I47" s="2338"/>
      <c r="J47" s="2862"/>
      <c r="K47" s="2349"/>
      <c r="L47" s="2862"/>
      <c r="M47" s="2349"/>
      <c r="N47" s="2349"/>
      <c r="O47" s="2349"/>
      <c r="P47" s="2349"/>
      <c r="Q47" s="2349"/>
      <c r="R47" s="2349"/>
      <c r="S47" s="2349"/>
    </row>
    <row r="48" spans="1:19" ht="15.75" thickTop="1">
      <c r="A48" s="13"/>
      <c r="B48" s="14"/>
      <c r="C48" s="15"/>
      <c r="D48" s="15"/>
      <c r="E48" s="16"/>
      <c r="F48" s="17" t="s">
        <v>2975</v>
      </c>
      <c r="G48" s="18"/>
      <c r="H48" s="19"/>
      <c r="I48" s="53">
        <f>SUM(I23:I47)</f>
        <v>0</v>
      </c>
      <c r="J48" s="19"/>
      <c r="K48" s="53">
        <f>SUM(K23:K47)</f>
        <v>0</v>
      </c>
      <c r="L48" s="19"/>
      <c r="M48" s="53">
        <f>SUM(M23:M47)</f>
        <v>0</v>
      </c>
      <c r="N48" s="19"/>
      <c r="O48" s="53">
        <f>SUM(O23:O47)</f>
        <v>0</v>
      </c>
      <c r="P48" s="19"/>
      <c r="Q48" s="53">
        <f>SUM(Q23:Q47)</f>
        <v>0</v>
      </c>
      <c r="R48" s="19"/>
      <c r="S48" s="53">
        <f>SUM(S23:S47)</f>
        <v>0</v>
      </c>
    </row>
    <row r="49" spans="1:19">
      <c r="A49" s="2751"/>
      <c r="B49" s="2372"/>
      <c r="C49" s="2360"/>
      <c r="D49" s="2360"/>
      <c r="E49" s="2726"/>
      <c r="F49" s="2363" t="s">
        <v>2976</v>
      </c>
      <c r="G49" s="656"/>
      <c r="H49" s="2817">
        <v>0</v>
      </c>
      <c r="I49" s="2874"/>
      <c r="J49" s="2817">
        <v>0</v>
      </c>
      <c r="K49" s="2874"/>
      <c r="L49" s="2817">
        <v>0</v>
      </c>
      <c r="M49" s="2874"/>
      <c r="N49" s="2817">
        <v>0</v>
      </c>
      <c r="O49" s="2874"/>
      <c r="P49" s="2817">
        <v>0</v>
      </c>
      <c r="Q49" s="2874"/>
      <c r="R49" s="2817">
        <v>0</v>
      </c>
      <c r="S49" s="2874"/>
    </row>
    <row r="50" spans="1:19">
      <c r="A50" s="2751"/>
      <c r="B50" s="2372"/>
      <c r="C50" s="2360"/>
      <c r="D50" s="2360"/>
      <c r="E50" s="2726"/>
      <c r="F50" s="2363" t="s">
        <v>2977</v>
      </c>
      <c r="G50" s="656"/>
      <c r="H50" s="2818"/>
      <c r="I50" s="2875">
        <f>H49*I48</f>
        <v>0</v>
      </c>
      <c r="J50" s="2818"/>
      <c r="K50" s="2875">
        <f>J49*K48</f>
        <v>0</v>
      </c>
      <c r="L50" s="2818"/>
      <c r="M50" s="2875">
        <f>L49*M48</f>
        <v>0</v>
      </c>
      <c r="N50" s="2818"/>
      <c r="O50" s="2875">
        <f>N49*O48</f>
        <v>0</v>
      </c>
      <c r="P50" s="2818"/>
      <c r="Q50" s="2875">
        <f>P49*Q48</f>
        <v>0</v>
      </c>
      <c r="R50" s="2818"/>
      <c r="S50" s="2875">
        <f>R49*S48</f>
        <v>0</v>
      </c>
    </row>
    <row r="51" spans="1:19">
      <c r="A51" s="2751"/>
      <c r="B51" s="2372"/>
      <c r="C51" s="2360"/>
      <c r="D51" s="2360"/>
      <c r="E51" s="2726"/>
      <c r="F51" s="2363"/>
      <c r="G51" s="656"/>
      <c r="H51" s="2818"/>
      <c r="I51" s="2819"/>
      <c r="J51" s="2818"/>
      <c r="K51" s="2819"/>
      <c r="L51" s="2818"/>
      <c r="M51" s="2819"/>
      <c r="N51" s="2818"/>
      <c r="O51" s="2819"/>
      <c r="P51" s="2818"/>
      <c r="Q51" s="2819"/>
      <c r="R51" s="2818"/>
      <c r="S51" s="2819"/>
    </row>
    <row r="52" spans="1:19">
      <c r="A52" s="2751"/>
      <c r="B52" s="2372"/>
      <c r="C52" s="2360"/>
      <c r="D52" s="2360"/>
      <c r="E52" s="2726"/>
      <c r="F52" s="2363" t="s">
        <v>2978</v>
      </c>
      <c r="G52" s="656"/>
      <c r="H52" s="2820"/>
      <c r="I52" s="2876">
        <f>SUM(I48:I50)</f>
        <v>0</v>
      </c>
      <c r="J52" s="2820"/>
      <c r="K52" s="2876">
        <f>SUM(K48:K50)</f>
        <v>0</v>
      </c>
      <c r="L52" s="2820"/>
      <c r="M52" s="2876">
        <f>SUM(M48:M50)</f>
        <v>0</v>
      </c>
      <c r="N52" s="2820"/>
      <c r="O52" s="2876">
        <f>SUM(O48:O50)</f>
        <v>0</v>
      </c>
      <c r="P52" s="2820"/>
      <c r="Q52" s="2876">
        <f>SUM(Q48:Q50)</f>
        <v>0</v>
      </c>
      <c r="R52" s="2820"/>
      <c r="S52" s="2876">
        <f>SUM(S48:S50)</f>
        <v>0</v>
      </c>
    </row>
    <row r="53" spans="1:19">
      <c r="A53" s="2751"/>
      <c r="B53" s="2372"/>
      <c r="C53" s="2360"/>
      <c r="D53" s="2360"/>
      <c r="E53" s="2726"/>
      <c r="F53" s="2368" t="s">
        <v>2979</v>
      </c>
      <c r="G53" s="655"/>
      <c r="H53" s="2821"/>
      <c r="I53" s="2823">
        <f>I52/'Area Calculations'!$F$5</f>
        <v>0</v>
      </c>
      <c r="J53" s="2821"/>
      <c r="K53" s="2823">
        <f>K52/'Area Calculations'!$F$5</f>
        <v>0</v>
      </c>
      <c r="L53" s="2821"/>
      <c r="M53" s="2823">
        <f>M52/'Area Calculations'!$F$5</f>
        <v>0</v>
      </c>
      <c r="N53" s="2821"/>
      <c r="O53" s="2823">
        <f>O52/'Area Calculations'!$F$5</f>
        <v>0</v>
      </c>
      <c r="P53" s="2821"/>
      <c r="Q53" s="2823">
        <f>Q52/'Area Calculations'!$F$5</f>
        <v>0</v>
      </c>
      <c r="R53" s="2821"/>
      <c r="S53" s="2823">
        <f>S52/'Area Calculations'!$F$5</f>
        <v>0</v>
      </c>
    </row>
    <row r="54" spans="1:19">
      <c r="A54" s="2751"/>
      <c r="B54" s="2372"/>
      <c r="C54" s="2360"/>
      <c r="D54" s="2360"/>
      <c r="E54" s="2726"/>
      <c r="F54" s="2368" t="s">
        <v>4878</v>
      </c>
      <c r="G54" s="686"/>
      <c r="H54" s="2821"/>
      <c r="I54" s="2823" t="e">
        <f>I52/'Area Calculations'!$F$10</f>
        <v>#DIV/0!</v>
      </c>
      <c r="J54" s="2821"/>
      <c r="K54" s="2823" t="e">
        <f>K52/'Area Calculations'!$F$10</f>
        <v>#DIV/0!</v>
      </c>
      <c r="L54" s="2821"/>
      <c r="M54" s="2823" t="e">
        <f>M52/'Area Calculations'!$F$10</f>
        <v>#DIV/0!</v>
      </c>
      <c r="N54" s="2821"/>
      <c r="O54" s="2823" t="e">
        <f>O52/'Area Calculations'!$F$10</f>
        <v>#DIV/0!</v>
      </c>
      <c r="P54" s="2821"/>
      <c r="Q54" s="2823" t="e">
        <f>Q52/'Area Calculations'!$F$10</f>
        <v>#DIV/0!</v>
      </c>
      <c r="R54" s="2821"/>
      <c r="S54" s="2823" t="e">
        <f>S52/'Area Calculations'!$F$10</f>
        <v>#DIV/0!</v>
      </c>
    </row>
    <row r="55" spans="1:19" ht="15.75" thickBot="1">
      <c r="A55" s="2751"/>
      <c r="B55" s="2372"/>
      <c r="C55" s="2360"/>
      <c r="D55" s="2360"/>
      <c r="E55" s="2726"/>
      <c r="F55" s="2363"/>
      <c r="G55" s="687"/>
      <c r="H55" s="2877"/>
      <c r="I55" s="2878"/>
      <c r="J55" s="2877"/>
      <c r="K55" s="2878"/>
      <c r="L55" s="2877"/>
      <c r="M55" s="2878"/>
      <c r="N55" s="2877"/>
      <c r="O55" s="2878"/>
      <c r="P55" s="2877"/>
      <c r="Q55" s="2878"/>
      <c r="R55" s="2877"/>
      <c r="S55" s="2878"/>
    </row>
    <row r="56" spans="1:19" ht="16.5" thickTop="1" thickBot="1">
      <c r="A56" s="830" t="s">
        <v>2980</v>
      </c>
      <c r="B56" s="831"/>
      <c r="C56" s="12"/>
      <c r="D56" s="12"/>
      <c r="E56" s="12"/>
      <c r="F56" s="12"/>
      <c r="G56" s="48"/>
      <c r="H56" s="47"/>
      <c r="I56" s="20"/>
      <c r="J56" s="20"/>
      <c r="K56" s="20"/>
      <c r="L56" s="20"/>
      <c r="M56" s="20"/>
      <c r="N56" s="20"/>
      <c r="O56" s="20"/>
      <c r="P56" s="20"/>
      <c r="Q56" s="20"/>
      <c r="R56" s="20"/>
      <c r="S56" s="20"/>
    </row>
    <row r="57" spans="1:19" ht="15.75" thickTop="1">
      <c r="A57" s="2842"/>
      <c r="B57" s="2406"/>
      <c r="C57" s="2843"/>
      <c r="D57" s="2843"/>
      <c r="E57" s="2843"/>
      <c r="F57" s="2843"/>
      <c r="G57" s="2879"/>
      <c r="H57" s="2381"/>
      <c r="I57" s="2847"/>
      <c r="J57" s="2847"/>
      <c r="K57" s="2847"/>
      <c r="L57" s="2847"/>
      <c r="M57" s="2847"/>
      <c r="N57" s="2847"/>
      <c r="O57" s="2847"/>
      <c r="P57" s="2847"/>
      <c r="Q57" s="2847"/>
      <c r="R57" s="2847"/>
      <c r="S57" s="2847"/>
    </row>
    <row r="58" spans="1:19" s="2" customFormat="1">
      <c r="A58" s="2842"/>
      <c r="B58" s="2406"/>
      <c r="C58" s="2843"/>
      <c r="D58" s="2843"/>
      <c r="E58" s="2843"/>
      <c r="F58" s="2843"/>
      <c r="G58" s="2879"/>
      <c r="H58" s="2381"/>
      <c r="I58" s="2847"/>
      <c r="J58" s="2847"/>
      <c r="K58" s="2847"/>
      <c r="L58" s="2847"/>
      <c r="M58" s="2847"/>
      <c r="N58" s="2847"/>
      <c r="O58" s="2847"/>
      <c r="P58" s="2847"/>
      <c r="Q58" s="2847"/>
      <c r="R58" s="2847"/>
      <c r="S58" s="2847"/>
    </row>
    <row r="59" spans="1:19" s="2" customFormat="1" ht="15.75" thickBot="1">
      <c r="A59" s="2842"/>
      <c r="B59" s="2406"/>
      <c r="C59" s="2843"/>
      <c r="D59" s="2843"/>
      <c r="E59" s="2843"/>
      <c r="F59" s="2843"/>
      <c r="G59" s="2879"/>
      <c r="H59" s="2381"/>
      <c r="I59" s="2847"/>
      <c r="J59" s="2847"/>
      <c r="K59" s="2847"/>
      <c r="L59" s="2847"/>
      <c r="M59" s="2847"/>
      <c r="N59" s="2847"/>
      <c r="O59" s="2847"/>
      <c r="P59" s="2847"/>
      <c r="Q59" s="2847"/>
      <c r="R59" s="2847"/>
      <c r="S59" s="2847"/>
    </row>
    <row r="60" spans="1:19" ht="16.5" thickTop="1" thickBot="1">
      <c r="A60" s="830" t="s">
        <v>2981</v>
      </c>
      <c r="B60" s="831"/>
      <c r="C60" s="12"/>
      <c r="D60" s="12"/>
      <c r="E60" s="12"/>
      <c r="F60" s="12"/>
      <c r="G60" s="48"/>
      <c r="H60" s="47"/>
      <c r="I60" s="20"/>
      <c r="J60" s="20"/>
      <c r="K60" s="20"/>
      <c r="L60" s="20"/>
      <c r="M60" s="20"/>
      <c r="N60" s="20"/>
      <c r="O60" s="20"/>
      <c r="P60" s="20"/>
      <c r="Q60" s="20"/>
      <c r="R60" s="20"/>
      <c r="S60" s="20"/>
    </row>
    <row r="61" spans="1:19" s="2" customFormat="1" ht="15.75" thickTop="1">
      <c r="A61" s="2842"/>
      <c r="B61" s="2406"/>
      <c r="C61" s="2843"/>
      <c r="D61" s="2843"/>
      <c r="E61" s="2843"/>
      <c r="F61" s="2843"/>
      <c r="G61" s="2879"/>
      <c r="H61" s="2381"/>
      <c r="I61" s="2847"/>
      <c r="J61" s="2847"/>
      <c r="K61" s="2847"/>
      <c r="L61" s="2847"/>
      <c r="M61" s="2847"/>
      <c r="N61" s="2847"/>
      <c r="O61" s="2847"/>
      <c r="P61" s="2847"/>
      <c r="Q61" s="2847"/>
      <c r="R61" s="2847"/>
      <c r="S61" s="2847"/>
    </row>
    <row r="62" spans="1:19" s="2" customFormat="1">
      <c r="A62" s="2842"/>
      <c r="B62" s="2406"/>
      <c r="C62" s="2843"/>
      <c r="D62" s="2843"/>
      <c r="E62" s="2843"/>
      <c r="F62" s="2843"/>
      <c r="G62" s="2879"/>
      <c r="H62" s="2381"/>
      <c r="I62" s="2847"/>
      <c r="J62" s="2847"/>
      <c r="K62" s="2847"/>
      <c r="L62" s="2847"/>
      <c r="M62" s="2847"/>
      <c r="N62" s="2847"/>
      <c r="O62" s="2847"/>
      <c r="P62" s="2847"/>
      <c r="Q62" s="2847"/>
      <c r="R62" s="2847"/>
      <c r="S62" s="2847"/>
    </row>
    <row r="63" spans="1:19" ht="15.75" thickBot="1">
      <c r="A63" s="2842"/>
      <c r="B63" s="2406"/>
      <c r="C63" s="2843"/>
      <c r="D63" s="2843"/>
      <c r="E63" s="2843"/>
      <c r="F63" s="2843"/>
      <c r="G63" s="2879"/>
      <c r="H63" s="2381"/>
      <c r="I63" s="2847"/>
      <c r="J63" s="2847"/>
      <c r="K63" s="2847"/>
      <c r="L63" s="2847"/>
      <c r="M63" s="2847"/>
      <c r="N63" s="2847"/>
      <c r="O63" s="2847"/>
      <c r="P63" s="2847"/>
      <c r="Q63" s="2847"/>
      <c r="R63" s="2847"/>
      <c r="S63" s="2847"/>
    </row>
    <row r="64" spans="1:19" ht="16.5" thickTop="1" thickBot="1">
      <c r="A64" s="830" t="s">
        <v>2982</v>
      </c>
      <c r="B64" s="831"/>
      <c r="C64" s="12"/>
      <c r="D64" s="12"/>
      <c r="E64" s="12"/>
      <c r="F64" s="12"/>
      <c r="G64" s="48"/>
      <c r="H64" s="47"/>
      <c r="I64" s="20"/>
      <c r="J64" s="20"/>
      <c r="K64" s="20"/>
      <c r="L64" s="20"/>
      <c r="M64" s="20"/>
      <c r="N64" s="20"/>
      <c r="O64" s="20"/>
      <c r="P64" s="20"/>
      <c r="Q64" s="20"/>
      <c r="R64" s="20"/>
      <c r="S64" s="20"/>
    </row>
    <row r="65" spans="1:19" ht="15.75" thickTop="1">
      <c r="A65" s="2842"/>
      <c r="B65" s="2406"/>
      <c r="C65" s="2843"/>
      <c r="D65" s="2843"/>
      <c r="E65" s="2843"/>
      <c r="F65" s="2843"/>
      <c r="G65" s="2879"/>
      <c r="H65" s="2381"/>
      <c r="I65" s="2847"/>
      <c r="J65" s="2847"/>
      <c r="K65" s="2847"/>
      <c r="L65" s="2847"/>
      <c r="M65" s="2847"/>
      <c r="N65" s="2847"/>
      <c r="O65" s="2847"/>
      <c r="P65" s="2847"/>
      <c r="Q65" s="2847"/>
      <c r="R65" s="2847"/>
      <c r="S65" s="2847"/>
    </row>
    <row r="66" spans="1:19">
      <c r="A66" s="2758"/>
      <c r="B66" s="2406"/>
      <c r="C66" s="2407"/>
      <c r="D66" s="2407"/>
      <c r="E66" s="2407"/>
      <c r="F66" s="2407"/>
      <c r="G66" s="2880"/>
      <c r="H66" s="688"/>
      <c r="I66" s="2760"/>
      <c r="J66" s="2760"/>
      <c r="K66" s="2760"/>
      <c r="L66" s="2760"/>
      <c r="M66" s="2760"/>
      <c r="N66" s="2760"/>
      <c r="O66" s="2760"/>
      <c r="P66" s="2760"/>
      <c r="Q66" s="2760"/>
      <c r="R66" s="2760"/>
      <c r="S66" s="2760"/>
    </row>
    <row r="67" spans="1:19" ht="15.75" thickBot="1">
      <c r="A67" s="2761"/>
      <c r="B67" s="2386"/>
      <c r="C67" s="2407"/>
      <c r="D67" s="2407"/>
      <c r="E67" s="2407"/>
      <c r="F67" s="2407"/>
      <c r="G67" s="2880"/>
      <c r="H67" s="689"/>
      <c r="I67" s="2763"/>
      <c r="J67" s="2763"/>
      <c r="K67" s="2763"/>
      <c r="L67" s="2763"/>
      <c r="M67" s="2763"/>
      <c r="N67" s="2763"/>
      <c r="O67" s="2763"/>
      <c r="P67" s="2763"/>
      <c r="Q67" s="2763"/>
      <c r="R67" s="2763"/>
      <c r="S67" s="2763"/>
    </row>
    <row r="68" spans="1:19" ht="16.5" thickTop="1" thickBot="1">
      <c r="A68" s="830" t="s">
        <v>2983</v>
      </c>
      <c r="B68" s="831"/>
      <c r="C68" s="12"/>
      <c r="D68" s="12"/>
      <c r="E68" s="12"/>
      <c r="F68" s="12"/>
      <c r="G68" s="48"/>
      <c r="H68" s="47"/>
      <c r="I68" s="20"/>
      <c r="J68" s="20"/>
      <c r="K68" s="20"/>
      <c r="L68" s="20"/>
      <c r="M68" s="20"/>
      <c r="N68" s="20"/>
      <c r="O68" s="20"/>
      <c r="P68" s="20"/>
      <c r="Q68" s="20"/>
      <c r="R68" s="20"/>
      <c r="S68" s="20"/>
    </row>
    <row r="69" spans="1:19" ht="15.75" thickTop="1">
      <c r="A69" s="2848"/>
      <c r="B69" s="2849"/>
      <c r="C69" s="2843"/>
      <c r="D69" s="2843"/>
      <c r="E69" s="2843"/>
      <c r="F69" s="2843"/>
      <c r="G69" s="2879"/>
      <c r="H69" s="2381"/>
      <c r="I69" s="2847"/>
      <c r="J69" s="2847"/>
      <c r="K69" s="2847"/>
      <c r="L69" s="2847"/>
      <c r="M69" s="2847"/>
      <c r="N69" s="2847"/>
      <c r="O69" s="2847"/>
      <c r="P69" s="2847"/>
      <c r="Q69" s="2847"/>
      <c r="R69" s="2847"/>
      <c r="S69" s="2847"/>
    </row>
    <row r="70" spans="1:19">
      <c r="A70" s="2761"/>
      <c r="B70" s="2386"/>
      <c r="C70" s="2407"/>
      <c r="D70" s="2407"/>
      <c r="E70" s="2407"/>
      <c r="F70" s="2407"/>
      <c r="G70" s="2880"/>
      <c r="H70" s="690"/>
      <c r="I70" s="2764"/>
      <c r="J70" s="2764"/>
      <c r="K70" s="2764"/>
      <c r="L70" s="2764"/>
      <c r="M70" s="2764"/>
      <c r="N70" s="2764"/>
      <c r="O70" s="2764"/>
      <c r="P70" s="2764"/>
      <c r="Q70" s="2764"/>
      <c r="R70" s="2764"/>
      <c r="S70" s="2764"/>
    </row>
    <row r="71" spans="1:19" ht="15.75" thickBot="1">
      <c r="A71" s="2761"/>
      <c r="B71" s="2386"/>
      <c r="C71" s="2407"/>
      <c r="D71" s="2407"/>
      <c r="E71" s="2407"/>
      <c r="F71" s="2407"/>
      <c r="G71" s="2880"/>
      <c r="H71" s="690"/>
      <c r="I71" s="2764"/>
      <c r="J71" s="2764"/>
      <c r="K71" s="2764"/>
      <c r="L71" s="2764"/>
      <c r="M71" s="2764"/>
      <c r="N71" s="2764"/>
      <c r="O71" s="2764"/>
      <c r="P71" s="2764"/>
      <c r="Q71" s="2764"/>
      <c r="R71" s="2764"/>
      <c r="S71" s="2764"/>
    </row>
    <row r="72" spans="1:19" ht="16.5" thickTop="1" thickBot="1">
      <c r="A72" s="830" t="s">
        <v>2984</v>
      </c>
      <c r="B72" s="831"/>
      <c r="C72" s="12"/>
      <c r="D72" s="12"/>
      <c r="E72" s="12"/>
      <c r="F72" s="12"/>
      <c r="G72" s="48"/>
      <c r="H72" s="47"/>
      <c r="I72" s="20"/>
      <c r="J72" s="20"/>
      <c r="K72" s="20"/>
      <c r="L72" s="20"/>
      <c r="M72" s="20"/>
      <c r="N72" s="20"/>
      <c r="O72" s="20"/>
      <c r="P72" s="20"/>
      <c r="Q72" s="20"/>
      <c r="R72" s="20"/>
      <c r="S72" s="20"/>
    </row>
    <row r="73" spans="1:19" ht="15.75" thickTop="1">
      <c r="A73" s="2758"/>
      <c r="B73" s="2406" t="s">
        <v>2985</v>
      </c>
      <c r="C73" s="2407"/>
      <c r="D73" s="2407"/>
      <c r="E73" s="2407"/>
      <c r="F73" s="2407"/>
      <c r="G73" s="2880"/>
      <c r="H73" s="690"/>
      <c r="I73" s="2764"/>
      <c r="J73" s="2764"/>
      <c r="K73" s="2764"/>
      <c r="L73" s="2764"/>
      <c r="M73" s="2764"/>
      <c r="N73" s="2764"/>
      <c r="O73" s="2764"/>
      <c r="P73" s="2764"/>
      <c r="Q73" s="2764"/>
      <c r="R73" s="2764"/>
      <c r="S73" s="2764"/>
    </row>
    <row r="74" spans="1:19">
      <c r="A74" s="2758"/>
      <c r="B74" s="2406" t="s">
        <v>2986</v>
      </c>
      <c r="C74" s="2407"/>
      <c r="D74" s="2407"/>
      <c r="E74" s="2407"/>
      <c r="F74" s="2407"/>
      <c r="G74" s="2880"/>
      <c r="H74" s="690"/>
      <c r="I74" s="2764"/>
      <c r="J74" s="2764"/>
      <c r="K74" s="2764"/>
      <c r="L74" s="2764"/>
      <c r="M74" s="2764"/>
      <c r="N74" s="2764"/>
      <c r="O74" s="2764"/>
      <c r="P74" s="2764"/>
      <c r="Q74" s="2764"/>
      <c r="R74" s="2764"/>
      <c r="S74" s="2764"/>
    </row>
    <row r="75" spans="1:19">
      <c r="A75" s="2758"/>
      <c r="B75" s="2406" t="s">
        <v>2987</v>
      </c>
      <c r="C75" s="2407"/>
      <c r="D75" s="2407"/>
      <c r="E75" s="2407"/>
      <c r="F75" s="2407"/>
      <c r="G75" s="2880"/>
      <c r="H75" s="690"/>
      <c r="I75" s="2764"/>
      <c r="J75" s="2764"/>
      <c r="K75" s="2764"/>
      <c r="L75" s="2764"/>
      <c r="M75" s="2764"/>
      <c r="N75" s="2764"/>
      <c r="O75" s="2764"/>
      <c r="P75" s="2764"/>
      <c r="Q75" s="2764"/>
      <c r="R75" s="2764"/>
      <c r="S75" s="2764"/>
    </row>
    <row r="76" spans="1:19">
      <c r="A76" s="2758"/>
      <c r="B76" s="2406" t="s">
        <v>2988</v>
      </c>
      <c r="C76" s="2407"/>
      <c r="D76" s="2407"/>
      <c r="E76" s="2407"/>
      <c r="F76" s="2407"/>
      <c r="G76" s="2880"/>
      <c r="H76" s="690"/>
      <c r="I76" s="2764"/>
      <c r="J76" s="2764"/>
      <c r="K76" s="2764"/>
      <c r="L76" s="2764"/>
      <c r="M76" s="2764"/>
      <c r="N76" s="2764"/>
      <c r="O76" s="2764"/>
      <c r="P76" s="2764"/>
      <c r="Q76" s="2764"/>
      <c r="R76" s="2764"/>
      <c r="S76" s="2764"/>
    </row>
    <row r="77" spans="1:19" ht="15.75" thickBot="1">
      <c r="A77" s="646"/>
      <c r="B77" s="619"/>
      <c r="C77" s="616"/>
      <c r="D77" s="616"/>
      <c r="E77" s="616"/>
      <c r="F77" s="616"/>
      <c r="G77" s="629"/>
      <c r="H77" s="630"/>
      <c r="I77" s="647"/>
      <c r="J77" s="647"/>
      <c r="K77" s="647"/>
      <c r="L77" s="647"/>
      <c r="M77" s="647"/>
      <c r="N77" s="647"/>
      <c r="O77" s="647"/>
      <c r="P77" s="647"/>
      <c r="Q77" s="647"/>
      <c r="R77" s="647"/>
      <c r="S77" s="647"/>
    </row>
    <row r="78" spans="1:19" ht="16.5" thickTop="1" thickBot="1">
      <c r="A78" s="7" t="s">
        <v>2989</v>
      </c>
      <c r="B78" s="8"/>
      <c r="C78" s="12"/>
      <c r="D78" s="12"/>
      <c r="E78" s="12"/>
      <c r="F78" s="12"/>
      <c r="G78" s="48"/>
      <c r="H78" s="47"/>
      <c r="I78" s="20"/>
      <c r="J78" s="20"/>
      <c r="K78" s="20"/>
      <c r="L78" s="20"/>
      <c r="M78" s="20"/>
      <c r="N78" s="20"/>
      <c r="O78" s="20"/>
      <c r="P78" s="20"/>
      <c r="Q78" s="20"/>
      <c r="R78" s="20"/>
      <c r="S78" s="20"/>
    </row>
    <row r="79" spans="1:19" ht="15.75" thickTop="1">
      <c r="A79" s="2842"/>
      <c r="B79" s="2881" t="s">
        <v>2990</v>
      </c>
      <c r="C79" s="2843"/>
      <c r="D79" s="2843"/>
      <c r="E79" s="2843"/>
      <c r="F79" s="2843"/>
      <c r="G79" s="2879"/>
      <c r="H79" s="2339"/>
      <c r="I79" s="2830"/>
      <c r="J79" s="2830"/>
      <c r="K79" s="2830"/>
      <c r="L79" s="2830"/>
      <c r="M79" s="2830"/>
      <c r="N79" s="2830"/>
      <c r="O79" s="2830"/>
      <c r="P79" s="2830"/>
      <c r="Q79" s="2830"/>
      <c r="R79" s="2830"/>
      <c r="S79" s="2830"/>
    </row>
    <row r="80" spans="1:19">
      <c r="A80" s="2758"/>
      <c r="B80" s="2406" t="s">
        <v>2991</v>
      </c>
      <c r="C80" s="2407"/>
      <c r="D80" s="2407"/>
      <c r="E80" s="2407"/>
      <c r="F80" s="2407"/>
      <c r="G80" s="2880"/>
      <c r="H80" s="691"/>
      <c r="I80" s="2765"/>
      <c r="J80" s="2765"/>
      <c r="K80" s="2765"/>
      <c r="L80" s="2765"/>
      <c r="M80" s="2765"/>
      <c r="N80" s="2765"/>
      <c r="O80" s="2765"/>
      <c r="P80" s="2765"/>
      <c r="Q80" s="2765"/>
      <c r="R80" s="2765"/>
      <c r="S80" s="2765"/>
    </row>
    <row r="81" spans="1:19" ht="15.75" thickBot="1">
      <c r="A81" s="2766"/>
      <c r="B81" s="2787" t="s">
        <v>2992</v>
      </c>
      <c r="C81" s="2788"/>
      <c r="D81" s="2788"/>
      <c r="E81" s="2788"/>
      <c r="F81" s="2788"/>
      <c r="G81" s="2882"/>
      <c r="H81" s="2883"/>
      <c r="I81" s="2770"/>
      <c r="J81" s="2770"/>
      <c r="K81" s="2770"/>
      <c r="L81" s="2770"/>
      <c r="M81" s="2770"/>
      <c r="N81" s="2770"/>
      <c r="O81" s="2770"/>
      <c r="P81" s="2770"/>
      <c r="Q81" s="2770"/>
      <c r="R81" s="2770"/>
      <c r="S81" s="2770"/>
    </row>
    <row r="82" spans="1:19" ht="16.5" thickTop="1" thickBot="1"/>
    <row r="83" spans="1:19" ht="16.5" thickTop="1" thickBot="1">
      <c r="A83" s="59" t="s">
        <v>2993</v>
      </c>
      <c r="B83" s="61"/>
    </row>
    <row r="84" spans="1:19" ht="15.75" thickTop="1">
      <c r="A84" s="60" t="s">
        <v>2936</v>
      </c>
      <c r="B84" s="2771"/>
    </row>
    <row r="85" spans="1:19">
      <c r="A85" s="2772" t="s">
        <v>2939</v>
      </c>
      <c r="B85" s="2771"/>
    </row>
    <row r="86" spans="1:19">
      <c r="A86" s="2773" t="s">
        <v>2941</v>
      </c>
      <c r="B86" s="2774"/>
    </row>
    <row r="87" spans="1:19">
      <c r="A87" s="2773" t="s">
        <v>2943</v>
      </c>
      <c r="B87" s="2775"/>
    </row>
    <row r="88" spans="1:19" ht="15.75" thickBot="1">
      <c r="A88" s="2776" t="s">
        <v>2994</v>
      </c>
      <c r="B88" s="2884"/>
    </row>
    <row r="89" spans="1:19" ht="15.75" thickTop="1"/>
    <row r="90" spans="1:19">
      <c r="A90" s="62"/>
      <c r="B90" s="1" t="s">
        <v>2995</v>
      </c>
    </row>
    <row r="91" spans="1:19">
      <c r="A91" s="63"/>
      <c r="B91" s="1" t="s">
        <v>2996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6:B56"/>
    <mergeCell ref="A60:B60"/>
    <mergeCell ref="A64:B64"/>
    <mergeCell ref="A68:B68"/>
    <mergeCell ref="A72:B7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bottomRight" activeCell="I59" sqref="I59:I60"/>
      <selection pane="bottomLeft" activeCell="A11" sqref="A11"/>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91"/>
      <c r="F1" s="76"/>
      <c r="G1" s="74" t="s">
        <v>2928</v>
      </c>
    </row>
    <row r="2" spans="1:19" ht="15.75" thickBot="1">
      <c r="E2" s="91"/>
      <c r="F2" s="73"/>
      <c r="G2" s="74" t="s">
        <v>2930</v>
      </c>
      <c r="H2" s="951"/>
      <c r="I2" s="951"/>
      <c r="J2" s="951"/>
      <c r="K2" s="951"/>
      <c r="L2" s="951"/>
      <c r="M2" s="951"/>
      <c r="N2" s="951"/>
      <c r="O2" s="951"/>
      <c r="P2" s="951"/>
      <c r="Q2" s="951"/>
      <c r="R2" s="951"/>
      <c r="S2" s="951"/>
    </row>
    <row r="3" spans="1:19" ht="21" thickBot="1">
      <c r="B3" s="80" t="s">
        <v>2933</v>
      </c>
      <c r="E3" s="91"/>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989"/>
      <c r="K4" s="842"/>
      <c r="L4" s="989"/>
      <c r="M4" s="842"/>
      <c r="N4" s="989"/>
      <c r="O4" s="842"/>
      <c r="P4" s="989"/>
      <c r="Q4" s="842"/>
      <c r="R4" s="989"/>
      <c r="S4" s="842"/>
    </row>
    <row r="5" spans="1:19">
      <c r="A5" s="2778" t="s">
        <v>4871</v>
      </c>
      <c r="B5" s="2406" t="s">
        <v>6102</v>
      </c>
      <c r="C5" s="2407"/>
      <c r="D5" s="2407"/>
      <c r="E5" s="2407"/>
      <c r="F5" s="2407"/>
      <c r="G5" s="657" t="s">
        <v>2939</v>
      </c>
      <c r="H5" s="2780"/>
      <c r="I5" s="843"/>
      <c r="J5" s="2850"/>
      <c r="K5" s="843"/>
      <c r="L5" s="2850"/>
      <c r="M5" s="843"/>
      <c r="N5" s="2850"/>
      <c r="O5" s="843"/>
      <c r="P5" s="2850"/>
      <c r="Q5" s="843"/>
      <c r="R5" s="2850"/>
      <c r="S5" s="843"/>
    </row>
    <row r="6" spans="1:19">
      <c r="A6" s="2778" t="s">
        <v>4873</v>
      </c>
      <c r="B6" s="2413" t="s">
        <v>6103</v>
      </c>
      <c r="C6" s="2407"/>
      <c r="D6" s="2407"/>
      <c r="E6" s="2407"/>
      <c r="F6" s="2407"/>
      <c r="G6" s="657" t="s">
        <v>2941</v>
      </c>
      <c r="H6" s="2783"/>
      <c r="I6" s="844"/>
      <c r="J6" s="2851"/>
      <c r="K6" s="844"/>
      <c r="L6" s="2851"/>
      <c r="M6" s="844"/>
      <c r="N6" s="2851"/>
      <c r="O6" s="844"/>
      <c r="P6" s="2851"/>
      <c r="Q6" s="844"/>
      <c r="R6" s="2851"/>
      <c r="S6" s="844"/>
    </row>
    <row r="7" spans="1:19">
      <c r="A7" s="2778" t="s">
        <v>4875</v>
      </c>
      <c r="B7" s="2418"/>
      <c r="C7" s="2407"/>
      <c r="D7" s="2407"/>
      <c r="E7" s="2407"/>
      <c r="F7" s="2407"/>
      <c r="G7" s="657" t="s">
        <v>2943</v>
      </c>
      <c r="H7" s="2785"/>
      <c r="I7" s="845"/>
      <c r="J7" s="2852"/>
      <c r="K7" s="845"/>
      <c r="L7" s="2852"/>
      <c r="M7" s="845"/>
      <c r="N7" s="2852"/>
      <c r="O7" s="845"/>
      <c r="P7" s="2852"/>
      <c r="Q7" s="845"/>
      <c r="R7" s="2852"/>
      <c r="S7" s="845"/>
    </row>
    <row r="8" spans="1:19" ht="15.75" thickBot="1">
      <c r="A8" s="685" t="s">
        <v>2944</v>
      </c>
      <c r="B8" s="619"/>
      <c r="C8" s="616"/>
      <c r="D8" s="616"/>
      <c r="E8" s="616"/>
      <c r="F8" s="616"/>
      <c r="G8" s="685" t="s">
        <v>2944</v>
      </c>
      <c r="H8" s="2853">
        <f>I58</f>
        <v>0</v>
      </c>
      <c r="I8" s="2854"/>
      <c r="J8" s="2853">
        <f>K58</f>
        <v>0</v>
      </c>
      <c r="K8" s="2854"/>
      <c r="L8" s="2853">
        <f>M58</f>
        <v>0</v>
      </c>
      <c r="M8" s="2854"/>
      <c r="N8" s="2853">
        <f>O58</f>
        <v>0</v>
      </c>
      <c r="O8" s="2854"/>
      <c r="P8" s="2853">
        <f>Q58</f>
        <v>0</v>
      </c>
      <c r="Q8" s="2854"/>
      <c r="R8" s="2853">
        <f>S58</f>
        <v>0</v>
      </c>
      <c r="S8" s="2854"/>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2758"/>
      <c r="B10" s="2885" t="s">
        <v>4876</v>
      </c>
      <c r="C10" s="2407"/>
      <c r="D10" s="2407"/>
      <c r="E10" s="2407"/>
      <c r="F10" s="2407"/>
      <c r="G10" s="660"/>
      <c r="H10" s="2856"/>
      <c r="I10" s="2856"/>
      <c r="J10" s="2856"/>
      <c r="K10" s="2856"/>
      <c r="L10" s="2856"/>
      <c r="M10" s="2856"/>
      <c r="N10" s="2856"/>
      <c r="O10" s="2856"/>
      <c r="P10" s="2856"/>
      <c r="Q10" s="2856"/>
      <c r="R10" s="2856"/>
      <c r="S10" s="2856"/>
    </row>
    <row r="11" spans="1:19" hidden="1">
      <c r="A11" s="2758"/>
      <c r="B11" s="2406" t="e">
        <f>'Area Calculations'!#REF!</f>
        <v>#REF!</v>
      </c>
      <c r="C11" s="2706" t="s">
        <v>4877</v>
      </c>
      <c r="D11" s="2407"/>
      <c r="E11" s="2407"/>
      <c r="F11" s="2407"/>
      <c r="G11" s="660"/>
      <c r="H11" s="2856"/>
      <c r="I11" s="2856"/>
      <c r="J11" s="2856"/>
      <c r="K11" s="2856"/>
      <c r="L11" s="2856"/>
      <c r="M11" s="2856"/>
      <c r="N11" s="2856"/>
      <c r="O11" s="2856"/>
      <c r="P11" s="2856"/>
      <c r="Q11" s="2856"/>
      <c r="R11" s="2856"/>
      <c r="S11" s="2856"/>
    </row>
    <row r="12" spans="1:19" hidden="1">
      <c r="A12" s="2758"/>
      <c r="B12" s="2406" t="e">
        <f>'Area Calculations'!#REF!</f>
        <v>#REF!</v>
      </c>
      <c r="C12" s="2706" t="s">
        <v>4877</v>
      </c>
      <c r="D12" s="2407"/>
      <c r="E12" s="2407"/>
      <c r="F12" s="2407"/>
      <c r="G12" s="660"/>
      <c r="H12" s="2856"/>
      <c r="I12" s="2856"/>
      <c r="J12" s="2856"/>
      <c r="K12" s="2856"/>
      <c r="L12" s="2856"/>
      <c r="M12" s="2856"/>
      <c r="N12" s="2856"/>
      <c r="O12" s="2856"/>
      <c r="P12" s="2856"/>
      <c r="Q12" s="2856"/>
      <c r="R12" s="2856"/>
      <c r="S12" s="2856"/>
    </row>
    <row r="13" spans="1:19" hidden="1">
      <c r="A13" s="2758"/>
      <c r="B13" s="2406" t="e">
        <f>'Area Calculations'!#REF!</f>
        <v>#REF!</v>
      </c>
      <c r="C13" s="2706" t="s">
        <v>4877</v>
      </c>
      <c r="D13" s="2407"/>
      <c r="E13" s="2407"/>
      <c r="F13" s="2407"/>
      <c r="G13" s="660"/>
      <c r="H13" s="2856"/>
      <c r="I13" s="2856"/>
      <c r="J13" s="2856"/>
      <c r="K13" s="2856"/>
      <c r="L13" s="2856"/>
      <c r="M13" s="2856"/>
      <c r="N13" s="2856"/>
      <c r="O13" s="2856"/>
      <c r="P13" s="2856"/>
      <c r="Q13" s="2856"/>
      <c r="R13" s="2856"/>
      <c r="S13" s="2856"/>
    </row>
    <row r="14" spans="1:19" hidden="1">
      <c r="A14" s="2758"/>
      <c r="B14" s="2406" t="e">
        <f>'Area Calculations'!#REF!</f>
        <v>#REF!</v>
      </c>
      <c r="C14" s="2706" t="s">
        <v>4877</v>
      </c>
      <c r="D14" s="2407"/>
      <c r="E14" s="2407"/>
      <c r="F14" s="2407"/>
      <c r="G14" s="660"/>
      <c r="H14" s="2856"/>
      <c r="I14" s="2856"/>
      <c r="J14" s="2856"/>
      <c r="K14" s="2856"/>
      <c r="L14" s="2856"/>
      <c r="M14" s="2856"/>
      <c r="N14" s="2856"/>
      <c r="O14" s="2856"/>
      <c r="P14" s="2856"/>
      <c r="Q14" s="2856"/>
      <c r="R14" s="2856"/>
      <c r="S14" s="2856"/>
    </row>
    <row r="15" spans="1:19" hidden="1">
      <c r="A15" s="2758"/>
      <c r="B15" s="2406" t="e">
        <f>'Area Calculations'!#REF!</f>
        <v>#REF!</v>
      </c>
      <c r="C15" s="2706" t="s">
        <v>4877</v>
      </c>
      <c r="D15" s="2407"/>
      <c r="E15" s="2407"/>
      <c r="F15" s="2407"/>
      <c r="G15" s="660"/>
      <c r="H15" s="2856"/>
      <c r="I15" s="2856"/>
      <c r="J15" s="2856"/>
      <c r="K15" s="2856"/>
      <c r="L15" s="2856"/>
      <c r="M15" s="2856"/>
      <c r="N15" s="2856"/>
      <c r="O15" s="2856"/>
      <c r="P15" s="2856"/>
      <c r="Q15" s="2856"/>
      <c r="R15" s="2856"/>
      <c r="S15" s="2856"/>
    </row>
    <row r="16" spans="1:19" hidden="1">
      <c r="A16" s="2758"/>
      <c r="B16" s="2406" t="e">
        <f>'Area Calculations'!#REF!</f>
        <v>#REF!</v>
      </c>
      <c r="C16" s="2706" t="s">
        <v>4877</v>
      </c>
      <c r="D16" s="2407"/>
      <c r="E16" s="2407"/>
      <c r="F16" s="2407"/>
      <c r="G16" s="660"/>
      <c r="H16" s="2856"/>
      <c r="I16" s="2856"/>
      <c r="J16" s="2856"/>
      <c r="K16" s="2856"/>
      <c r="L16" s="2856"/>
      <c r="M16" s="2856"/>
      <c r="N16" s="2856"/>
      <c r="O16" s="2856"/>
      <c r="P16" s="2856"/>
      <c r="Q16" s="2856"/>
      <c r="R16" s="2856"/>
      <c r="S16" s="2856"/>
    </row>
    <row r="17" spans="1:19" hidden="1">
      <c r="A17" s="2758"/>
      <c r="B17" s="2406" t="e">
        <f>'Area Calculations'!#REF!</f>
        <v>#REF!</v>
      </c>
      <c r="C17" s="2706" t="s">
        <v>4877</v>
      </c>
      <c r="D17" s="2407"/>
      <c r="E17" s="2407"/>
      <c r="F17" s="2407"/>
      <c r="G17" s="660"/>
      <c r="H17" s="2856"/>
      <c r="I17" s="2856"/>
      <c r="J17" s="2856"/>
      <c r="K17" s="2856"/>
      <c r="L17" s="2856"/>
      <c r="M17" s="2856"/>
      <c r="N17" s="2856"/>
      <c r="O17" s="2856"/>
      <c r="P17" s="2856"/>
      <c r="Q17" s="2856"/>
      <c r="R17" s="2856"/>
      <c r="S17" s="2856"/>
    </row>
    <row r="18" spans="1:19" hidden="1">
      <c r="A18" s="2758"/>
      <c r="B18" s="2406" t="e">
        <f>'Area Calculations'!#REF!</f>
        <v>#REF!</v>
      </c>
      <c r="C18" s="2706" t="s">
        <v>4877</v>
      </c>
      <c r="D18" s="2407"/>
      <c r="E18" s="2407"/>
      <c r="F18" s="2407"/>
      <c r="G18" s="660"/>
      <c r="H18" s="2856"/>
      <c r="I18" s="2856"/>
      <c r="J18" s="2856"/>
      <c r="K18" s="2856"/>
      <c r="L18" s="2856"/>
      <c r="M18" s="2856"/>
      <c r="N18" s="2856"/>
      <c r="O18" s="2856"/>
      <c r="P18" s="2856"/>
      <c r="Q18" s="2856"/>
      <c r="R18" s="2856"/>
      <c r="S18" s="2856"/>
    </row>
    <row r="19" spans="1:19" hidden="1">
      <c r="A19" s="2758"/>
      <c r="B19" s="2406" t="e">
        <f>'Area Calculations'!#REF!</f>
        <v>#REF!</v>
      </c>
      <c r="C19" s="2706" t="s">
        <v>4877</v>
      </c>
      <c r="D19" s="2407"/>
      <c r="E19" s="2407"/>
      <c r="F19" s="2407"/>
      <c r="G19" s="660"/>
      <c r="H19" s="2856"/>
      <c r="I19" s="2856"/>
      <c r="J19" s="2856"/>
      <c r="K19" s="2856"/>
      <c r="L19" s="2856"/>
      <c r="M19" s="2856"/>
      <c r="N19" s="2856"/>
      <c r="O19" s="2856"/>
      <c r="P19" s="2856"/>
      <c r="Q19" s="2856"/>
      <c r="R19" s="2856"/>
      <c r="S19" s="2856"/>
    </row>
    <row r="20" spans="1:19" ht="15.75" thickTop="1">
      <c r="A20" s="2886"/>
      <c r="B20" s="2406"/>
      <c r="C20" s="2706"/>
      <c r="D20" s="2407"/>
      <c r="E20" s="2407"/>
      <c r="F20" s="2407"/>
      <c r="G20" s="660"/>
      <c r="H20" s="2856"/>
      <c r="I20" s="2856"/>
      <c r="J20" s="2856"/>
      <c r="K20" s="2856"/>
      <c r="L20" s="2856"/>
      <c r="M20" s="2856"/>
      <c r="N20" s="2856"/>
      <c r="O20" s="2856"/>
      <c r="P20" s="2856"/>
      <c r="Q20" s="2856"/>
      <c r="R20" s="2856"/>
      <c r="S20" s="2856"/>
    </row>
    <row r="21" spans="1:19" ht="15.75" thickBot="1">
      <c r="A21" s="2887"/>
      <c r="B21" s="2709" t="s">
        <v>6102</v>
      </c>
      <c r="C21" s="49"/>
      <c r="D21" s="50"/>
      <c r="E21" s="50"/>
      <c r="F21" s="50"/>
      <c r="G21" s="54"/>
      <c r="H21" s="2858"/>
      <c r="I21" s="2338"/>
      <c r="J21" s="2858"/>
      <c r="K21" s="2339"/>
      <c r="L21" s="2858"/>
      <c r="M21" s="2339"/>
      <c r="N21" s="2339"/>
      <c r="O21" s="2339"/>
      <c r="P21" s="2339"/>
      <c r="Q21" s="2339"/>
      <c r="R21" s="2339"/>
      <c r="S21" s="2339"/>
    </row>
    <row r="22" spans="1:19">
      <c r="A22" s="2887"/>
      <c r="B22" s="2857" t="s">
        <v>2953</v>
      </c>
      <c r="C22" s="2706"/>
      <c r="D22" s="2407"/>
      <c r="E22" s="2407"/>
      <c r="F22" s="2407"/>
      <c r="G22" s="660"/>
      <c r="H22" s="2858"/>
      <c r="I22" s="2338"/>
      <c r="J22" s="2858"/>
      <c r="K22" s="2339"/>
      <c r="L22" s="2858"/>
      <c r="M22" s="2339"/>
      <c r="N22" s="2339"/>
      <c r="O22" s="2339"/>
      <c r="P22" s="2339"/>
      <c r="Q22" s="2339"/>
      <c r="R22" s="2339"/>
      <c r="S22" s="2339"/>
    </row>
    <row r="23" spans="1:19">
      <c r="A23" s="2887"/>
      <c r="B23" s="2859" t="s">
        <v>2954</v>
      </c>
      <c r="C23" s="2706"/>
      <c r="D23" s="2407"/>
      <c r="E23" s="2407"/>
      <c r="F23" s="2407"/>
      <c r="G23" s="660"/>
      <c r="H23" s="2858"/>
      <c r="I23" s="2338"/>
      <c r="J23" s="2858"/>
      <c r="K23" s="2339"/>
      <c r="L23" s="2858"/>
      <c r="M23" s="2339"/>
      <c r="N23" s="2339"/>
      <c r="O23" s="2339"/>
      <c r="P23" s="2339"/>
      <c r="Q23" s="2339"/>
      <c r="R23" s="2339"/>
      <c r="S23" s="2339"/>
    </row>
    <row r="24" spans="1:19">
      <c r="A24" s="2887"/>
      <c r="B24" s="2859" t="s">
        <v>2955</v>
      </c>
      <c r="C24" s="707"/>
      <c r="D24" s="2407"/>
      <c r="E24" s="2407"/>
      <c r="F24" s="2407"/>
      <c r="G24" s="660"/>
      <c r="H24" s="2858"/>
      <c r="I24" s="2338"/>
      <c r="J24" s="2858"/>
      <c r="K24" s="2339"/>
      <c r="L24" s="2858"/>
      <c r="M24" s="2339"/>
      <c r="N24" s="2339"/>
      <c r="O24" s="2339"/>
      <c r="P24" s="2339"/>
      <c r="Q24" s="2339"/>
      <c r="R24" s="2339"/>
      <c r="S24" s="2339"/>
    </row>
    <row r="25" spans="1:19">
      <c r="A25" s="2886"/>
      <c r="B25" s="2860" t="s">
        <v>2956</v>
      </c>
      <c r="C25" s="707"/>
      <c r="D25" s="2407"/>
      <c r="E25" s="2407"/>
      <c r="F25" s="2407"/>
      <c r="G25" s="660"/>
      <c r="H25" s="2858"/>
      <c r="I25" s="2338"/>
      <c r="J25" s="2858"/>
      <c r="K25" s="2339"/>
      <c r="L25" s="2858"/>
      <c r="M25" s="2339"/>
      <c r="N25" s="2339"/>
      <c r="O25" s="2339"/>
      <c r="P25" s="2339"/>
      <c r="Q25" s="2339"/>
      <c r="R25" s="2339"/>
      <c r="S25" s="2339"/>
    </row>
    <row r="26" spans="1:19" s="58" customFormat="1">
      <c r="A26" s="2887"/>
      <c r="B26" s="2860" t="s">
        <v>2957</v>
      </c>
      <c r="C26" s="662"/>
      <c r="D26" s="2357"/>
      <c r="E26" s="2357"/>
      <c r="F26" s="2357"/>
      <c r="G26" s="662"/>
      <c r="H26" s="2858"/>
      <c r="I26" s="2338"/>
      <c r="J26" s="2862"/>
      <c r="K26" s="2349"/>
      <c r="L26" s="2862"/>
      <c r="M26" s="2349"/>
      <c r="N26" s="2349"/>
      <c r="O26" s="2349"/>
      <c r="P26" s="2349"/>
      <c r="Q26" s="2349"/>
      <c r="R26" s="2349"/>
      <c r="S26" s="2349"/>
    </row>
    <row r="27" spans="1:19" s="58" customFormat="1">
      <c r="A27" s="2887"/>
      <c r="B27" s="2860" t="s">
        <v>2958</v>
      </c>
      <c r="C27" s="662"/>
      <c r="D27" s="2357"/>
      <c r="E27" s="2357"/>
      <c r="F27" s="2357"/>
      <c r="G27" s="662"/>
      <c r="H27" s="2858"/>
      <c r="I27" s="2338"/>
      <c r="J27" s="2862"/>
      <c r="K27" s="2349"/>
      <c r="L27" s="2862"/>
      <c r="M27" s="2349"/>
      <c r="N27" s="2349"/>
      <c r="O27" s="2349"/>
      <c r="P27" s="2349"/>
      <c r="Q27" s="2349"/>
      <c r="R27" s="2349"/>
      <c r="S27" s="2349"/>
    </row>
    <row r="28" spans="1:19" s="58" customFormat="1">
      <c r="A28" s="2887"/>
      <c r="B28" s="2860" t="s">
        <v>2959</v>
      </c>
      <c r="C28" s="662"/>
      <c r="D28" s="2357"/>
      <c r="E28" s="2357"/>
      <c r="F28" s="2357"/>
      <c r="G28" s="662"/>
      <c r="H28" s="2858"/>
      <c r="I28" s="2338"/>
      <c r="J28" s="2862"/>
      <c r="K28" s="2349"/>
      <c r="L28" s="2862"/>
      <c r="M28" s="2349"/>
      <c r="N28" s="2349"/>
      <c r="O28" s="2349"/>
      <c r="P28" s="2349"/>
      <c r="Q28" s="2349"/>
      <c r="R28" s="2349"/>
      <c r="S28" s="2349"/>
    </row>
    <row r="29" spans="1:19" s="58" customFormat="1">
      <c r="A29" s="2887"/>
      <c r="B29" s="2863" t="s">
        <v>2960</v>
      </c>
      <c r="C29" s="662"/>
      <c r="D29" s="2357"/>
      <c r="E29" s="2357"/>
      <c r="F29" s="2357"/>
      <c r="G29" s="662"/>
      <c r="H29" s="2858"/>
      <c r="I29" s="2858"/>
      <c r="J29" s="2862"/>
      <c r="K29" s="2349"/>
      <c r="L29" s="2862"/>
      <c r="M29" s="2349"/>
      <c r="N29" s="2349"/>
      <c r="O29" s="2349"/>
      <c r="P29" s="2349"/>
      <c r="Q29" s="2349"/>
      <c r="R29" s="2349"/>
      <c r="S29" s="2349"/>
    </row>
    <row r="30" spans="1:19" s="58" customFormat="1">
      <c r="A30" s="2887"/>
      <c r="B30" s="2864" t="s">
        <v>2961</v>
      </c>
      <c r="C30" s="665"/>
      <c r="D30" s="2717"/>
      <c r="E30" s="2717"/>
      <c r="F30" s="2717"/>
      <c r="G30" s="665"/>
      <c r="H30" s="2865"/>
      <c r="I30" s="2719"/>
      <c r="J30" s="2866"/>
      <c r="K30" s="2346"/>
      <c r="L30" s="2866"/>
      <c r="M30" s="2346"/>
      <c r="N30" s="2346"/>
      <c r="O30" s="2346"/>
      <c r="P30" s="2346"/>
      <c r="Q30" s="2346"/>
      <c r="R30" s="2346"/>
      <c r="S30" s="2346"/>
    </row>
    <row r="31" spans="1:19" s="58" customFormat="1">
      <c r="A31" s="2887"/>
      <c r="B31" s="77"/>
      <c r="C31" s="662"/>
      <c r="D31" s="2357"/>
      <c r="E31" s="2357"/>
      <c r="F31" s="2357"/>
      <c r="G31" s="662"/>
      <c r="H31" s="2858"/>
      <c r="I31" s="2338"/>
      <c r="J31" s="2862"/>
      <c r="K31" s="2349"/>
      <c r="L31" s="2862"/>
      <c r="M31" s="2349"/>
      <c r="N31" s="2349"/>
      <c r="O31" s="2349"/>
      <c r="P31" s="2349"/>
      <c r="Q31" s="2349"/>
      <c r="R31" s="2349"/>
      <c r="S31" s="2349"/>
    </row>
    <row r="32" spans="1:19" s="58" customFormat="1">
      <c r="A32" s="2867"/>
      <c r="B32" s="2888"/>
      <c r="C32" s="708"/>
      <c r="D32" s="2357"/>
      <c r="E32" s="2357"/>
      <c r="F32" s="2357"/>
      <c r="G32" s="662"/>
      <c r="H32" s="2858"/>
      <c r="I32" s="2338"/>
      <c r="J32" s="2862"/>
      <c r="K32" s="2349"/>
      <c r="L32" s="2862"/>
      <c r="M32" s="2349"/>
      <c r="N32" s="2349"/>
      <c r="O32" s="2349"/>
      <c r="P32" s="2349"/>
      <c r="Q32" s="2349"/>
      <c r="R32" s="2349"/>
      <c r="S32" s="2349"/>
    </row>
    <row r="33" spans="1:19" s="58" customFormat="1">
      <c r="A33" s="2867"/>
      <c r="B33" s="2888"/>
      <c r="C33" s="708"/>
      <c r="D33" s="2357"/>
      <c r="E33" s="2357"/>
      <c r="F33" s="2357"/>
      <c r="G33" s="662"/>
      <c r="H33" s="2858"/>
      <c r="I33" s="2338"/>
      <c r="J33" s="2862"/>
      <c r="K33" s="2349"/>
      <c r="L33" s="2862"/>
      <c r="M33" s="2349"/>
      <c r="N33" s="2349"/>
      <c r="O33" s="2349"/>
      <c r="P33" s="2349"/>
      <c r="Q33" s="2349"/>
      <c r="R33" s="2349"/>
      <c r="S33" s="2349"/>
    </row>
    <row r="34" spans="1:19" s="58" customFormat="1">
      <c r="A34" s="2867"/>
      <c r="B34" s="2888"/>
      <c r="C34" s="708"/>
      <c r="D34" s="2357"/>
      <c r="E34" s="2357"/>
      <c r="F34" s="2357"/>
      <c r="G34" s="662"/>
      <c r="H34" s="2858"/>
      <c r="I34" s="2338"/>
      <c r="J34" s="2862"/>
      <c r="K34" s="2349"/>
      <c r="L34" s="2862"/>
      <c r="M34" s="2349"/>
      <c r="N34" s="2349"/>
      <c r="O34" s="2349"/>
      <c r="P34" s="2349"/>
      <c r="Q34" s="2349"/>
      <c r="R34" s="2349"/>
      <c r="S34" s="2349"/>
    </row>
    <row r="35" spans="1:19" s="58" customFormat="1">
      <c r="A35" s="2867"/>
      <c r="B35" s="2888"/>
      <c r="C35" s="708"/>
      <c r="D35" s="2357"/>
      <c r="E35" s="2357"/>
      <c r="F35" s="2357"/>
      <c r="G35" s="662"/>
      <c r="H35" s="2858"/>
      <c r="I35" s="2338"/>
      <c r="J35" s="2862"/>
      <c r="K35" s="2349"/>
      <c r="L35" s="2862"/>
      <c r="M35" s="2349"/>
      <c r="N35" s="2349"/>
      <c r="O35" s="2349"/>
      <c r="P35" s="2349"/>
      <c r="Q35" s="2349"/>
      <c r="R35" s="2349"/>
      <c r="S35" s="2349"/>
    </row>
    <row r="36" spans="1:19" s="58" customFormat="1">
      <c r="A36" s="2867"/>
      <c r="B36" s="2888"/>
      <c r="C36" s="708"/>
      <c r="D36" s="2357"/>
      <c r="E36" s="2357"/>
      <c r="F36" s="2357"/>
      <c r="G36" s="662"/>
      <c r="H36" s="2858"/>
      <c r="I36" s="2338"/>
      <c r="J36" s="2862"/>
      <c r="K36" s="2349"/>
      <c r="L36" s="2862"/>
      <c r="M36" s="2349"/>
      <c r="N36" s="2349"/>
      <c r="O36" s="2349"/>
      <c r="P36" s="2349"/>
      <c r="Q36" s="2349"/>
      <c r="R36" s="2349"/>
      <c r="S36" s="2349"/>
    </row>
    <row r="37" spans="1:19" s="58" customFormat="1">
      <c r="A37" s="2867"/>
      <c r="B37" s="2888"/>
      <c r="C37" s="708"/>
      <c r="D37" s="2357"/>
      <c r="E37" s="709"/>
      <c r="F37" s="2722"/>
      <c r="G37" s="662"/>
      <c r="H37" s="2858"/>
      <c r="I37" s="2338"/>
      <c r="J37" s="2862"/>
      <c r="K37" s="2349"/>
      <c r="L37" s="2862"/>
      <c r="M37" s="2349"/>
      <c r="N37" s="2349"/>
      <c r="O37" s="2349"/>
      <c r="P37" s="2349"/>
      <c r="Q37" s="2349"/>
      <c r="R37" s="2349"/>
      <c r="S37" s="2349"/>
    </row>
    <row r="38" spans="1:19" s="58" customFormat="1">
      <c r="A38" s="2867"/>
      <c r="B38" s="2888"/>
      <c r="C38" s="708"/>
      <c r="D38" s="2357"/>
      <c r="E38" s="709"/>
      <c r="F38" s="2722"/>
      <c r="G38" s="662"/>
      <c r="H38" s="2858"/>
      <c r="I38" s="2338"/>
      <c r="J38" s="2862"/>
      <c r="K38" s="2349"/>
      <c r="L38" s="2862"/>
      <c r="M38" s="2349"/>
      <c r="N38" s="2349"/>
      <c r="O38" s="2349"/>
      <c r="P38" s="2349"/>
      <c r="Q38" s="2349"/>
      <c r="R38" s="2349"/>
      <c r="S38" s="2349"/>
    </row>
    <row r="39" spans="1:19" s="58" customFormat="1">
      <c r="A39" s="2867"/>
      <c r="B39" s="2888"/>
      <c r="C39" s="708"/>
      <c r="D39" s="2357"/>
      <c r="E39" s="709"/>
      <c r="F39" s="2722"/>
      <c r="G39" s="662"/>
      <c r="H39" s="2858"/>
      <c r="I39" s="2338"/>
      <c r="J39" s="2862"/>
      <c r="K39" s="2349"/>
      <c r="L39" s="2862"/>
      <c r="M39" s="2349"/>
      <c r="N39" s="2349"/>
      <c r="O39" s="2349"/>
      <c r="P39" s="2349"/>
      <c r="Q39" s="2349"/>
      <c r="R39" s="2349"/>
      <c r="S39" s="2349"/>
    </row>
    <row r="40" spans="1:19" s="58" customFormat="1">
      <c r="A40" s="2867"/>
      <c r="B40" s="2888"/>
      <c r="C40" s="708"/>
      <c r="D40" s="2357"/>
      <c r="E40" s="709"/>
      <c r="F40" s="2722"/>
      <c r="G40" s="662"/>
      <c r="H40" s="2858"/>
      <c r="I40" s="2338"/>
      <c r="J40" s="2862"/>
      <c r="K40" s="2349"/>
      <c r="L40" s="2862"/>
      <c r="M40" s="2349"/>
      <c r="N40" s="2349"/>
      <c r="O40" s="2349"/>
      <c r="P40" s="2349"/>
      <c r="Q40" s="2349"/>
      <c r="R40" s="2349"/>
      <c r="S40" s="2349"/>
    </row>
    <row r="41" spans="1:19" s="58" customFormat="1">
      <c r="A41" s="2867"/>
      <c r="B41" s="2888"/>
      <c r="C41" s="708"/>
      <c r="D41" s="2357"/>
      <c r="E41" s="709"/>
      <c r="F41" s="2722"/>
      <c r="G41" s="662"/>
      <c r="H41" s="2858"/>
      <c r="I41" s="2338"/>
      <c r="J41" s="2862"/>
      <c r="K41" s="2349"/>
      <c r="L41" s="2862"/>
      <c r="M41" s="2349"/>
      <c r="N41" s="2349"/>
      <c r="O41" s="2349"/>
      <c r="P41" s="2349"/>
      <c r="Q41" s="2349"/>
      <c r="R41" s="2349"/>
      <c r="S41" s="2349"/>
    </row>
    <row r="42" spans="1:19" s="58" customFormat="1">
      <c r="A42" s="2867"/>
      <c r="B42" s="2888"/>
      <c r="C42" s="708"/>
      <c r="D42" s="2357"/>
      <c r="E42" s="709"/>
      <c r="F42" s="2722"/>
      <c r="G42" s="662"/>
      <c r="H42" s="2858"/>
      <c r="I42" s="2338"/>
      <c r="J42" s="2862"/>
      <c r="K42" s="2349"/>
      <c r="L42" s="2862"/>
      <c r="M42" s="2349"/>
      <c r="N42" s="2349"/>
      <c r="O42" s="2349"/>
      <c r="P42" s="2349"/>
      <c r="Q42" s="2349"/>
      <c r="R42" s="2349"/>
      <c r="S42" s="2349"/>
    </row>
    <row r="43" spans="1:19" s="58" customFormat="1">
      <c r="A43" s="2867"/>
      <c r="B43" s="2888"/>
      <c r="C43" s="708"/>
      <c r="D43" s="2357"/>
      <c r="E43" s="709"/>
      <c r="F43" s="2722"/>
      <c r="G43" s="662"/>
      <c r="H43" s="2858"/>
      <c r="I43" s="2338"/>
      <c r="J43" s="2862"/>
      <c r="K43" s="2349"/>
      <c r="L43" s="2862"/>
      <c r="M43" s="2349"/>
      <c r="N43" s="2349"/>
      <c r="O43" s="2349"/>
      <c r="P43" s="2349"/>
      <c r="Q43" s="2349"/>
      <c r="R43" s="2349"/>
      <c r="S43" s="2349"/>
    </row>
    <row r="44" spans="1:19" s="58" customFormat="1">
      <c r="A44" s="2867"/>
      <c r="B44" s="2888"/>
      <c r="C44" s="708"/>
      <c r="D44" s="2357"/>
      <c r="E44" s="709"/>
      <c r="F44" s="2722"/>
      <c r="G44" s="662"/>
      <c r="H44" s="2858"/>
      <c r="I44" s="2338"/>
      <c r="J44" s="2862"/>
      <c r="K44" s="2349"/>
      <c r="L44" s="2862"/>
      <c r="M44" s="2349"/>
      <c r="N44" s="2349"/>
      <c r="O44" s="2349"/>
      <c r="P44" s="2349"/>
      <c r="Q44" s="2349"/>
      <c r="R44" s="2349"/>
      <c r="S44" s="2349"/>
    </row>
    <row r="45" spans="1:19" s="58" customFormat="1">
      <c r="A45" s="2867"/>
      <c r="B45" s="2888"/>
      <c r="C45" s="708"/>
      <c r="D45" s="2357"/>
      <c r="E45" s="709"/>
      <c r="F45" s="2722"/>
      <c r="G45" s="662"/>
      <c r="H45" s="2858"/>
      <c r="I45" s="2338"/>
      <c r="J45" s="2862"/>
      <c r="K45" s="2349"/>
      <c r="L45" s="2862"/>
      <c r="M45" s="2349"/>
      <c r="N45" s="2349"/>
      <c r="O45" s="2349"/>
      <c r="P45" s="2349"/>
      <c r="Q45" s="2349"/>
      <c r="R45" s="2349"/>
      <c r="S45" s="2349"/>
    </row>
    <row r="46" spans="1:19" s="58" customFormat="1">
      <c r="A46" s="2867"/>
      <c r="B46" s="2888"/>
      <c r="C46" s="708"/>
      <c r="D46" s="2357"/>
      <c r="E46" s="709"/>
      <c r="F46" s="2722"/>
      <c r="G46" s="662"/>
      <c r="H46" s="2858"/>
      <c r="I46" s="2338"/>
      <c r="J46" s="2862"/>
      <c r="K46" s="2349"/>
      <c r="L46" s="2862"/>
      <c r="M46" s="2349"/>
      <c r="N46" s="2349"/>
      <c r="O46" s="2349"/>
      <c r="P46" s="2349"/>
      <c r="Q46" s="2349"/>
      <c r="R46" s="2349"/>
      <c r="S46" s="2349"/>
    </row>
    <row r="47" spans="1:19" s="58" customFormat="1">
      <c r="A47" s="2867"/>
      <c r="B47" s="2888"/>
      <c r="C47" s="708"/>
      <c r="D47" s="2357"/>
      <c r="E47" s="709"/>
      <c r="F47" s="2722"/>
      <c r="G47" s="662"/>
      <c r="H47" s="2858"/>
      <c r="I47" s="2338"/>
      <c r="J47" s="2862"/>
      <c r="K47" s="2349"/>
      <c r="L47" s="2862"/>
      <c r="M47" s="2349"/>
      <c r="N47" s="2349"/>
      <c r="O47" s="2349"/>
      <c r="P47" s="2349"/>
      <c r="Q47" s="2349"/>
      <c r="R47" s="2349"/>
      <c r="S47" s="2349"/>
    </row>
    <row r="48" spans="1:19" s="58" customFormat="1">
      <c r="A48" s="2867"/>
      <c r="B48" s="2888"/>
      <c r="C48" s="708"/>
      <c r="D48" s="2357"/>
      <c r="E48" s="709"/>
      <c r="F48" s="2722"/>
      <c r="G48" s="662"/>
      <c r="H48" s="2858"/>
      <c r="I48" s="2338"/>
      <c r="J48" s="2862"/>
      <c r="K48" s="2349"/>
      <c r="L48" s="2862"/>
      <c r="M48" s="2349"/>
      <c r="N48" s="2349"/>
      <c r="O48" s="2349"/>
      <c r="P48" s="2349"/>
      <c r="Q48" s="2349"/>
      <c r="R48" s="2349"/>
      <c r="S48" s="2349"/>
    </row>
    <row r="49" spans="1:19" s="58" customFormat="1">
      <c r="A49" s="2867"/>
      <c r="B49" s="2888"/>
      <c r="C49" s="708"/>
      <c r="D49" s="2357"/>
      <c r="E49" s="709"/>
      <c r="F49" s="2722"/>
      <c r="G49" s="662"/>
      <c r="H49" s="2858"/>
      <c r="I49" s="2338"/>
      <c r="J49" s="2862"/>
      <c r="K49" s="2349"/>
      <c r="L49" s="2862"/>
      <c r="M49" s="2349"/>
      <c r="N49" s="2349"/>
      <c r="O49" s="2349"/>
      <c r="P49" s="2349"/>
      <c r="Q49" s="2349"/>
      <c r="R49" s="2349"/>
      <c r="S49" s="2349"/>
    </row>
    <row r="50" spans="1:19" s="58" customFormat="1">
      <c r="A50" s="2867"/>
      <c r="B50" s="2888"/>
      <c r="C50" s="708"/>
      <c r="D50" s="2357"/>
      <c r="E50" s="709"/>
      <c r="F50" s="2722"/>
      <c r="G50" s="662"/>
      <c r="H50" s="2858"/>
      <c r="I50" s="2338"/>
      <c r="J50" s="2862"/>
      <c r="K50" s="2349"/>
      <c r="L50" s="2862"/>
      <c r="M50" s="2349"/>
      <c r="N50" s="2349"/>
      <c r="O50" s="2349"/>
      <c r="P50" s="2349"/>
      <c r="Q50" s="2349"/>
      <c r="R50" s="2349"/>
      <c r="S50" s="2349"/>
    </row>
    <row r="51" spans="1:19" s="58" customFormat="1">
      <c r="A51" s="2867"/>
      <c r="B51" s="2873"/>
      <c r="C51" s="708"/>
      <c r="D51" s="2357"/>
      <c r="E51" s="709"/>
      <c r="F51" s="2722"/>
      <c r="G51" s="662"/>
      <c r="H51" s="2858"/>
      <c r="I51" s="2338"/>
      <c r="J51" s="2862"/>
      <c r="K51" s="2349"/>
      <c r="L51" s="2862"/>
      <c r="M51" s="2349"/>
      <c r="N51" s="2349"/>
      <c r="O51" s="2349"/>
      <c r="P51" s="2349"/>
      <c r="Q51" s="2349"/>
      <c r="R51" s="2349"/>
      <c r="S51" s="2349"/>
    </row>
    <row r="52" spans="1:19" s="58" customFormat="1">
      <c r="A52" s="2867"/>
      <c r="B52" s="2873"/>
      <c r="C52" s="708"/>
      <c r="D52" s="2357"/>
      <c r="E52" s="709"/>
      <c r="F52" s="2722"/>
      <c r="G52" s="662"/>
      <c r="H52" s="2858"/>
      <c r="I52" s="2338"/>
      <c r="J52" s="2862"/>
      <c r="K52" s="2349"/>
      <c r="L52" s="2862"/>
      <c r="M52" s="2349"/>
      <c r="N52" s="2349"/>
      <c r="O52" s="2349"/>
      <c r="P52" s="2349"/>
      <c r="Q52" s="2349"/>
      <c r="R52" s="2349"/>
      <c r="S52" s="2349"/>
    </row>
    <row r="53" spans="1:19" s="58" customFormat="1" ht="15.75" thickBot="1">
      <c r="A53" s="2867"/>
      <c r="B53" s="2873"/>
      <c r="C53" s="708"/>
      <c r="D53" s="2357"/>
      <c r="E53" s="709"/>
      <c r="F53" s="2722"/>
      <c r="G53" s="662"/>
      <c r="H53" s="2858"/>
      <c r="I53" s="2338"/>
      <c r="J53" s="2862"/>
      <c r="K53" s="2349"/>
      <c r="L53" s="2862"/>
      <c r="M53" s="2349"/>
      <c r="N53" s="2349"/>
      <c r="O53" s="2349"/>
      <c r="P53" s="2349"/>
      <c r="Q53" s="2349"/>
      <c r="R53" s="2349"/>
      <c r="S53" s="2349"/>
    </row>
    <row r="54" spans="1:19" ht="15.75" thickTop="1">
      <c r="A54" s="13"/>
      <c r="B54" s="14"/>
      <c r="C54" s="15"/>
      <c r="D54" s="15"/>
      <c r="E54" s="16"/>
      <c r="F54" s="17" t="s">
        <v>2975</v>
      </c>
      <c r="G54" s="18"/>
      <c r="H54" s="19"/>
      <c r="I54" s="53">
        <f>SUM(I23:I53)</f>
        <v>0</v>
      </c>
      <c r="J54" s="19"/>
      <c r="K54" s="53">
        <f>SUM(K23:K53)</f>
        <v>0</v>
      </c>
      <c r="L54" s="19"/>
      <c r="M54" s="53">
        <f>SUM(M23:M53)</f>
        <v>0</v>
      </c>
      <c r="N54" s="19"/>
      <c r="O54" s="53">
        <f>SUM(O23:O53)</f>
        <v>0</v>
      </c>
      <c r="P54" s="19"/>
      <c r="Q54" s="53">
        <f>SUM(Q23:Q53)</f>
        <v>0</v>
      </c>
      <c r="R54" s="19"/>
      <c r="S54" s="53">
        <f>SUM(S23:S53)</f>
        <v>0</v>
      </c>
    </row>
    <row r="55" spans="1:19">
      <c r="A55" s="2751"/>
      <c r="B55" s="2372"/>
      <c r="C55" s="2360"/>
      <c r="D55" s="2360"/>
      <c r="E55" s="2726"/>
      <c r="F55" s="2363" t="s">
        <v>2976</v>
      </c>
      <c r="G55" s="656"/>
      <c r="H55" s="2817">
        <v>0</v>
      </c>
      <c r="I55" s="2874"/>
      <c r="J55" s="2817">
        <v>0</v>
      </c>
      <c r="K55" s="2874"/>
      <c r="L55" s="2817">
        <v>0</v>
      </c>
      <c r="M55" s="2874"/>
      <c r="N55" s="2817">
        <v>0</v>
      </c>
      <c r="O55" s="2874"/>
      <c r="P55" s="2817">
        <v>0</v>
      </c>
      <c r="Q55" s="2874"/>
      <c r="R55" s="2817">
        <v>0</v>
      </c>
      <c r="S55" s="2874"/>
    </row>
    <row r="56" spans="1:19">
      <c r="A56" s="2751"/>
      <c r="B56" s="2372"/>
      <c r="C56" s="2360"/>
      <c r="D56" s="2360"/>
      <c r="E56" s="2726"/>
      <c r="F56" s="2363" t="s">
        <v>2977</v>
      </c>
      <c r="G56" s="656"/>
      <c r="H56" s="2818"/>
      <c r="I56" s="2875">
        <f>H55*I54</f>
        <v>0</v>
      </c>
      <c r="J56" s="2818"/>
      <c r="K56" s="2875">
        <f>J55*K54</f>
        <v>0</v>
      </c>
      <c r="L56" s="2818"/>
      <c r="M56" s="2875">
        <f>L55*M54</f>
        <v>0</v>
      </c>
      <c r="N56" s="2818"/>
      <c r="O56" s="2875">
        <f>N55*O54</f>
        <v>0</v>
      </c>
      <c r="P56" s="2818"/>
      <c r="Q56" s="2875">
        <f>P55*Q54</f>
        <v>0</v>
      </c>
      <c r="R56" s="2818"/>
      <c r="S56" s="2875">
        <f>R55*S54</f>
        <v>0</v>
      </c>
    </row>
    <row r="57" spans="1:19">
      <c r="A57" s="2751"/>
      <c r="B57" s="2372"/>
      <c r="C57" s="2360"/>
      <c r="D57" s="2360"/>
      <c r="E57" s="2726"/>
      <c r="F57" s="2363"/>
      <c r="G57" s="656"/>
      <c r="H57" s="2818"/>
      <c r="I57" s="2819"/>
      <c r="J57" s="2818"/>
      <c r="K57" s="2819"/>
      <c r="L57" s="2818"/>
      <c r="M57" s="2819"/>
      <c r="N57" s="2818"/>
      <c r="O57" s="2819"/>
      <c r="P57" s="2818"/>
      <c r="Q57" s="2819"/>
      <c r="R57" s="2818"/>
      <c r="S57" s="2819"/>
    </row>
    <row r="58" spans="1:19">
      <c r="A58" s="2751"/>
      <c r="B58" s="2372"/>
      <c r="C58" s="2360"/>
      <c r="D58" s="2360"/>
      <c r="E58" s="2726"/>
      <c r="F58" s="2363" t="s">
        <v>2978</v>
      </c>
      <c r="G58" s="656"/>
      <c r="H58" s="2820"/>
      <c r="I58" s="2876">
        <f>SUM(I54:I56)</f>
        <v>0</v>
      </c>
      <c r="J58" s="2820"/>
      <c r="K58" s="2876">
        <f>SUM(K54:K56)</f>
        <v>0</v>
      </c>
      <c r="L58" s="2820"/>
      <c r="M58" s="2876">
        <f>SUM(M54:M56)</f>
        <v>0</v>
      </c>
      <c r="N58" s="2820"/>
      <c r="O58" s="2876">
        <f>SUM(O54:O56)</f>
        <v>0</v>
      </c>
      <c r="P58" s="2820"/>
      <c r="Q58" s="2876">
        <f>SUM(Q54:Q56)</f>
        <v>0</v>
      </c>
      <c r="R58" s="2820"/>
      <c r="S58" s="2876">
        <f>SUM(S54:S56)</f>
        <v>0</v>
      </c>
    </row>
    <row r="59" spans="1:19">
      <c r="A59" s="2751"/>
      <c r="B59" s="2372"/>
      <c r="C59" s="2360"/>
      <c r="D59" s="2360"/>
      <c r="E59" s="2726"/>
      <c r="F59" s="2368" t="s">
        <v>2979</v>
      </c>
      <c r="G59" s="655"/>
      <c r="H59" s="2821"/>
      <c r="I59" s="2823">
        <f>I58/'Area Calculations'!$F$5</f>
        <v>0</v>
      </c>
      <c r="J59" s="2821"/>
      <c r="K59" s="2823">
        <f>K58/'Area Calculations'!$F$5</f>
        <v>0</v>
      </c>
      <c r="L59" s="2821"/>
      <c r="M59" s="2823">
        <f>M58/'Area Calculations'!$F$5</f>
        <v>0</v>
      </c>
      <c r="N59" s="2821"/>
      <c r="O59" s="2823">
        <f>O58/'Area Calculations'!$F$5</f>
        <v>0</v>
      </c>
      <c r="P59" s="2821"/>
      <c r="Q59" s="2823">
        <f>Q58/'Area Calculations'!$F$5</f>
        <v>0</v>
      </c>
      <c r="R59" s="2821"/>
      <c r="S59" s="2823">
        <f>S58/'Area Calculations'!$F$5</f>
        <v>0</v>
      </c>
    </row>
    <row r="60" spans="1:19">
      <c r="A60" s="2751"/>
      <c r="B60" s="2372"/>
      <c r="C60" s="2360"/>
      <c r="D60" s="2360"/>
      <c r="E60" s="2726"/>
      <c r="F60" s="2368" t="s">
        <v>4878</v>
      </c>
      <c r="G60" s="686"/>
      <c r="H60" s="2821"/>
      <c r="I60" s="2823" t="e">
        <f>I58/'Area Calculations'!$F$10</f>
        <v>#DIV/0!</v>
      </c>
      <c r="J60" s="2821"/>
      <c r="K60" s="2823" t="e">
        <f>K58/'Area Calculations'!$F$10</f>
        <v>#DIV/0!</v>
      </c>
      <c r="L60" s="2821"/>
      <c r="M60" s="2823" t="e">
        <f>M58/'Area Calculations'!$F$10</f>
        <v>#DIV/0!</v>
      </c>
      <c r="N60" s="2821"/>
      <c r="O60" s="2823" t="e">
        <f>O58/'Area Calculations'!$F$10</f>
        <v>#DIV/0!</v>
      </c>
      <c r="P60" s="2821"/>
      <c r="Q60" s="2823" t="e">
        <f>Q58/'Area Calculations'!$F$10</f>
        <v>#DIV/0!</v>
      </c>
      <c r="R60" s="2821"/>
      <c r="S60" s="2823" t="e">
        <f>S58/'Area Calculations'!$F$10</f>
        <v>#DIV/0!</v>
      </c>
    </row>
    <row r="61" spans="1:19" ht="15.75" thickBot="1">
      <c r="A61" s="2751"/>
      <c r="B61" s="2372"/>
      <c r="C61" s="2360"/>
      <c r="D61" s="2360"/>
      <c r="E61" s="2726"/>
      <c r="F61" s="2363"/>
      <c r="G61" s="687"/>
      <c r="H61" s="2877"/>
      <c r="I61" s="2878"/>
      <c r="J61" s="2877"/>
      <c r="K61" s="2878"/>
      <c r="L61" s="2877"/>
      <c r="M61" s="2878"/>
      <c r="N61" s="2877"/>
      <c r="O61" s="2878"/>
      <c r="P61" s="2877"/>
      <c r="Q61" s="2878"/>
      <c r="R61" s="2877"/>
      <c r="S61" s="2878"/>
    </row>
    <row r="62" spans="1:19" ht="16.5" thickTop="1" thickBot="1">
      <c r="A62" s="830" t="s">
        <v>2980</v>
      </c>
      <c r="B62" s="831"/>
      <c r="C62" s="12"/>
      <c r="D62" s="12"/>
      <c r="E62" s="12"/>
      <c r="F62" s="12"/>
      <c r="G62" s="48"/>
      <c r="H62" s="47"/>
      <c r="I62" s="20"/>
      <c r="J62" s="20"/>
      <c r="K62" s="20"/>
      <c r="L62" s="20"/>
      <c r="M62" s="20"/>
      <c r="N62" s="20"/>
      <c r="O62" s="20"/>
      <c r="P62" s="20"/>
      <c r="Q62" s="20"/>
      <c r="R62" s="20"/>
      <c r="S62" s="20"/>
    </row>
    <row r="63" spans="1:19" ht="15.75" thickTop="1">
      <c r="A63" s="2842"/>
      <c r="B63" s="2406"/>
      <c r="C63" s="2843"/>
      <c r="D63" s="2843"/>
      <c r="E63" s="2843"/>
      <c r="F63" s="2843"/>
      <c r="G63" s="2879"/>
      <c r="H63" s="2381"/>
      <c r="I63" s="2847"/>
      <c r="J63" s="2847"/>
      <c r="K63" s="2847"/>
      <c r="L63" s="2847"/>
      <c r="M63" s="2847"/>
      <c r="N63" s="2847"/>
      <c r="O63" s="2847"/>
      <c r="P63" s="2847"/>
      <c r="Q63" s="2847"/>
      <c r="R63" s="2847"/>
      <c r="S63" s="2847"/>
    </row>
    <row r="64" spans="1:19" s="2" customFormat="1">
      <c r="A64" s="2842"/>
      <c r="B64" s="2406"/>
      <c r="C64" s="2843"/>
      <c r="D64" s="2843"/>
      <c r="E64" s="2843"/>
      <c r="F64" s="2843"/>
      <c r="G64" s="2879"/>
      <c r="H64" s="2381"/>
      <c r="I64" s="2847"/>
      <c r="J64" s="2847"/>
      <c r="K64" s="2847"/>
      <c r="L64" s="2847"/>
      <c r="M64" s="2847"/>
      <c r="N64" s="2847"/>
      <c r="O64" s="2847"/>
      <c r="P64" s="2847"/>
      <c r="Q64" s="2847"/>
      <c r="R64" s="2847"/>
      <c r="S64" s="2847"/>
    </row>
    <row r="65" spans="1:19" s="2" customFormat="1" ht="15.75" thickBot="1">
      <c r="A65" s="2842"/>
      <c r="B65" s="2406"/>
      <c r="C65" s="2843"/>
      <c r="D65" s="2843"/>
      <c r="E65" s="2843"/>
      <c r="F65" s="2843"/>
      <c r="G65" s="2879"/>
      <c r="H65" s="2381"/>
      <c r="I65" s="2847"/>
      <c r="J65" s="2847"/>
      <c r="K65" s="2847"/>
      <c r="L65" s="2847"/>
      <c r="M65" s="2847"/>
      <c r="N65" s="2847"/>
      <c r="O65" s="2847"/>
      <c r="P65" s="2847"/>
      <c r="Q65" s="2847"/>
      <c r="R65" s="2847"/>
      <c r="S65" s="2847"/>
    </row>
    <row r="66" spans="1:19" ht="16.5" thickTop="1" thickBot="1">
      <c r="A66" s="830" t="s">
        <v>2981</v>
      </c>
      <c r="B66" s="831"/>
      <c r="C66" s="12"/>
      <c r="D66" s="12"/>
      <c r="E66" s="12"/>
      <c r="F66" s="12"/>
      <c r="G66" s="48"/>
      <c r="H66" s="47"/>
      <c r="I66" s="20"/>
      <c r="J66" s="20"/>
      <c r="K66" s="20"/>
      <c r="L66" s="20"/>
      <c r="M66" s="20"/>
      <c r="N66" s="20"/>
      <c r="O66" s="20"/>
      <c r="P66" s="20"/>
      <c r="Q66" s="20"/>
      <c r="R66" s="20"/>
      <c r="S66" s="20"/>
    </row>
    <row r="67" spans="1:19" s="2" customFormat="1" ht="15.75" thickTop="1">
      <c r="A67" s="2842"/>
      <c r="B67" s="2406"/>
      <c r="C67" s="2843"/>
      <c r="D67" s="2843"/>
      <c r="E67" s="2843"/>
      <c r="F67" s="2843"/>
      <c r="G67" s="2879"/>
      <c r="H67" s="2381"/>
      <c r="I67" s="2847"/>
      <c r="J67" s="2847"/>
      <c r="K67" s="2847"/>
      <c r="L67" s="2847"/>
      <c r="M67" s="2847"/>
      <c r="N67" s="2847"/>
      <c r="O67" s="2847"/>
      <c r="P67" s="2847"/>
      <c r="Q67" s="2847"/>
      <c r="R67" s="2847"/>
      <c r="S67" s="2847"/>
    </row>
    <row r="68" spans="1:19" s="2" customFormat="1">
      <c r="A68" s="2842"/>
      <c r="B68" s="2406"/>
      <c r="C68" s="2843"/>
      <c r="D68" s="2843"/>
      <c r="E68" s="2843"/>
      <c r="F68" s="2843"/>
      <c r="G68" s="2879"/>
      <c r="H68" s="2381"/>
      <c r="I68" s="2847"/>
      <c r="J68" s="2847"/>
      <c r="K68" s="2847"/>
      <c r="L68" s="2847"/>
      <c r="M68" s="2847"/>
      <c r="N68" s="2847"/>
      <c r="O68" s="2847"/>
      <c r="P68" s="2847"/>
      <c r="Q68" s="2847"/>
      <c r="R68" s="2847"/>
      <c r="S68" s="2847"/>
    </row>
    <row r="69" spans="1:19" ht="15.75" thickBot="1">
      <c r="A69" s="2842"/>
      <c r="B69" s="2406"/>
      <c r="C69" s="2843"/>
      <c r="D69" s="2843"/>
      <c r="E69" s="2843"/>
      <c r="F69" s="2843"/>
      <c r="G69" s="2879"/>
      <c r="H69" s="2381"/>
      <c r="I69" s="2847"/>
      <c r="J69" s="2847"/>
      <c r="K69" s="2847"/>
      <c r="L69" s="2847"/>
      <c r="M69" s="2847"/>
      <c r="N69" s="2847"/>
      <c r="O69" s="2847"/>
      <c r="P69" s="2847"/>
      <c r="Q69" s="2847"/>
      <c r="R69" s="2847"/>
      <c r="S69" s="2847"/>
    </row>
    <row r="70" spans="1:19" ht="16.5" thickTop="1" thickBot="1">
      <c r="A70" s="830" t="s">
        <v>2982</v>
      </c>
      <c r="B70" s="831"/>
      <c r="C70" s="12"/>
      <c r="D70" s="12"/>
      <c r="E70" s="12"/>
      <c r="F70" s="12"/>
      <c r="G70" s="48"/>
      <c r="H70" s="47"/>
      <c r="I70" s="20"/>
      <c r="J70" s="20"/>
      <c r="K70" s="20"/>
      <c r="L70" s="20"/>
      <c r="M70" s="20"/>
      <c r="N70" s="20"/>
      <c r="O70" s="20"/>
      <c r="P70" s="20"/>
      <c r="Q70" s="20"/>
      <c r="R70" s="20"/>
      <c r="S70" s="20"/>
    </row>
    <row r="71" spans="1:19" ht="15.75" thickTop="1">
      <c r="A71" s="2842"/>
      <c r="B71" s="2406"/>
      <c r="C71" s="2843"/>
      <c r="D71" s="2843"/>
      <c r="E71" s="2843"/>
      <c r="F71" s="2843"/>
      <c r="G71" s="2879"/>
      <c r="H71" s="2381"/>
      <c r="I71" s="2847"/>
      <c r="J71" s="2847"/>
      <c r="K71" s="2847"/>
      <c r="L71" s="2847"/>
      <c r="M71" s="2847"/>
      <c r="N71" s="2847"/>
      <c r="O71" s="2847"/>
      <c r="P71" s="2847"/>
      <c r="Q71" s="2847"/>
      <c r="R71" s="2847"/>
      <c r="S71" s="2847"/>
    </row>
    <row r="72" spans="1:19">
      <c r="A72" s="2758"/>
      <c r="B72" s="2406"/>
      <c r="C72" s="2407"/>
      <c r="D72" s="2407"/>
      <c r="E72" s="2407"/>
      <c r="F72" s="2407"/>
      <c r="G72" s="2880"/>
      <c r="H72" s="688"/>
      <c r="I72" s="2760"/>
      <c r="J72" s="2760"/>
      <c r="K72" s="2760"/>
      <c r="L72" s="2760"/>
      <c r="M72" s="2760"/>
      <c r="N72" s="2760"/>
      <c r="O72" s="2760"/>
      <c r="P72" s="2760"/>
      <c r="Q72" s="2760"/>
      <c r="R72" s="2760"/>
      <c r="S72" s="2760"/>
    </row>
    <row r="73" spans="1:19" ht="15.75" thickBot="1">
      <c r="A73" s="2761"/>
      <c r="B73" s="2386"/>
      <c r="C73" s="2407"/>
      <c r="D73" s="2407"/>
      <c r="E73" s="2407"/>
      <c r="F73" s="2407"/>
      <c r="G73" s="2880"/>
      <c r="H73" s="689"/>
      <c r="I73" s="2763"/>
      <c r="J73" s="2763"/>
      <c r="K73" s="2763"/>
      <c r="L73" s="2763"/>
      <c r="M73" s="2763"/>
      <c r="N73" s="2763"/>
      <c r="O73" s="2763"/>
      <c r="P73" s="2763"/>
      <c r="Q73" s="2763"/>
      <c r="R73" s="2763"/>
      <c r="S73" s="2763"/>
    </row>
    <row r="74" spans="1:19" ht="16.5" thickTop="1" thickBot="1">
      <c r="A74" s="830" t="s">
        <v>2983</v>
      </c>
      <c r="B74" s="831"/>
      <c r="C74" s="12"/>
      <c r="D74" s="12"/>
      <c r="E74" s="12"/>
      <c r="F74" s="12"/>
      <c r="G74" s="48"/>
      <c r="H74" s="47"/>
      <c r="I74" s="20"/>
      <c r="J74" s="20"/>
      <c r="K74" s="20"/>
      <c r="L74" s="20"/>
      <c r="M74" s="20"/>
      <c r="N74" s="20"/>
      <c r="O74" s="20"/>
      <c r="P74" s="20"/>
      <c r="Q74" s="20"/>
      <c r="R74" s="20"/>
      <c r="S74" s="20"/>
    </row>
    <row r="75" spans="1:19" ht="15.75" thickTop="1">
      <c r="A75" s="2848"/>
      <c r="B75" s="2849"/>
      <c r="C75" s="2843"/>
      <c r="D75" s="2843"/>
      <c r="E75" s="2843"/>
      <c r="F75" s="2843"/>
      <c r="G75" s="2879"/>
      <c r="H75" s="2381"/>
      <c r="I75" s="2847"/>
      <c r="J75" s="2847"/>
      <c r="K75" s="2847"/>
      <c r="L75" s="2847"/>
      <c r="M75" s="2847"/>
      <c r="N75" s="2847"/>
      <c r="O75" s="2847"/>
      <c r="P75" s="2847"/>
      <c r="Q75" s="2847"/>
      <c r="R75" s="2847"/>
      <c r="S75" s="2847"/>
    </row>
    <row r="76" spans="1:19">
      <c r="A76" s="2761"/>
      <c r="B76" s="2386"/>
      <c r="C76" s="2407"/>
      <c r="D76" s="2407"/>
      <c r="E76" s="2407"/>
      <c r="F76" s="2407"/>
      <c r="G76" s="2880"/>
      <c r="H76" s="690"/>
      <c r="I76" s="2764"/>
      <c r="J76" s="2764"/>
      <c r="K76" s="2764"/>
      <c r="L76" s="2764"/>
      <c r="M76" s="2764"/>
      <c r="N76" s="2764"/>
      <c r="O76" s="2764"/>
      <c r="P76" s="2764"/>
      <c r="Q76" s="2764"/>
      <c r="R76" s="2764"/>
      <c r="S76" s="2764"/>
    </row>
    <row r="77" spans="1:19" ht="15.75" thickBot="1">
      <c r="A77" s="2761"/>
      <c r="B77" s="2386"/>
      <c r="C77" s="2407"/>
      <c r="D77" s="2407"/>
      <c r="E77" s="2407"/>
      <c r="F77" s="2407"/>
      <c r="G77" s="2880"/>
      <c r="H77" s="690"/>
      <c r="I77" s="2764"/>
      <c r="J77" s="2764"/>
      <c r="K77" s="2764"/>
      <c r="L77" s="2764"/>
      <c r="M77" s="2764"/>
      <c r="N77" s="2764"/>
      <c r="O77" s="2764"/>
      <c r="P77" s="2764"/>
      <c r="Q77" s="2764"/>
      <c r="R77" s="2764"/>
      <c r="S77" s="2764"/>
    </row>
    <row r="78" spans="1:19" ht="16.5" thickTop="1" thickBot="1">
      <c r="A78" s="830" t="s">
        <v>2984</v>
      </c>
      <c r="B78" s="831"/>
      <c r="C78" s="12"/>
      <c r="D78" s="12"/>
      <c r="E78" s="12"/>
      <c r="F78" s="12"/>
      <c r="G78" s="48"/>
      <c r="H78" s="47"/>
      <c r="I78" s="20"/>
      <c r="J78" s="20"/>
      <c r="K78" s="20"/>
      <c r="L78" s="20"/>
      <c r="M78" s="20"/>
      <c r="N78" s="20"/>
      <c r="O78" s="20"/>
      <c r="P78" s="20"/>
      <c r="Q78" s="20"/>
      <c r="R78" s="20"/>
      <c r="S78" s="20"/>
    </row>
    <row r="79" spans="1:19" ht="15.75" thickTop="1">
      <c r="A79" s="2758"/>
      <c r="B79" s="2406" t="s">
        <v>2985</v>
      </c>
      <c r="C79" s="2407"/>
      <c r="D79" s="2407"/>
      <c r="E79" s="2407"/>
      <c r="F79" s="2407"/>
      <c r="G79" s="2880"/>
      <c r="H79" s="690"/>
      <c r="I79" s="2764"/>
      <c r="J79" s="2764"/>
      <c r="K79" s="2764"/>
      <c r="L79" s="2764"/>
      <c r="M79" s="2764"/>
      <c r="N79" s="2764"/>
      <c r="O79" s="2764"/>
      <c r="P79" s="2764"/>
      <c r="Q79" s="2764"/>
      <c r="R79" s="2764"/>
      <c r="S79" s="2764"/>
    </row>
    <row r="80" spans="1:19">
      <c r="A80" s="2758"/>
      <c r="B80" s="2406" t="s">
        <v>2986</v>
      </c>
      <c r="C80" s="2407"/>
      <c r="D80" s="2407"/>
      <c r="E80" s="2407"/>
      <c r="F80" s="2407"/>
      <c r="G80" s="2880"/>
      <c r="H80" s="690"/>
      <c r="I80" s="2764"/>
      <c r="J80" s="2764"/>
      <c r="K80" s="2764"/>
      <c r="L80" s="2764"/>
      <c r="M80" s="2764"/>
      <c r="N80" s="2764"/>
      <c r="O80" s="2764"/>
      <c r="P80" s="2764"/>
      <c r="Q80" s="2764"/>
      <c r="R80" s="2764"/>
      <c r="S80" s="2764"/>
    </row>
    <row r="81" spans="1:19">
      <c r="A81" s="2758"/>
      <c r="B81" s="2406" t="s">
        <v>2987</v>
      </c>
      <c r="C81" s="2407"/>
      <c r="D81" s="2407"/>
      <c r="E81" s="2407"/>
      <c r="F81" s="2407"/>
      <c r="G81" s="2880"/>
      <c r="H81" s="690"/>
      <c r="I81" s="2764"/>
      <c r="J81" s="2764"/>
      <c r="K81" s="2764"/>
      <c r="L81" s="2764"/>
      <c r="M81" s="2764"/>
      <c r="N81" s="2764"/>
      <c r="O81" s="2764"/>
      <c r="P81" s="2764"/>
      <c r="Q81" s="2764"/>
      <c r="R81" s="2764"/>
      <c r="S81" s="2764"/>
    </row>
    <row r="82" spans="1:19">
      <c r="A82" s="2758"/>
      <c r="B82" s="2406" t="s">
        <v>2988</v>
      </c>
      <c r="C82" s="2407"/>
      <c r="D82" s="2407"/>
      <c r="E82" s="2407"/>
      <c r="F82" s="2407"/>
      <c r="G82" s="2880"/>
      <c r="H82" s="690"/>
      <c r="I82" s="2764"/>
      <c r="J82" s="2764"/>
      <c r="K82" s="2764"/>
      <c r="L82" s="2764"/>
      <c r="M82" s="2764"/>
      <c r="N82" s="2764"/>
      <c r="O82" s="2764"/>
      <c r="P82" s="2764"/>
      <c r="Q82" s="2764"/>
      <c r="R82" s="2764"/>
      <c r="S82" s="2764"/>
    </row>
    <row r="83" spans="1:19" ht="15.75" thickBot="1">
      <c r="A83" s="646"/>
      <c r="B83" s="619"/>
      <c r="C83" s="616"/>
      <c r="D83" s="616"/>
      <c r="E83" s="616"/>
      <c r="F83" s="616"/>
      <c r="G83" s="629"/>
      <c r="H83" s="630"/>
      <c r="I83" s="647"/>
      <c r="J83" s="647"/>
      <c r="K83" s="647"/>
      <c r="L83" s="647"/>
      <c r="M83" s="647"/>
      <c r="N83" s="647"/>
      <c r="O83" s="647"/>
      <c r="P83" s="647"/>
      <c r="Q83" s="647"/>
      <c r="R83" s="647"/>
      <c r="S83" s="647"/>
    </row>
    <row r="84" spans="1:19" ht="16.5" thickTop="1" thickBot="1">
      <c r="A84" s="7" t="s">
        <v>2989</v>
      </c>
      <c r="B84" s="8"/>
      <c r="C84" s="12"/>
      <c r="D84" s="12"/>
      <c r="E84" s="12"/>
      <c r="F84" s="12"/>
      <c r="G84" s="48"/>
      <c r="H84" s="47"/>
      <c r="I84" s="20"/>
      <c r="J84" s="20"/>
      <c r="K84" s="20"/>
      <c r="L84" s="20"/>
      <c r="M84" s="20"/>
      <c r="N84" s="20"/>
      <c r="O84" s="20"/>
      <c r="P84" s="20"/>
      <c r="Q84" s="20"/>
      <c r="R84" s="20"/>
      <c r="S84" s="20"/>
    </row>
    <row r="85" spans="1:19" ht="15.75" thickTop="1">
      <c r="A85" s="2842"/>
      <c r="B85" s="2829" t="s">
        <v>2990</v>
      </c>
      <c r="C85" s="2843"/>
      <c r="D85" s="2843"/>
      <c r="E85" s="2843"/>
      <c r="F85" s="2843"/>
      <c r="G85" s="2879"/>
      <c r="H85" s="2339"/>
      <c r="I85" s="2830"/>
      <c r="J85" s="2830"/>
      <c r="K85" s="2830"/>
      <c r="L85" s="2830"/>
      <c r="M85" s="2830"/>
      <c r="N85" s="2830"/>
      <c r="O85" s="2830"/>
      <c r="P85" s="2830"/>
      <c r="Q85" s="2830"/>
      <c r="R85" s="2830"/>
      <c r="S85" s="2830"/>
    </row>
    <row r="86" spans="1:19">
      <c r="A86" s="2758"/>
      <c r="B86" s="2406" t="s">
        <v>2991</v>
      </c>
      <c r="C86" s="2407"/>
      <c r="D86" s="2407"/>
      <c r="E86" s="2407"/>
      <c r="F86" s="2407"/>
      <c r="G86" s="2880"/>
      <c r="H86" s="691"/>
      <c r="I86" s="2765"/>
      <c r="J86" s="2765"/>
      <c r="K86" s="2765"/>
      <c r="L86" s="2765"/>
      <c r="M86" s="2765"/>
      <c r="N86" s="2765"/>
      <c r="O86" s="2765"/>
      <c r="P86" s="2765"/>
      <c r="Q86" s="2765"/>
      <c r="R86" s="2765"/>
      <c r="S86" s="2765"/>
    </row>
    <row r="87" spans="1:19" ht="15.75" thickBot="1">
      <c r="A87" s="2766"/>
      <c r="B87" s="2787" t="s">
        <v>2992</v>
      </c>
      <c r="C87" s="2788"/>
      <c r="D87" s="2788"/>
      <c r="E87" s="2788"/>
      <c r="F87" s="2788"/>
      <c r="G87" s="2882"/>
      <c r="H87" s="2883"/>
      <c r="I87" s="2770"/>
      <c r="J87" s="2770"/>
      <c r="K87" s="2770"/>
      <c r="L87" s="2770"/>
      <c r="M87" s="2770"/>
      <c r="N87" s="2770"/>
      <c r="O87" s="2770"/>
      <c r="P87" s="2770"/>
      <c r="Q87" s="2770"/>
      <c r="R87" s="2770"/>
      <c r="S87" s="2770"/>
    </row>
    <row r="88" spans="1:19" ht="16.5" thickTop="1" thickBot="1"/>
    <row r="89" spans="1:19" ht="16.5" thickTop="1" thickBot="1">
      <c r="A89" s="59" t="s">
        <v>2993</v>
      </c>
      <c r="B89" s="61"/>
    </row>
    <row r="90" spans="1:19" ht="15.75" thickTop="1">
      <c r="A90" s="60" t="s">
        <v>2936</v>
      </c>
      <c r="B90" s="2771"/>
    </row>
    <row r="91" spans="1:19">
      <c r="A91" s="2772" t="s">
        <v>2939</v>
      </c>
      <c r="B91" s="2771"/>
    </row>
    <row r="92" spans="1:19">
      <c r="A92" s="2773" t="s">
        <v>2941</v>
      </c>
      <c r="B92" s="2774"/>
    </row>
    <row r="93" spans="1:19">
      <c r="A93" s="2773" t="s">
        <v>2943</v>
      </c>
      <c r="B93" s="2775"/>
    </row>
    <row r="94" spans="1:19" ht="15.75" thickBot="1">
      <c r="A94" s="2776" t="s">
        <v>2994</v>
      </c>
      <c r="B94" s="2884"/>
    </row>
    <row r="95" spans="1:19" ht="15.75" thickTop="1"/>
    <row r="96" spans="1:19">
      <c r="A96" s="62"/>
      <c r="B96" s="1" t="s">
        <v>2995</v>
      </c>
    </row>
    <row r="97" spans="1:2">
      <c r="A97" s="63"/>
      <c r="B97" s="1" t="s">
        <v>2996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2:B62"/>
    <mergeCell ref="A66:B66"/>
    <mergeCell ref="A70:B70"/>
    <mergeCell ref="A74:B74"/>
    <mergeCell ref="A78:B78"/>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A3E8-7CB0-4873-A834-73CA87D4D2BB}">
  <sheetPr>
    <tabColor rgb="FF00B050"/>
    <pageSetUpPr fitToPage="1"/>
  </sheetPr>
  <dimension ref="A1:AH123"/>
  <sheetViews>
    <sheetView zoomScale="90" zoomScaleNormal="90" workbookViewId="0">
      <pane xSplit="6" ySplit="10" topLeftCell="G60" activePane="bottomRight" state="frozen"/>
      <selection pane="bottomRight" activeCell="I38" sqref="I38"/>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4" max="24" width="10.7109375" customWidth="1"/>
    <col min="25" max="25" width="70.7109375" style="1" customWidth="1"/>
    <col min="26" max="26" width="10.85546875" style="2" hidden="1" customWidth="1"/>
    <col min="27" max="27" width="15.7109375" style="165" customWidth="1"/>
    <col min="28" max="28" width="7.42578125" style="79" customWidth="1"/>
  </cols>
  <sheetData>
    <row r="1" spans="1:28">
      <c r="F1" s="178"/>
      <c r="G1" s="56" t="s">
        <v>2928</v>
      </c>
    </row>
    <row r="2" spans="1:28">
      <c r="F2" s="179" t="s">
        <v>2929</v>
      </c>
      <c r="G2" s="56" t="s">
        <v>2930</v>
      </c>
    </row>
    <row r="3" spans="1:28">
      <c r="F3" s="180" t="s">
        <v>2931</v>
      </c>
      <c r="G3" s="56" t="s">
        <v>2932</v>
      </c>
    </row>
    <row r="4" spans="1:28" ht="15.75" thickBot="1">
      <c r="B4" s="181" t="s">
        <v>2933</v>
      </c>
      <c r="F4" s="170"/>
      <c r="G4" s="2" t="s">
        <v>2934</v>
      </c>
      <c r="Y4" s="181" t="s">
        <v>2933</v>
      </c>
    </row>
    <row r="5" spans="1:28" ht="15.75" thickTop="1">
      <c r="A5" s="3" t="s">
        <v>2935</v>
      </c>
      <c r="B5" s="4" t="str">
        <f>'Area Calculations'!B4</f>
        <v>Atlantic Fields Club Core / Dock Bar / Spa Pods / Water Features</v>
      </c>
      <c r="C5" s="5"/>
      <c r="D5" s="166"/>
      <c r="E5" s="171"/>
      <c r="F5" s="5"/>
      <c r="G5" s="6" t="s">
        <v>2936</v>
      </c>
      <c r="H5" s="837" t="s">
        <v>6018</v>
      </c>
      <c r="I5" s="838"/>
      <c r="J5" s="837"/>
      <c r="K5" s="838"/>
      <c r="L5" s="841"/>
      <c r="M5" s="842"/>
      <c r="N5" s="841"/>
      <c r="O5" s="842"/>
      <c r="P5" s="841"/>
      <c r="Q5" s="842"/>
      <c r="R5" s="841"/>
      <c r="S5" s="842"/>
      <c r="X5" s="3" t="s">
        <v>2935</v>
      </c>
      <c r="Y5" s="4">
        <f>'Area Calculations'!Y4</f>
        <v>0</v>
      </c>
      <c r="Z5" s="5"/>
      <c r="AA5" s="166"/>
      <c r="AB5" s="171"/>
    </row>
    <row r="6" spans="1:28">
      <c r="A6" s="2778" t="s">
        <v>2938</v>
      </c>
      <c r="B6" s="2406" t="s">
        <v>2591</v>
      </c>
      <c r="C6" s="2407"/>
      <c r="D6" s="2408"/>
      <c r="E6" s="2409"/>
      <c r="F6" s="2407"/>
      <c r="G6" s="657" t="s">
        <v>2939</v>
      </c>
      <c r="H6" s="2779"/>
      <c r="I6" s="839"/>
      <c r="J6" s="2780"/>
      <c r="K6" s="843"/>
      <c r="L6" s="2780"/>
      <c r="M6" s="843"/>
      <c r="N6" s="2780"/>
      <c r="O6" s="843"/>
      <c r="P6" s="2780"/>
      <c r="Q6" s="843"/>
      <c r="R6" s="2780"/>
      <c r="S6" s="843"/>
      <c r="X6" s="2778" t="s">
        <v>2938</v>
      </c>
      <c r="Y6" s="2406" t="s">
        <v>2591</v>
      </c>
      <c r="Z6" s="2407"/>
      <c r="AA6" s="2408"/>
      <c r="AB6" s="2409"/>
    </row>
    <row r="7" spans="1:28">
      <c r="A7" s="2778" t="s">
        <v>2940</v>
      </c>
      <c r="B7" s="2413" t="s">
        <v>6077</v>
      </c>
      <c r="C7" s="2407"/>
      <c r="D7" s="2408"/>
      <c r="E7" s="2409"/>
      <c r="F7" s="2407"/>
      <c r="G7" s="2781" t="s">
        <v>2941</v>
      </c>
      <c r="H7" s="2782"/>
      <c r="I7" s="840"/>
      <c r="J7" s="2783"/>
      <c r="K7" s="844"/>
      <c r="L7" s="2783"/>
      <c r="M7" s="844"/>
      <c r="N7" s="2783"/>
      <c r="O7" s="844"/>
      <c r="P7" s="2783"/>
      <c r="Q7" s="844"/>
      <c r="R7" s="2783"/>
      <c r="S7" s="844"/>
      <c r="X7" s="2778" t="s">
        <v>2940</v>
      </c>
      <c r="Y7" s="2413" t="s">
        <v>6077</v>
      </c>
      <c r="Z7" s="2407"/>
      <c r="AA7" s="2408"/>
      <c r="AB7" s="2409"/>
    </row>
    <row r="8" spans="1:28">
      <c r="A8" s="2778" t="s">
        <v>2942</v>
      </c>
      <c r="B8" s="2418"/>
      <c r="C8" s="2407"/>
      <c r="D8" s="2408"/>
      <c r="E8" s="2409"/>
      <c r="F8" s="2407"/>
      <c r="G8" s="2781" t="s">
        <v>2943</v>
      </c>
      <c r="H8" s="2784"/>
      <c r="I8" s="836"/>
      <c r="J8" s="2785"/>
      <c r="K8" s="845"/>
      <c r="L8" s="2785"/>
      <c r="M8" s="845"/>
      <c r="N8" s="2785"/>
      <c r="O8" s="845"/>
      <c r="P8" s="2785"/>
      <c r="Q8" s="845"/>
      <c r="R8" s="2785"/>
      <c r="S8" s="845"/>
      <c r="X8" s="2778" t="s">
        <v>2942</v>
      </c>
      <c r="Y8" s="2418"/>
      <c r="Z8" s="2407"/>
      <c r="AA8" s="2408"/>
      <c r="AB8" s="2409"/>
    </row>
    <row r="9" spans="1:28" ht="15.75" thickBot="1">
      <c r="A9" s="2786"/>
      <c r="B9" s="2787"/>
      <c r="C9" s="616"/>
      <c r="D9" s="621"/>
      <c r="E9" s="622"/>
      <c r="F9" s="2788"/>
      <c r="G9" s="2789" t="s">
        <v>2944</v>
      </c>
      <c r="H9" s="2792">
        <f>I$85</f>
        <v>114536</v>
      </c>
      <c r="I9" s="2793"/>
      <c r="J9" s="2790">
        <f t="shared" ref="J9" si="0">K$85</f>
        <v>0</v>
      </c>
      <c r="K9" s="2791"/>
      <c r="L9" s="2790">
        <f t="shared" ref="L9" si="1">M$85</f>
        <v>0</v>
      </c>
      <c r="M9" s="2791"/>
      <c r="N9" s="2790">
        <f t="shared" ref="N9" si="2">O$85</f>
        <v>0</v>
      </c>
      <c r="O9" s="2791"/>
      <c r="P9" s="2790">
        <f t="shared" ref="P9" si="3">Q$85</f>
        <v>0</v>
      </c>
      <c r="Q9" s="2791"/>
      <c r="R9" s="2790">
        <f t="shared" ref="R9" si="4">S$85</f>
        <v>0</v>
      </c>
      <c r="S9" s="2791"/>
      <c r="X9" s="2786"/>
      <c r="Y9" s="2787"/>
      <c r="Z9" s="616"/>
      <c r="AA9" s="621"/>
      <c r="AB9" s="622"/>
    </row>
    <row r="10" spans="1:28"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X10" s="160" t="s">
        <v>2945</v>
      </c>
      <c r="Y10" s="172"/>
      <c r="Z10" s="173" t="s">
        <v>2946</v>
      </c>
      <c r="AA10" s="167" t="s">
        <v>2947</v>
      </c>
      <c r="AB10" s="173" t="s">
        <v>2948</v>
      </c>
    </row>
    <row r="11" spans="1:28" ht="16.5" thickTop="1" thickBot="1">
      <c r="A11" s="2831"/>
      <c r="B11" s="2889" t="s">
        <v>2953</v>
      </c>
      <c r="C11" s="659"/>
      <c r="D11" s="2408"/>
      <c r="E11" s="2409"/>
      <c r="F11" s="2407"/>
      <c r="G11" s="660"/>
      <c r="H11" s="2794"/>
      <c r="I11" s="2338"/>
      <c r="J11" s="2794"/>
      <c r="K11" s="182"/>
      <c r="L11" s="2794"/>
      <c r="M11" s="2339"/>
      <c r="N11" s="2794"/>
      <c r="O11" s="2339"/>
      <c r="P11" s="2794"/>
      <c r="Q11" s="2339"/>
      <c r="R11" s="2794"/>
      <c r="S11" s="2339"/>
      <c r="X11" s="2831"/>
      <c r="Y11" s="2889" t="s">
        <v>2953</v>
      </c>
      <c r="Z11" s="659"/>
      <c r="AA11" s="2408"/>
      <c r="AB11" s="2409"/>
    </row>
    <row r="12" spans="1:28">
      <c r="A12" s="2832"/>
      <c r="B12" s="2740" t="s">
        <v>2954</v>
      </c>
      <c r="C12" s="2407"/>
      <c r="D12" s="2408"/>
      <c r="E12" s="2409"/>
      <c r="F12" s="2407"/>
      <c r="G12" s="660"/>
      <c r="H12" s="2794"/>
      <c r="I12" s="2338"/>
      <c r="J12" s="2794"/>
      <c r="K12" s="2339"/>
      <c r="L12" s="2794"/>
      <c r="M12" s="2339"/>
      <c r="N12" s="2794"/>
      <c r="O12" s="2339"/>
      <c r="P12" s="2794"/>
      <c r="Q12" s="2339"/>
      <c r="R12" s="2794"/>
      <c r="S12" s="2339"/>
      <c r="X12" s="2832"/>
      <c r="Y12" s="2740" t="s">
        <v>2954</v>
      </c>
      <c r="Z12" s="2407"/>
      <c r="AA12" s="2408"/>
      <c r="AB12" s="2409"/>
    </row>
    <row r="13" spans="1:28">
      <c r="A13" s="2795"/>
      <c r="B13" s="2833" t="s">
        <v>2955</v>
      </c>
      <c r="C13" s="2407"/>
      <c r="D13" s="2408"/>
      <c r="E13" s="2409"/>
      <c r="F13" s="2407"/>
      <c r="G13" s="660"/>
      <c r="H13" s="2794"/>
      <c r="I13" s="2338"/>
      <c r="J13" s="2794"/>
      <c r="K13" s="2339"/>
      <c r="L13" s="2794"/>
      <c r="M13" s="2339"/>
      <c r="N13" s="2794"/>
      <c r="O13" s="2339"/>
      <c r="P13" s="2794"/>
      <c r="Q13" s="2339"/>
      <c r="R13" s="2794"/>
      <c r="S13" s="2339"/>
      <c r="X13" s="2795"/>
      <c r="Y13" s="2833" t="s">
        <v>2955</v>
      </c>
      <c r="Z13" s="2407"/>
      <c r="AA13" s="2408"/>
      <c r="AB13" s="2409"/>
    </row>
    <row r="14" spans="1:28">
      <c r="A14" s="2795"/>
      <c r="B14" s="2834" t="s">
        <v>2956</v>
      </c>
      <c r="C14" s="2407"/>
      <c r="D14" s="2408"/>
      <c r="E14" s="2409"/>
      <c r="F14" s="2407"/>
      <c r="G14" s="660"/>
      <c r="H14" s="2794"/>
      <c r="I14" s="2338"/>
      <c r="J14" s="2794"/>
      <c r="K14" s="2339"/>
      <c r="L14" s="2794"/>
      <c r="M14" s="2339"/>
      <c r="N14" s="2794"/>
      <c r="O14" s="2339"/>
      <c r="P14" s="2794"/>
      <c r="Q14" s="2339"/>
      <c r="R14" s="2794"/>
      <c r="S14" s="2339"/>
      <c r="X14" s="2795"/>
      <c r="Y14" s="2834" t="s">
        <v>2956</v>
      </c>
      <c r="Z14" s="2407"/>
      <c r="AA14" s="2408"/>
      <c r="AB14" s="2409"/>
    </row>
    <row r="15" spans="1:28">
      <c r="A15" s="2795"/>
      <c r="B15" s="2834" t="s">
        <v>2957</v>
      </c>
      <c r="C15" s="2407"/>
      <c r="D15" s="2408"/>
      <c r="E15" s="2409"/>
      <c r="F15" s="2407"/>
      <c r="G15" s="660"/>
      <c r="H15" s="2794"/>
      <c r="I15" s="2338"/>
      <c r="J15" s="2794"/>
      <c r="K15" s="2338"/>
      <c r="L15" s="2794"/>
      <c r="M15" s="2338"/>
      <c r="N15" s="2794"/>
      <c r="O15" s="2338"/>
      <c r="P15" s="2794"/>
      <c r="Q15" s="2338"/>
      <c r="R15" s="2794"/>
      <c r="S15" s="2338"/>
      <c r="X15" s="2795"/>
      <c r="Y15" s="2834" t="s">
        <v>2957</v>
      </c>
      <c r="Z15" s="2407"/>
      <c r="AA15" s="2408"/>
      <c r="AB15" s="2409"/>
    </row>
    <row r="16" spans="1:28">
      <c r="A16" s="2795"/>
      <c r="B16" s="2834" t="s">
        <v>2958</v>
      </c>
      <c r="C16" s="2407"/>
      <c r="D16" s="2408"/>
      <c r="E16" s="2409"/>
      <c r="F16" s="2407"/>
      <c r="G16" s="660"/>
      <c r="H16" s="2794"/>
      <c r="I16" s="2338"/>
      <c r="J16" s="2794"/>
      <c r="K16" s="2339"/>
      <c r="L16" s="2794"/>
      <c r="M16" s="2339"/>
      <c r="N16" s="2794"/>
      <c r="O16" s="2339"/>
      <c r="P16" s="2794"/>
      <c r="Q16" s="2339"/>
      <c r="R16" s="2794"/>
      <c r="S16" s="2339"/>
      <c r="X16" s="2795"/>
      <c r="Y16" s="2834" t="s">
        <v>2958</v>
      </c>
      <c r="Z16" s="2407"/>
      <c r="AA16" s="2408"/>
      <c r="AB16" s="2409"/>
    </row>
    <row r="17" spans="1:28">
      <c r="A17" s="2795"/>
      <c r="B17" s="2834" t="s">
        <v>2959</v>
      </c>
      <c r="C17" s="2407"/>
      <c r="D17" s="2408"/>
      <c r="E17" s="2409"/>
      <c r="F17" s="2407"/>
      <c r="G17" s="660"/>
      <c r="H17" s="2794"/>
      <c r="I17" s="2338"/>
      <c r="J17" s="2794"/>
      <c r="K17" s="2339"/>
      <c r="L17" s="2794"/>
      <c r="M17" s="2339"/>
      <c r="N17" s="2794"/>
      <c r="O17" s="2339"/>
      <c r="P17" s="2794"/>
      <c r="Q17" s="2339"/>
      <c r="R17" s="2794"/>
      <c r="S17" s="2339"/>
      <c r="X17" s="2795"/>
      <c r="Y17" s="2834" t="s">
        <v>2959</v>
      </c>
      <c r="Z17" s="2407"/>
      <c r="AA17" s="2408"/>
      <c r="AB17" s="2409"/>
    </row>
    <row r="18" spans="1:28">
      <c r="A18" s="2795"/>
      <c r="B18" s="2835" t="s">
        <v>2960</v>
      </c>
      <c r="C18" s="2407"/>
      <c r="D18" s="2408"/>
      <c r="E18" s="2409"/>
      <c r="F18" s="2407"/>
      <c r="G18" s="660"/>
      <c r="H18" s="2794"/>
      <c r="I18" s="2338"/>
      <c r="J18" s="2794"/>
      <c r="K18" s="2339"/>
      <c r="L18" s="2794"/>
      <c r="M18" s="2339"/>
      <c r="N18" s="2794"/>
      <c r="O18" s="2339"/>
      <c r="P18" s="2794"/>
      <c r="Q18" s="2339"/>
      <c r="R18" s="2794"/>
      <c r="S18" s="2339"/>
      <c r="X18" s="2795"/>
      <c r="Y18" s="2835" t="s">
        <v>2960</v>
      </c>
      <c r="Z18" s="2407"/>
      <c r="AA18" s="2408"/>
      <c r="AB18" s="2409"/>
    </row>
    <row r="19" spans="1:28">
      <c r="A19" s="2795"/>
      <c r="B19" s="2836" t="s">
        <v>2961</v>
      </c>
      <c r="C19" s="2433"/>
      <c r="D19" s="2434"/>
      <c r="E19" s="2435"/>
      <c r="F19" s="2436"/>
      <c r="G19" s="661"/>
      <c r="H19" s="2796"/>
      <c r="I19" s="2347"/>
      <c r="J19" s="2796"/>
      <c r="K19" s="2346"/>
      <c r="L19" s="2796"/>
      <c r="M19" s="2346"/>
      <c r="N19" s="2796"/>
      <c r="O19" s="2346"/>
      <c r="P19" s="2796"/>
      <c r="Q19" s="2346"/>
      <c r="R19" s="2796"/>
      <c r="S19" s="2346"/>
      <c r="X19" s="2795"/>
      <c r="Y19" s="2836" t="s">
        <v>2961</v>
      </c>
      <c r="Z19" s="2433"/>
      <c r="AA19" s="2434"/>
      <c r="AB19" s="2435"/>
    </row>
    <row r="20" spans="1:28">
      <c r="A20" s="2795"/>
      <c r="B20" s="2837"/>
      <c r="C20" s="2407"/>
      <c r="D20" s="2408"/>
      <c r="E20" s="2409"/>
      <c r="F20" s="2438"/>
      <c r="G20" s="660"/>
      <c r="H20" s="2794"/>
      <c r="I20" s="2349"/>
      <c r="J20" s="2794"/>
      <c r="K20" s="2350"/>
      <c r="L20" s="2794"/>
      <c r="M20" s="2349"/>
      <c r="N20" s="2794"/>
      <c r="O20" s="2349"/>
      <c r="P20" s="2794"/>
      <c r="Q20" s="2349"/>
      <c r="R20" s="2794"/>
      <c r="S20" s="2349"/>
      <c r="X20" s="2795"/>
      <c r="Y20" s="2837"/>
      <c r="Z20" s="2407"/>
      <c r="AA20" s="2408"/>
      <c r="AB20" s="2409"/>
    </row>
    <row r="21" spans="1:28">
      <c r="A21" s="2795"/>
      <c r="B21" s="2351" t="s">
        <v>2695</v>
      </c>
      <c r="C21" s="2407"/>
      <c r="D21" s="2408"/>
      <c r="E21" s="2409"/>
      <c r="F21" s="2357"/>
      <c r="G21" s="660"/>
      <c r="H21" s="2794"/>
      <c r="I21" s="2352">
        <f>SUBTOTAL(9,I22:I69)</f>
        <v>102552</v>
      </c>
      <c r="J21" s="2794"/>
      <c r="K21" s="2352">
        <f>SUBTOTAL(9,K22:K55)</f>
        <v>0</v>
      </c>
      <c r="L21" s="2794"/>
      <c r="M21" s="2352">
        <f>SUBTOTAL(9,M22:M55)</f>
        <v>0</v>
      </c>
      <c r="N21" s="2794"/>
      <c r="O21" s="2352">
        <f>SUBTOTAL(9,O22:O55)</f>
        <v>0</v>
      </c>
      <c r="P21" s="2794"/>
      <c r="Q21" s="2352">
        <f>SUBTOTAL(9,Q22:Q55)</f>
        <v>0</v>
      </c>
      <c r="R21" s="2794"/>
      <c r="S21" s="2352">
        <f>SUBTOTAL(9,S22:S55)</f>
        <v>0</v>
      </c>
      <c r="X21" s="2795"/>
      <c r="Y21" s="2351" t="s">
        <v>2695</v>
      </c>
      <c r="Z21" s="2407"/>
      <c r="AA21" s="2408"/>
      <c r="AB21" s="2409"/>
    </row>
    <row r="22" spans="1:28">
      <c r="A22" s="2795"/>
      <c r="B22" s="2837"/>
      <c r="C22" s="2407"/>
      <c r="D22" s="2408"/>
      <c r="E22" s="2409"/>
      <c r="F22" s="2438"/>
      <c r="G22" s="668">
        <f t="shared" ref="G22:G79" si="5">ROUND(D22*F22,0)</f>
        <v>0</v>
      </c>
      <c r="H22" s="2313"/>
      <c r="I22" s="2890" t="s">
        <v>6104</v>
      </c>
      <c r="J22" s="2794"/>
      <c r="K22" s="2350"/>
      <c r="L22" s="2794"/>
      <c r="M22" s="2349"/>
      <c r="N22" s="2794"/>
      <c r="O22" s="2349"/>
      <c r="P22" s="2794"/>
      <c r="Q22" s="2349"/>
      <c r="R22" s="2794"/>
      <c r="S22" s="2349"/>
      <c r="X22" s="2795"/>
      <c r="Y22" s="2837"/>
      <c r="Z22" s="2407"/>
      <c r="AA22" s="2408"/>
      <c r="AB22" s="2409"/>
    </row>
    <row r="23" spans="1:28">
      <c r="A23" s="2795"/>
      <c r="B23" s="2837" t="s">
        <v>6105</v>
      </c>
      <c r="C23" s="2407"/>
      <c r="D23" s="2408"/>
      <c r="E23" s="2409"/>
      <c r="F23" s="2438"/>
      <c r="G23" s="668">
        <f t="shared" ref="G23:G29" si="6">ROUND(D23*F23,0)</f>
        <v>0</v>
      </c>
      <c r="H23" s="2313"/>
      <c r="I23" s="2806"/>
      <c r="J23" s="2794"/>
      <c r="K23" s="2350"/>
      <c r="L23" s="2794"/>
      <c r="M23" s="2349"/>
      <c r="N23" s="2794"/>
      <c r="O23" s="2349"/>
      <c r="P23" s="2794"/>
      <c r="Q23" s="2349"/>
      <c r="R23" s="2794"/>
      <c r="S23" s="2349"/>
      <c r="X23" s="2795"/>
      <c r="Y23" s="2837" t="s">
        <v>6105</v>
      </c>
      <c r="Z23" s="2407"/>
      <c r="AA23" s="2408"/>
      <c r="AB23" s="2409"/>
    </row>
    <row r="24" spans="1:28">
      <c r="A24" s="2795"/>
      <c r="B24" s="2891" t="s">
        <v>6106</v>
      </c>
      <c r="C24" s="2407"/>
      <c r="D24" s="2408">
        <v>1</v>
      </c>
      <c r="E24" s="2409" t="s">
        <v>2803</v>
      </c>
      <c r="F24" s="2438">
        <v>9111</v>
      </c>
      <c r="G24" s="668">
        <f t="shared" si="6"/>
        <v>9111</v>
      </c>
      <c r="H24" s="2313"/>
      <c r="I24" s="2806">
        <f>6817+1572+407</f>
        <v>8796</v>
      </c>
      <c r="J24" s="2794"/>
      <c r="K24" s="2350"/>
      <c r="L24" s="2794"/>
      <c r="M24" s="2349"/>
      <c r="N24" s="2794"/>
      <c r="O24" s="2349"/>
      <c r="P24" s="2794"/>
      <c r="Q24" s="2349"/>
      <c r="R24" s="2794"/>
      <c r="S24" s="2349"/>
      <c r="X24" s="2795"/>
      <c r="Y24" s="2891" t="s">
        <v>6106</v>
      </c>
      <c r="Z24" s="2407"/>
      <c r="AA24" s="2408">
        <v>1</v>
      </c>
      <c r="AB24" s="2409" t="s">
        <v>2803</v>
      </c>
    </row>
    <row r="25" spans="1:28">
      <c r="A25" s="2795"/>
      <c r="B25" s="2837" t="s">
        <v>6107</v>
      </c>
      <c r="C25" s="2407"/>
      <c r="D25" s="2408"/>
      <c r="E25" s="2409"/>
      <c r="F25" s="2438"/>
      <c r="G25" s="668">
        <f t="shared" si="6"/>
        <v>0</v>
      </c>
      <c r="H25" s="2313"/>
      <c r="I25" s="2806"/>
      <c r="J25" s="2794"/>
      <c r="K25" s="2350"/>
      <c r="L25" s="2794"/>
      <c r="M25" s="2349"/>
      <c r="N25" s="2794"/>
      <c r="O25" s="2349"/>
      <c r="P25" s="2794"/>
      <c r="Q25" s="2349"/>
      <c r="R25" s="2794"/>
      <c r="S25" s="2349"/>
      <c r="X25" s="2795"/>
      <c r="Y25" s="2837" t="s">
        <v>6107</v>
      </c>
      <c r="Z25" s="2407"/>
      <c r="AA25" s="2408"/>
      <c r="AB25" s="2409"/>
    </row>
    <row r="26" spans="1:28">
      <c r="A26" s="2795"/>
      <c r="B26" s="2891" t="s">
        <v>6106</v>
      </c>
      <c r="C26" s="2407"/>
      <c r="D26" s="2408">
        <v>1</v>
      </c>
      <c r="E26" s="2409" t="s">
        <v>2803</v>
      </c>
      <c r="F26" s="2438">
        <v>3270</v>
      </c>
      <c r="G26" s="668">
        <f t="shared" si="6"/>
        <v>3270</v>
      </c>
      <c r="H26" s="2313"/>
      <c r="I26" s="2806">
        <v>3775</v>
      </c>
      <c r="J26" s="2794"/>
      <c r="K26" s="2350"/>
      <c r="L26" s="2794"/>
      <c r="M26" s="2349"/>
      <c r="N26" s="2794"/>
      <c r="O26" s="2349"/>
      <c r="P26" s="2794"/>
      <c r="Q26" s="2349"/>
      <c r="R26" s="2794"/>
      <c r="S26" s="2349"/>
      <c r="X26" s="2795"/>
      <c r="Y26" s="2891" t="s">
        <v>6106</v>
      </c>
      <c r="Z26" s="2407"/>
      <c r="AA26" s="2408">
        <v>1</v>
      </c>
      <c r="AB26" s="2409" t="s">
        <v>2803</v>
      </c>
    </row>
    <row r="27" spans="1:28">
      <c r="A27" s="2795"/>
      <c r="B27" s="2837" t="s">
        <v>6108</v>
      </c>
      <c r="C27" s="2407"/>
      <c r="D27" s="2408"/>
      <c r="E27" s="2409"/>
      <c r="F27" s="2438"/>
      <c r="G27" s="668">
        <f t="shared" si="6"/>
        <v>0</v>
      </c>
      <c r="H27" s="2313"/>
      <c r="I27" s="2806"/>
      <c r="J27" s="2794"/>
      <c r="K27" s="2350"/>
      <c r="L27" s="2794"/>
      <c r="M27" s="2349"/>
      <c r="N27" s="2794"/>
      <c r="O27" s="2349"/>
      <c r="P27" s="2794"/>
      <c r="Q27" s="2349"/>
      <c r="R27" s="2794"/>
      <c r="S27" s="2349"/>
      <c r="X27" s="2795"/>
      <c r="Y27" s="2837" t="s">
        <v>6108</v>
      </c>
      <c r="Z27" s="2407"/>
      <c r="AA27" s="2408"/>
      <c r="AB27" s="2409"/>
    </row>
    <row r="28" spans="1:28">
      <c r="A28" s="2795"/>
      <c r="B28" s="2891" t="s">
        <v>6109</v>
      </c>
      <c r="C28" s="2407"/>
      <c r="D28" s="2408">
        <v>1</v>
      </c>
      <c r="E28" s="2409" t="s">
        <v>2803</v>
      </c>
      <c r="F28" s="2438">
        <v>4705</v>
      </c>
      <c r="G28" s="668">
        <f t="shared" si="6"/>
        <v>4705</v>
      </c>
      <c r="H28" s="2313"/>
      <c r="I28" s="2892">
        <f t="shared" ref="I28" si="7">G28</f>
        <v>4705</v>
      </c>
      <c r="J28" s="2794"/>
      <c r="K28" s="2350"/>
      <c r="L28" s="2794"/>
      <c r="M28" s="2349"/>
      <c r="N28" s="2794"/>
      <c r="O28" s="2349"/>
      <c r="P28" s="2794"/>
      <c r="Q28" s="2349"/>
      <c r="R28" s="2794"/>
      <c r="S28" s="2349"/>
      <c r="X28" s="2795"/>
      <c r="Y28" s="2891" t="s">
        <v>6109</v>
      </c>
      <c r="Z28" s="2407"/>
      <c r="AA28" s="2408">
        <v>1</v>
      </c>
      <c r="AB28" s="2409" t="s">
        <v>2803</v>
      </c>
    </row>
    <row r="29" spans="1:28">
      <c r="A29" s="2795"/>
      <c r="B29" s="2893" t="s">
        <v>6110</v>
      </c>
      <c r="C29" s="2407"/>
      <c r="D29" s="2408"/>
      <c r="E29" s="2409"/>
      <c r="F29" s="2438"/>
      <c r="G29" s="668">
        <f t="shared" si="6"/>
        <v>0</v>
      </c>
      <c r="H29" s="2313"/>
      <c r="I29" s="2806"/>
      <c r="J29" s="2794"/>
      <c r="K29" s="2350"/>
      <c r="L29" s="2794"/>
      <c r="M29" s="2349"/>
      <c r="N29" s="2794"/>
      <c r="O29" s="2349"/>
      <c r="P29" s="2794"/>
      <c r="Q29" s="2349"/>
      <c r="R29" s="2794"/>
      <c r="S29" s="2349"/>
      <c r="X29" s="2795"/>
      <c r="Y29" s="2893" t="s">
        <v>6110</v>
      </c>
      <c r="Z29" s="2407"/>
      <c r="AA29" s="2408"/>
      <c r="AB29" s="2409"/>
    </row>
    <row r="30" spans="1:28">
      <c r="A30" s="2795"/>
      <c r="B30" s="2891" t="s">
        <v>6109</v>
      </c>
      <c r="C30" s="2407"/>
      <c r="D30" s="2408">
        <v>1</v>
      </c>
      <c r="E30" s="2409" t="s">
        <v>2803</v>
      </c>
      <c r="F30" s="2438">
        <v>211</v>
      </c>
      <c r="G30" s="668">
        <f t="shared" ref="G30:G32" si="8">ROUND(D30*F30,0)</f>
        <v>211</v>
      </c>
      <c r="H30" s="2313"/>
      <c r="I30" s="2806">
        <v>299</v>
      </c>
      <c r="J30" s="2794"/>
      <c r="K30" s="2350"/>
      <c r="L30" s="2794"/>
      <c r="M30" s="2349"/>
      <c r="N30" s="2794"/>
      <c r="O30" s="2349"/>
      <c r="P30" s="2794"/>
      <c r="Q30" s="2349"/>
      <c r="R30" s="2794"/>
      <c r="S30" s="2349"/>
      <c r="X30" s="2795"/>
      <c r="Y30" s="2891" t="s">
        <v>6109</v>
      </c>
      <c r="Z30" s="2407"/>
      <c r="AA30" s="2408">
        <v>1</v>
      </c>
      <c r="AB30" s="2409" t="s">
        <v>2803</v>
      </c>
    </row>
    <row r="31" spans="1:28">
      <c r="A31" s="2795"/>
      <c r="B31" s="2837" t="s">
        <v>6111</v>
      </c>
      <c r="C31" s="2407"/>
      <c r="D31" s="2408"/>
      <c r="E31" s="2409"/>
      <c r="F31" s="2438"/>
      <c r="G31" s="668">
        <f t="shared" si="8"/>
        <v>0</v>
      </c>
      <c r="H31" s="2313"/>
      <c r="I31" s="2806"/>
      <c r="J31" s="2794"/>
      <c r="K31" s="2350"/>
      <c r="L31" s="2794"/>
      <c r="M31" s="2349"/>
      <c r="N31" s="2794"/>
      <c r="O31" s="2349"/>
      <c r="P31" s="2794"/>
      <c r="Q31" s="2349"/>
      <c r="R31" s="2794"/>
      <c r="S31" s="2349"/>
      <c r="X31" s="2795"/>
      <c r="Y31" s="2837" t="s">
        <v>6111</v>
      </c>
      <c r="Z31" s="2407"/>
      <c r="AA31" s="2408"/>
      <c r="AB31" s="2409"/>
    </row>
    <row r="32" spans="1:28">
      <c r="A32" s="2795"/>
      <c r="B32" s="2891" t="s">
        <v>6112</v>
      </c>
      <c r="C32" s="2407"/>
      <c r="D32" s="2408">
        <v>2</v>
      </c>
      <c r="E32" s="2409" t="s">
        <v>2803</v>
      </c>
      <c r="F32" s="2438">
        <f>4972</f>
        <v>4972</v>
      </c>
      <c r="G32" s="668">
        <f t="shared" si="8"/>
        <v>9944</v>
      </c>
      <c r="H32" s="2313"/>
      <c r="I32" s="2806">
        <f t="shared" ref="I32" si="9">G32</f>
        <v>9944</v>
      </c>
      <c r="J32" s="2794"/>
      <c r="K32" s="2350"/>
      <c r="L32" s="2794"/>
      <c r="M32" s="2349"/>
      <c r="N32" s="2794"/>
      <c r="O32" s="2349"/>
      <c r="P32" s="2794"/>
      <c r="Q32" s="2349"/>
      <c r="R32" s="2794"/>
      <c r="S32" s="2349"/>
      <c r="X32" s="2795"/>
      <c r="Y32" s="2891" t="s">
        <v>6112</v>
      </c>
      <c r="Z32" s="2407"/>
      <c r="AA32" s="2408">
        <v>2</v>
      </c>
      <c r="AB32" s="2409" t="s">
        <v>2803</v>
      </c>
    </row>
    <row r="33" spans="1:28">
      <c r="A33" s="2795"/>
      <c r="B33" s="2891" t="s">
        <v>6113</v>
      </c>
      <c r="C33" s="2407"/>
      <c r="D33" s="2408">
        <v>1</v>
      </c>
      <c r="E33" s="2409" t="s">
        <v>2803</v>
      </c>
      <c r="F33" s="2438">
        <f>4972</f>
        <v>4972</v>
      </c>
      <c r="G33" s="668">
        <f t="shared" ref="G33" si="10">ROUND(D33*F33,0)</f>
        <v>4972</v>
      </c>
      <c r="H33" s="2313"/>
      <c r="I33" s="2806">
        <f t="shared" ref="I33" si="11">G33</f>
        <v>4972</v>
      </c>
      <c r="J33" s="2794"/>
      <c r="K33" s="2350"/>
      <c r="L33" s="2794"/>
      <c r="M33" s="2349"/>
      <c r="N33" s="2794"/>
      <c r="O33" s="2349"/>
      <c r="P33" s="2794"/>
      <c r="Q33" s="2349"/>
      <c r="R33" s="2794"/>
      <c r="S33" s="2349"/>
      <c r="X33" s="2795"/>
      <c r="Y33" s="2891" t="s">
        <v>6113</v>
      </c>
      <c r="Z33" s="2407"/>
      <c r="AA33" s="2408">
        <v>1</v>
      </c>
      <c r="AB33" s="2409" t="s">
        <v>2803</v>
      </c>
    </row>
    <row r="34" spans="1:28" ht="30">
      <c r="A34" s="2795"/>
      <c r="B34" s="2894" t="s">
        <v>6114</v>
      </c>
      <c r="C34" s="2407"/>
      <c r="D34" s="2408"/>
      <c r="E34" s="2409"/>
      <c r="F34" s="2438"/>
      <c r="G34" s="668">
        <f t="shared" ref="G34:G45" si="12">ROUND(D34*F34,0)</f>
        <v>0</v>
      </c>
      <c r="H34" s="2313"/>
      <c r="I34" s="2806"/>
      <c r="J34" s="2794"/>
      <c r="K34" s="2350"/>
      <c r="L34" s="2794"/>
      <c r="M34" s="2349"/>
      <c r="N34" s="2794"/>
      <c r="O34" s="2349"/>
      <c r="P34" s="2794"/>
      <c r="Q34" s="2349"/>
      <c r="R34" s="2794"/>
      <c r="S34" s="2349"/>
      <c r="X34" s="2795"/>
      <c r="Y34" s="2894" t="s">
        <v>6114</v>
      </c>
      <c r="Z34" s="2407"/>
      <c r="AA34" s="2408"/>
      <c r="AB34" s="2409"/>
    </row>
    <row r="35" spans="1:28">
      <c r="A35" s="2795"/>
      <c r="B35" s="2891" t="s">
        <v>6113</v>
      </c>
      <c r="C35" s="2407"/>
      <c r="D35" s="2408">
        <v>2</v>
      </c>
      <c r="E35" s="2409" t="s">
        <v>2803</v>
      </c>
      <c r="F35" s="2438">
        <v>3559</v>
      </c>
      <c r="G35" s="668">
        <f t="shared" si="12"/>
        <v>7118</v>
      </c>
      <c r="H35" s="2313"/>
      <c r="I35" s="2806">
        <f t="shared" ref="I35:I44" si="13">G35</f>
        <v>7118</v>
      </c>
      <c r="J35" s="2794"/>
      <c r="K35" s="2350"/>
      <c r="L35" s="2794"/>
      <c r="M35" s="2349"/>
      <c r="N35" s="2794"/>
      <c r="O35" s="2349"/>
      <c r="P35" s="2794"/>
      <c r="Q35" s="2349"/>
      <c r="R35" s="2794"/>
      <c r="S35" s="2349"/>
      <c r="X35" s="2795"/>
      <c r="Y35" s="2891" t="s">
        <v>6113</v>
      </c>
      <c r="Z35" s="2407"/>
      <c r="AA35" s="2408">
        <v>2</v>
      </c>
      <c r="AB35" s="2409" t="s">
        <v>2803</v>
      </c>
    </row>
    <row r="36" spans="1:28">
      <c r="A36" s="2795"/>
      <c r="B36" s="2837" t="s">
        <v>6115</v>
      </c>
      <c r="C36" s="2407"/>
      <c r="D36" s="2408"/>
      <c r="E36" s="2409"/>
      <c r="F36" s="2438"/>
      <c r="G36" s="668">
        <f t="shared" ref="G36:G38" si="14">ROUND(D36*F36,0)</f>
        <v>0</v>
      </c>
      <c r="H36" s="2313"/>
      <c r="I36" s="2806"/>
      <c r="J36" s="2794"/>
      <c r="K36" s="2350"/>
      <c r="L36" s="2794"/>
      <c r="M36" s="2349"/>
      <c r="N36" s="2794"/>
      <c r="O36" s="2349"/>
      <c r="P36" s="2794"/>
      <c r="Q36" s="2349"/>
      <c r="R36" s="2794"/>
      <c r="S36" s="2349"/>
      <c r="X36" s="2795"/>
      <c r="Y36" s="2837" t="s">
        <v>6115</v>
      </c>
      <c r="Z36" s="2407"/>
      <c r="AA36" s="2408"/>
      <c r="AB36" s="2409"/>
    </row>
    <row r="37" spans="1:28">
      <c r="A37" s="2795"/>
      <c r="B37" s="2891" t="s">
        <v>6116</v>
      </c>
      <c r="C37" s="2407"/>
      <c r="D37" s="2408">
        <v>1</v>
      </c>
      <c r="E37" s="2409" t="s">
        <v>2803</v>
      </c>
      <c r="F37" s="2438">
        <v>2473</v>
      </c>
      <c r="G37" s="668">
        <f t="shared" si="14"/>
        <v>2473</v>
      </c>
      <c r="H37" s="2313"/>
      <c r="I37" s="2892">
        <f t="shared" ref="I37:I38" si="15">G37</f>
        <v>2473</v>
      </c>
      <c r="J37" s="2794"/>
      <c r="K37" s="2350"/>
      <c r="L37" s="2794"/>
      <c r="M37" s="2349"/>
      <c r="N37" s="2794"/>
      <c r="O37" s="2349"/>
      <c r="P37" s="2794"/>
      <c r="Q37" s="2349"/>
      <c r="R37" s="2794"/>
      <c r="S37" s="2349"/>
      <c r="X37" s="2795"/>
      <c r="Y37" s="2891" t="s">
        <v>6116</v>
      </c>
      <c r="Z37" s="2407"/>
      <c r="AA37" s="2408">
        <v>1</v>
      </c>
      <c r="AB37" s="2409" t="s">
        <v>2803</v>
      </c>
    </row>
    <row r="38" spans="1:28">
      <c r="A38" s="2795"/>
      <c r="B38" s="2891" t="s">
        <v>6117</v>
      </c>
      <c r="C38" s="2407"/>
      <c r="D38" s="2408">
        <v>1</v>
      </c>
      <c r="E38" s="2409" t="s">
        <v>2803</v>
      </c>
      <c r="F38" s="2438">
        <v>2473</v>
      </c>
      <c r="G38" s="668">
        <f t="shared" si="14"/>
        <v>2473</v>
      </c>
      <c r="H38" s="2313"/>
      <c r="I38" s="2892">
        <f t="shared" si="15"/>
        <v>2473</v>
      </c>
      <c r="J38" s="2794"/>
      <c r="K38" s="2350"/>
      <c r="L38" s="2794"/>
      <c r="M38" s="2349"/>
      <c r="N38" s="2794"/>
      <c r="O38" s="2349"/>
      <c r="P38" s="2794"/>
      <c r="Q38" s="2349"/>
      <c r="R38" s="2794"/>
      <c r="S38" s="2349"/>
      <c r="X38" s="2795"/>
      <c r="Y38" s="2891" t="s">
        <v>6117</v>
      </c>
      <c r="Z38" s="2407"/>
      <c r="AA38" s="2408">
        <v>1</v>
      </c>
      <c r="AB38" s="2409" t="s">
        <v>2803</v>
      </c>
    </row>
    <row r="39" spans="1:28" ht="30">
      <c r="A39" s="2795"/>
      <c r="B39" s="2894" t="s">
        <v>6118</v>
      </c>
      <c r="C39" s="2407"/>
      <c r="D39" s="2408"/>
      <c r="E39" s="2409"/>
      <c r="F39" s="2438"/>
      <c r="G39" s="668">
        <f t="shared" si="12"/>
        <v>0</v>
      </c>
      <c r="H39" s="2313"/>
      <c r="I39" s="2806"/>
      <c r="J39" s="2794"/>
      <c r="K39" s="2350"/>
      <c r="L39" s="2794"/>
      <c r="M39" s="2349"/>
      <c r="N39" s="2794"/>
      <c r="O39" s="2349"/>
      <c r="P39" s="2794"/>
      <c r="Q39" s="2349"/>
      <c r="R39" s="2794"/>
      <c r="S39" s="2349"/>
      <c r="X39" s="2795"/>
      <c r="Y39" s="2894" t="s">
        <v>6118</v>
      </c>
      <c r="Z39" s="2407"/>
      <c r="AA39" s="2408"/>
      <c r="AB39" s="2409"/>
    </row>
    <row r="40" spans="1:28">
      <c r="A40" s="2795"/>
      <c r="B40" s="2895" t="s">
        <v>6119</v>
      </c>
      <c r="C40" s="2407"/>
      <c r="D40" s="2408">
        <v>0</v>
      </c>
      <c r="E40" s="2409" t="s">
        <v>2803</v>
      </c>
      <c r="F40" s="2438">
        <v>4399</v>
      </c>
      <c r="G40" s="668">
        <f t="shared" ref="G40" si="16">ROUND(D40*F40,0)</f>
        <v>0</v>
      </c>
      <c r="H40" s="2313"/>
      <c r="I40" s="2806"/>
      <c r="J40" s="2794"/>
      <c r="K40" s="2350"/>
      <c r="L40" s="2794"/>
      <c r="M40" s="2349"/>
      <c r="N40" s="2794"/>
      <c r="O40" s="2349"/>
      <c r="P40" s="2794"/>
      <c r="Q40" s="2349"/>
      <c r="R40" s="2794"/>
      <c r="S40" s="2349"/>
      <c r="X40" s="2795"/>
      <c r="Y40" s="2895" t="s">
        <v>6119</v>
      </c>
      <c r="Z40" s="2407"/>
      <c r="AA40" s="2408">
        <v>0</v>
      </c>
      <c r="AB40" s="2409" t="s">
        <v>2803</v>
      </c>
    </row>
    <row r="41" spans="1:28" ht="30">
      <c r="A41" s="2795"/>
      <c r="B41" s="2894" t="s">
        <v>6120</v>
      </c>
      <c r="C41" s="2407"/>
      <c r="D41" s="2408"/>
      <c r="E41" s="2409"/>
      <c r="F41" s="2438"/>
      <c r="G41" s="668">
        <f t="shared" si="12"/>
        <v>0</v>
      </c>
      <c r="H41" s="2313"/>
      <c r="I41" s="2806"/>
      <c r="J41" s="2794"/>
      <c r="K41" s="2350"/>
      <c r="L41" s="2794"/>
      <c r="M41" s="2349"/>
      <c r="N41" s="2794"/>
      <c r="O41" s="2349"/>
      <c r="P41" s="2794"/>
      <c r="Q41" s="2349"/>
      <c r="R41" s="2794"/>
      <c r="S41" s="2349"/>
      <c r="X41" s="2795"/>
      <c r="Y41" s="2894" t="s">
        <v>6120</v>
      </c>
      <c r="Z41" s="2407"/>
      <c r="AA41" s="2408"/>
      <c r="AB41" s="2409"/>
    </row>
    <row r="42" spans="1:28">
      <c r="A42" s="2795"/>
      <c r="B42" s="2895" t="s">
        <v>6121</v>
      </c>
      <c r="C42" s="2407"/>
      <c r="D42" s="2408">
        <v>1</v>
      </c>
      <c r="E42" s="2409" t="s">
        <v>2803</v>
      </c>
      <c r="F42" s="2438">
        <v>4049</v>
      </c>
      <c r="G42" s="668">
        <f t="shared" si="12"/>
        <v>4049</v>
      </c>
      <c r="H42" s="2313"/>
      <c r="I42" s="2806">
        <f t="shared" si="13"/>
        <v>4049</v>
      </c>
      <c r="J42" s="2794"/>
      <c r="K42" s="2350"/>
      <c r="L42" s="2794"/>
      <c r="M42" s="2349"/>
      <c r="N42" s="2794"/>
      <c r="O42" s="2349"/>
      <c r="P42" s="2794"/>
      <c r="Q42" s="2349"/>
      <c r="R42" s="2794"/>
      <c r="S42" s="2349"/>
      <c r="X42" s="2795"/>
      <c r="Y42" s="2895" t="s">
        <v>6121</v>
      </c>
      <c r="Z42" s="2407"/>
      <c r="AA42" s="2408">
        <v>1</v>
      </c>
      <c r="AB42" s="2409" t="s">
        <v>2803</v>
      </c>
    </row>
    <row r="43" spans="1:28" ht="30">
      <c r="A43" s="2795"/>
      <c r="B43" s="2894" t="s">
        <v>6122</v>
      </c>
      <c r="C43" s="2407"/>
      <c r="D43" s="2408"/>
      <c r="E43" s="2409"/>
      <c r="F43" s="2438"/>
      <c r="G43" s="668">
        <f t="shared" si="12"/>
        <v>0</v>
      </c>
      <c r="H43" s="2313"/>
      <c r="I43" s="2806"/>
      <c r="J43" s="2794"/>
      <c r="K43" s="2350"/>
      <c r="L43" s="2794"/>
      <c r="M43" s="2349"/>
      <c r="N43" s="2794"/>
      <c r="O43" s="2349"/>
      <c r="P43" s="2794"/>
      <c r="Q43" s="2349"/>
      <c r="R43" s="2794"/>
      <c r="S43" s="2349"/>
      <c r="X43" s="2795"/>
      <c r="Y43" s="2896" t="s">
        <v>6122</v>
      </c>
      <c r="Z43" s="2407"/>
      <c r="AA43" s="2408"/>
      <c r="AB43" s="2409"/>
    </row>
    <row r="44" spans="1:28">
      <c r="A44" s="2795"/>
      <c r="B44" s="2895" t="s">
        <v>6121</v>
      </c>
      <c r="C44" s="2407"/>
      <c r="D44" s="2408">
        <v>1</v>
      </c>
      <c r="E44" s="2409" t="s">
        <v>2803</v>
      </c>
      <c r="F44" s="2438">
        <v>4535</v>
      </c>
      <c r="G44" s="668">
        <f t="shared" si="12"/>
        <v>4535</v>
      </c>
      <c r="H44" s="2313"/>
      <c r="I44" s="2806">
        <f t="shared" si="13"/>
        <v>4535</v>
      </c>
      <c r="J44" s="2794"/>
      <c r="K44" s="2350"/>
      <c r="L44" s="2794"/>
      <c r="M44" s="2349"/>
      <c r="N44" s="2794"/>
      <c r="O44" s="2349"/>
      <c r="P44" s="2794"/>
      <c r="Q44" s="2349"/>
      <c r="R44" s="2794"/>
      <c r="S44" s="2349"/>
      <c r="X44" s="2795"/>
      <c r="Y44" s="2897" t="s">
        <v>6121</v>
      </c>
      <c r="Z44" s="2407"/>
      <c r="AA44" s="2408">
        <v>1</v>
      </c>
      <c r="AB44" s="2409" t="s">
        <v>2803</v>
      </c>
    </row>
    <row r="45" spans="1:28" ht="30">
      <c r="A45" s="2795"/>
      <c r="B45" s="2894" t="s">
        <v>6123</v>
      </c>
      <c r="C45" s="2407"/>
      <c r="D45" s="2408"/>
      <c r="E45" s="2409"/>
      <c r="F45" s="2438"/>
      <c r="G45" s="668">
        <f t="shared" si="12"/>
        <v>0</v>
      </c>
      <c r="H45" s="2313"/>
      <c r="I45" s="2806"/>
      <c r="J45" s="2794"/>
      <c r="K45" s="2350"/>
      <c r="L45" s="2794"/>
      <c r="M45" s="2349"/>
      <c r="N45" s="2794"/>
      <c r="O45" s="2349"/>
      <c r="P45" s="2794"/>
      <c r="Q45" s="2349"/>
      <c r="R45" s="2794"/>
      <c r="S45" s="2349"/>
      <c r="X45" s="2795"/>
      <c r="Y45" s="2894" t="s">
        <v>6123</v>
      </c>
      <c r="Z45" s="2407"/>
      <c r="AA45" s="2408"/>
      <c r="AB45" s="2409"/>
    </row>
    <row r="46" spans="1:28">
      <c r="A46" s="2795"/>
      <c r="B46" s="2895" t="s">
        <v>6119</v>
      </c>
      <c r="C46" s="2407"/>
      <c r="D46" s="2408">
        <v>0</v>
      </c>
      <c r="E46" s="2409" t="s">
        <v>2803</v>
      </c>
      <c r="F46" s="2438">
        <v>2520</v>
      </c>
      <c r="G46" s="668">
        <f t="shared" ref="G46" si="17">ROUND(D46*F46,0)</f>
        <v>0</v>
      </c>
      <c r="H46" s="2313"/>
      <c r="I46" s="2806"/>
      <c r="J46" s="2794"/>
      <c r="K46" s="2350"/>
      <c r="L46" s="2794"/>
      <c r="M46" s="2349"/>
      <c r="N46" s="2794"/>
      <c r="O46" s="2349"/>
      <c r="P46" s="2794"/>
      <c r="Q46" s="2349"/>
      <c r="R46" s="2794"/>
      <c r="S46" s="2349"/>
      <c r="X46" s="2795"/>
      <c r="Y46" s="2895" t="s">
        <v>6119</v>
      </c>
      <c r="Z46" s="2407"/>
      <c r="AA46" s="2408">
        <v>0</v>
      </c>
      <c r="AB46" s="2409" t="s">
        <v>2803</v>
      </c>
    </row>
    <row r="47" spans="1:28">
      <c r="A47" s="2795"/>
      <c r="B47" s="2837" t="s">
        <v>6124</v>
      </c>
      <c r="C47" s="2407"/>
      <c r="D47" s="2408"/>
      <c r="E47" s="2409"/>
      <c r="F47" s="2438"/>
      <c r="G47" s="668">
        <f t="shared" si="5"/>
        <v>0</v>
      </c>
      <c r="H47" s="2313"/>
      <c r="I47" s="2806"/>
      <c r="J47" s="2794"/>
      <c r="K47" s="2350"/>
      <c r="L47" s="2794"/>
      <c r="M47" s="2349"/>
      <c r="N47" s="2794"/>
      <c r="O47" s="2349"/>
      <c r="P47" s="2794"/>
      <c r="Q47" s="2349"/>
      <c r="R47" s="2794"/>
      <c r="S47" s="2349"/>
      <c r="X47" s="2795"/>
      <c r="Y47" s="2837" t="s">
        <v>6124</v>
      </c>
      <c r="Z47" s="2407"/>
      <c r="AA47" s="2408"/>
      <c r="AB47" s="2409"/>
    </row>
    <row r="48" spans="1:28">
      <c r="A48" s="2795"/>
      <c r="B48" s="2891" t="s">
        <v>6113</v>
      </c>
      <c r="C48" s="2407"/>
      <c r="D48" s="2408">
        <v>1</v>
      </c>
      <c r="E48" s="2409" t="s">
        <v>2803</v>
      </c>
      <c r="F48" s="2438">
        <v>11123</v>
      </c>
      <c r="G48" s="668">
        <f t="shared" ref="G48" si="18">ROUND(D48*F48,0)</f>
        <v>11123</v>
      </c>
      <c r="H48" s="2313"/>
      <c r="I48" s="2892">
        <f t="shared" ref="I48" si="19">G48</f>
        <v>11123</v>
      </c>
      <c r="J48" s="2794"/>
      <c r="K48" s="2350"/>
      <c r="L48" s="2794"/>
      <c r="M48" s="2349"/>
      <c r="N48" s="2794"/>
      <c r="O48" s="2349"/>
      <c r="P48" s="2794"/>
      <c r="Q48" s="2349"/>
      <c r="R48" s="2794"/>
      <c r="S48" s="2349"/>
      <c r="X48" s="2795"/>
      <c r="Y48" s="2891" t="s">
        <v>6113</v>
      </c>
      <c r="Z48" s="2407"/>
      <c r="AA48" s="2408">
        <v>1</v>
      </c>
      <c r="AB48" s="2409" t="s">
        <v>2803</v>
      </c>
    </row>
    <row r="49" spans="1:28" ht="30">
      <c r="A49" s="2795"/>
      <c r="B49" s="2894" t="s">
        <v>6125</v>
      </c>
      <c r="C49" s="2407"/>
      <c r="D49" s="2408"/>
      <c r="E49" s="2409"/>
      <c r="F49" s="2438"/>
      <c r="G49" s="668">
        <f t="shared" si="5"/>
        <v>0</v>
      </c>
      <c r="H49" s="2313"/>
      <c r="I49" s="2806"/>
      <c r="J49" s="2794"/>
      <c r="K49" s="2350"/>
      <c r="L49" s="2794"/>
      <c r="M49" s="2349"/>
      <c r="N49" s="2794"/>
      <c r="O49" s="2349"/>
      <c r="P49" s="2794"/>
      <c r="Q49" s="2349"/>
      <c r="R49" s="2794"/>
      <c r="S49" s="2349"/>
      <c r="X49" s="2795"/>
      <c r="Y49" s="2894" t="s">
        <v>6125</v>
      </c>
      <c r="Z49" s="2407"/>
      <c r="AA49" s="2408"/>
      <c r="AB49" s="2409"/>
    </row>
    <row r="50" spans="1:28">
      <c r="A50" s="2795"/>
      <c r="B50" s="2895" t="s">
        <v>6126</v>
      </c>
      <c r="C50" s="2407"/>
      <c r="D50" s="2408">
        <v>1</v>
      </c>
      <c r="E50" s="2409" t="s">
        <v>2803</v>
      </c>
      <c r="F50" s="2438">
        <f>18794+350</f>
        <v>19144</v>
      </c>
      <c r="G50" s="668">
        <f t="shared" ref="G50" si="20">ROUND(D50*F50,0)</f>
        <v>19144</v>
      </c>
      <c r="H50" s="2313"/>
      <c r="I50" s="2806">
        <v>16999</v>
      </c>
      <c r="J50" s="2794"/>
      <c r="K50" s="2350"/>
      <c r="L50" s="2794"/>
      <c r="M50" s="2349"/>
      <c r="N50" s="2794"/>
      <c r="O50" s="2349"/>
      <c r="P50" s="2794"/>
      <c r="Q50" s="2349"/>
      <c r="R50" s="2794"/>
      <c r="S50" s="2349"/>
      <c r="X50" s="2795"/>
      <c r="Y50" s="2895" t="s">
        <v>6126</v>
      </c>
      <c r="Z50" s="2407"/>
      <c r="AA50" s="2408">
        <v>1</v>
      </c>
      <c r="AB50" s="2409" t="s">
        <v>2803</v>
      </c>
    </row>
    <row r="51" spans="1:28" ht="30">
      <c r="A51" s="2795"/>
      <c r="B51" s="2894" t="s">
        <v>6127</v>
      </c>
      <c r="C51" s="2407"/>
      <c r="D51" s="2408"/>
      <c r="E51" s="2409"/>
      <c r="F51" s="2438"/>
      <c r="G51" s="668">
        <f t="shared" si="5"/>
        <v>0</v>
      </c>
      <c r="H51" s="2313"/>
      <c r="I51" s="2806"/>
      <c r="J51" s="2794"/>
      <c r="K51" s="2350"/>
      <c r="L51" s="2794"/>
      <c r="M51" s="2349"/>
      <c r="N51" s="2794"/>
      <c r="O51" s="2349"/>
      <c r="P51" s="2794"/>
      <c r="Q51" s="2349"/>
      <c r="R51" s="2794"/>
      <c r="S51" s="2349"/>
      <c r="X51" s="2795"/>
      <c r="Y51" s="2894" t="s">
        <v>6127</v>
      </c>
      <c r="Z51" s="2407"/>
      <c r="AA51" s="2408"/>
      <c r="AB51" s="2409"/>
    </row>
    <row r="52" spans="1:28" s="175" customFormat="1">
      <c r="A52" s="2795"/>
      <c r="B52" s="2891" t="s">
        <v>6112</v>
      </c>
      <c r="C52" s="2898"/>
      <c r="D52" s="2899">
        <v>2</v>
      </c>
      <c r="E52" s="2900" t="s">
        <v>2803</v>
      </c>
      <c r="F52" s="2901">
        <v>3319</v>
      </c>
      <c r="G52" s="668">
        <f t="shared" si="5"/>
        <v>6638</v>
      </c>
      <c r="H52" s="2902"/>
      <c r="I52" s="2806">
        <f t="shared" ref="I52:I73" si="21">G52</f>
        <v>6638</v>
      </c>
      <c r="J52" s="2902"/>
      <c r="K52" s="2806"/>
      <c r="L52" s="2902"/>
      <c r="M52" s="2815"/>
      <c r="N52" s="2902"/>
      <c r="O52" s="2815"/>
      <c r="P52" s="2902"/>
      <c r="Q52" s="2815"/>
      <c r="R52" s="2902"/>
      <c r="S52" s="2815"/>
      <c r="X52" s="2795"/>
      <c r="Y52" s="2891" t="s">
        <v>6112</v>
      </c>
      <c r="Z52" s="2898"/>
      <c r="AA52" s="2899">
        <v>2</v>
      </c>
      <c r="AB52" s="2900" t="s">
        <v>2803</v>
      </c>
    </row>
    <row r="53" spans="1:28" s="175" customFormat="1">
      <c r="A53" s="2795"/>
      <c r="B53" s="2891"/>
      <c r="C53" s="2898"/>
      <c r="D53" s="2899"/>
      <c r="E53" s="2900"/>
      <c r="F53" s="2901"/>
      <c r="G53" s="668">
        <f t="shared" ref="G53:G54" si="22">ROUND(D53*F53,0)</f>
        <v>0</v>
      </c>
      <c r="H53" s="2902"/>
      <c r="I53" s="2806"/>
      <c r="J53" s="2313"/>
      <c r="K53" s="2806"/>
      <c r="L53" s="2313"/>
      <c r="M53" s="2815"/>
      <c r="N53" s="2313"/>
      <c r="O53" s="2815"/>
      <c r="P53" s="2313"/>
      <c r="Q53" s="2815"/>
      <c r="R53" s="2313"/>
      <c r="S53" s="2815"/>
      <c r="X53" s="2795"/>
      <c r="Y53" s="2891"/>
      <c r="Z53" s="2898"/>
      <c r="AA53" s="2899"/>
      <c r="AB53" s="2900"/>
    </row>
    <row r="54" spans="1:28" s="175" customFormat="1">
      <c r="A54" s="2795"/>
      <c r="B54" s="2893" t="s">
        <v>6128</v>
      </c>
      <c r="C54" s="2898"/>
      <c r="D54" s="2899">
        <f>SUM(I23:I52)</f>
        <v>87899</v>
      </c>
      <c r="E54" s="2900" t="s">
        <v>2818</v>
      </c>
      <c r="F54" s="2901">
        <v>7.0000000000000007E-2</v>
      </c>
      <c r="G54" s="668">
        <f t="shared" si="22"/>
        <v>6153</v>
      </c>
      <c r="H54" s="2902"/>
      <c r="I54" s="2806">
        <f t="shared" ref="I54" si="23">G54</f>
        <v>6153</v>
      </c>
      <c r="J54" s="2313"/>
      <c r="K54" s="2806"/>
      <c r="L54" s="2313"/>
      <c r="M54" s="2815"/>
      <c r="N54" s="2313"/>
      <c r="O54" s="2815"/>
      <c r="P54" s="2313"/>
      <c r="Q54" s="2815"/>
      <c r="R54" s="2313"/>
      <c r="S54" s="2815"/>
      <c r="X54" s="2795"/>
      <c r="Y54" s="2893" t="s">
        <v>6128</v>
      </c>
      <c r="Z54" s="2898"/>
      <c r="AA54" s="2899">
        <f>SUM(AD21:AD52)</f>
        <v>0</v>
      </c>
      <c r="AB54" s="2900" t="s">
        <v>2818</v>
      </c>
    </row>
    <row r="55" spans="1:28">
      <c r="A55" s="2795"/>
      <c r="B55" s="2893" t="s">
        <v>5169</v>
      </c>
      <c r="C55" s="2407"/>
      <c r="D55" s="2408">
        <f>SUM(D23:D52)</f>
        <v>17</v>
      </c>
      <c r="E55" s="2409" t="s">
        <v>2803</v>
      </c>
      <c r="F55" s="2438">
        <v>500</v>
      </c>
      <c r="G55" s="662">
        <f t="shared" si="5"/>
        <v>8500</v>
      </c>
      <c r="H55" s="2794"/>
      <c r="I55" s="2622">
        <f t="shared" si="21"/>
        <v>8500</v>
      </c>
      <c r="J55" s="2794"/>
      <c r="K55" s="2350"/>
      <c r="L55" s="2794"/>
      <c r="M55" s="2349"/>
      <c r="N55" s="2794"/>
      <c r="O55" s="2349"/>
      <c r="P55" s="2794"/>
      <c r="Q55" s="2349"/>
      <c r="R55" s="2794"/>
      <c r="S55" s="2349"/>
      <c r="X55" s="2795"/>
      <c r="Y55" s="2893" t="s">
        <v>5169</v>
      </c>
      <c r="Z55" s="2407"/>
      <c r="AA55" s="2408">
        <f>SUM(AA23:AA52)</f>
        <v>17</v>
      </c>
      <c r="AB55" s="2409" t="s">
        <v>2803</v>
      </c>
    </row>
    <row r="56" spans="1:28">
      <c r="A56" s="2795"/>
      <c r="B56" s="2893"/>
      <c r="C56" s="2407"/>
      <c r="D56" s="2408"/>
      <c r="E56" s="2409"/>
      <c r="F56" s="2438"/>
      <c r="G56" s="662"/>
      <c r="H56" s="2794"/>
      <c r="I56" s="2806"/>
      <c r="J56" s="2794"/>
      <c r="K56" s="2350"/>
      <c r="L56" s="2794"/>
      <c r="M56" s="2349"/>
      <c r="N56" s="2794"/>
      <c r="O56" s="2349"/>
      <c r="P56" s="2794"/>
      <c r="Q56" s="2349"/>
      <c r="R56" s="2794"/>
      <c r="S56" s="2349"/>
      <c r="X56" s="2795"/>
      <c r="Y56" s="2893"/>
      <c r="Z56" s="2407"/>
      <c r="AA56" s="2408"/>
      <c r="AB56" s="2409"/>
    </row>
    <row r="57" spans="1:28">
      <c r="A57" s="2795"/>
      <c r="B57" s="2837" t="s">
        <v>6129</v>
      </c>
      <c r="C57" s="2407"/>
      <c r="D57" s="2408"/>
      <c r="E57" s="2409"/>
      <c r="F57" s="2438"/>
      <c r="G57" s="668">
        <f t="shared" ref="G57:G64" si="24">ROUND(D57*F57,0)</f>
        <v>0</v>
      </c>
      <c r="H57" s="2313"/>
      <c r="I57" s="2806" t="s">
        <v>6130</v>
      </c>
      <c r="J57" s="2794"/>
      <c r="K57" s="2350"/>
      <c r="L57" s="2794"/>
      <c r="M57" s="2349"/>
      <c r="N57" s="2794"/>
      <c r="O57" s="2349"/>
      <c r="P57" s="2794"/>
      <c r="Q57" s="2349"/>
      <c r="R57" s="2794"/>
      <c r="S57" s="2349"/>
      <c r="X57" s="2795"/>
      <c r="Y57" s="2837" t="s">
        <v>6129</v>
      </c>
      <c r="Z57" s="2407"/>
      <c r="AA57" s="2408"/>
      <c r="AB57" s="2409"/>
    </row>
    <row r="58" spans="1:28">
      <c r="A58" s="2795"/>
      <c r="B58" s="2903" t="s">
        <v>6131</v>
      </c>
      <c r="C58" s="2407"/>
      <c r="D58" s="2408">
        <f>11+8</f>
        <v>19</v>
      </c>
      <c r="E58" s="2409" t="s">
        <v>2803</v>
      </c>
      <c r="F58" s="2438"/>
      <c r="G58" s="668">
        <f t="shared" si="24"/>
        <v>0</v>
      </c>
      <c r="H58" s="2313"/>
      <c r="I58" s="2806"/>
      <c r="J58" s="2794"/>
      <c r="K58" s="2350"/>
      <c r="L58" s="2794"/>
      <c r="M58" s="2349"/>
      <c r="N58" s="2794"/>
      <c r="O58" s="2349"/>
      <c r="P58" s="2794"/>
      <c r="Q58" s="2349"/>
      <c r="R58" s="2794"/>
      <c r="S58" s="2349"/>
      <c r="X58" s="2795"/>
      <c r="Y58" s="2891" t="s">
        <v>6131</v>
      </c>
      <c r="Z58" s="2407"/>
      <c r="AA58" s="2408">
        <f>11+8</f>
        <v>19</v>
      </c>
      <c r="AB58" s="2409" t="s">
        <v>2803</v>
      </c>
    </row>
    <row r="59" spans="1:28">
      <c r="A59" s="2795"/>
      <c r="B59" s="2903" t="s">
        <v>6113</v>
      </c>
      <c r="C59" s="2407"/>
      <c r="D59" s="2408">
        <v>6</v>
      </c>
      <c r="E59" s="2409" t="s">
        <v>2803</v>
      </c>
      <c r="F59" s="2438"/>
      <c r="G59" s="668">
        <f t="shared" si="24"/>
        <v>0</v>
      </c>
      <c r="H59" s="2313"/>
      <c r="I59" s="2806"/>
      <c r="J59" s="2794"/>
      <c r="K59" s="2350"/>
      <c r="L59" s="2794"/>
      <c r="M59" s="2349"/>
      <c r="N59" s="2794"/>
      <c r="O59" s="2349"/>
      <c r="P59" s="2794"/>
      <c r="Q59" s="2349"/>
      <c r="R59" s="2794"/>
      <c r="S59" s="2349"/>
      <c r="X59" s="2795"/>
      <c r="Y59" s="2891" t="s">
        <v>6113</v>
      </c>
      <c r="Z59" s="2407"/>
      <c r="AA59" s="2408">
        <v>6</v>
      </c>
      <c r="AB59" s="2409" t="s">
        <v>2803</v>
      </c>
    </row>
    <row r="60" spans="1:28">
      <c r="A60" s="2795"/>
      <c r="B60" s="2903" t="s">
        <v>6132</v>
      </c>
      <c r="C60" s="2407"/>
      <c r="D60" s="2408">
        <v>5</v>
      </c>
      <c r="E60" s="2409" t="s">
        <v>2803</v>
      </c>
      <c r="F60" s="2438"/>
      <c r="G60" s="668">
        <f t="shared" si="24"/>
        <v>0</v>
      </c>
      <c r="H60" s="2313"/>
      <c r="I60" s="2806"/>
      <c r="J60" s="2794"/>
      <c r="K60" s="2350"/>
      <c r="L60" s="2794"/>
      <c r="M60" s="2349"/>
      <c r="N60" s="2794"/>
      <c r="O60" s="2349"/>
      <c r="P60" s="2794"/>
      <c r="Q60" s="2349"/>
      <c r="R60" s="2794"/>
      <c r="S60" s="2349"/>
      <c r="X60" s="2795"/>
      <c r="Y60" s="2891" t="s">
        <v>6132</v>
      </c>
      <c r="Z60" s="2407"/>
      <c r="AA60" s="2408">
        <v>5</v>
      </c>
      <c r="AB60" s="2409" t="s">
        <v>2803</v>
      </c>
    </row>
    <row r="61" spans="1:28">
      <c r="A61" s="2795"/>
      <c r="B61" s="2903" t="s">
        <v>6133</v>
      </c>
      <c r="C61" s="2407"/>
      <c r="D61" s="2408">
        <v>1</v>
      </c>
      <c r="E61" s="2409" t="s">
        <v>2803</v>
      </c>
      <c r="F61" s="2438"/>
      <c r="G61" s="668">
        <f t="shared" si="24"/>
        <v>0</v>
      </c>
      <c r="H61" s="2313"/>
      <c r="I61" s="2806"/>
      <c r="J61" s="2794"/>
      <c r="K61" s="2350"/>
      <c r="L61" s="2794"/>
      <c r="M61" s="2349"/>
      <c r="N61" s="2794"/>
      <c r="O61" s="2349"/>
      <c r="P61" s="2794"/>
      <c r="Q61" s="2349"/>
      <c r="R61" s="2794"/>
      <c r="S61" s="2349"/>
      <c r="X61" s="2795"/>
      <c r="Y61" s="2891" t="s">
        <v>6133</v>
      </c>
      <c r="Z61" s="2407"/>
      <c r="AA61" s="2408">
        <v>1</v>
      </c>
      <c r="AB61" s="2409" t="s">
        <v>2803</v>
      </c>
    </row>
    <row r="62" spans="1:28">
      <c r="A62" s="2795"/>
      <c r="B62" s="2903" t="s">
        <v>6134</v>
      </c>
      <c r="C62" s="2407"/>
      <c r="D62" s="2408">
        <v>3</v>
      </c>
      <c r="E62" s="2409" t="s">
        <v>2803</v>
      </c>
      <c r="F62" s="2438"/>
      <c r="G62" s="668">
        <f t="shared" si="24"/>
        <v>0</v>
      </c>
      <c r="H62" s="2313"/>
      <c r="I62" s="2806"/>
      <c r="J62" s="2794"/>
      <c r="K62" s="2350"/>
      <c r="L62" s="2794"/>
      <c r="M62" s="2349"/>
      <c r="N62" s="2794"/>
      <c r="O62" s="2349"/>
      <c r="P62" s="2794"/>
      <c r="Q62" s="2349"/>
      <c r="R62" s="2794"/>
      <c r="S62" s="2349"/>
      <c r="X62" s="2795"/>
      <c r="Y62" s="2891" t="s">
        <v>6134</v>
      </c>
      <c r="Z62" s="2407"/>
      <c r="AA62" s="2408">
        <v>3</v>
      </c>
      <c r="AB62" s="2409" t="s">
        <v>2803</v>
      </c>
    </row>
    <row r="63" spans="1:28">
      <c r="A63" s="2795"/>
      <c r="B63" s="2903" t="s">
        <v>6135</v>
      </c>
      <c r="C63" s="2407"/>
      <c r="D63" s="2408">
        <v>3</v>
      </c>
      <c r="E63" s="2409" t="s">
        <v>2803</v>
      </c>
      <c r="F63" s="2438"/>
      <c r="G63" s="668">
        <f t="shared" si="24"/>
        <v>0</v>
      </c>
      <c r="H63" s="2313"/>
      <c r="I63" s="2806"/>
      <c r="J63" s="2794"/>
      <c r="K63" s="2350"/>
      <c r="L63" s="2794"/>
      <c r="M63" s="2349"/>
      <c r="N63" s="2794"/>
      <c r="O63" s="2349"/>
      <c r="P63" s="2794"/>
      <c r="Q63" s="2349"/>
      <c r="R63" s="2794"/>
      <c r="S63" s="2349"/>
      <c r="X63" s="2795"/>
      <c r="Y63" s="2891" t="s">
        <v>6135</v>
      </c>
      <c r="Z63" s="2407"/>
      <c r="AA63" s="2408">
        <v>3</v>
      </c>
      <c r="AB63" s="2409" t="s">
        <v>2803</v>
      </c>
    </row>
    <row r="64" spans="1:28">
      <c r="A64" s="2795"/>
      <c r="B64" s="2903" t="s">
        <v>6136</v>
      </c>
      <c r="C64" s="2407"/>
      <c r="D64" s="2408">
        <v>1</v>
      </c>
      <c r="E64" s="2409" t="s">
        <v>2803</v>
      </c>
      <c r="F64" s="2438"/>
      <c r="G64" s="668">
        <f t="shared" si="24"/>
        <v>0</v>
      </c>
      <c r="H64" s="2313"/>
      <c r="I64" s="2806"/>
      <c r="J64" s="2794"/>
      <c r="K64" s="2350"/>
      <c r="L64" s="2794"/>
      <c r="M64" s="2349"/>
      <c r="N64" s="2794"/>
      <c r="O64" s="2349"/>
      <c r="P64" s="2794"/>
      <c r="Q64" s="2349"/>
      <c r="R64" s="2794"/>
      <c r="S64" s="2349"/>
      <c r="X64" s="2795"/>
      <c r="Y64" s="2891" t="s">
        <v>6136</v>
      </c>
      <c r="Z64" s="2407"/>
      <c r="AA64" s="2408">
        <v>1</v>
      </c>
      <c r="AB64" s="2409" t="s">
        <v>2803</v>
      </c>
    </row>
    <row r="65" spans="1:28" s="175" customFormat="1">
      <c r="A65" s="2795"/>
      <c r="B65" s="2904" t="s">
        <v>6128</v>
      </c>
      <c r="C65" s="2898"/>
      <c r="D65" s="2899">
        <f ca="1">SUM(G58:G65)</f>
        <v>0</v>
      </c>
      <c r="E65" s="2900" t="s">
        <v>2818</v>
      </c>
      <c r="F65" s="2901"/>
      <c r="G65" s="668">
        <f t="shared" ref="G65" ca="1" si="25">ROUND(D65*F65,0)</f>
        <v>0</v>
      </c>
      <c r="H65" s="2902"/>
      <c r="I65" s="2806"/>
      <c r="J65" s="2313"/>
      <c r="K65" s="2806"/>
      <c r="L65" s="2313"/>
      <c r="M65" s="2815"/>
      <c r="N65" s="2313"/>
      <c r="O65" s="2815"/>
      <c r="P65" s="2313"/>
      <c r="Q65" s="2815"/>
      <c r="R65" s="2313"/>
      <c r="S65" s="2815"/>
      <c r="X65" s="2795"/>
      <c r="Y65" s="2893" t="s">
        <v>6128</v>
      </c>
      <c r="Z65" s="2898"/>
      <c r="AA65" s="2899">
        <f>SUM(AD58:AD65)</f>
        <v>0</v>
      </c>
      <c r="AB65" s="2900" t="s">
        <v>2818</v>
      </c>
    </row>
    <row r="66" spans="1:28" s="175" customFormat="1">
      <c r="A66" s="2905"/>
      <c r="B66" s="2893" t="s">
        <v>6137</v>
      </c>
      <c r="C66" s="711"/>
      <c r="D66" s="2899"/>
      <c r="E66" s="2900"/>
      <c r="F66" s="2901"/>
      <c r="G66" s="668"/>
      <c r="H66" s="2313"/>
      <c r="I66" s="2806"/>
      <c r="J66" s="2313"/>
      <c r="K66" s="2806"/>
      <c r="L66" s="2313"/>
      <c r="M66" s="2815"/>
      <c r="N66" s="2313"/>
      <c r="O66" s="2815"/>
      <c r="P66" s="2313"/>
      <c r="Q66" s="2815"/>
      <c r="R66" s="2313"/>
      <c r="S66" s="2815"/>
      <c r="X66" s="2905"/>
      <c r="Y66" s="2893" t="s">
        <v>6137</v>
      </c>
      <c r="Z66" s="711"/>
      <c r="AA66" s="2899"/>
      <c r="AB66" s="2900"/>
    </row>
    <row r="67" spans="1:28">
      <c r="A67" s="2905"/>
      <c r="B67" s="2906"/>
      <c r="C67" s="659"/>
      <c r="D67" s="2408"/>
      <c r="E67" s="2409"/>
      <c r="F67" s="2438"/>
      <c r="G67" s="668"/>
      <c r="H67" s="2313"/>
      <c r="I67" s="2806"/>
      <c r="J67" s="2794"/>
      <c r="K67" s="2350"/>
      <c r="L67" s="2794"/>
      <c r="M67" s="2349"/>
      <c r="N67" s="2794"/>
      <c r="O67" s="2349"/>
      <c r="P67" s="2794"/>
      <c r="Q67" s="2349"/>
      <c r="R67" s="2794"/>
      <c r="S67" s="2349"/>
      <c r="X67" s="2905"/>
      <c r="Y67" s="2906"/>
      <c r="Z67" s="659"/>
      <c r="AA67" s="2408"/>
      <c r="AB67" s="2409"/>
    </row>
    <row r="68" spans="1:28">
      <c r="A68" s="2795"/>
      <c r="B68" s="2837" t="s">
        <v>6138</v>
      </c>
      <c r="C68" s="2407"/>
      <c r="D68" s="2408"/>
      <c r="E68" s="2409"/>
      <c r="F68" s="2438"/>
      <c r="G68" s="668">
        <f>ROUND(D68*F68,0)</f>
        <v>0</v>
      </c>
      <c r="H68" s="2313"/>
      <c r="I68" s="2806"/>
      <c r="J68" s="2794"/>
      <c r="K68" s="2350"/>
      <c r="L68" s="2794"/>
      <c r="M68" s="2349"/>
      <c r="N68" s="2794"/>
      <c r="O68" s="2349"/>
      <c r="P68" s="2794"/>
      <c r="Q68" s="2349"/>
      <c r="R68" s="2794"/>
      <c r="S68" s="2349"/>
      <c r="X68" s="2795"/>
      <c r="Y68" s="2837" t="s">
        <v>6138</v>
      </c>
      <c r="Z68" s="2407"/>
      <c r="AA68" s="2408"/>
      <c r="AB68" s="2409"/>
    </row>
    <row r="69" spans="1:28">
      <c r="A69" s="2905"/>
      <c r="B69" s="522"/>
      <c r="C69" s="659"/>
      <c r="D69" s="2408"/>
      <c r="E69" s="2409"/>
      <c r="F69" s="2438"/>
      <c r="G69" s="668"/>
      <c r="H69" s="2313"/>
      <c r="I69" s="2806"/>
      <c r="J69" s="2794"/>
      <c r="K69" s="2350"/>
      <c r="L69" s="2794"/>
      <c r="M69" s="2349"/>
      <c r="N69" s="2794"/>
      <c r="O69" s="2349"/>
      <c r="P69" s="2794"/>
      <c r="Q69" s="2349"/>
      <c r="R69" s="2794"/>
      <c r="S69" s="2349"/>
      <c r="X69" s="2905"/>
      <c r="Y69" s="522"/>
      <c r="Z69" s="659"/>
      <c r="AA69" s="2408"/>
      <c r="AB69" s="2409"/>
    </row>
    <row r="70" spans="1:28">
      <c r="A70" s="2905"/>
      <c r="B70" s="452" t="s">
        <v>6097</v>
      </c>
      <c r="C70" s="659"/>
      <c r="D70" s="2907"/>
      <c r="E70" s="2409"/>
      <c r="F70" s="2438"/>
      <c r="G70" s="662">
        <f>ROUND(D70*F70,0)</f>
        <v>0</v>
      </c>
      <c r="H70" s="2794"/>
      <c r="I70" s="2352">
        <f>SUBTOTAL(9,I71:I75)</f>
        <v>11984</v>
      </c>
      <c r="J70" s="2794"/>
      <c r="K70" s="2352">
        <f>SUBTOTAL(9,K71:K75)</f>
        <v>0</v>
      </c>
      <c r="L70" s="2794"/>
      <c r="M70" s="2352">
        <f>SUBTOTAL(9,M71:M75)</f>
        <v>0</v>
      </c>
      <c r="N70" s="2794"/>
      <c r="O70" s="2352">
        <f>SUBTOTAL(9,O71:O75)</f>
        <v>0</v>
      </c>
      <c r="P70" s="2794"/>
      <c r="Q70" s="2352">
        <f>SUBTOTAL(9,Q71:Q75)</f>
        <v>0</v>
      </c>
      <c r="R70" s="2794"/>
      <c r="S70" s="2352">
        <f>SUBTOTAL(9,S71:S75)</f>
        <v>0</v>
      </c>
      <c r="X70" s="2905"/>
      <c r="Y70" s="452" t="s">
        <v>6097</v>
      </c>
      <c r="Z70" s="659"/>
      <c r="AA70" s="2907"/>
      <c r="AB70" s="2409"/>
    </row>
    <row r="71" spans="1:28">
      <c r="A71" s="2795"/>
      <c r="B71" s="2837" t="s">
        <v>6139</v>
      </c>
      <c r="C71" s="2407"/>
      <c r="D71" s="2408"/>
      <c r="E71" s="2409"/>
      <c r="F71" s="2438"/>
      <c r="G71" s="662">
        <f t="shared" si="5"/>
        <v>0</v>
      </c>
      <c r="H71" s="2794"/>
      <c r="I71" s="2350"/>
      <c r="J71" s="2794"/>
      <c r="K71" s="2350"/>
      <c r="L71" s="2794"/>
      <c r="M71" s="2349"/>
      <c r="N71" s="2794"/>
      <c r="O71" s="2349"/>
      <c r="P71" s="2794"/>
      <c r="Q71" s="2349"/>
      <c r="R71" s="2794"/>
      <c r="S71" s="2349"/>
      <c r="X71" s="2795"/>
      <c r="Y71" s="2837" t="s">
        <v>6139</v>
      </c>
      <c r="Z71" s="2407"/>
      <c r="AA71" s="2408"/>
      <c r="AB71" s="2409"/>
    </row>
    <row r="72" spans="1:28">
      <c r="A72" s="2795"/>
      <c r="B72" s="2891" t="s">
        <v>6140</v>
      </c>
      <c r="C72" s="2407"/>
      <c r="D72" s="2408">
        <v>4</v>
      </c>
      <c r="E72" s="2409" t="s">
        <v>2803</v>
      </c>
      <c r="F72" s="2438">
        <v>2800</v>
      </c>
      <c r="G72" s="662">
        <f t="shared" si="5"/>
        <v>11200</v>
      </c>
      <c r="H72" s="2794"/>
      <c r="I72" s="2350">
        <f t="shared" si="21"/>
        <v>11200</v>
      </c>
      <c r="J72" s="2794"/>
      <c r="K72" s="2350"/>
      <c r="L72" s="2794"/>
      <c r="M72" s="2349"/>
      <c r="N72" s="2794"/>
      <c r="O72" s="2349"/>
      <c r="P72" s="2794"/>
      <c r="Q72" s="2349"/>
      <c r="R72" s="2794"/>
      <c r="S72" s="2349"/>
      <c r="X72" s="2795"/>
      <c r="Y72" s="2891" t="s">
        <v>6140</v>
      </c>
      <c r="Z72" s="2407"/>
      <c r="AA72" s="2408">
        <v>4</v>
      </c>
      <c r="AB72" s="2409" t="s">
        <v>2803</v>
      </c>
    </row>
    <row r="73" spans="1:28">
      <c r="A73" s="2795"/>
      <c r="B73" s="2893" t="s">
        <v>6128</v>
      </c>
      <c r="C73" s="2898"/>
      <c r="D73" s="2899">
        <f>SUM(G72)</f>
        <v>11200</v>
      </c>
      <c r="E73" s="2900" t="s">
        <v>2818</v>
      </c>
      <c r="F73" s="2901">
        <v>7.0000000000000007E-2</v>
      </c>
      <c r="G73" s="668">
        <f t="shared" si="5"/>
        <v>784</v>
      </c>
      <c r="H73" s="2794"/>
      <c r="I73" s="2350">
        <f t="shared" si="21"/>
        <v>784</v>
      </c>
      <c r="J73" s="2794"/>
      <c r="K73" s="2350"/>
      <c r="L73" s="2794"/>
      <c r="M73" s="2349"/>
      <c r="N73" s="2794"/>
      <c r="O73" s="2349"/>
      <c r="P73" s="2794"/>
      <c r="Q73" s="2349"/>
      <c r="R73" s="2794"/>
      <c r="S73" s="2349"/>
      <c r="X73" s="2795"/>
      <c r="Y73" s="2893" t="s">
        <v>6128</v>
      </c>
      <c r="Z73" s="2898"/>
      <c r="AA73" s="2899">
        <f>SUM(AD72)</f>
        <v>0</v>
      </c>
      <c r="AB73" s="2900" t="s">
        <v>2818</v>
      </c>
    </row>
    <row r="74" spans="1:28">
      <c r="A74" s="2795"/>
      <c r="B74" s="2893" t="s">
        <v>6137</v>
      </c>
      <c r="C74" s="711"/>
      <c r="D74" s="2899"/>
      <c r="E74" s="2900"/>
      <c r="F74" s="2901"/>
      <c r="G74" s="668"/>
      <c r="H74" s="2794"/>
      <c r="I74" s="2350"/>
      <c r="J74" s="2794"/>
      <c r="K74" s="2350"/>
      <c r="L74" s="2794"/>
      <c r="M74" s="2349"/>
      <c r="N74" s="2794"/>
      <c r="O74" s="2349"/>
      <c r="P74" s="2794"/>
      <c r="Q74" s="2349"/>
      <c r="R74" s="2794"/>
      <c r="S74" s="2349"/>
      <c r="X74" s="2795"/>
      <c r="Y74" s="2893" t="s">
        <v>6137</v>
      </c>
      <c r="Z74" s="711"/>
      <c r="AA74" s="2899"/>
      <c r="AB74" s="2900"/>
    </row>
    <row r="75" spans="1:28">
      <c r="A75" s="2795"/>
      <c r="B75" s="2837"/>
      <c r="C75" s="2407"/>
      <c r="D75" s="2408"/>
      <c r="E75" s="2409"/>
      <c r="F75" s="2438"/>
      <c r="G75" s="662">
        <f t="shared" si="5"/>
        <v>0</v>
      </c>
      <c r="H75" s="2794"/>
      <c r="I75" s="2350"/>
      <c r="J75" s="2794"/>
      <c r="K75" s="2350"/>
      <c r="L75" s="2794"/>
      <c r="M75" s="2349"/>
      <c r="N75" s="2794"/>
      <c r="O75" s="2349"/>
      <c r="P75" s="2794"/>
      <c r="Q75" s="2349"/>
      <c r="R75" s="2794"/>
      <c r="S75" s="2349"/>
      <c r="X75" s="2795"/>
      <c r="Y75" s="2837"/>
      <c r="Z75" s="2407"/>
      <c r="AA75" s="2408"/>
      <c r="AB75" s="2409"/>
    </row>
    <row r="76" spans="1:28">
      <c r="A76" s="2905"/>
      <c r="B76" s="452" t="s">
        <v>6099</v>
      </c>
      <c r="C76" s="659"/>
      <c r="D76" s="2907"/>
      <c r="E76" s="2409"/>
      <c r="F76" s="2438"/>
      <c r="G76" s="662">
        <f>ROUND(D76*F76,0)</f>
        <v>0</v>
      </c>
      <c r="H76" s="2794"/>
      <c r="I76" s="2352">
        <f>SUBTOTAL(9,I77:I80)</f>
        <v>0</v>
      </c>
      <c r="J76" s="2794"/>
      <c r="K76" s="2352">
        <f>SUBTOTAL(9,K77:K80)</f>
        <v>0</v>
      </c>
      <c r="L76" s="2794"/>
      <c r="M76" s="2352">
        <f>SUBTOTAL(9,M77:M80)</f>
        <v>0</v>
      </c>
      <c r="N76" s="2794"/>
      <c r="O76" s="2352">
        <f>SUBTOTAL(9,O77:O80)</f>
        <v>0</v>
      </c>
      <c r="P76" s="2794"/>
      <c r="Q76" s="2352">
        <f>SUBTOTAL(9,Q77:Q80)</f>
        <v>0</v>
      </c>
      <c r="R76" s="2794"/>
      <c r="S76" s="2352">
        <f>SUBTOTAL(9,S77:S80)</f>
        <v>0</v>
      </c>
      <c r="X76" s="2905"/>
      <c r="Y76" s="452" t="s">
        <v>6099</v>
      </c>
      <c r="Z76" s="659"/>
      <c r="AA76" s="2907"/>
      <c r="AB76" s="2409"/>
    </row>
    <row r="77" spans="1:28">
      <c r="A77" s="2795"/>
      <c r="B77" s="2837"/>
      <c r="C77" s="2407"/>
      <c r="D77" s="2408"/>
      <c r="E77" s="2409"/>
      <c r="F77" s="2438"/>
      <c r="G77" s="662">
        <f t="shared" si="5"/>
        <v>0</v>
      </c>
      <c r="H77" s="2794"/>
      <c r="I77" s="2350"/>
      <c r="J77" s="2794"/>
      <c r="K77" s="2350"/>
      <c r="L77" s="2794"/>
      <c r="M77" s="2349"/>
      <c r="N77" s="2794"/>
      <c r="O77" s="2349"/>
      <c r="P77" s="2794"/>
      <c r="Q77" s="2349"/>
      <c r="R77" s="2794"/>
      <c r="S77" s="2349"/>
      <c r="X77" s="2795"/>
      <c r="Y77" s="2837"/>
      <c r="Z77" s="2407"/>
      <c r="AA77" s="2408"/>
      <c r="AB77" s="2409"/>
    </row>
    <row r="78" spans="1:28">
      <c r="A78" s="2795"/>
      <c r="B78" s="2837"/>
      <c r="C78" s="2407"/>
      <c r="D78" s="2408"/>
      <c r="E78" s="2409"/>
      <c r="F78" s="2438"/>
      <c r="G78" s="662">
        <f t="shared" si="5"/>
        <v>0</v>
      </c>
      <c r="H78" s="2794"/>
      <c r="I78" s="2350"/>
      <c r="J78" s="2794"/>
      <c r="K78" s="2350"/>
      <c r="L78" s="2794"/>
      <c r="M78" s="2349"/>
      <c r="N78" s="2794"/>
      <c r="O78" s="2349"/>
      <c r="P78" s="2794"/>
      <c r="Q78" s="2349"/>
      <c r="R78" s="2794"/>
      <c r="S78" s="2349"/>
      <c r="X78" s="2795"/>
      <c r="Y78" s="2837"/>
      <c r="Z78" s="2407"/>
      <c r="AA78" s="2408"/>
      <c r="AB78" s="2409"/>
    </row>
    <row r="79" spans="1:28">
      <c r="A79" s="2795"/>
      <c r="B79" s="2837"/>
      <c r="C79" s="2407"/>
      <c r="D79" s="2408"/>
      <c r="E79" s="2409"/>
      <c r="F79" s="2438"/>
      <c r="G79" s="662">
        <f t="shared" si="5"/>
        <v>0</v>
      </c>
      <c r="H79" s="2794"/>
      <c r="I79" s="2350"/>
      <c r="J79" s="2794"/>
      <c r="K79" s="2350"/>
      <c r="L79" s="2794"/>
      <c r="M79" s="2349"/>
      <c r="N79" s="2794"/>
      <c r="O79" s="2349"/>
      <c r="P79" s="2794"/>
      <c r="Q79" s="2349"/>
      <c r="R79" s="2794"/>
      <c r="S79" s="2349"/>
      <c r="X79" s="2795"/>
      <c r="Y79" s="2837"/>
      <c r="Z79" s="2407"/>
      <c r="AA79" s="2408"/>
      <c r="AB79" s="2409"/>
    </row>
    <row r="80" spans="1:28" ht="15.75" thickBot="1">
      <c r="A80" s="2795"/>
      <c r="B80" s="2837"/>
      <c r="C80" s="2407"/>
      <c r="D80" s="2408"/>
      <c r="E80" s="2409"/>
      <c r="F80" s="2438"/>
      <c r="G80" s="662"/>
      <c r="H80" s="2794"/>
      <c r="I80" s="2350"/>
      <c r="J80" s="2794"/>
      <c r="K80" s="2350"/>
      <c r="L80" s="2794"/>
      <c r="M80" s="2349"/>
      <c r="N80" s="2794"/>
      <c r="O80" s="2349"/>
      <c r="P80" s="2794"/>
      <c r="Q80" s="2349"/>
      <c r="R80" s="2794"/>
      <c r="S80" s="2349"/>
      <c r="X80" s="2795"/>
      <c r="Y80" s="2837"/>
      <c r="Z80" s="2407"/>
      <c r="AA80" s="2408"/>
      <c r="AB80" s="2409"/>
    </row>
    <row r="81" spans="1:34" ht="15.75" thickTop="1">
      <c r="A81" s="13"/>
      <c r="B81" s="226" t="s">
        <v>3265</v>
      </c>
      <c r="C81" s="15"/>
      <c r="D81" s="168"/>
      <c r="E81" s="176"/>
      <c r="F81" s="17"/>
      <c r="G81" s="227">
        <f ca="1">SUBTOTAL(9,G21:G80)</f>
        <v>116403</v>
      </c>
      <c r="H81" s="19"/>
      <c r="I81" s="225">
        <f>SUBTOTAL(9,I20:I80)</f>
        <v>114536</v>
      </c>
      <c r="J81" s="19"/>
      <c r="K81" s="225">
        <f>SUBTOTAL(9,K20:K80)</f>
        <v>0</v>
      </c>
      <c r="L81" s="19"/>
      <c r="M81" s="225">
        <f>SUBTOTAL(9,M20:M80)</f>
        <v>0</v>
      </c>
      <c r="N81" s="19"/>
      <c r="O81" s="225">
        <f>SUBTOTAL(9,O20:O80)</f>
        <v>0</v>
      </c>
      <c r="P81" s="19"/>
      <c r="Q81" s="225">
        <f>SUBTOTAL(9,Q20:Q80)</f>
        <v>0</v>
      </c>
      <c r="R81" s="19"/>
      <c r="S81" s="225">
        <f>SUBTOTAL(9,S20:S80)</f>
        <v>0</v>
      </c>
      <c r="X81" s="13"/>
      <c r="Y81" s="226" t="s">
        <v>3265</v>
      </c>
      <c r="Z81" s="15"/>
      <c r="AA81" s="168"/>
      <c r="AB81" s="176"/>
    </row>
    <row r="82" spans="1:34">
      <c r="A82" s="2908"/>
      <c r="B82" s="2909" t="s">
        <v>2976</v>
      </c>
      <c r="C82" s="2910"/>
      <c r="D82" s="2911"/>
      <c r="E82" s="2912"/>
      <c r="F82" s="2913"/>
      <c r="G82" s="654"/>
      <c r="H82" s="2914">
        <v>0</v>
      </c>
      <c r="I82" s="645"/>
      <c r="J82" s="2914">
        <v>0</v>
      </c>
      <c r="K82" s="645"/>
      <c r="L82" s="2914">
        <v>0</v>
      </c>
      <c r="M82" s="645"/>
      <c r="N82" s="2914">
        <v>0</v>
      </c>
      <c r="O82" s="645"/>
      <c r="P82" s="2914">
        <v>0</v>
      </c>
      <c r="Q82" s="645"/>
      <c r="R82" s="2914">
        <v>0</v>
      </c>
      <c r="S82" s="645"/>
      <c r="X82" s="2908"/>
      <c r="Y82" s="2909" t="s">
        <v>2976</v>
      </c>
      <c r="Z82" s="2910"/>
      <c r="AA82" s="2911"/>
      <c r="AB82" s="2912"/>
    </row>
    <row r="83" spans="1:34">
      <c r="A83" s="2908"/>
      <c r="B83" s="2909" t="s">
        <v>2977</v>
      </c>
      <c r="C83" s="2910"/>
      <c r="D83" s="2911"/>
      <c r="E83" s="2912"/>
      <c r="F83" s="2913"/>
      <c r="G83" s="654">
        <f ca="1">F82*G81</f>
        <v>0</v>
      </c>
      <c r="H83" s="2915"/>
      <c r="I83" s="2916">
        <f>H82*I81</f>
        <v>0</v>
      </c>
      <c r="J83" s="2915"/>
      <c r="K83" s="2916">
        <f>J82*K81</f>
        <v>0</v>
      </c>
      <c r="L83" s="2915"/>
      <c r="M83" s="2916">
        <f>L82*M81</f>
        <v>0</v>
      </c>
      <c r="N83" s="2915"/>
      <c r="O83" s="2916">
        <f>N82*O81</f>
        <v>0</v>
      </c>
      <c r="P83" s="2915"/>
      <c r="Q83" s="2916">
        <f>P82*Q81</f>
        <v>0</v>
      </c>
      <c r="R83" s="2915"/>
      <c r="S83" s="2916">
        <f>R82*S81</f>
        <v>0</v>
      </c>
      <c r="X83" s="2908"/>
      <c r="Y83" s="2909" t="s">
        <v>2977</v>
      </c>
      <c r="Z83" s="2910"/>
      <c r="AA83" s="2911"/>
      <c r="AB83" s="2912"/>
    </row>
    <row r="84" spans="1:34">
      <c r="A84" s="2908"/>
      <c r="B84" s="2909"/>
      <c r="C84" s="2910"/>
      <c r="D84" s="2911"/>
      <c r="E84" s="2912"/>
      <c r="F84" s="2913"/>
      <c r="G84" s="654"/>
      <c r="H84" s="2915"/>
      <c r="I84" s="2916"/>
      <c r="J84" s="2915"/>
      <c r="K84" s="2916"/>
      <c r="L84" s="2915"/>
      <c r="M84" s="2916"/>
      <c r="N84" s="2915"/>
      <c r="O84" s="2916"/>
      <c r="P84" s="2915"/>
      <c r="Q84" s="2916"/>
      <c r="R84" s="2915"/>
      <c r="S84" s="2916"/>
      <c r="X84" s="2908"/>
      <c r="Y84" s="2909"/>
      <c r="Z84" s="2910"/>
      <c r="AA84" s="2911"/>
      <c r="AB84" s="2912"/>
    </row>
    <row r="85" spans="1:34">
      <c r="A85" s="2908"/>
      <c r="B85" s="2909" t="s">
        <v>2978</v>
      </c>
      <c r="C85" s="2910"/>
      <c r="D85" s="2911"/>
      <c r="E85" s="2912"/>
      <c r="F85" s="2913"/>
      <c r="G85" s="654">
        <f ca="1">SUM(G81:G83)</f>
        <v>116403</v>
      </c>
      <c r="H85" s="2917"/>
      <c r="I85" s="2916">
        <f>SUM(I81:I83)</f>
        <v>114536</v>
      </c>
      <c r="J85" s="2917"/>
      <c r="K85" s="2916">
        <f>SUM(K81:K83)</f>
        <v>0</v>
      </c>
      <c r="L85" s="2917"/>
      <c r="M85" s="2916">
        <f>SUM(M81:M83)</f>
        <v>0</v>
      </c>
      <c r="N85" s="2917"/>
      <c r="O85" s="2916">
        <f>SUM(O81:O83)</f>
        <v>0</v>
      </c>
      <c r="P85" s="2917"/>
      <c r="Q85" s="2916">
        <f>SUM(Q81:Q83)</f>
        <v>0</v>
      </c>
      <c r="R85" s="2917"/>
      <c r="S85" s="2916">
        <f>SUM(S81:S83)</f>
        <v>0</v>
      </c>
      <c r="X85" s="2908"/>
      <c r="Y85" s="2909" t="s">
        <v>2978</v>
      </c>
      <c r="Z85" s="2910"/>
      <c r="AA85" s="2911"/>
      <c r="AB85" s="2912"/>
    </row>
    <row r="86" spans="1:34">
      <c r="A86" s="2908"/>
      <c r="B86" s="2918" t="s">
        <v>2979</v>
      </c>
      <c r="C86" s="2910"/>
      <c r="D86" s="2911"/>
      <c r="E86" s="2912"/>
      <c r="F86" s="2918"/>
      <c r="G86" s="655">
        <f ca="1">G85/'Area Calculations'!$F$5</f>
        <v>1.3127368278599783</v>
      </c>
      <c r="H86" s="2919"/>
      <c r="I86" s="2920">
        <f>I85/'Area Calculations'!$F$5</f>
        <v>1.2916817033561891</v>
      </c>
      <c r="J86" s="2919"/>
      <c r="K86" s="2920">
        <f>K85/'Area Calculations'!$F$5</f>
        <v>0</v>
      </c>
      <c r="L86" s="2919"/>
      <c r="M86" s="2920">
        <f>M85/'Area Calculations'!$F$5</f>
        <v>0</v>
      </c>
      <c r="N86" s="2919"/>
      <c r="O86" s="2920">
        <f>O85/'Area Calculations'!$F$5</f>
        <v>0</v>
      </c>
      <c r="P86" s="2919"/>
      <c r="Q86" s="2920">
        <f>Q85/'Area Calculations'!$F$5</f>
        <v>0</v>
      </c>
      <c r="R86" s="2921"/>
      <c r="S86" s="2920">
        <f>S85/'Area Calculations'!$F$5</f>
        <v>0</v>
      </c>
      <c r="X86" s="2908"/>
      <c r="Y86" s="2918" t="s">
        <v>2979</v>
      </c>
      <c r="Z86" s="2910"/>
      <c r="AA86" s="2911"/>
      <c r="AB86" s="2912"/>
    </row>
    <row r="87" spans="1:34">
      <c r="A87" s="2908"/>
      <c r="B87" s="2922"/>
      <c r="C87" s="2910"/>
      <c r="D87" s="2911"/>
      <c r="E87" s="2912"/>
      <c r="F87" s="2913"/>
      <c r="G87" s="656"/>
      <c r="H87" s="2923"/>
      <c r="I87" s="2924"/>
      <c r="J87" s="2923"/>
      <c r="K87" s="2923"/>
      <c r="L87" s="2923"/>
      <c r="M87" s="2923"/>
      <c r="N87" s="2923"/>
      <c r="O87" s="2923"/>
      <c r="P87" s="2923"/>
      <c r="Q87" s="2923"/>
      <c r="R87" s="2923"/>
      <c r="S87" s="2923"/>
      <c r="X87" s="2908"/>
      <c r="Y87" s="2922"/>
      <c r="Z87" s="2910"/>
      <c r="AA87" s="2911"/>
      <c r="AB87" s="2912"/>
    </row>
    <row r="88" spans="1:34" ht="16.5" hidden="1" thickTop="1" thickBot="1">
      <c r="A88" s="830" t="s">
        <v>2980</v>
      </c>
      <c r="B88" s="831"/>
      <c r="C88" s="12"/>
      <c r="D88" s="169"/>
      <c r="E88" s="177"/>
      <c r="F88" s="12"/>
      <c r="G88" s="228"/>
      <c r="H88" s="20"/>
      <c r="I88" s="20"/>
      <c r="J88" s="20"/>
      <c r="K88" s="20"/>
      <c r="L88" s="20"/>
      <c r="M88" s="20"/>
      <c r="N88" s="20"/>
      <c r="O88" s="20"/>
      <c r="P88" s="20"/>
      <c r="Q88" s="20"/>
      <c r="R88" s="20"/>
      <c r="S88" s="20"/>
      <c r="X88" s="830" t="s">
        <v>2980</v>
      </c>
      <c r="Y88" s="831"/>
      <c r="Z88" s="12"/>
      <c r="AA88" s="169"/>
      <c r="AB88" s="177"/>
    </row>
    <row r="89" spans="1:34" ht="15.75" hidden="1" thickTop="1">
      <c r="A89" s="2925"/>
      <c r="B89" s="2406"/>
      <c r="C89" s="2926"/>
      <c r="D89" s="2927"/>
      <c r="E89" s="2928"/>
      <c r="F89" s="2926"/>
      <c r="G89" s="2929"/>
      <c r="H89" s="2930"/>
      <c r="I89" s="2930"/>
      <c r="J89" s="2930"/>
      <c r="K89" s="2930"/>
      <c r="L89" s="2930"/>
      <c r="M89" s="2930"/>
      <c r="N89" s="2930"/>
      <c r="O89" s="2930"/>
      <c r="P89" s="2930"/>
      <c r="Q89" s="2930"/>
      <c r="R89" s="2930"/>
      <c r="S89" s="2930"/>
      <c r="X89" s="2925"/>
      <c r="Y89" s="2406"/>
      <c r="Z89" s="2926"/>
      <c r="AA89" s="2927"/>
      <c r="AB89" s="2928"/>
    </row>
    <row r="90" spans="1:34" hidden="1">
      <c r="A90" s="2925"/>
      <c r="B90" s="2406"/>
      <c r="C90" s="2926"/>
      <c r="D90" s="2927"/>
      <c r="E90" s="2928"/>
      <c r="F90" s="2926"/>
      <c r="G90" s="2929"/>
      <c r="H90" s="2930"/>
      <c r="I90" s="2930"/>
      <c r="J90" s="2930"/>
      <c r="K90" s="2930"/>
      <c r="L90" s="2930"/>
      <c r="M90" s="2930"/>
      <c r="N90" s="2930"/>
      <c r="O90" s="2930"/>
      <c r="P90" s="2930"/>
      <c r="Q90" s="2930"/>
      <c r="R90" s="2930"/>
      <c r="S90" s="2930"/>
      <c r="X90" s="2925"/>
      <c r="Y90" s="2406"/>
      <c r="Z90" s="2926"/>
      <c r="AA90" s="2927"/>
      <c r="AB90" s="2928"/>
    </row>
    <row r="91" spans="1:34" ht="15.75" hidden="1" thickBot="1">
      <c r="A91" s="2925"/>
      <c r="B91" s="2406"/>
      <c r="C91" s="2926"/>
      <c r="D91" s="2927"/>
      <c r="E91" s="2928"/>
      <c r="F91" s="2926"/>
      <c r="G91" s="2929"/>
      <c r="H91" s="2930"/>
      <c r="I91" s="2930"/>
      <c r="J91" s="2930"/>
      <c r="K91" s="2930"/>
      <c r="L91" s="2930"/>
      <c r="M91" s="2930"/>
      <c r="N91" s="2930"/>
      <c r="O91" s="2930"/>
      <c r="P91" s="2930"/>
      <c r="Q91" s="2930"/>
      <c r="R91" s="2930"/>
      <c r="S91" s="2930"/>
      <c r="X91" s="2925"/>
      <c r="Y91" s="2406"/>
      <c r="Z91" s="2926"/>
      <c r="AA91" s="2927"/>
      <c r="AB91" s="2928"/>
    </row>
    <row r="92" spans="1:34" s="2" customFormat="1" ht="16.5" hidden="1" thickTop="1" thickBot="1">
      <c r="A92" s="830" t="s">
        <v>2981</v>
      </c>
      <c r="B92" s="831"/>
      <c r="C92" s="12"/>
      <c r="D92" s="169"/>
      <c r="E92" s="177"/>
      <c r="F92" s="12"/>
      <c r="G92" s="228"/>
      <c r="H92" s="20"/>
      <c r="I92" s="20"/>
      <c r="J92" s="20"/>
      <c r="K92" s="20"/>
      <c r="L92" s="20"/>
      <c r="M92" s="20"/>
      <c r="N92" s="20"/>
      <c r="O92" s="20"/>
      <c r="P92" s="20"/>
      <c r="Q92" s="20"/>
      <c r="R92" s="20"/>
      <c r="S92" s="20"/>
      <c r="T92"/>
      <c r="U92"/>
      <c r="V92"/>
      <c r="W92"/>
      <c r="X92" s="830" t="s">
        <v>2981</v>
      </c>
      <c r="Y92" s="831"/>
      <c r="Z92" s="12"/>
      <c r="AA92" s="169"/>
      <c r="AB92" s="177"/>
      <c r="AC92"/>
      <c r="AD92"/>
      <c r="AE92"/>
      <c r="AF92"/>
      <c r="AG92"/>
      <c r="AH92"/>
    </row>
    <row r="93" spans="1:34" s="2" customFormat="1" ht="15.75" hidden="1" thickTop="1">
      <c r="A93" s="2925"/>
      <c r="B93" s="2406"/>
      <c r="C93" s="2926"/>
      <c r="D93" s="2927"/>
      <c r="E93" s="2928"/>
      <c r="F93" s="2926"/>
      <c r="G93" s="2929"/>
      <c r="H93" s="2930"/>
      <c r="I93" s="2930"/>
      <c r="J93" s="2930"/>
      <c r="K93" s="2930"/>
      <c r="L93" s="2930"/>
      <c r="M93" s="2930"/>
      <c r="N93" s="2930"/>
      <c r="O93" s="2930"/>
      <c r="P93" s="2930"/>
      <c r="Q93" s="2930"/>
      <c r="R93" s="2930"/>
      <c r="S93" s="2930"/>
      <c r="T93"/>
      <c r="U93"/>
      <c r="V93"/>
      <c r="W93"/>
      <c r="X93" s="2925"/>
      <c r="Y93" s="2406"/>
      <c r="Z93" s="2926"/>
      <c r="AA93" s="2927"/>
      <c r="AB93" s="2928"/>
      <c r="AC93"/>
      <c r="AD93"/>
      <c r="AE93"/>
      <c r="AF93"/>
      <c r="AG93"/>
      <c r="AH93"/>
    </row>
    <row r="94" spans="1:34" s="2" customFormat="1" hidden="1">
      <c r="A94" s="2925"/>
      <c r="B94" s="2406"/>
      <c r="C94" s="2926"/>
      <c r="D94" s="2927"/>
      <c r="E94" s="2928"/>
      <c r="F94" s="2926"/>
      <c r="G94" s="2929"/>
      <c r="H94" s="2930"/>
      <c r="I94" s="2930"/>
      <c r="J94" s="2930"/>
      <c r="K94" s="2930"/>
      <c r="L94" s="2930"/>
      <c r="M94" s="2930"/>
      <c r="N94" s="2930"/>
      <c r="O94" s="2930"/>
      <c r="P94" s="2930"/>
      <c r="Q94" s="2930"/>
      <c r="R94" s="2930"/>
      <c r="S94" s="2930"/>
      <c r="T94"/>
      <c r="U94"/>
      <c r="V94"/>
      <c r="W94"/>
      <c r="X94" s="2925"/>
      <c r="Y94" s="2406"/>
      <c r="Z94" s="2926"/>
      <c r="AA94" s="2927"/>
      <c r="AB94" s="2928"/>
      <c r="AC94"/>
      <c r="AD94"/>
      <c r="AE94"/>
      <c r="AF94"/>
      <c r="AG94"/>
      <c r="AH94"/>
    </row>
    <row r="95" spans="1:34" ht="15.75" hidden="1" thickBot="1">
      <c r="A95" s="2925"/>
      <c r="B95" s="2406"/>
      <c r="C95" s="2926"/>
      <c r="D95" s="2927"/>
      <c r="E95" s="2928"/>
      <c r="F95" s="2926"/>
      <c r="G95" s="2929"/>
      <c r="H95" s="2930"/>
      <c r="I95" s="2930"/>
      <c r="J95" s="2930"/>
      <c r="K95" s="2930"/>
      <c r="L95" s="2930"/>
      <c r="M95" s="2930"/>
      <c r="N95" s="2930"/>
      <c r="O95" s="2930"/>
      <c r="P95" s="2930"/>
      <c r="Q95" s="2930"/>
      <c r="R95" s="2930"/>
      <c r="S95" s="2930"/>
      <c r="X95" s="2925"/>
      <c r="Y95" s="2406"/>
      <c r="Z95" s="2926"/>
      <c r="AA95" s="2927"/>
      <c r="AB95" s="2928"/>
    </row>
    <row r="96" spans="1:34" s="2" customFormat="1" ht="16.5" hidden="1" thickTop="1" thickBot="1">
      <c r="A96" s="830" t="s">
        <v>2982</v>
      </c>
      <c r="B96" s="831"/>
      <c r="C96" s="12"/>
      <c r="D96" s="169"/>
      <c r="E96" s="177"/>
      <c r="F96" s="12"/>
      <c r="G96" s="228"/>
      <c r="H96" s="20"/>
      <c r="I96" s="20"/>
      <c r="J96" s="20"/>
      <c r="K96" s="20"/>
      <c r="L96" s="20"/>
      <c r="M96" s="20"/>
      <c r="N96" s="20"/>
      <c r="O96" s="20"/>
      <c r="P96" s="20"/>
      <c r="Q96" s="20"/>
      <c r="R96" s="20"/>
      <c r="S96" s="20"/>
      <c r="T96"/>
      <c r="U96"/>
      <c r="V96"/>
      <c r="W96"/>
      <c r="X96" s="830" t="s">
        <v>2982</v>
      </c>
      <c r="Y96" s="831"/>
      <c r="Z96" s="12"/>
      <c r="AA96" s="169"/>
      <c r="AB96" s="177"/>
      <c r="AC96"/>
      <c r="AD96"/>
      <c r="AE96"/>
      <c r="AF96"/>
      <c r="AG96"/>
      <c r="AH96"/>
    </row>
    <row r="97" spans="1:34" s="2" customFormat="1" ht="15.75" hidden="1" thickTop="1">
      <c r="A97" s="2925"/>
      <c r="B97" s="2406"/>
      <c r="C97" s="2926"/>
      <c r="D97" s="2927"/>
      <c r="E97" s="2928"/>
      <c r="F97" s="2926"/>
      <c r="G97" s="2929"/>
      <c r="H97" s="2930"/>
      <c r="I97" s="2930"/>
      <c r="J97" s="2930"/>
      <c r="K97" s="2930"/>
      <c r="L97" s="2930"/>
      <c r="M97" s="2930"/>
      <c r="N97" s="2930"/>
      <c r="O97" s="2930"/>
      <c r="P97" s="2930"/>
      <c r="Q97" s="2930"/>
      <c r="R97" s="2930"/>
      <c r="S97" s="2930"/>
      <c r="T97"/>
      <c r="U97"/>
      <c r="V97"/>
      <c r="W97"/>
      <c r="X97" s="2925"/>
      <c r="Y97" s="2406"/>
      <c r="Z97" s="2926"/>
      <c r="AA97" s="2927"/>
      <c r="AB97" s="2928"/>
      <c r="AC97"/>
      <c r="AD97"/>
      <c r="AE97"/>
      <c r="AF97"/>
      <c r="AG97"/>
      <c r="AH97"/>
    </row>
    <row r="98" spans="1:34" s="2" customFormat="1" hidden="1">
      <c r="A98" s="2931"/>
      <c r="B98" s="2406"/>
      <c r="C98" s="2407"/>
      <c r="D98" s="2408"/>
      <c r="E98" s="2409"/>
      <c r="F98" s="2407"/>
      <c r="G98" s="2932"/>
      <c r="H98" s="2933"/>
      <c r="I98" s="2933"/>
      <c r="J98" s="2933"/>
      <c r="K98" s="2933"/>
      <c r="L98" s="2933"/>
      <c r="M98" s="2933"/>
      <c r="N98" s="2933"/>
      <c r="O98" s="2933"/>
      <c r="P98" s="2933"/>
      <c r="Q98" s="2933"/>
      <c r="R98" s="2933"/>
      <c r="S98" s="2933"/>
      <c r="T98"/>
      <c r="U98"/>
      <c r="V98"/>
      <c r="W98"/>
      <c r="X98" s="2931"/>
      <c r="Y98" s="2406"/>
      <c r="Z98" s="2407"/>
      <c r="AA98" s="2408"/>
      <c r="AB98" s="2409"/>
      <c r="AC98"/>
      <c r="AD98"/>
      <c r="AE98"/>
      <c r="AF98"/>
      <c r="AG98"/>
      <c r="AH98"/>
    </row>
    <row r="99" spans="1:34" s="2" customFormat="1" ht="15.75" hidden="1" thickBot="1">
      <c r="A99" s="2934"/>
      <c r="B99" s="2935"/>
      <c r="C99" s="2407"/>
      <c r="D99" s="2408"/>
      <c r="E99" s="2409"/>
      <c r="F99" s="2407"/>
      <c r="G99" s="2932"/>
      <c r="H99" s="2936"/>
      <c r="I99" s="2936"/>
      <c r="J99" s="2936"/>
      <c r="K99" s="2936"/>
      <c r="L99" s="2936"/>
      <c r="M99" s="2936"/>
      <c r="N99" s="2936"/>
      <c r="O99" s="2936"/>
      <c r="P99" s="2936"/>
      <c r="Q99" s="2936"/>
      <c r="R99" s="2936"/>
      <c r="S99" s="2936"/>
      <c r="X99" s="2934"/>
      <c r="Y99" s="2935"/>
      <c r="Z99" s="2407"/>
      <c r="AA99" s="2408"/>
      <c r="AB99" s="2409"/>
    </row>
    <row r="100" spans="1:34" s="2" customFormat="1" ht="16.5" hidden="1" thickTop="1" thickBot="1">
      <c r="A100" s="830" t="s">
        <v>2983</v>
      </c>
      <c r="B100" s="831"/>
      <c r="C100" s="12"/>
      <c r="D100" s="169"/>
      <c r="E100" s="177"/>
      <c r="F100" s="12"/>
      <c r="G100" s="228"/>
      <c r="H100" s="20"/>
      <c r="I100" s="20"/>
      <c r="J100" s="20"/>
      <c r="K100" s="20"/>
      <c r="L100" s="20"/>
      <c r="M100" s="20"/>
      <c r="N100" s="20"/>
      <c r="O100" s="20"/>
      <c r="P100" s="20"/>
      <c r="Q100" s="20"/>
      <c r="R100" s="20"/>
      <c r="S100" s="20"/>
      <c r="T100"/>
      <c r="U100"/>
      <c r="V100"/>
      <c r="W100"/>
      <c r="X100" s="830" t="s">
        <v>2983</v>
      </c>
      <c r="Y100" s="831"/>
      <c r="Z100" s="12"/>
      <c r="AA100" s="169"/>
      <c r="AB100" s="177"/>
      <c r="AC100"/>
      <c r="AD100"/>
      <c r="AE100"/>
      <c r="AF100"/>
      <c r="AG100"/>
      <c r="AH100"/>
    </row>
    <row r="101" spans="1:34" ht="15.75" hidden="1" thickTop="1">
      <c r="A101" s="2937"/>
      <c r="B101" s="2938"/>
      <c r="C101" s="2926"/>
      <c r="D101" s="2927"/>
      <c r="E101" s="2928"/>
      <c r="F101" s="2926"/>
      <c r="G101" s="2929"/>
      <c r="H101" s="2930"/>
      <c r="I101" s="2930"/>
      <c r="J101" s="2930"/>
      <c r="K101" s="2930"/>
      <c r="L101" s="2930"/>
      <c r="M101" s="2930"/>
      <c r="N101" s="2930"/>
      <c r="O101" s="2930"/>
      <c r="P101" s="2930"/>
      <c r="Q101" s="2930"/>
      <c r="R101" s="2930"/>
      <c r="S101" s="2930"/>
      <c r="T101" s="2"/>
      <c r="U101" s="2"/>
      <c r="V101" s="2"/>
      <c r="W101" s="2"/>
      <c r="X101" s="2937"/>
      <c r="Y101" s="2938"/>
      <c r="Z101" s="2926"/>
      <c r="AA101" s="2927"/>
      <c r="AB101" s="2928"/>
      <c r="AC101" s="2"/>
      <c r="AD101" s="2"/>
      <c r="AE101" s="2"/>
      <c r="AF101" s="2"/>
      <c r="AG101" s="2"/>
      <c r="AH101" s="2"/>
    </row>
    <row r="102" spans="1:34" hidden="1">
      <c r="A102" s="2934"/>
      <c r="B102" s="2935"/>
      <c r="C102" s="2407"/>
      <c r="D102" s="2408"/>
      <c r="E102" s="2409"/>
      <c r="F102" s="2407"/>
      <c r="G102" s="2932"/>
      <c r="H102" s="2939"/>
      <c r="I102" s="2939"/>
      <c r="J102" s="2939"/>
      <c r="K102" s="2939"/>
      <c r="L102" s="2939"/>
      <c r="M102" s="2939"/>
      <c r="N102" s="2939"/>
      <c r="O102" s="2939"/>
      <c r="P102" s="2939"/>
      <c r="Q102" s="2939"/>
      <c r="R102" s="2939"/>
      <c r="S102" s="2939"/>
      <c r="T102" s="2"/>
      <c r="U102" s="2"/>
      <c r="V102" s="2"/>
      <c r="W102" s="2"/>
      <c r="X102" s="2934"/>
      <c r="Y102" s="2935"/>
      <c r="Z102" s="2407"/>
      <c r="AA102" s="2408"/>
      <c r="AB102" s="2409"/>
      <c r="AC102" s="2"/>
      <c r="AD102" s="2"/>
      <c r="AE102" s="2"/>
      <c r="AF102" s="2"/>
      <c r="AG102" s="2"/>
      <c r="AH102" s="2"/>
    </row>
    <row r="103" spans="1:34" ht="15.75" hidden="1" thickBot="1">
      <c r="A103" s="2934"/>
      <c r="B103" s="2935"/>
      <c r="C103" s="2407"/>
      <c r="D103" s="2408"/>
      <c r="E103" s="2409"/>
      <c r="F103" s="2407"/>
      <c r="G103" s="2932"/>
      <c r="H103" s="2939"/>
      <c r="I103" s="2939"/>
      <c r="J103" s="2939"/>
      <c r="K103" s="2939"/>
      <c r="L103" s="2939"/>
      <c r="M103" s="2939"/>
      <c r="N103" s="2939"/>
      <c r="O103" s="2939"/>
      <c r="P103" s="2939"/>
      <c r="Q103" s="2939"/>
      <c r="R103" s="2939"/>
      <c r="S103" s="2939"/>
      <c r="T103" s="2"/>
      <c r="U103" s="2"/>
      <c r="V103" s="2"/>
      <c r="W103" s="2"/>
      <c r="X103" s="2934"/>
      <c r="Y103" s="2935"/>
      <c r="Z103" s="2407"/>
      <c r="AA103" s="2408"/>
      <c r="AB103" s="2409"/>
      <c r="AC103" s="2"/>
      <c r="AD103" s="2"/>
      <c r="AE103" s="2"/>
      <c r="AF103" s="2"/>
      <c r="AG103" s="2"/>
      <c r="AH103" s="2"/>
    </row>
    <row r="104" spans="1:34" ht="16.5" hidden="1" thickTop="1" thickBot="1">
      <c r="A104" s="830" t="s">
        <v>2984</v>
      </c>
      <c r="B104" s="831"/>
      <c r="C104" s="12"/>
      <c r="D104" s="169"/>
      <c r="E104" s="177"/>
      <c r="F104" s="12"/>
      <c r="G104" s="228"/>
      <c r="H104" s="20"/>
      <c r="I104" s="20"/>
      <c r="J104" s="20"/>
      <c r="K104" s="20"/>
      <c r="L104" s="20"/>
      <c r="M104" s="20"/>
      <c r="N104" s="20"/>
      <c r="O104" s="20"/>
      <c r="P104" s="20"/>
      <c r="Q104" s="20"/>
      <c r="R104" s="20"/>
      <c r="S104" s="20"/>
      <c r="X104" s="830" t="s">
        <v>2984</v>
      </c>
      <c r="Y104" s="831"/>
      <c r="Z104" s="12"/>
      <c r="AA104" s="169"/>
      <c r="AB104" s="177"/>
    </row>
    <row r="105" spans="1:34" ht="15.75" hidden="1" thickTop="1">
      <c r="A105" s="2931"/>
      <c r="B105" s="2406" t="s">
        <v>2985</v>
      </c>
      <c r="C105" s="2407"/>
      <c r="D105" s="2408"/>
      <c r="E105" s="2409"/>
      <c r="F105" s="2407"/>
      <c r="G105" s="2932"/>
      <c r="H105" s="2939"/>
      <c r="I105" s="2939"/>
      <c r="J105" s="2939"/>
      <c r="K105" s="2939"/>
      <c r="L105" s="2939"/>
      <c r="M105" s="2939"/>
      <c r="N105" s="2939"/>
      <c r="O105" s="2939"/>
      <c r="P105" s="2939"/>
      <c r="Q105" s="2939"/>
      <c r="R105" s="2939"/>
      <c r="S105" s="2939"/>
      <c r="X105" s="2931"/>
      <c r="Y105" s="2406" t="s">
        <v>2985</v>
      </c>
      <c r="Z105" s="2407"/>
      <c r="AA105" s="2408"/>
      <c r="AB105" s="2409"/>
    </row>
    <row r="106" spans="1:34" hidden="1">
      <c r="A106" s="2931"/>
      <c r="B106" s="2406" t="s">
        <v>2986</v>
      </c>
      <c r="C106" s="2407"/>
      <c r="D106" s="2408"/>
      <c r="E106" s="2409"/>
      <c r="F106" s="2407"/>
      <c r="G106" s="2932"/>
      <c r="H106" s="2939"/>
      <c r="I106" s="2939"/>
      <c r="J106" s="2939"/>
      <c r="K106" s="2939"/>
      <c r="L106" s="2939"/>
      <c r="M106" s="2939"/>
      <c r="N106" s="2939"/>
      <c r="O106" s="2939"/>
      <c r="P106" s="2939"/>
      <c r="Q106" s="2939"/>
      <c r="R106" s="2939"/>
      <c r="S106" s="2939"/>
      <c r="X106" s="2931"/>
      <c r="Y106" s="2406" t="s">
        <v>2986</v>
      </c>
      <c r="Z106" s="2407"/>
      <c r="AA106" s="2408"/>
      <c r="AB106" s="2409"/>
    </row>
    <row r="107" spans="1:34" hidden="1">
      <c r="A107" s="2931"/>
      <c r="B107" s="2406" t="s">
        <v>2987</v>
      </c>
      <c r="C107" s="2407"/>
      <c r="D107" s="2408"/>
      <c r="E107" s="2409"/>
      <c r="F107" s="2407"/>
      <c r="G107" s="2932"/>
      <c r="H107" s="2939"/>
      <c r="I107" s="2939"/>
      <c r="J107" s="2939"/>
      <c r="K107" s="2939"/>
      <c r="L107" s="2939"/>
      <c r="M107" s="2939"/>
      <c r="N107" s="2939"/>
      <c r="O107" s="2939"/>
      <c r="P107" s="2939"/>
      <c r="Q107" s="2939"/>
      <c r="R107" s="2939"/>
      <c r="S107" s="2939"/>
      <c r="X107" s="2931"/>
      <c r="Y107" s="2406" t="s">
        <v>2987</v>
      </c>
      <c r="Z107" s="2407"/>
      <c r="AA107" s="2408"/>
      <c r="AB107" s="2409"/>
    </row>
    <row r="108" spans="1:34" hidden="1">
      <c r="A108" s="2931"/>
      <c r="B108" s="2406" t="s">
        <v>2988</v>
      </c>
      <c r="C108" s="2407"/>
      <c r="D108" s="2408"/>
      <c r="E108" s="2409"/>
      <c r="F108" s="2407"/>
      <c r="G108" s="2932"/>
      <c r="H108" s="2939"/>
      <c r="I108" s="2939"/>
      <c r="J108" s="2939"/>
      <c r="K108" s="2939"/>
      <c r="L108" s="2939"/>
      <c r="M108" s="2939"/>
      <c r="N108" s="2939"/>
      <c r="O108" s="2939"/>
      <c r="P108" s="2939"/>
      <c r="Q108" s="2939"/>
      <c r="R108" s="2939"/>
      <c r="S108" s="2939"/>
      <c r="X108" s="2931"/>
      <c r="Y108" s="2406" t="s">
        <v>2988</v>
      </c>
      <c r="Z108" s="2407"/>
      <c r="AA108" s="2408"/>
      <c r="AB108" s="2409"/>
    </row>
    <row r="109" spans="1:34" ht="15.75" hidden="1" thickBot="1">
      <c r="A109" s="646"/>
      <c r="B109" s="619"/>
      <c r="C109" s="616"/>
      <c r="D109" s="621"/>
      <c r="E109" s="622"/>
      <c r="F109" s="616"/>
      <c r="G109" s="620"/>
      <c r="H109" s="647"/>
      <c r="I109" s="647"/>
      <c r="J109" s="647"/>
      <c r="K109" s="647"/>
      <c r="L109" s="647"/>
      <c r="M109" s="647"/>
      <c r="N109" s="647"/>
      <c r="O109" s="647"/>
      <c r="P109" s="647"/>
      <c r="Q109" s="647"/>
      <c r="R109" s="647"/>
      <c r="S109" s="647"/>
      <c r="X109" s="646"/>
      <c r="Y109" s="619"/>
      <c r="Z109" s="616"/>
      <c r="AA109" s="621"/>
      <c r="AB109" s="622"/>
    </row>
    <row r="110" spans="1:34" ht="16.5" hidden="1" thickTop="1" thickBot="1">
      <c r="A110" s="7" t="s">
        <v>2989</v>
      </c>
      <c r="B110" s="8"/>
      <c r="C110" s="12"/>
      <c r="D110" s="169"/>
      <c r="E110" s="177"/>
      <c r="F110" s="12"/>
      <c r="G110" s="228"/>
      <c r="H110" s="20"/>
      <c r="I110" s="20"/>
      <c r="J110" s="20"/>
      <c r="K110" s="20"/>
      <c r="L110" s="20"/>
      <c r="M110" s="20"/>
      <c r="N110" s="20"/>
      <c r="O110" s="20"/>
      <c r="P110" s="20"/>
      <c r="Q110" s="20"/>
      <c r="R110" s="20"/>
      <c r="S110" s="20"/>
      <c r="X110" s="7" t="s">
        <v>2989</v>
      </c>
      <c r="Y110" s="8"/>
      <c r="Z110" s="12"/>
      <c r="AA110" s="169"/>
      <c r="AB110" s="177"/>
    </row>
    <row r="111" spans="1:34" ht="15.75" hidden="1" thickTop="1">
      <c r="A111" s="2925"/>
      <c r="B111" s="2881" t="s">
        <v>2990</v>
      </c>
      <c r="C111" s="2926"/>
      <c r="D111" s="2927"/>
      <c r="E111" s="2928"/>
      <c r="F111" s="2926"/>
      <c r="G111" s="2929"/>
      <c r="H111" s="2940"/>
      <c r="I111" s="2940"/>
      <c r="J111" s="2940"/>
      <c r="K111" s="2940"/>
      <c r="L111" s="2940"/>
      <c r="M111" s="2940"/>
      <c r="N111" s="2940"/>
      <c r="O111" s="2940"/>
      <c r="P111" s="2940"/>
      <c r="Q111" s="2940"/>
      <c r="R111" s="2940"/>
      <c r="S111" s="2940"/>
      <c r="X111" s="2925"/>
      <c r="Y111" s="2881" t="s">
        <v>2990</v>
      </c>
      <c r="Z111" s="2926"/>
      <c r="AA111" s="2927"/>
      <c r="AB111" s="2928"/>
    </row>
    <row r="112" spans="1:34" hidden="1">
      <c r="A112" s="2931"/>
      <c r="B112" s="2406" t="s">
        <v>2991</v>
      </c>
      <c r="C112" s="2407"/>
      <c r="D112" s="2408"/>
      <c r="E112" s="2409"/>
      <c r="F112" s="2407"/>
      <c r="G112" s="2932"/>
      <c r="H112" s="2941"/>
      <c r="I112" s="2941"/>
      <c r="J112" s="2941"/>
      <c r="K112" s="2941"/>
      <c r="L112" s="2941"/>
      <c r="M112" s="2941"/>
      <c r="N112" s="2941"/>
      <c r="O112" s="2941"/>
      <c r="P112" s="2941"/>
      <c r="Q112" s="2941"/>
      <c r="R112" s="2941"/>
      <c r="S112" s="2941"/>
      <c r="X112" s="2931"/>
      <c r="Y112" s="2406" t="s">
        <v>2991</v>
      </c>
      <c r="Z112" s="2407"/>
      <c r="AA112" s="2408"/>
      <c r="AB112" s="2409"/>
    </row>
    <row r="113" spans="1:28" ht="15.75" hidden="1" thickBot="1">
      <c r="A113" s="2256"/>
      <c r="B113" s="2787" t="s">
        <v>2992</v>
      </c>
      <c r="C113" s="2788"/>
      <c r="D113" s="2257"/>
      <c r="E113" s="2258"/>
      <c r="F113" s="2788"/>
      <c r="G113" s="2259"/>
      <c r="H113" s="2260"/>
      <c r="I113" s="2260"/>
      <c r="J113" s="2260"/>
      <c r="K113" s="2260"/>
      <c r="L113" s="2260"/>
      <c r="M113" s="2260"/>
      <c r="N113" s="2260"/>
      <c r="O113" s="2260"/>
      <c r="P113" s="2260"/>
      <c r="Q113" s="2260"/>
      <c r="R113" s="2260"/>
      <c r="S113" s="2260"/>
      <c r="X113" s="2256"/>
      <c r="Y113" s="2787" t="s">
        <v>2992</v>
      </c>
      <c r="Z113" s="2788"/>
      <c r="AA113" s="2257"/>
      <c r="AB113" s="2258"/>
    </row>
    <row r="114" spans="1:28" ht="15.75" thickBot="1"/>
    <row r="115" spans="1:28" ht="16.5" thickTop="1" thickBot="1">
      <c r="A115" s="59" t="s">
        <v>2993</v>
      </c>
      <c r="B115" s="61"/>
      <c r="X115" s="59" t="s">
        <v>2993</v>
      </c>
      <c r="Y115" s="61"/>
    </row>
    <row r="116" spans="1:28" ht="15.75" thickTop="1">
      <c r="A116" s="60" t="s">
        <v>2936</v>
      </c>
      <c r="B116" s="2942"/>
      <c r="X116" s="60" t="s">
        <v>2936</v>
      </c>
      <c r="Y116" s="2942"/>
    </row>
    <row r="117" spans="1:28">
      <c r="A117" s="2943" t="s">
        <v>2939</v>
      </c>
      <c r="B117" s="2942"/>
      <c r="X117" s="2943" t="s">
        <v>2939</v>
      </c>
      <c r="Y117" s="2942"/>
    </row>
    <row r="118" spans="1:28">
      <c r="A118" s="2944" t="s">
        <v>2941</v>
      </c>
      <c r="B118" s="2945"/>
      <c r="X118" s="2944" t="s">
        <v>2941</v>
      </c>
      <c r="Y118" s="2945"/>
    </row>
    <row r="119" spans="1:28">
      <c r="A119" s="2944" t="s">
        <v>2943</v>
      </c>
      <c r="B119" s="2946"/>
      <c r="X119" s="2944" t="s">
        <v>2943</v>
      </c>
      <c r="Y119" s="2946"/>
    </row>
    <row r="120" spans="1:28" ht="15.75" thickBot="1">
      <c r="A120" s="2267" t="s">
        <v>2994</v>
      </c>
      <c r="B120" s="2268">
        <f>$I$85</f>
        <v>114536</v>
      </c>
      <c r="X120" s="2267" t="s">
        <v>2994</v>
      </c>
      <c r="Y120" s="2268">
        <f>$I$85</f>
        <v>114536</v>
      </c>
    </row>
    <row r="121" spans="1:28" ht="15.75" thickTop="1"/>
    <row r="122" spans="1:28">
      <c r="A122" s="62"/>
      <c r="B122" s="1" t="s">
        <v>2995</v>
      </c>
      <c r="X122" s="62"/>
      <c r="Y122" s="1" t="s">
        <v>2995</v>
      </c>
    </row>
    <row r="123" spans="1:28">
      <c r="A123" s="63"/>
      <c r="B123" s="1" t="s">
        <v>2996</v>
      </c>
      <c r="X123" s="63"/>
      <c r="Y123" s="1" t="s">
        <v>2996</v>
      </c>
    </row>
  </sheetData>
  <mergeCells count="40">
    <mergeCell ref="X88:Y88"/>
    <mergeCell ref="X92:Y92"/>
    <mergeCell ref="X96:Y96"/>
    <mergeCell ref="X100:Y100"/>
    <mergeCell ref="X104:Y104"/>
    <mergeCell ref="R5:S5"/>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 ref="A88:B88"/>
    <mergeCell ref="A92:B92"/>
    <mergeCell ref="A96:B96"/>
    <mergeCell ref="A100:B100"/>
    <mergeCell ref="A104:B104"/>
  </mergeCells>
  <conditionalFormatting sqref="H11:H18 J11:J18 L11:L18 N11:N18 P11:P18 R11:R18 H20:H80 J20:J80 L20:L80 N20:N80 P20:P80 R20:R80">
    <cfRule type="cellIs" dxfId="97" priority="3" operator="equal">
      <formula>"X"</formula>
    </cfRule>
    <cfRule type="cellIs" dxfId="96" priority="4" operator="equal">
      <formula>"I"</formula>
    </cfRule>
  </conditionalFormatting>
  <hyperlinks>
    <hyperlink ref="B4" location="'Cost Summary'!A1" display="BACK TO SUMMARY SHEET" xr:uid="{A84F7856-C868-4277-8632-1F3CC1589EDB}"/>
    <hyperlink ref="Y4" location="'Cost Summary'!A1" display="BACK TO SUMMARY SHEET" xr:uid="{AB234D5D-A135-4E1C-BA3E-6DF64D21726D}"/>
  </hyperlinks>
  <pageMargins left="0.2" right="0.2" top="0.5" bottom="0.75" header="0.3" footer="0.3"/>
  <pageSetup scale="99" fitToHeight="0"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7BA0-B48B-4607-8D07-53138D81A2D4}">
  <sheetPr>
    <tabColor rgb="FF00B050"/>
    <pageSetUpPr fitToPage="1"/>
  </sheetPr>
  <dimension ref="A1:AH137"/>
  <sheetViews>
    <sheetView zoomScale="90" zoomScaleNormal="90" workbookViewId="0">
      <pane ySplit="10" topLeftCell="A49" activePane="bottomLeft" state="frozen"/>
      <selection pane="bottomLeft" activeCell="H5" sqref="H5:I8"/>
      <selection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36" customWidth="1"/>
    <col min="10" max="10" width="7.42578125" style="2" bestFit="1" customWidth="1"/>
    <col min="11" max="11" width="14.85546875" style="236"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4879</v>
      </c>
      <c r="I5" s="838"/>
      <c r="J5" s="837" t="s">
        <v>6141</v>
      </c>
      <c r="K5" s="838"/>
      <c r="L5" s="841"/>
      <c r="M5" s="842"/>
      <c r="N5" s="841"/>
      <c r="O5" s="842"/>
      <c r="P5" s="841"/>
      <c r="Q5" s="842"/>
      <c r="R5" s="841"/>
      <c r="S5" s="842"/>
    </row>
    <row r="6" spans="1:19">
      <c r="A6" s="2947" t="s">
        <v>2938</v>
      </c>
      <c r="B6" s="2948" t="s">
        <v>2592</v>
      </c>
      <c r="C6" s="2949"/>
      <c r="D6" s="2950"/>
      <c r="E6" s="2951"/>
      <c r="F6" s="2949"/>
      <c r="G6" s="657" t="s">
        <v>2939</v>
      </c>
      <c r="H6" s="2952" t="s">
        <v>4881</v>
      </c>
      <c r="I6" s="839"/>
      <c r="J6" s="2952" t="s">
        <v>6142</v>
      </c>
      <c r="K6" s="839"/>
      <c r="L6" s="2953"/>
      <c r="M6" s="843"/>
      <c r="N6" s="2953"/>
      <c r="O6" s="843"/>
      <c r="P6" s="2953"/>
      <c r="Q6" s="843"/>
      <c r="R6" s="2953"/>
      <c r="S6" s="843"/>
    </row>
    <row r="7" spans="1:19">
      <c r="A7" s="2947" t="s">
        <v>2940</v>
      </c>
      <c r="B7" s="2954" t="s">
        <v>2662</v>
      </c>
      <c r="C7" s="2949"/>
      <c r="D7" s="2950"/>
      <c r="E7" s="2951"/>
      <c r="F7" s="2949"/>
      <c r="G7" s="2955" t="s">
        <v>2941</v>
      </c>
      <c r="H7" s="2956" t="s">
        <v>4883</v>
      </c>
      <c r="I7" s="840"/>
      <c r="J7" s="2956" t="s">
        <v>6143</v>
      </c>
      <c r="K7" s="840"/>
      <c r="L7" s="2957"/>
      <c r="M7" s="844"/>
      <c r="N7" s="2957"/>
      <c r="O7" s="844"/>
      <c r="P7" s="2957"/>
      <c r="Q7" s="844"/>
      <c r="R7" s="2957"/>
      <c r="S7" s="844"/>
    </row>
    <row r="8" spans="1:19">
      <c r="A8" s="2947" t="s">
        <v>2942</v>
      </c>
      <c r="B8" s="2958"/>
      <c r="C8" s="2949"/>
      <c r="D8" s="2950"/>
      <c r="E8" s="2951"/>
      <c r="F8" s="2949"/>
      <c r="G8" s="2955" t="s">
        <v>2943</v>
      </c>
      <c r="H8" s="2959" t="s">
        <v>4885</v>
      </c>
      <c r="I8" s="836"/>
      <c r="J8" s="2959" t="s">
        <v>6144</v>
      </c>
      <c r="K8" s="836"/>
      <c r="L8" s="2960"/>
      <c r="M8" s="845"/>
      <c r="N8" s="2960"/>
      <c r="O8" s="845"/>
      <c r="P8" s="2960"/>
      <c r="Q8" s="845"/>
      <c r="R8" s="2960"/>
      <c r="S8" s="845"/>
    </row>
    <row r="9" spans="1:19" ht="15.75" thickBot="1">
      <c r="A9" s="2336"/>
      <c r="B9" s="2284"/>
      <c r="C9" s="616"/>
      <c r="D9" s="621"/>
      <c r="E9" s="622"/>
      <c r="F9" s="2285"/>
      <c r="G9" s="2286" t="s">
        <v>2944</v>
      </c>
      <c r="H9" s="2289">
        <f>I$99</f>
        <v>461368.81999999995</v>
      </c>
      <c r="I9" s="2290"/>
      <c r="J9" s="2287">
        <f t="shared" ref="J9" si="0">K$99</f>
        <v>516216.3</v>
      </c>
      <c r="K9" s="2288"/>
      <c r="L9" s="2287">
        <f t="shared" ref="L9" si="1">M$99</f>
        <v>34500</v>
      </c>
      <c r="M9" s="2288"/>
      <c r="N9" s="2287">
        <f t="shared" ref="N9" si="2">O$99</f>
        <v>34500</v>
      </c>
      <c r="O9" s="2288"/>
      <c r="P9" s="2287">
        <f t="shared" ref="P9" si="3">Q$99</f>
        <v>34500</v>
      </c>
      <c r="Q9" s="2288"/>
      <c r="R9" s="2287">
        <f t="shared" ref="R9" si="4">S$99</f>
        <v>34500</v>
      </c>
      <c r="S9" s="2288"/>
    </row>
    <row r="10" spans="1:19" s="175" customFormat="1" ht="31.5" thickTop="1" thickBot="1">
      <c r="A10" s="160" t="s">
        <v>2945</v>
      </c>
      <c r="B10" s="172"/>
      <c r="C10" s="173" t="s">
        <v>2946</v>
      </c>
      <c r="D10" s="167" t="s">
        <v>2947</v>
      </c>
      <c r="E10" s="173" t="s">
        <v>2948</v>
      </c>
      <c r="F10" s="173" t="s">
        <v>2949</v>
      </c>
      <c r="G10" s="174" t="s">
        <v>2950</v>
      </c>
      <c r="H10" s="161" t="s">
        <v>2951</v>
      </c>
      <c r="I10" s="552" t="s">
        <v>2952</v>
      </c>
      <c r="J10" s="161" t="s">
        <v>2951</v>
      </c>
      <c r="K10" s="552" t="s">
        <v>2952</v>
      </c>
      <c r="L10" s="161" t="s">
        <v>2951</v>
      </c>
      <c r="M10" s="161" t="s">
        <v>2952</v>
      </c>
      <c r="N10" s="161" t="s">
        <v>2951</v>
      </c>
      <c r="O10" s="161" t="s">
        <v>2952</v>
      </c>
      <c r="P10" s="161" t="s">
        <v>2951</v>
      </c>
      <c r="Q10" s="161" t="s">
        <v>2952</v>
      </c>
      <c r="R10" s="161" t="s">
        <v>2951</v>
      </c>
      <c r="S10" s="161" t="s">
        <v>2952</v>
      </c>
    </row>
    <row r="11" spans="1:19" ht="16.5" thickTop="1" thickBot="1">
      <c r="A11" s="2961"/>
      <c r="B11" s="2889" t="s">
        <v>2953</v>
      </c>
      <c r="C11" s="659"/>
      <c r="D11" s="2950"/>
      <c r="E11" s="2951"/>
      <c r="F11" s="2949"/>
      <c r="G11" s="660"/>
      <c r="H11" s="2962"/>
      <c r="I11" s="2350"/>
      <c r="J11" s="2962"/>
      <c r="K11" s="554"/>
      <c r="L11" s="2962"/>
      <c r="M11" s="2339"/>
      <c r="N11" s="2962"/>
      <c r="O11" s="2339"/>
      <c r="P11" s="2962"/>
      <c r="Q11" s="2339"/>
      <c r="R11" s="2962"/>
      <c r="S11" s="2339"/>
    </row>
    <row r="12" spans="1:19">
      <c r="A12" s="2886"/>
      <c r="B12" s="2963" t="s">
        <v>2954</v>
      </c>
      <c r="C12" s="2949"/>
      <c r="D12" s="2950"/>
      <c r="E12" s="2951"/>
      <c r="F12" s="2949"/>
      <c r="G12" s="660"/>
      <c r="H12" s="2962"/>
      <c r="I12" s="2350"/>
      <c r="J12" s="2962"/>
      <c r="K12" s="2349"/>
      <c r="L12" s="2962"/>
      <c r="M12" s="2339"/>
      <c r="N12" s="2962"/>
      <c r="O12" s="2339"/>
      <c r="P12" s="2962"/>
      <c r="Q12" s="2339"/>
      <c r="R12" s="2962"/>
      <c r="S12" s="2339"/>
    </row>
    <row r="13" spans="1:19">
      <c r="A13" s="2964"/>
      <c r="B13" s="2965" t="s">
        <v>2955</v>
      </c>
      <c r="C13" s="2949"/>
      <c r="D13" s="2950"/>
      <c r="E13" s="2951"/>
      <c r="F13" s="2949"/>
      <c r="G13" s="660"/>
      <c r="H13" s="2962"/>
      <c r="I13" s="2350"/>
      <c r="J13" s="2962"/>
      <c r="K13" s="2349"/>
      <c r="L13" s="2962"/>
      <c r="M13" s="2339"/>
      <c r="N13" s="2962"/>
      <c r="O13" s="2339"/>
      <c r="P13" s="2962"/>
      <c r="Q13" s="2339"/>
      <c r="R13" s="2962"/>
      <c r="S13" s="2339"/>
    </row>
    <row r="14" spans="1:19">
      <c r="A14" s="2964"/>
      <c r="B14" s="2966" t="s">
        <v>2956</v>
      </c>
      <c r="C14" s="2949"/>
      <c r="D14" s="2950"/>
      <c r="E14" s="2951"/>
      <c r="F14" s="2949"/>
      <c r="G14" s="660"/>
      <c r="H14" s="2962"/>
      <c r="I14" s="2350"/>
      <c r="J14" s="2962"/>
      <c r="K14" s="2349"/>
      <c r="L14" s="2962"/>
      <c r="M14" s="2339"/>
      <c r="N14" s="2962"/>
      <c r="O14" s="2339"/>
      <c r="P14" s="2962"/>
      <c r="Q14" s="2339"/>
      <c r="R14" s="2962"/>
      <c r="S14" s="2339"/>
    </row>
    <row r="15" spans="1:19">
      <c r="A15" s="2964"/>
      <c r="B15" s="2966" t="s">
        <v>2957</v>
      </c>
      <c r="C15" s="2949"/>
      <c r="D15" s="2950"/>
      <c r="E15" s="2951"/>
      <c r="F15" s="2949"/>
      <c r="G15" s="660"/>
      <c r="H15" s="2962"/>
      <c r="I15" s="2350"/>
      <c r="J15" s="2962"/>
      <c r="K15" s="2350"/>
      <c r="L15" s="2962"/>
      <c r="M15" s="2338"/>
      <c r="N15" s="2962"/>
      <c r="O15" s="2338"/>
      <c r="P15" s="2962"/>
      <c r="Q15" s="2338"/>
      <c r="R15" s="2962"/>
      <c r="S15" s="2338"/>
    </row>
    <row r="16" spans="1:19">
      <c r="A16" s="2964"/>
      <c r="B16" s="2966" t="s">
        <v>2958</v>
      </c>
      <c r="C16" s="2949"/>
      <c r="D16" s="2950"/>
      <c r="E16" s="2951"/>
      <c r="F16" s="2949"/>
      <c r="G16" s="660"/>
      <c r="H16" s="2962"/>
      <c r="I16" s="2350"/>
      <c r="J16" s="2962"/>
      <c r="K16" s="2349"/>
      <c r="L16" s="2962"/>
      <c r="M16" s="2339"/>
      <c r="N16" s="2962"/>
      <c r="O16" s="2339"/>
      <c r="P16" s="2962"/>
      <c r="Q16" s="2339"/>
      <c r="R16" s="2962"/>
      <c r="S16" s="2339"/>
    </row>
    <row r="17" spans="1:19">
      <c r="A17" s="2964"/>
      <c r="B17" s="2966" t="s">
        <v>2959</v>
      </c>
      <c r="C17" s="2949"/>
      <c r="D17" s="2950"/>
      <c r="E17" s="2951"/>
      <c r="F17" s="2949"/>
      <c r="G17" s="660"/>
      <c r="H17" s="2962"/>
      <c r="I17" s="2350"/>
      <c r="J17" s="2962"/>
      <c r="K17" s="2349"/>
      <c r="L17" s="2962"/>
      <c r="M17" s="2339"/>
      <c r="N17" s="2962"/>
      <c r="O17" s="2339"/>
      <c r="P17" s="2962"/>
      <c r="Q17" s="2339"/>
      <c r="R17" s="2962"/>
      <c r="S17" s="2339"/>
    </row>
    <row r="18" spans="1:19">
      <c r="A18" s="2964"/>
      <c r="B18" s="2967" t="s">
        <v>2960</v>
      </c>
      <c r="C18" s="2949"/>
      <c r="D18" s="2950"/>
      <c r="E18" s="2951"/>
      <c r="F18" s="2949"/>
      <c r="G18" s="660"/>
      <c r="H18" s="2962"/>
      <c r="I18" s="2350"/>
      <c r="J18" s="2962"/>
      <c r="K18" s="2349"/>
      <c r="L18" s="2962"/>
      <c r="M18" s="2339"/>
      <c r="N18" s="2962"/>
      <c r="O18" s="2339"/>
      <c r="P18" s="2962"/>
      <c r="Q18" s="2339"/>
      <c r="R18" s="2962"/>
      <c r="S18" s="2339"/>
    </row>
    <row r="19" spans="1:19">
      <c r="A19" s="2964"/>
      <c r="B19" s="2968" t="s">
        <v>2961</v>
      </c>
      <c r="C19" s="2969"/>
      <c r="D19" s="2970"/>
      <c r="E19" s="2971"/>
      <c r="F19" s="2972"/>
      <c r="G19" s="661"/>
      <c r="H19" s="2973"/>
      <c r="I19" s="2347"/>
      <c r="J19" s="2973"/>
      <c r="K19" s="2346"/>
      <c r="L19" s="2973"/>
      <c r="M19" s="2346"/>
      <c r="N19" s="2973"/>
      <c r="O19" s="2346"/>
      <c r="P19" s="2973"/>
      <c r="Q19" s="2346"/>
      <c r="R19" s="2973"/>
      <c r="S19" s="2346"/>
    </row>
    <row r="20" spans="1:19">
      <c r="A20" s="2964"/>
      <c r="B20" s="2974"/>
      <c r="C20" s="2949"/>
      <c r="D20" s="2950"/>
      <c r="E20" s="2951"/>
      <c r="F20" s="2975"/>
      <c r="G20" s="660"/>
      <c r="H20" s="2962"/>
      <c r="I20" s="2349"/>
      <c r="J20" s="2962"/>
      <c r="K20" s="2350"/>
      <c r="L20" s="2962"/>
      <c r="M20" s="2349"/>
      <c r="N20" s="2962"/>
      <c r="O20" s="2349"/>
      <c r="P20" s="2962"/>
      <c r="Q20" s="2349"/>
      <c r="R20" s="2962"/>
      <c r="S20" s="2349"/>
    </row>
    <row r="21" spans="1:19">
      <c r="A21" s="2964"/>
      <c r="B21" s="2974" t="s">
        <v>6145</v>
      </c>
      <c r="C21" s="2949"/>
      <c r="D21" s="2950"/>
      <c r="E21" s="2951"/>
      <c r="F21" s="2975"/>
      <c r="G21" s="662"/>
      <c r="H21" s="2962"/>
      <c r="I21" s="2350"/>
      <c r="J21" s="2962"/>
      <c r="K21" s="2350"/>
      <c r="L21" s="2962"/>
      <c r="M21" s="2349"/>
      <c r="N21" s="2962"/>
      <c r="O21" s="2349"/>
      <c r="P21" s="2962"/>
      <c r="Q21" s="2349"/>
      <c r="R21" s="2962"/>
      <c r="S21" s="2349"/>
    </row>
    <row r="22" spans="1:19" ht="60">
      <c r="A22" s="2964"/>
      <c r="B22" s="2976" t="s">
        <v>6146</v>
      </c>
      <c r="C22" s="2949"/>
      <c r="D22" s="2950"/>
      <c r="E22" s="2951"/>
      <c r="F22" s="2975"/>
      <c r="G22" s="662"/>
      <c r="H22" s="2962"/>
      <c r="I22" s="2350"/>
      <c r="J22" s="2962"/>
      <c r="K22" s="2350"/>
      <c r="L22" s="2962"/>
      <c r="M22" s="2349"/>
      <c r="N22" s="2962"/>
      <c r="O22" s="2349"/>
      <c r="P22" s="2962"/>
      <c r="Q22" s="2349"/>
      <c r="R22" s="2962"/>
      <c r="S22" s="2349"/>
    </row>
    <row r="23" spans="1:19">
      <c r="A23" s="2964"/>
      <c r="B23" s="2977" t="s">
        <v>6147</v>
      </c>
      <c r="C23" s="2949"/>
      <c r="D23" s="2950"/>
      <c r="E23" s="2951"/>
      <c r="F23" s="2975"/>
      <c r="G23" s="662"/>
      <c r="H23" s="2962"/>
      <c r="I23" s="2350"/>
      <c r="J23" s="2962"/>
      <c r="K23" s="2350"/>
      <c r="L23" s="2962"/>
      <c r="M23" s="2349"/>
      <c r="N23" s="2962"/>
      <c r="O23" s="2349"/>
      <c r="P23" s="2962"/>
      <c r="Q23" s="2349"/>
      <c r="R23" s="2962"/>
      <c r="S23" s="2349"/>
    </row>
    <row r="24" spans="1:19" ht="60">
      <c r="A24" s="2964"/>
      <c r="B24" s="2976" t="s">
        <v>6148</v>
      </c>
      <c r="C24" s="2949"/>
      <c r="D24" s="2950"/>
      <c r="E24" s="2951"/>
      <c r="F24" s="2975"/>
      <c r="G24" s="662"/>
      <c r="H24" s="2962"/>
      <c r="I24" s="2350"/>
      <c r="J24" s="2962"/>
      <c r="K24" s="2350"/>
      <c r="L24" s="2962"/>
      <c r="M24" s="2349"/>
      <c r="N24" s="2962"/>
      <c r="O24" s="2349"/>
      <c r="P24" s="2962"/>
      <c r="Q24" s="2349"/>
      <c r="R24" s="2962"/>
      <c r="S24" s="2349"/>
    </row>
    <row r="25" spans="1:19">
      <c r="A25" s="2964"/>
      <c r="B25" s="2978"/>
      <c r="C25" s="2949"/>
      <c r="D25" s="2950"/>
      <c r="E25" s="2951"/>
      <c r="F25" s="2975"/>
      <c r="G25" s="662"/>
      <c r="H25" s="2962"/>
      <c r="I25" s="2350"/>
      <c r="J25" s="2962"/>
      <c r="K25" s="2350"/>
      <c r="L25" s="2962"/>
      <c r="M25" s="2349"/>
      <c r="N25" s="2962"/>
      <c r="O25" s="2349"/>
      <c r="P25" s="2962"/>
      <c r="Q25" s="2349"/>
      <c r="R25" s="2962"/>
      <c r="S25" s="2349"/>
    </row>
    <row r="26" spans="1:19">
      <c r="A26" s="2964"/>
      <c r="B26" s="2979" t="s">
        <v>2695</v>
      </c>
      <c r="C26" s="2949"/>
      <c r="D26" s="2950"/>
      <c r="E26" s="2951"/>
      <c r="F26" s="2975"/>
      <c r="G26" s="662">
        <f t="shared" ref="G26" si="5">ROUND(D26*F26,0)</f>
        <v>0</v>
      </c>
      <c r="H26" s="2962"/>
      <c r="I26" s="2352">
        <f>SUBTOTAL(9,I27:I87)</f>
        <v>451948.81999999995</v>
      </c>
      <c r="J26" s="2962"/>
      <c r="K26" s="2352">
        <f>SUBTOTAL(9,K27:K87)</f>
        <v>506796.3</v>
      </c>
      <c r="L26" s="2962"/>
      <c r="M26" s="2352">
        <f>SUBTOTAL(9,M27:M87)</f>
        <v>34500</v>
      </c>
      <c r="N26" s="2962"/>
      <c r="O26" s="2352">
        <f>SUBTOTAL(9,O27:O87)</f>
        <v>34500</v>
      </c>
      <c r="P26" s="2962"/>
      <c r="Q26" s="2352">
        <f>SUBTOTAL(9,Q27:Q87)</f>
        <v>34500</v>
      </c>
      <c r="R26" s="2962"/>
      <c r="S26" s="2352">
        <f>SUBTOTAL(9,S27:S87)</f>
        <v>34500</v>
      </c>
    </row>
    <row r="27" spans="1:19">
      <c r="A27" s="2964"/>
      <c r="B27" s="2974" t="s">
        <v>6145</v>
      </c>
      <c r="C27" s="2949"/>
      <c r="D27" s="2950"/>
      <c r="E27" s="2951"/>
      <c r="F27" s="2975"/>
      <c r="G27" s="662"/>
      <c r="H27" s="2962"/>
      <c r="I27" s="2350">
        <v>297282</v>
      </c>
      <c r="J27" s="2962"/>
      <c r="K27" s="2350">
        <v>399605</v>
      </c>
      <c r="L27" s="2962"/>
      <c r="M27" s="2349"/>
      <c r="N27" s="2962"/>
      <c r="O27" s="2349"/>
      <c r="P27" s="2962"/>
      <c r="Q27" s="2349"/>
      <c r="R27" s="2962"/>
      <c r="S27" s="2349"/>
    </row>
    <row r="28" spans="1:19">
      <c r="A28" s="2294"/>
      <c r="B28" s="2974" t="s">
        <v>3029</v>
      </c>
      <c r="C28" s="2949"/>
      <c r="D28" s="2950"/>
      <c r="E28" s="2951"/>
      <c r="F28" s="2975"/>
      <c r="G28" s="662">
        <f t="shared" ref="G28:G93" si="6">ROUND(D28*F28,0)</f>
        <v>0</v>
      </c>
      <c r="H28" s="2962"/>
      <c r="I28" s="2350"/>
      <c r="J28" s="2962"/>
      <c r="K28" s="2350"/>
      <c r="L28" s="2962"/>
      <c r="M28" s="2349"/>
      <c r="N28" s="2962"/>
      <c r="O28" s="2349"/>
      <c r="P28" s="2962"/>
      <c r="Q28" s="2349"/>
      <c r="R28" s="2962"/>
      <c r="S28" s="2349"/>
    </row>
    <row r="29" spans="1:19">
      <c r="A29" s="2294">
        <v>34</v>
      </c>
      <c r="B29" s="2978" t="s">
        <v>6149</v>
      </c>
      <c r="C29" s="2949" t="s">
        <v>241</v>
      </c>
      <c r="D29" s="2950">
        <f>A29*14.5</f>
        <v>493</v>
      </c>
      <c r="E29" s="2951" t="s">
        <v>2845</v>
      </c>
      <c r="F29" s="2975"/>
      <c r="G29" s="662">
        <f t="shared" si="6"/>
        <v>0</v>
      </c>
      <c r="H29" s="2962"/>
      <c r="I29" s="2350"/>
      <c r="J29" s="2962"/>
      <c r="K29" s="2350"/>
      <c r="L29" s="2962"/>
      <c r="M29" s="2349"/>
      <c r="N29" s="2962"/>
      <c r="O29" s="2349"/>
      <c r="P29" s="2962"/>
      <c r="Q29" s="2349"/>
      <c r="R29" s="2962"/>
      <c r="S29" s="2349"/>
    </row>
    <row r="30" spans="1:19">
      <c r="A30" s="2294">
        <f>235-A31</f>
        <v>211</v>
      </c>
      <c r="B30" s="2978" t="s">
        <v>6150</v>
      </c>
      <c r="C30" s="2949" t="s">
        <v>853</v>
      </c>
      <c r="D30" s="2950">
        <f>A30*14.17</f>
        <v>2989.87</v>
      </c>
      <c r="E30" s="2951" t="s">
        <v>2845</v>
      </c>
      <c r="F30" s="2975"/>
      <c r="G30" s="662">
        <f t="shared" si="6"/>
        <v>0</v>
      </c>
      <c r="H30" s="2962"/>
      <c r="I30" s="2350"/>
      <c r="J30" s="2962"/>
      <c r="K30" s="2350"/>
      <c r="L30" s="2962"/>
      <c r="M30" s="2349"/>
      <c r="N30" s="2962"/>
      <c r="O30" s="2349"/>
      <c r="P30" s="2962"/>
      <c r="Q30" s="2349"/>
      <c r="R30" s="2962"/>
      <c r="S30" s="2349"/>
    </row>
    <row r="31" spans="1:19">
      <c r="A31" s="2294">
        <f>8+16</f>
        <v>24</v>
      </c>
      <c r="B31" s="2978" t="s">
        <v>6151</v>
      </c>
      <c r="C31" s="2949" t="s">
        <v>853</v>
      </c>
      <c r="D31" s="2950">
        <f>A31*11.33</f>
        <v>271.92</v>
      </c>
      <c r="E31" s="2951" t="s">
        <v>2845</v>
      </c>
      <c r="F31" s="2975"/>
      <c r="G31" s="662">
        <f t="shared" ref="G31:G32" si="7">ROUND(D31*F31,0)</f>
        <v>0</v>
      </c>
      <c r="H31" s="2962"/>
      <c r="I31" s="2350"/>
      <c r="J31" s="2962"/>
      <c r="K31" s="2350"/>
      <c r="L31" s="2962"/>
      <c r="M31" s="2349"/>
      <c r="N31" s="2962"/>
      <c r="O31" s="2349"/>
      <c r="P31" s="2962"/>
      <c r="Q31" s="2349"/>
      <c r="R31" s="2962"/>
      <c r="S31" s="2349"/>
    </row>
    <row r="32" spans="1:19">
      <c r="A32" s="2294">
        <v>82</v>
      </c>
      <c r="B32" s="2978" t="s">
        <v>6152</v>
      </c>
      <c r="C32" s="2949" t="s">
        <v>198</v>
      </c>
      <c r="D32" s="2950">
        <f>A32*11</f>
        <v>902</v>
      </c>
      <c r="E32" s="2951" t="s">
        <v>2845</v>
      </c>
      <c r="F32" s="2975"/>
      <c r="G32" s="662">
        <f t="shared" si="7"/>
        <v>0</v>
      </c>
      <c r="H32" s="2962"/>
      <c r="I32" s="2350"/>
      <c r="J32" s="2962"/>
      <c r="K32" s="2350"/>
      <c r="L32" s="2962"/>
      <c r="M32" s="2349"/>
      <c r="N32" s="2962"/>
      <c r="O32" s="2349"/>
      <c r="P32" s="2962"/>
      <c r="Q32" s="2349"/>
      <c r="R32" s="2962"/>
      <c r="S32" s="2349"/>
    </row>
    <row r="33" spans="1:19">
      <c r="A33" s="2294"/>
      <c r="B33" s="2974" t="s">
        <v>3080</v>
      </c>
      <c r="C33" s="2949"/>
      <c r="D33" s="2950"/>
      <c r="E33" s="2951"/>
      <c r="F33" s="2975"/>
      <c r="G33" s="662">
        <f t="shared" ref="G33:G38" si="8">ROUND(D33*F33,0)</f>
        <v>0</v>
      </c>
      <c r="H33" s="2962"/>
      <c r="I33" s="2350"/>
      <c r="J33" s="2962"/>
      <c r="K33" s="2350"/>
      <c r="L33" s="2962"/>
      <c r="M33" s="2349"/>
      <c r="N33" s="2962"/>
      <c r="O33" s="2349"/>
      <c r="P33" s="2962"/>
      <c r="Q33" s="2349"/>
      <c r="R33" s="2962"/>
      <c r="S33" s="2349"/>
    </row>
    <row r="34" spans="1:19">
      <c r="A34" s="2294">
        <v>23</v>
      </c>
      <c r="B34" s="2978" t="s">
        <v>6153</v>
      </c>
      <c r="C34" s="2949" t="s">
        <v>867</v>
      </c>
      <c r="D34" s="2950">
        <f>A34*13</f>
        <v>299</v>
      </c>
      <c r="E34" s="2951" t="s">
        <v>2845</v>
      </c>
      <c r="F34" s="2975"/>
      <c r="G34" s="662">
        <f t="shared" si="8"/>
        <v>0</v>
      </c>
      <c r="H34" s="2962"/>
      <c r="I34" s="2350"/>
      <c r="J34" s="2962"/>
      <c r="K34" s="2350"/>
      <c r="L34" s="2962"/>
      <c r="M34" s="2349"/>
      <c r="N34" s="2962"/>
      <c r="O34" s="2349"/>
      <c r="P34" s="2962"/>
      <c r="Q34" s="2349"/>
      <c r="R34" s="2962"/>
      <c r="S34" s="2349"/>
    </row>
    <row r="35" spans="1:19">
      <c r="A35" s="2294">
        <v>24</v>
      </c>
      <c r="B35" s="2978" t="s">
        <v>6154</v>
      </c>
      <c r="C35" s="2949" t="s">
        <v>867</v>
      </c>
      <c r="D35" s="2950">
        <f t="shared" ref="D35:D37" si="9">A35*13</f>
        <v>312</v>
      </c>
      <c r="E35" s="2951" t="s">
        <v>2845</v>
      </c>
      <c r="F35" s="2975"/>
      <c r="G35" s="662">
        <f t="shared" si="8"/>
        <v>0</v>
      </c>
      <c r="H35" s="2962"/>
      <c r="I35" s="2350"/>
      <c r="J35" s="2962"/>
      <c r="K35" s="2350"/>
      <c r="L35" s="2962"/>
      <c r="M35" s="2349"/>
      <c r="N35" s="2962"/>
      <c r="O35" s="2349"/>
      <c r="P35" s="2962"/>
      <c r="Q35" s="2349"/>
      <c r="R35" s="2962"/>
      <c r="S35" s="2349"/>
    </row>
    <row r="36" spans="1:19">
      <c r="A36" s="2294">
        <v>74</v>
      </c>
      <c r="B36" s="2978" t="s">
        <v>6155</v>
      </c>
      <c r="C36" s="2949" t="s">
        <v>867</v>
      </c>
      <c r="D36" s="2950">
        <f t="shared" si="9"/>
        <v>962</v>
      </c>
      <c r="E36" s="2951" t="s">
        <v>2845</v>
      </c>
      <c r="F36" s="2975"/>
      <c r="G36" s="662">
        <f t="shared" si="8"/>
        <v>0</v>
      </c>
      <c r="H36" s="2962"/>
      <c r="I36" s="2350"/>
      <c r="J36" s="2962"/>
      <c r="K36" s="2350"/>
      <c r="L36" s="2962"/>
      <c r="M36" s="2349"/>
      <c r="N36" s="2962"/>
      <c r="O36" s="2349"/>
      <c r="P36" s="2962"/>
      <c r="Q36" s="2349"/>
      <c r="R36" s="2962"/>
      <c r="S36" s="2349"/>
    </row>
    <row r="37" spans="1:19">
      <c r="A37" s="2294">
        <v>38</v>
      </c>
      <c r="B37" s="2978" t="s">
        <v>6156</v>
      </c>
      <c r="C37" s="2949" t="s">
        <v>867</v>
      </c>
      <c r="D37" s="2950">
        <f t="shared" si="9"/>
        <v>494</v>
      </c>
      <c r="E37" s="2951" t="s">
        <v>2845</v>
      </c>
      <c r="F37" s="2975"/>
      <c r="G37" s="662">
        <f t="shared" si="8"/>
        <v>0</v>
      </c>
      <c r="H37" s="2962"/>
      <c r="I37" s="2350"/>
      <c r="J37" s="2962"/>
      <c r="K37" s="2350"/>
      <c r="L37" s="2962"/>
      <c r="M37" s="2349"/>
      <c r="N37" s="2962"/>
      <c r="O37" s="2349"/>
      <c r="P37" s="2962"/>
      <c r="Q37" s="2349"/>
      <c r="R37" s="2962"/>
      <c r="S37" s="2349"/>
    </row>
    <row r="38" spans="1:19">
      <c r="A38" s="2294">
        <v>9</v>
      </c>
      <c r="B38" s="2978" t="s">
        <v>6157</v>
      </c>
      <c r="C38" s="2949" t="s">
        <v>867</v>
      </c>
      <c r="D38" s="2950">
        <f>A38*9.5</f>
        <v>85.5</v>
      </c>
      <c r="E38" s="2951" t="s">
        <v>2845</v>
      </c>
      <c r="F38" s="2975"/>
      <c r="G38" s="662">
        <f t="shared" si="8"/>
        <v>0</v>
      </c>
      <c r="H38" s="2962"/>
      <c r="I38" s="2350"/>
      <c r="J38" s="2962"/>
      <c r="K38" s="2350"/>
      <c r="L38" s="2962"/>
      <c r="M38" s="2349"/>
      <c r="N38" s="2962"/>
      <c r="O38" s="2349"/>
      <c r="P38" s="2962"/>
      <c r="Q38" s="2349"/>
      <c r="R38" s="2962"/>
      <c r="S38" s="2349"/>
    </row>
    <row r="39" spans="1:19">
      <c r="A39" s="2294">
        <v>6</v>
      </c>
      <c r="B39" s="2978" t="s">
        <v>6158</v>
      </c>
      <c r="C39" s="2949" t="s">
        <v>867</v>
      </c>
      <c r="D39" s="2950">
        <f t="shared" ref="D39:D40" si="10">A39*9.5</f>
        <v>57</v>
      </c>
      <c r="E39" s="2951" t="s">
        <v>2845</v>
      </c>
      <c r="F39" s="2975"/>
      <c r="G39" s="662">
        <f t="shared" ref="G39:G46" si="11">ROUND(D39*F39,0)</f>
        <v>0</v>
      </c>
      <c r="H39" s="2962"/>
      <c r="I39" s="2350"/>
      <c r="J39" s="2962"/>
      <c r="K39" s="2350"/>
      <c r="L39" s="2962"/>
      <c r="M39" s="2349"/>
      <c r="N39" s="2962"/>
      <c r="O39" s="2349"/>
      <c r="P39" s="2962"/>
      <c r="Q39" s="2349"/>
      <c r="R39" s="2962"/>
      <c r="S39" s="2349"/>
    </row>
    <row r="40" spans="1:19">
      <c r="A40" s="2294">
        <v>3</v>
      </c>
      <c r="B40" s="2978" t="s">
        <v>6159</v>
      </c>
      <c r="C40" s="2949" t="s">
        <v>867</v>
      </c>
      <c r="D40" s="2950">
        <f t="shared" si="10"/>
        <v>28.5</v>
      </c>
      <c r="E40" s="2951" t="s">
        <v>2845</v>
      </c>
      <c r="F40" s="2975"/>
      <c r="G40" s="662">
        <f t="shared" si="11"/>
        <v>0</v>
      </c>
      <c r="H40" s="2962"/>
      <c r="I40" s="2350"/>
      <c r="J40" s="2962"/>
      <c r="K40" s="2350"/>
      <c r="L40" s="2962"/>
      <c r="M40" s="2349"/>
      <c r="N40" s="2962"/>
      <c r="O40" s="2349"/>
      <c r="P40" s="2962"/>
      <c r="Q40" s="2349"/>
      <c r="R40" s="2962"/>
      <c r="S40" s="2349"/>
    </row>
    <row r="41" spans="1:19">
      <c r="A41" s="2294"/>
      <c r="B41" s="2980" t="s">
        <v>3113</v>
      </c>
      <c r="C41" s="2949"/>
      <c r="D41" s="2950"/>
      <c r="E41" s="2951"/>
      <c r="F41" s="2975"/>
      <c r="G41" s="662">
        <f t="shared" si="11"/>
        <v>0</v>
      </c>
      <c r="H41" s="2962"/>
      <c r="I41" s="2350"/>
      <c r="J41" s="2962"/>
      <c r="K41" s="2350"/>
      <c r="L41" s="2962"/>
      <c r="M41" s="2349"/>
      <c r="N41" s="2962"/>
      <c r="O41" s="2349"/>
      <c r="P41" s="2962"/>
      <c r="Q41" s="2349"/>
      <c r="R41" s="2962"/>
      <c r="S41" s="2349"/>
    </row>
    <row r="42" spans="1:19">
      <c r="A42" s="2294">
        <v>28</v>
      </c>
      <c r="B42" s="2978" t="s">
        <v>6160</v>
      </c>
      <c r="C42" s="2949" t="s">
        <v>877</v>
      </c>
      <c r="D42" s="2950">
        <f>A42*11</f>
        <v>308</v>
      </c>
      <c r="E42" s="2951" t="s">
        <v>2845</v>
      </c>
      <c r="F42" s="2975"/>
      <c r="G42" s="662">
        <f t="shared" si="11"/>
        <v>0</v>
      </c>
      <c r="H42" s="2962"/>
      <c r="I42" s="2350"/>
      <c r="J42" s="2962"/>
      <c r="K42" s="2350"/>
      <c r="L42" s="2962"/>
      <c r="M42" s="2349"/>
      <c r="N42" s="2962"/>
      <c r="O42" s="2349"/>
      <c r="P42" s="2962"/>
      <c r="Q42" s="2349"/>
      <c r="R42" s="2962"/>
      <c r="S42" s="2349"/>
    </row>
    <row r="43" spans="1:19">
      <c r="A43" s="2294">
        <v>5</v>
      </c>
      <c r="B43" s="2978" t="s">
        <v>6161</v>
      </c>
      <c r="C43" s="2949" t="s">
        <v>877</v>
      </c>
      <c r="D43" s="2950">
        <f>A43*10.33</f>
        <v>51.65</v>
      </c>
      <c r="E43" s="2951" t="s">
        <v>2845</v>
      </c>
      <c r="F43" s="2975"/>
      <c r="G43" s="662">
        <f t="shared" si="11"/>
        <v>0</v>
      </c>
      <c r="H43" s="2962"/>
      <c r="I43" s="2350"/>
      <c r="J43" s="2962"/>
      <c r="K43" s="2350"/>
      <c r="L43" s="2962"/>
      <c r="M43" s="2349"/>
      <c r="N43" s="2962"/>
      <c r="O43" s="2349"/>
      <c r="P43" s="2962"/>
      <c r="Q43" s="2349"/>
      <c r="R43" s="2962"/>
      <c r="S43" s="2349"/>
    </row>
    <row r="44" spans="1:19">
      <c r="A44" s="2294">
        <v>5</v>
      </c>
      <c r="B44" s="2978" t="s">
        <v>6162</v>
      </c>
      <c r="C44" s="2949" t="s">
        <v>877</v>
      </c>
      <c r="D44" s="2950">
        <f>A44*10.33</f>
        <v>51.65</v>
      </c>
      <c r="E44" s="2951" t="s">
        <v>2845</v>
      </c>
      <c r="F44" s="2975"/>
      <c r="G44" s="662">
        <f t="shared" si="11"/>
        <v>0</v>
      </c>
      <c r="H44" s="2962"/>
      <c r="I44" s="2350"/>
      <c r="J44" s="2962"/>
      <c r="K44" s="2350"/>
      <c r="L44" s="2962"/>
      <c r="M44" s="2349"/>
      <c r="N44" s="2962"/>
      <c r="O44" s="2349"/>
      <c r="P44" s="2962"/>
      <c r="Q44" s="2349"/>
      <c r="R44" s="2962"/>
      <c r="S44" s="2349"/>
    </row>
    <row r="45" spans="1:19">
      <c r="A45" s="2294">
        <v>5</v>
      </c>
      <c r="B45" s="2978" t="s">
        <v>6163</v>
      </c>
      <c r="C45" s="2949" t="s">
        <v>877</v>
      </c>
      <c r="D45" s="2950">
        <f>A45*10.33</f>
        <v>51.65</v>
      </c>
      <c r="E45" s="2951" t="s">
        <v>2845</v>
      </c>
      <c r="F45" s="2975"/>
      <c r="G45" s="662">
        <f t="shared" si="11"/>
        <v>0</v>
      </c>
      <c r="H45" s="2962"/>
      <c r="I45" s="2350"/>
      <c r="J45" s="2962"/>
      <c r="K45" s="2350"/>
      <c r="L45" s="2962"/>
      <c r="M45" s="2349"/>
      <c r="N45" s="2962"/>
      <c r="O45" s="2349"/>
      <c r="P45" s="2962"/>
      <c r="Q45" s="2349"/>
      <c r="R45" s="2962"/>
      <c r="S45" s="2349"/>
    </row>
    <row r="46" spans="1:19">
      <c r="A46" s="2294">
        <v>62</v>
      </c>
      <c r="B46" s="2978" t="s">
        <v>6164</v>
      </c>
      <c r="C46" s="2949" t="s">
        <v>877</v>
      </c>
      <c r="D46" s="2950">
        <f>A46*11</f>
        <v>682</v>
      </c>
      <c r="E46" s="2951" t="s">
        <v>2845</v>
      </c>
      <c r="F46" s="2975"/>
      <c r="G46" s="662">
        <f t="shared" si="11"/>
        <v>0</v>
      </c>
      <c r="H46" s="2962"/>
      <c r="I46" s="2350"/>
      <c r="J46" s="2962"/>
      <c r="K46" s="2350"/>
      <c r="L46" s="2962"/>
      <c r="M46" s="2349"/>
      <c r="N46" s="2962"/>
      <c r="O46" s="2349"/>
      <c r="P46" s="2962"/>
      <c r="Q46" s="2349"/>
      <c r="R46" s="2962"/>
      <c r="S46" s="2349"/>
    </row>
    <row r="47" spans="1:19">
      <c r="A47" s="2294">
        <v>48</v>
      </c>
      <c r="B47" s="2978" t="s">
        <v>6165</v>
      </c>
      <c r="C47" s="2949" t="s">
        <v>877</v>
      </c>
      <c r="D47" s="2950">
        <f>A47*11</f>
        <v>528</v>
      </c>
      <c r="E47" s="2951" t="s">
        <v>2845</v>
      </c>
      <c r="F47" s="2975"/>
      <c r="G47" s="662">
        <f t="shared" ref="G47:G68" si="12">ROUND(D47*F47,0)</f>
        <v>0</v>
      </c>
      <c r="H47" s="2962"/>
      <c r="I47" s="2350"/>
      <c r="J47" s="2962"/>
      <c r="K47" s="2350"/>
      <c r="L47" s="2962"/>
      <c r="M47" s="2349"/>
      <c r="N47" s="2962"/>
      <c r="O47" s="2349"/>
      <c r="P47" s="2962"/>
      <c r="Q47" s="2349"/>
      <c r="R47" s="2962"/>
      <c r="S47" s="2349"/>
    </row>
    <row r="48" spans="1:19">
      <c r="A48" s="2294">
        <v>5</v>
      </c>
      <c r="B48" s="2981" t="s">
        <v>6166</v>
      </c>
      <c r="C48" s="2949" t="s">
        <v>877</v>
      </c>
      <c r="D48" s="2950">
        <f>A48*10.33</f>
        <v>51.65</v>
      </c>
      <c r="E48" s="2951" t="s">
        <v>2845</v>
      </c>
      <c r="F48" s="2975"/>
      <c r="G48" s="662">
        <f t="shared" si="12"/>
        <v>0</v>
      </c>
      <c r="H48" s="2962"/>
      <c r="I48" s="2350"/>
      <c r="J48" s="2962"/>
      <c r="K48" s="2350"/>
      <c r="L48" s="2962"/>
      <c r="M48" s="2349"/>
      <c r="N48" s="2962"/>
      <c r="O48" s="2349"/>
      <c r="P48" s="2962"/>
      <c r="Q48" s="2349"/>
      <c r="R48" s="2962"/>
      <c r="S48" s="2349"/>
    </row>
    <row r="49" spans="1:19">
      <c r="A49" s="2294">
        <v>5</v>
      </c>
      <c r="B49" s="2982" t="s">
        <v>6167</v>
      </c>
      <c r="C49" s="2949" t="s">
        <v>877</v>
      </c>
      <c r="D49" s="2950">
        <f>A49*10.33</f>
        <v>51.65</v>
      </c>
      <c r="E49" s="2951" t="s">
        <v>2845</v>
      </c>
      <c r="F49" s="2975"/>
      <c r="G49" s="662">
        <f t="shared" si="12"/>
        <v>0</v>
      </c>
      <c r="H49" s="2962"/>
      <c r="I49" s="2350"/>
      <c r="J49" s="2962"/>
      <c r="K49" s="2350"/>
      <c r="L49" s="2962"/>
      <c r="M49" s="2349"/>
      <c r="N49" s="2962"/>
      <c r="O49" s="2349"/>
      <c r="P49" s="2962"/>
      <c r="Q49" s="2349"/>
      <c r="R49" s="2962"/>
      <c r="S49" s="2349"/>
    </row>
    <row r="50" spans="1:19">
      <c r="A50" s="2294">
        <v>35</v>
      </c>
      <c r="B50" s="2978" t="s">
        <v>6168</v>
      </c>
      <c r="C50" s="2949" t="s">
        <v>877</v>
      </c>
      <c r="D50" s="2950">
        <f>A50*11</f>
        <v>385</v>
      </c>
      <c r="E50" s="2951" t="s">
        <v>2845</v>
      </c>
      <c r="F50" s="2975"/>
      <c r="G50" s="662">
        <f t="shared" si="12"/>
        <v>0</v>
      </c>
      <c r="H50" s="2962"/>
      <c r="I50" s="2350"/>
      <c r="J50" s="2962"/>
      <c r="K50" s="2350"/>
      <c r="L50" s="2962"/>
      <c r="M50" s="2349"/>
      <c r="N50" s="2962"/>
      <c r="O50" s="2349"/>
      <c r="P50" s="2962"/>
      <c r="Q50" s="2349"/>
      <c r="R50" s="2962"/>
      <c r="S50" s="2349"/>
    </row>
    <row r="51" spans="1:19">
      <c r="A51" s="2294">
        <v>6</v>
      </c>
      <c r="B51" s="2978" t="s">
        <v>6169</v>
      </c>
      <c r="C51" s="2949" t="s">
        <v>877</v>
      </c>
      <c r="D51" s="2950">
        <f>A51*9</f>
        <v>54</v>
      </c>
      <c r="E51" s="2951" t="s">
        <v>2845</v>
      </c>
      <c r="F51" s="2975"/>
      <c r="G51" s="662">
        <f t="shared" ref="G51:G59" si="13">ROUND(D51*F51,0)</f>
        <v>0</v>
      </c>
      <c r="H51" s="2962"/>
      <c r="I51" s="2350"/>
      <c r="J51" s="2962"/>
      <c r="K51" s="2350"/>
      <c r="L51" s="2962"/>
      <c r="M51" s="2349"/>
      <c r="N51" s="2962"/>
      <c r="O51" s="2349"/>
      <c r="P51" s="2962"/>
      <c r="Q51" s="2349"/>
      <c r="R51" s="2962"/>
      <c r="S51" s="2349"/>
    </row>
    <row r="52" spans="1:19">
      <c r="A52" s="2294">
        <v>20</v>
      </c>
      <c r="B52" s="2978" t="s">
        <v>6170</v>
      </c>
      <c r="C52" s="2949" t="s">
        <v>905</v>
      </c>
      <c r="D52" s="2950">
        <f>A52*10</f>
        <v>200</v>
      </c>
      <c r="E52" s="2951" t="s">
        <v>2845</v>
      </c>
      <c r="F52" s="2975"/>
      <c r="G52" s="662">
        <f t="shared" si="13"/>
        <v>0</v>
      </c>
      <c r="H52" s="2962"/>
      <c r="I52" s="2350"/>
      <c r="J52" s="2962"/>
      <c r="K52" s="2350"/>
      <c r="L52" s="2962"/>
      <c r="M52" s="2349"/>
      <c r="N52" s="2962"/>
      <c r="O52" s="2349"/>
      <c r="P52" s="2962"/>
      <c r="Q52" s="2349"/>
      <c r="R52" s="2962"/>
      <c r="S52" s="2349"/>
    </row>
    <row r="53" spans="1:19">
      <c r="A53" s="2294">
        <v>18</v>
      </c>
      <c r="B53" s="2978" t="s">
        <v>6171</v>
      </c>
      <c r="C53" s="2949" t="s">
        <v>905</v>
      </c>
      <c r="D53" s="2950">
        <f t="shared" ref="D53:D66" si="14">A53*10</f>
        <v>180</v>
      </c>
      <c r="E53" s="2951" t="s">
        <v>2845</v>
      </c>
      <c r="F53" s="2975"/>
      <c r="G53" s="662">
        <f t="shared" si="13"/>
        <v>0</v>
      </c>
      <c r="H53" s="2962"/>
      <c r="I53" s="2350"/>
      <c r="J53" s="2962"/>
      <c r="K53" s="2350"/>
      <c r="L53" s="2962"/>
      <c r="M53" s="2349"/>
      <c r="N53" s="2962"/>
      <c r="O53" s="2349"/>
      <c r="P53" s="2962"/>
      <c r="Q53" s="2349"/>
      <c r="R53" s="2962"/>
      <c r="S53" s="2349"/>
    </row>
    <row r="54" spans="1:19">
      <c r="A54" s="2294">
        <v>4</v>
      </c>
      <c r="B54" s="2978" t="s">
        <v>6172</v>
      </c>
      <c r="C54" s="2949" t="s">
        <v>905</v>
      </c>
      <c r="D54" s="2950">
        <f t="shared" si="14"/>
        <v>40</v>
      </c>
      <c r="E54" s="2951" t="s">
        <v>2845</v>
      </c>
      <c r="F54" s="2975"/>
      <c r="G54" s="662">
        <f t="shared" si="13"/>
        <v>0</v>
      </c>
      <c r="H54" s="2962"/>
      <c r="I54" s="2350"/>
      <c r="J54" s="2962"/>
      <c r="K54" s="2350"/>
      <c r="L54" s="2962"/>
      <c r="M54" s="2349"/>
      <c r="N54" s="2962"/>
      <c r="O54" s="2349"/>
      <c r="P54" s="2962"/>
      <c r="Q54" s="2349"/>
      <c r="R54" s="2962"/>
      <c r="S54" s="2349"/>
    </row>
    <row r="55" spans="1:19">
      <c r="A55" s="2294">
        <v>4</v>
      </c>
      <c r="B55" s="2978" t="s">
        <v>6173</v>
      </c>
      <c r="C55" s="2949" t="s">
        <v>905</v>
      </c>
      <c r="D55" s="2950">
        <f t="shared" si="14"/>
        <v>40</v>
      </c>
      <c r="E55" s="2951" t="s">
        <v>2845</v>
      </c>
      <c r="F55" s="2975"/>
      <c r="G55" s="662">
        <f t="shared" si="13"/>
        <v>0</v>
      </c>
      <c r="H55" s="2962"/>
      <c r="I55" s="2350"/>
      <c r="J55" s="2962"/>
      <c r="K55" s="2350"/>
      <c r="L55" s="2962"/>
      <c r="M55" s="2349"/>
      <c r="N55" s="2962"/>
      <c r="O55" s="2349"/>
      <c r="P55" s="2962"/>
      <c r="Q55" s="2349"/>
      <c r="R55" s="2962"/>
      <c r="S55" s="2349"/>
    </row>
    <row r="56" spans="1:19">
      <c r="A56" s="2294">
        <v>4</v>
      </c>
      <c r="B56" s="2978" t="s">
        <v>6174</v>
      </c>
      <c r="C56" s="2949" t="s">
        <v>905</v>
      </c>
      <c r="D56" s="2950">
        <f t="shared" si="14"/>
        <v>40</v>
      </c>
      <c r="E56" s="2951" t="s">
        <v>2845</v>
      </c>
      <c r="F56" s="2975"/>
      <c r="G56" s="662">
        <f t="shared" si="13"/>
        <v>0</v>
      </c>
      <c r="H56" s="2962"/>
      <c r="I56" s="2350"/>
      <c r="J56" s="2962"/>
      <c r="K56" s="2350"/>
      <c r="L56" s="2962"/>
      <c r="M56" s="2349"/>
      <c r="N56" s="2962"/>
      <c r="O56" s="2349"/>
      <c r="P56" s="2962"/>
      <c r="Q56" s="2349"/>
      <c r="R56" s="2962"/>
      <c r="S56" s="2349"/>
    </row>
    <row r="57" spans="1:19">
      <c r="A57" s="2294">
        <v>4</v>
      </c>
      <c r="B57" s="2978" t="s">
        <v>6175</v>
      </c>
      <c r="C57" s="2949" t="s">
        <v>905</v>
      </c>
      <c r="D57" s="2950">
        <f t="shared" si="14"/>
        <v>40</v>
      </c>
      <c r="E57" s="2951" t="s">
        <v>2845</v>
      </c>
      <c r="F57" s="2975"/>
      <c r="G57" s="662">
        <f t="shared" si="13"/>
        <v>0</v>
      </c>
      <c r="H57" s="2962"/>
      <c r="I57" s="2350"/>
      <c r="J57" s="2962"/>
      <c r="K57" s="2350"/>
      <c r="L57" s="2962"/>
      <c r="M57" s="2349"/>
      <c r="N57" s="2962"/>
      <c r="O57" s="2349"/>
      <c r="P57" s="2962"/>
      <c r="Q57" s="2349"/>
      <c r="R57" s="2962"/>
      <c r="S57" s="2349"/>
    </row>
    <row r="58" spans="1:19">
      <c r="A58" s="2294">
        <v>37</v>
      </c>
      <c r="B58" s="2978" t="s">
        <v>6176</v>
      </c>
      <c r="C58" s="2949" t="s">
        <v>905</v>
      </c>
      <c r="D58" s="2950">
        <f t="shared" si="14"/>
        <v>370</v>
      </c>
      <c r="E58" s="2951" t="s">
        <v>2845</v>
      </c>
      <c r="F58" s="2975"/>
      <c r="G58" s="662">
        <f t="shared" si="13"/>
        <v>0</v>
      </c>
      <c r="H58" s="2962"/>
      <c r="I58" s="2350"/>
      <c r="J58" s="2962"/>
      <c r="K58" s="2350"/>
      <c r="L58" s="2962"/>
      <c r="M58" s="2349"/>
      <c r="N58" s="2962"/>
      <c r="O58" s="2349"/>
      <c r="P58" s="2962"/>
      <c r="Q58" s="2349"/>
      <c r="R58" s="2962"/>
      <c r="S58" s="2349"/>
    </row>
    <row r="59" spans="1:19">
      <c r="A59" s="2294">
        <v>4</v>
      </c>
      <c r="B59" s="2978" t="s">
        <v>6177</v>
      </c>
      <c r="C59" s="2949" t="s">
        <v>905</v>
      </c>
      <c r="D59" s="2950">
        <f t="shared" si="14"/>
        <v>40</v>
      </c>
      <c r="E59" s="2951" t="s">
        <v>2845</v>
      </c>
      <c r="F59" s="2975"/>
      <c r="G59" s="662">
        <f t="shared" si="13"/>
        <v>0</v>
      </c>
      <c r="H59" s="2962"/>
      <c r="I59" s="2350"/>
      <c r="J59" s="2962"/>
      <c r="K59" s="2350"/>
      <c r="L59" s="2962"/>
      <c r="M59" s="2349"/>
      <c r="N59" s="2962"/>
      <c r="O59" s="2349"/>
      <c r="P59" s="2962"/>
      <c r="Q59" s="2349"/>
      <c r="R59" s="2962"/>
      <c r="S59" s="2349"/>
    </row>
    <row r="60" spans="1:19">
      <c r="A60" s="2294">
        <v>47</v>
      </c>
      <c r="B60" s="2978" t="s">
        <v>6178</v>
      </c>
      <c r="C60" s="2949" t="s">
        <v>905</v>
      </c>
      <c r="D60" s="2950">
        <f t="shared" si="14"/>
        <v>470</v>
      </c>
      <c r="E60" s="2951" t="s">
        <v>2845</v>
      </c>
      <c r="F60" s="2975"/>
      <c r="G60" s="662">
        <f t="shared" ref="G60:G65" si="15">ROUND(D60*F60,0)</f>
        <v>0</v>
      </c>
      <c r="H60" s="2962"/>
      <c r="I60" s="2350"/>
      <c r="J60" s="2962"/>
      <c r="K60" s="2350"/>
      <c r="L60" s="2962"/>
      <c r="M60" s="2349"/>
      <c r="N60" s="2962"/>
      <c r="O60" s="2349"/>
      <c r="P60" s="2962"/>
      <c r="Q60" s="2349"/>
      <c r="R60" s="2962"/>
      <c r="S60" s="2349"/>
    </row>
    <row r="61" spans="1:19">
      <c r="A61" s="2294">
        <v>4</v>
      </c>
      <c r="B61" s="2978" t="s">
        <v>6179</v>
      </c>
      <c r="C61" s="2949" t="s">
        <v>905</v>
      </c>
      <c r="D61" s="2950">
        <f t="shared" si="14"/>
        <v>40</v>
      </c>
      <c r="E61" s="2951" t="s">
        <v>2845</v>
      </c>
      <c r="F61" s="2975"/>
      <c r="G61" s="662">
        <f t="shared" si="15"/>
        <v>0</v>
      </c>
      <c r="H61" s="2962"/>
      <c r="I61" s="2350"/>
      <c r="J61" s="2962"/>
      <c r="K61" s="2350"/>
      <c r="L61" s="2962"/>
      <c r="M61" s="2349"/>
      <c r="N61" s="2962"/>
      <c r="O61" s="2349"/>
      <c r="P61" s="2962"/>
      <c r="Q61" s="2349"/>
      <c r="R61" s="2962"/>
      <c r="S61" s="2349"/>
    </row>
    <row r="62" spans="1:19">
      <c r="A62" s="2294">
        <v>4</v>
      </c>
      <c r="B62" s="2978" t="s">
        <v>6180</v>
      </c>
      <c r="C62" s="2949" t="s">
        <v>905</v>
      </c>
      <c r="D62" s="2950">
        <f t="shared" si="14"/>
        <v>40</v>
      </c>
      <c r="E62" s="2951" t="s">
        <v>2845</v>
      </c>
      <c r="F62" s="2975"/>
      <c r="G62" s="662">
        <f t="shared" si="15"/>
        <v>0</v>
      </c>
      <c r="H62" s="2962"/>
      <c r="I62" s="2350"/>
      <c r="J62" s="2962"/>
      <c r="K62" s="2350"/>
      <c r="L62" s="2962"/>
      <c r="M62" s="2349"/>
      <c r="N62" s="2962"/>
      <c r="O62" s="2349"/>
      <c r="P62" s="2962"/>
      <c r="Q62" s="2349"/>
      <c r="R62" s="2962"/>
      <c r="S62" s="2349"/>
    </row>
    <row r="63" spans="1:19">
      <c r="A63" s="2294">
        <v>5</v>
      </c>
      <c r="B63" s="2978" t="s">
        <v>6181</v>
      </c>
      <c r="C63" s="2949" t="s">
        <v>905</v>
      </c>
      <c r="D63" s="2950">
        <f t="shared" si="14"/>
        <v>50</v>
      </c>
      <c r="E63" s="2951" t="s">
        <v>2845</v>
      </c>
      <c r="F63" s="2975"/>
      <c r="G63" s="662">
        <f t="shared" si="15"/>
        <v>0</v>
      </c>
      <c r="H63" s="2962"/>
      <c r="I63" s="2350"/>
      <c r="J63" s="2962"/>
      <c r="K63" s="2350"/>
      <c r="L63" s="2962"/>
      <c r="M63" s="2349"/>
      <c r="N63" s="2962"/>
      <c r="O63" s="2349"/>
      <c r="P63" s="2962"/>
      <c r="Q63" s="2349"/>
      <c r="R63" s="2962"/>
      <c r="S63" s="2349"/>
    </row>
    <row r="64" spans="1:19">
      <c r="A64" s="2294">
        <v>5</v>
      </c>
      <c r="B64" s="2978" t="s">
        <v>6182</v>
      </c>
      <c r="C64" s="2949" t="s">
        <v>905</v>
      </c>
      <c r="D64" s="2950">
        <f t="shared" si="14"/>
        <v>50</v>
      </c>
      <c r="E64" s="2951" t="s">
        <v>2845</v>
      </c>
      <c r="F64" s="2975"/>
      <c r="G64" s="662">
        <f t="shared" si="15"/>
        <v>0</v>
      </c>
      <c r="H64" s="2962"/>
      <c r="I64" s="2350"/>
      <c r="J64" s="2962"/>
      <c r="K64" s="2350"/>
      <c r="L64" s="2962"/>
      <c r="M64" s="2349"/>
      <c r="N64" s="2962"/>
      <c r="O64" s="2349"/>
      <c r="P64" s="2962"/>
      <c r="Q64" s="2349"/>
      <c r="R64" s="2962"/>
      <c r="S64" s="2349"/>
    </row>
    <row r="65" spans="1:19">
      <c r="A65" s="2294">
        <v>5</v>
      </c>
      <c r="B65" s="2978" t="s">
        <v>6183</v>
      </c>
      <c r="C65" s="2949" t="s">
        <v>905</v>
      </c>
      <c r="D65" s="2950">
        <f t="shared" si="14"/>
        <v>50</v>
      </c>
      <c r="E65" s="2951" t="s">
        <v>2845</v>
      </c>
      <c r="F65" s="2975"/>
      <c r="G65" s="662">
        <f t="shared" si="15"/>
        <v>0</v>
      </c>
      <c r="H65" s="2962"/>
      <c r="I65" s="2350"/>
      <c r="J65" s="2962"/>
      <c r="K65" s="2350"/>
      <c r="L65" s="2962"/>
      <c r="M65" s="2349"/>
      <c r="N65" s="2962"/>
      <c r="O65" s="2349"/>
      <c r="P65" s="2962"/>
      <c r="Q65" s="2349"/>
      <c r="R65" s="2962"/>
      <c r="S65" s="2349"/>
    </row>
    <row r="66" spans="1:19">
      <c r="A66" s="2294">
        <v>6</v>
      </c>
      <c r="B66" s="2978" t="s">
        <v>6184</v>
      </c>
      <c r="C66" s="2949" t="s">
        <v>905</v>
      </c>
      <c r="D66" s="2950">
        <f t="shared" si="14"/>
        <v>60</v>
      </c>
      <c r="E66" s="2951" t="s">
        <v>2845</v>
      </c>
      <c r="F66" s="2975"/>
      <c r="G66" s="662">
        <f t="shared" si="12"/>
        <v>0</v>
      </c>
      <c r="H66" s="2962"/>
      <c r="I66" s="2350"/>
      <c r="J66" s="2962"/>
      <c r="K66" s="2350"/>
      <c r="L66" s="2962"/>
      <c r="M66" s="2349"/>
      <c r="N66" s="2962"/>
      <c r="O66" s="2349"/>
      <c r="P66" s="2962"/>
      <c r="Q66" s="2349"/>
      <c r="R66" s="2962"/>
      <c r="S66" s="2349"/>
    </row>
    <row r="67" spans="1:19">
      <c r="A67" s="2294"/>
      <c r="B67" s="2978"/>
      <c r="C67" s="2949"/>
      <c r="D67" s="2950"/>
      <c r="E67" s="2951"/>
      <c r="F67" s="2975"/>
      <c r="G67" s="662">
        <f t="shared" si="12"/>
        <v>0</v>
      </c>
      <c r="H67" s="2962"/>
      <c r="I67" s="2350"/>
      <c r="J67" s="2962"/>
      <c r="K67" s="2350"/>
      <c r="L67" s="2962"/>
      <c r="M67" s="2349"/>
      <c r="N67" s="2962"/>
      <c r="O67" s="2349"/>
      <c r="P67" s="2962"/>
      <c r="Q67" s="2349"/>
      <c r="R67" s="2962"/>
      <c r="S67" s="2349"/>
    </row>
    <row r="68" spans="1:19">
      <c r="A68" s="2294"/>
      <c r="B68" s="2977" t="s">
        <v>6147</v>
      </c>
      <c r="C68" s="2949"/>
      <c r="D68" s="2950"/>
      <c r="E68" s="2951"/>
      <c r="F68" s="2975"/>
      <c r="G68" s="662">
        <f t="shared" si="12"/>
        <v>0</v>
      </c>
      <c r="H68" s="2962"/>
      <c r="I68" s="2350"/>
      <c r="J68" s="2962"/>
      <c r="K68" s="2350"/>
      <c r="L68" s="2962"/>
      <c r="M68" s="2349"/>
      <c r="N68" s="2962"/>
      <c r="O68" s="2349"/>
      <c r="P68" s="2962"/>
      <c r="Q68" s="2349"/>
      <c r="R68" s="2962"/>
      <c r="S68" s="2349"/>
    </row>
    <row r="69" spans="1:19">
      <c r="A69" s="2294">
        <v>4</v>
      </c>
      <c r="B69" s="2978" t="s">
        <v>6173</v>
      </c>
      <c r="C69" s="2949" t="s">
        <v>905</v>
      </c>
      <c r="D69" s="2950">
        <f t="shared" ref="D69:D71" si="16">A69*10</f>
        <v>40</v>
      </c>
      <c r="E69" s="2951" t="s">
        <v>2845</v>
      </c>
      <c r="F69" s="2975"/>
      <c r="G69" s="662">
        <f t="shared" ref="G69:G81" si="17">ROUND(D69*F69,0)</f>
        <v>0</v>
      </c>
      <c r="H69" s="2962"/>
      <c r="I69" s="2350"/>
      <c r="J69" s="2962"/>
      <c r="K69" s="2350"/>
      <c r="L69" s="2962"/>
      <c r="M69" s="2349"/>
      <c r="N69" s="2962"/>
      <c r="O69" s="2349"/>
      <c r="P69" s="2962"/>
      <c r="Q69" s="2349"/>
      <c r="R69" s="2962"/>
      <c r="S69" s="2349"/>
    </row>
    <row r="70" spans="1:19">
      <c r="A70" s="2294">
        <v>4</v>
      </c>
      <c r="B70" s="2978" t="s">
        <v>6174</v>
      </c>
      <c r="C70" s="2949" t="s">
        <v>905</v>
      </c>
      <c r="D70" s="2950">
        <f t="shared" si="16"/>
        <v>40</v>
      </c>
      <c r="E70" s="2951" t="s">
        <v>2845</v>
      </c>
      <c r="F70" s="2975"/>
      <c r="G70" s="662">
        <f t="shared" si="17"/>
        <v>0</v>
      </c>
      <c r="H70" s="2962"/>
      <c r="I70" s="2350"/>
      <c r="J70" s="2962"/>
      <c r="K70" s="2350"/>
      <c r="L70" s="2962"/>
      <c r="M70" s="2349"/>
      <c r="N70" s="2962"/>
      <c r="O70" s="2349"/>
      <c r="P70" s="2962"/>
      <c r="Q70" s="2349"/>
      <c r="R70" s="2962"/>
      <c r="S70" s="2349"/>
    </row>
    <row r="71" spans="1:19">
      <c r="A71" s="2294">
        <v>4</v>
      </c>
      <c r="B71" s="2978" t="s">
        <v>6175</v>
      </c>
      <c r="C71" s="2949" t="s">
        <v>905</v>
      </c>
      <c r="D71" s="2950">
        <f t="shared" si="16"/>
        <v>40</v>
      </c>
      <c r="E71" s="2951" t="s">
        <v>2845</v>
      </c>
      <c r="F71" s="2975"/>
      <c r="G71" s="662">
        <f t="shared" si="17"/>
        <v>0</v>
      </c>
      <c r="H71" s="2962"/>
      <c r="I71" s="2350"/>
      <c r="J71" s="2962"/>
      <c r="K71" s="2350"/>
      <c r="L71" s="2962"/>
      <c r="M71" s="2349"/>
      <c r="N71" s="2962"/>
      <c r="O71" s="2349"/>
      <c r="P71" s="2962"/>
      <c r="Q71" s="2349"/>
      <c r="R71" s="2962"/>
      <c r="S71" s="2349"/>
    </row>
    <row r="72" spans="1:19">
      <c r="A72" s="2294"/>
      <c r="B72" s="2978"/>
      <c r="C72" s="2949"/>
      <c r="D72" s="2950"/>
      <c r="E72" s="2951"/>
      <c r="F72" s="2975"/>
      <c r="G72" s="662">
        <f t="shared" si="17"/>
        <v>0</v>
      </c>
      <c r="H72" s="2962"/>
      <c r="I72" s="2350"/>
      <c r="J72" s="2962"/>
      <c r="K72" s="2350"/>
      <c r="L72" s="2962"/>
      <c r="M72" s="2349"/>
      <c r="N72" s="2962"/>
      <c r="O72" s="2349"/>
      <c r="P72" s="2962"/>
      <c r="Q72" s="2349"/>
      <c r="R72" s="2962"/>
      <c r="S72" s="2349"/>
    </row>
    <row r="73" spans="1:19">
      <c r="A73" s="2294"/>
      <c r="B73" s="2980" t="s">
        <v>6185</v>
      </c>
      <c r="C73" s="2949"/>
      <c r="D73" s="2950">
        <v>23</v>
      </c>
      <c r="E73" s="2951" t="s">
        <v>2803</v>
      </c>
      <c r="F73" s="2975"/>
      <c r="G73" s="662">
        <f t="shared" si="17"/>
        <v>0</v>
      </c>
      <c r="H73" s="2962"/>
      <c r="I73" s="2350">
        <v>38272</v>
      </c>
      <c r="J73" s="2962" t="s">
        <v>2931</v>
      </c>
      <c r="K73" s="2350"/>
      <c r="L73" s="2962"/>
      <c r="M73" s="2349"/>
      <c r="N73" s="2962"/>
      <c r="O73" s="2349"/>
      <c r="P73" s="2962"/>
      <c r="Q73" s="2349"/>
      <c r="R73" s="2962"/>
      <c r="S73" s="2349"/>
    </row>
    <row r="74" spans="1:19">
      <c r="A74" s="2294"/>
      <c r="B74" s="2978"/>
      <c r="C74" s="2949"/>
      <c r="D74" s="2950"/>
      <c r="E74" s="2951"/>
      <c r="F74" s="2975"/>
      <c r="G74" s="662">
        <f t="shared" si="17"/>
        <v>0</v>
      </c>
      <c r="H74" s="2962"/>
      <c r="I74" s="2350"/>
      <c r="J74" s="2962"/>
      <c r="K74" s="2350"/>
      <c r="L74" s="2962"/>
      <c r="M74" s="2349"/>
      <c r="N74" s="2962"/>
      <c r="O74" s="2349"/>
      <c r="P74" s="2962"/>
      <c r="Q74" s="2349"/>
      <c r="R74" s="2962"/>
      <c r="S74" s="2349"/>
    </row>
    <row r="75" spans="1:19">
      <c r="A75" s="2294"/>
      <c r="B75" s="2980" t="s">
        <v>6186</v>
      </c>
      <c r="C75" s="2949"/>
      <c r="D75" s="2950"/>
      <c r="E75" s="2951"/>
      <c r="F75" s="2975"/>
      <c r="G75" s="662">
        <f t="shared" si="17"/>
        <v>0</v>
      </c>
      <c r="H75" s="2962"/>
      <c r="I75" s="2350">
        <v>10941.04</v>
      </c>
      <c r="J75" s="2962" t="s">
        <v>2931</v>
      </c>
      <c r="K75" s="2350"/>
      <c r="L75" s="2962"/>
      <c r="M75" s="2349"/>
      <c r="N75" s="2962"/>
      <c r="O75" s="2349"/>
      <c r="P75" s="2962"/>
      <c r="Q75" s="2349"/>
      <c r="R75" s="2962"/>
      <c r="S75" s="2349"/>
    </row>
    <row r="76" spans="1:19">
      <c r="A76" s="2294"/>
      <c r="B76" s="2980" t="s">
        <v>6187</v>
      </c>
      <c r="C76" s="2949"/>
      <c r="D76" s="2950"/>
      <c r="E76" s="2951"/>
      <c r="F76" s="2975"/>
      <c r="G76" s="662">
        <f t="shared" si="17"/>
        <v>0</v>
      </c>
      <c r="H76" s="2962"/>
      <c r="I76" s="2350">
        <v>23488.78</v>
      </c>
      <c r="J76" s="2962"/>
      <c r="K76" s="2350">
        <f>23976.3+50</f>
        <v>24026.3</v>
      </c>
      <c r="L76" s="2962"/>
      <c r="M76" s="2349"/>
      <c r="N76" s="2962"/>
      <c r="O76" s="2349"/>
      <c r="P76" s="2962"/>
      <c r="Q76" s="2349"/>
      <c r="R76" s="2962"/>
      <c r="S76" s="2349"/>
    </row>
    <row r="77" spans="1:19">
      <c r="A77" s="2294"/>
      <c r="B77" s="2980" t="s">
        <v>6188</v>
      </c>
      <c r="C77" s="2949"/>
      <c r="D77" s="2950"/>
      <c r="E77" s="2951"/>
      <c r="F77" s="2975"/>
      <c r="G77" s="662">
        <f t="shared" si="17"/>
        <v>0</v>
      </c>
      <c r="H77" s="2962"/>
      <c r="I77" s="2350">
        <v>45800</v>
      </c>
      <c r="J77" s="2962"/>
      <c r="K77" s="2350">
        <v>47000</v>
      </c>
      <c r="L77" s="2962"/>
      <c r="M77" s="2349"/>
      <c r="N77" s="2962"/>
      <c r="O77" s="2349"/>
      <c r="P77" s="2962"/>
      <c r="Q77" s="2349"/>
      <c r="R77" s="2962"/>
      <c r="S77" s="2349"/>
    </row>
    <row r="78" spans="1:19">
      <c r="A78" s="2294"/>
      <c r="B78" s="2977"/>
      <c r="C78" s="2949"/>
      <c r="D78" s="2950"/>
      <c r="E78" s="2951"/>
      <c r="F78" s="2975"/>
      <c r="G78" s="662">
        <f t="shared" si="17"/>
        <v>0</v>
      </c>
      <c r="H78" s="2962"/>
      <c r="I78" s="2350"/>
      <c r="J78" s="2962"/>
      <c r="K78" s="2350"/>
      <c r="L78" s="2962"/>
      <c r="M78" s="2349"/>
      <c r="N78" s="2962"/>
      <c r="O78" s="2349"/>
      <c r="P78" s="2962"/>
      <c r="Q78" s="2349"/>
      <c r="R78" s="2962"/>
      <c r="S78" s="2349"/>
    </row>
    <row r="79" spans="1:19">
      <c r="A79" s="2315" t="s">
        <v>2587</v>
      </c>
      <c r="B79" s="2983" t="s">
        <v>2663</v>
      </c>
      <c r="C79" s="2949"/>
      <c r="D79" s="2950">
        <f>SUM(D80:D82)</f>
        <v>55.5</v>
      </c>
      <c r="E79" s="2951" t="s">
        <v>2864</v>
      </c>
      <c r="F79" s="2975">
        <v>30</v>
      </c>
      <c r="G79" s="670">
        <f t="shared" ref="G79" si="18">ROUND(D79*F79,0)</f>
        <v>1665</v>
      </c>
      <c r="H79" s="2962"/>
      <c r="I79" s="2684">
        <f>$G79</f>
        <v>1665</v>
      </c>
      <c r="J79" s="2962"/>
      <c r="K79" s="2684">
        <f>$G79</f>
        <v>1665</v>
      </c>
      <c r="L79" s="2962"/>
      <c r="M79" s="2349"/>
      <c r="N79" s="2962"/>
      <c r="O79" s="2349"/>
      <c r="P79" s="2962"/>
      <c r="Q79" s="2349"/>
      <c r="R79" s="2962"/>
      <c r="S79" s="2349"/>
    </row>
    <row r="80" spans="1:19">
      <c r="A80" s="2294"/>
      <c r="B80" s="2978" t="s">
        <v>6189</v>
      </c>
      <c r="C80" s="2949" t="s">
        <v>834</v>
      </c>
      <c r="D80" s="2950">
        <v>11</v>
      </c>
      <c r="E80" s="2951" t="s">
        <v>2864</v>
      </c>
      <c r="F80" s="2975">
        <v>30</v>
      </c>
      <c r="G80" s="662">
        <f t="shared" si="17"/>
        <v>330</v>
      </c>
      <c r="H80" s="2962"/>
      <c r="I80" s="2350"/>
      <c r="J80" s="2962"/>
      <c r="K80" s="2350"/>
      <c r="L80" s="2962"/>
      <c r="M80" s="2349"/>
      <c r="N80" s="2962"/>
      <c r="O80" s="2349"/>
      <c r="P80" s="2962"/>
      <c r="Q80" s="2349"/>
      <c r="R80" s="2962"/>
      <c r="S80" s="2349"/>
    </row>
    <row r="81" spans="1:19">
      <c r="A81" s="2294"/>
      <c r="B81" s="2978" t="s">
        <v>6190</v>
      </c>
      <c r="C81" s="2949" t="s">
        <v>855</v>
      </c>
      <c r="D81" s="2950">
        <v>25</v>
      </c>
      <c r="E81" s="2951" t="s">
        <v>2864</v>
      </c>
      <c r="F81" s="2975">
        <v>30</v>
      </c>
      <c r="G81" s="662">
        <f t="shared" si="17"/>
        <v>750</v>
      </c>
      <c r="H81" s="2962"/>
      <c r="I81" s="2350"/>
      <c r="J81" s="2962"/>
      <c r="K81" s="2350"/>
      <c r="L81" s="2962"/>
      <c r="M81" s="2349"/>
      <c r="N81" s="2962"/>
      <c r="O81" s="2349"/>
      <c r="P81" s="2962"/>
      <c r="Q81" s="2349"/>
      <c r="R81" s="2962"/>
      <c r="S81" s="2349"/>
    </row>
    <row r="82" spans="1:19">
      <c r="A82" s="2294"/>
      <c r="B82" s="2978" t="s">
        <v>4093</v>
      </c>
      <c r="C82" s="2949" t="s">
        <v>1657</v>
      </c>
      <c r="D82" s="2950">
        <v>19.5</v>
      </c>
      <c r="E82" s="2951" t="s">
        <v>2864</v>
      </c>
      <c r="F82" s="2975">
        <v>30</v>
      </c>
      <c r="G82" s="662">
        <f t="shared" ref="G82:G83" si="19">ROUND(D82*F82,0)</f>
        <v>585</v>
      </c>
      <c r="H82" s="2962"/>
      <c r="I82" s="2350"/>
      <c r="J82" s="2962"/>
      <c r="K82" s="2350"/>
      <c r="L82" s="2962"/>
      <c r="M82" s="2349"/>
      <c r="N82" s="2962"/>
      <c r="O82" s="2349"/>
      <c r="P82" s="2962"/>
      <c r="Q82" s="2349"/>
      <c r="R82" s="2962"/>
      <c r="S82" s="2349"/>
    </row>
    <row r="83" spans="1:19">
      <c r="A83" s="2294"/>
      <c r="B83" s="2978"/>
      <c r="C83" s="2949"/>
      <c r="D83" s="2950"/>
      <c r="E83" s="2951"/>
      <c r="F83" s="2975"/>
      <c r="G83" s="662">
        <f t="shared" si="19"/>
        <v>0</v>
      </c>
      <c r="H83" s="2962"/>
      <c r="I83" s="2350"/>
      <c r="J83" s="2962"/>
      <c r="K83" s="2350"/>
      <c r="L83" s="2962"/>
      <c r="M83" s="2349"/>
      <c r="N83" s="2962"/>
      <c r="O83" s="2349"/>
      <c r="P83" s="2962"/>
      <c r="Q83" s="2349"/>
      <c r="R83" s="2962"/>
      <c r="S83" s="2349"/>
    </row>
    <row r="84" spans="1:19" s="175" customFormat="1" ht="30">
      <c r="A84" s="2315" t="s">
        <v>2587</v>
      </c>
      <c r="B84" s="2984" t="s">
        <v>2664</v>
      </c>
      <c r="C84" s="2309"/>
      <c r="D84" s="2310">
        <v>230</v>
      </c>
      <c r="E84" s="2311" t="s">
        <v>2803</v>
      </c>
      <c r="F84" s="2312">
        <v>150</v>
      </c>
      <c r="G84" s="653">
        <f t="shared" ref="G84:G85" si="20">ROUND(D84*F84,0)</f>
        <v>34500</v>
      </c>
      <c r="H84" s="2313"/>
      <c r="I84" s="2985">
        <f>$G84</f>
        <v>34500</v>
      </c>
      <c r="J84" s="2313"/>
      <c r="K84" s="2985">
        <f>$G84</f>
        <v>34500</v>
      </c>
      <c r="L84" s="2313"/>
      <c r="M84" s="2985">
        <f>$G84</f>
        <v>34500</v>
      </c>
      <c r="N84" s="2313"/>
      <c r="O84" s="2985">
        <f>$G84</f>
        <v>34500</v>
      </c>
      <c r="P84" s="2313"/>
      <c r="Q84" s="2985">
        <f>$G84</f>
        <v>34500</v>
      </c>
      <c r="R84" s="2313"/>
      <c r="S84" s="2985">
        <f>$G84</f>
        <v>34500</v>
      </c>
    </row>
    <row r="85" spans="1:19">
      <c r="A85" s="2294"/>
      <c r="B85" s="2978"/>
      <c r="C85" s="2949"/>
      <c r="D85" s="2950"/>
      <c r="E85" s="2951"/>
      <c r="F85" s="2975"/>
      <c r="G85" s="662">
        <f t="shared" si="20"/>
        <v>0</v>
      </c>
      <c r="H85" s="2962"/>
      <c r="I85" s="2350"/>
      <c r="J85" s="2962"/>
      <c r="K85" s="2350"/>
      <c r="L85" s="2962"/>
      <c r="M85" s="2349"/>
      <c r="N85" s="2962"/>
      <c r="O85" s="2349"/>
      <c r="P85" s="2962"/>
      <c r="Q85" s="2349"/>
      <c r="R85" s="2962"/>
      <c r="S85" s="2349"/>
    </row>
    <row r="86" spans="1:19" s="175" customFormat="1" ht="75">
      <c r="A86" s="2294"/>
      <c r="B86" s="2986" t="s">
        <v>6191</v>
      </c>
      <c r="C86" s="2309"/>
      <c r="D86" s="2310"/>
      <c r="E86" s="2311"/>
      <c r="F86" s="2312"/>
      <c r="G86" s="668">
        <f t="shared" si="6"/>
        <v>0</v>
      </c>
      <c r="H86" s="2313"/>
      <c r="I86" s="2806"/>
      <c r="J86" s="2313"/>
      <c r="K86" s="2806"/>
      <c r="L86" s="2313"/>
      <c r="M86" s="2815"/>
      <c r="N86" s="2313"/>
      <c r="O86" s="2815"/>
      <c r="P86" s="2313"/>
      <c r="Q86" s="2815"/>
      <c r="R86" s="2313"/>
      <c r="S86" s="2815"/>
    </row>
    <row r="87" spans="1:19">
      <c r="A87" s="2294"/>
      <c r="B87" s="2974"/>
      <c r="C87" s="2949"/>
      <c r="D87" s="2950"/>
      <c r="E87" s="2951"/>
      <c r="F87" s="2975"/>
      <c r="G87" s="662">
        <f t="shared" ref="G87:G90" si="21">ROUND(D87*F87,0)</f>
        <v>0</v>
      </c>
      <c r="H87" s="2962"/>
      <c r="I87" s="2350"/>
      <c r="J87" s="2962"/>
      <c r="K87" s="2350"/>
      <c r="L87" s="2962"/>
      <c r="M87" s="2349"/>
      <c r="N87" s="2962"/>
      <c r="O87" s="2349"/>
      <c r="P87" s="2962"/>
      <c r="Q87" s="2349"/>
      <c r="R87" s="2962"/>
      <c r="S87" s="2349"/>
    </row>
    <row r="88" spans="1:19">
      <c r="A88" s="2294"/>
      <c r="B88" s="2979" t="s">
        <v>3235</v>
      </c>
      <c r="C88" s="2949"/>
      <c r="D88" s="2950"/>
      <c r="E88" s="2951"/>
      <c r="F88" s="2975"/>
      <c r="G88" s="662">
        <f t="shared" si="21"/>
        <v>0</v>
      </c>
      <c r="H88" s="2962"/>
      <c r="I88" s="2352">
        <f>SUBTOTAL(9,I89:I90)</f>
        <v>6420</v>
      </c>
      <c r="J88" s="2962"/>
      <c r="K88" s="2352">
        <f>SUBTOTAL(9,K89:K90)</f>
        <v>6420</v>
      </c>
      <c r="L88" s="2962"/>
      <c r="M88" s="2352">
        <f>SUBTOTAL(9,M89:M90)</f>
        <v>0</v>
      </c>
      <c r="N88" s="2962"/>
      <c r="O88" s="2352">
        <f>SUBTOTAL(9,O89:O90)</f>
        <v>0</v>
      </c>
      <c r="P88" s="2962"/>
      <c r="Q88" s="2352">
        <f>SUBTOTAL(9,Q89:Q90)</f>
        <v>0</v>
      </c>
      <c r="R88" s="2962"/>
      <c r="S88" s="2352">
        <f>SUBTOTAL(9,S89:S90)</f>
        <v>0</v>
      </c>
    </row>
    <row r="89" spans="1:19">
      <c r="A89" s="2315" t="s">
        <v>2587</v>
      </c>
      <c r="B89" s="2983" t="s">
        <v>6192</v>
      </c>
      <c r="C89" s="2949"/>
      <c r="D89" s="2950">
        <v>214</v>
      </c>
      <c r="E89" s="2951" t="s">
        <v>2864</v>
      </c>
      <c r="F89" s="2975">
        <v>30</v>
      </c>
      <c r="G89" s="670">
        <f t="shared" si="21"/>
        <v>6420</v>
      </c>
      <c r="H89" s="2962"/>
      <c r="I89" s="2684">
        <f t="shared" ref="I89" si="22">$G89</f>
        <v>6420</v>
      </c>
      <c r="J89" s="2962"/>
      <c r="K89" s="2684">
        <f t="shared" ref="K89" si="23">$G89</f>
        <v>6420</v>
      </c>
      <c r="L89" s="2962"/>
      <c r="M89" s="2349"/>
      <c r="N89" s="2962"/>
      <c r="O89" s="2349"/>
      <c r="P89" s="2962"/>
      <c r="Q89" s="2349"/>
      <c r="R89" s="2962"/>
      <c r="S89" s="2349"/>
    </row>
    <row r="90" spans="1:19">
      <c r="A90" s="2294"/>
      <c r="B90" s="2983"/>
      <c r="C90" s="2949"/>
      <c r="D90" s="2950"/>
      <c r="E90" s="2951"/>
      <c r="F90" s="2975"/>
      <c r="G90" s="662">
        <f t="shared" si="21"/>
        <v>0</v>
      </c>
      <c r="H90" s="2962"/>
      <c r="I90" s="2350"/>
      <c r="J90" s="2962"/>
      <c r="K90" s="2350"/>
      <c r="L90" s="2962"/>
      <c r="M90" s="2349"/>
      <c r="N90" s="2962"/>
      <c r="O90" s="2349"/>
      <c r="P90" s="2962"/>
      <c r="Q90" s="2349"/>
      <c r="R90" s="2962"/>
      <c r="S90" s="2349"/>
    </row>
    <row r="91" spans="1:19">
      <c r="A91" s="2294"/>
      <c r="B91" s="2979" t="s">
        <v>2697</v>
      </c>
      <c r="C91" s="2949"/>
      <c r="D91" s="2950"/>
      <c r="E91" s="2951"/>
      <c r="F91" s="2975"/>
      <c r="G91" s="662">
        <f t="shared" si="6"/>
        <v>0</v>
      </c>
      <c r="H91" s="2962"/>
      <c r="I91" s="2352">
        <f>SUBTOTAL(9,I92:I93)</f>
        <v>3000</v>
      </c>
      <c r="J91" s="2962"/>
      <c r="K91" s="2352">
        <f>SUBTOTAL(9,K92:K93)</f>
        <v>3000</v>
      </c>
      <c r="L91" s="2962"/>
      <c r="M91" s="2352">
        <f>SUBTOTAL(9,M92:M93)</f>
        <v>0</v>
      </c>
      <c r="N91" s="2962"/>
      <c r="O91" s="2352">
        <f>SUBTOTAL(9,O92:O93)</f>
        <v>0</v>
      </c>
      <c r="P91" s="2962"/>
      <c r="Q91" s="2352">
        <f>SUBTOTAL(9,Q92:Q93)</f>
        <v>0</v>
      </c>
      <c r="R91" s="2962"/>
      <c r="S91" s="2352">
        <f>SUBTOTAL(9,S92:S93)</f>
        <v>0</v>
      </c>
    </row>
    <row r="92" spans="1:19">
      <c r="A92" s="2315" t="s">
        <v>2587</v>
      </c>
      <c r="B92" s="2983" t="s">
        <v>6192</v>
      </c>
      <c r="C92" s="2949"/>
      <c r="D92" s="2950">
        <v>100</v>
      </c>
      <c r="E92" s="2951" t="s">
        <v>2864</v>
      </c>
      <c r="F92" s="2975">
        <v>30</v>
      </c>
      <c r="G92" s="670">
        <f t="shared" si="6"/>
        <v>3000</v>
      </c>
      <c r="H92" s="2962"/>
      <c r="I92" s="2684">
        <f t="shared" ref="I92" si="24">$G92</f>
        <v>3000</v>
      </c>
      <c r="J92" s="2962"/>
      <c r="K92" s="2684">
        <f t="shared" ref="K92" si="25">$G92</f>
        <v>3000</v>
      </c>
      <c r="L92" s="2962"/>
      <c r="M92" s="2349"/>
      <c r="N92" s="2962"/>
      <c r="O92" s="2349"/>
      <c r="P92" s="2962"/>
      <c r="Q92" s="2349"/>
      <c r="R92" s="2962"/>
      <c r="S92" s="2349"/>
    </row>
    <row r="93" spans="1:19">
      <c r="A93" s="2294"/>
      <c r="B93" s="2983"/>
      <c r="C93" s="2949"/>
      <c r="D93" s="2950"/>
      <c r="E93" s="2951"/>
      <c r="F93" s="2975"/>
      <c r="G93" s="662">
        <f t="shared" si="6"/>
        <v>0</v>
      </c>
      <c r="H93" s="2962"/>
      <c r="I93" s="2350"/>
      <c r="J93" s="2962"/>
      <c r="K93" s="2350"/>
      <c r="L93" s="2962"/>
      <c r="M93" s="2349"/>
      <c r="N93" s="2962"/>
      <c r="O93" s="2349"/>
      <c r="P93" s="2962"/>
      <c r="Q93" s="2349"/>
      <c r="R93" s="2962"/>
      <c r="S93" s="2349"/>
    </row>
    <row r="94" spans="1:19" ht="15.75" thickBot="1">
      <c r="A94" s="2964"/>
      <c r="B94" s="2227"/>
      <c r="C94" s="2228"/>
      <c r="D94" s="2229"/>
      <c r="E94" s="2951"/>
      <c r="F94" s="2230"/>
      <c r="G94" s="662"/>
      <c r="H94" s="2962"/>
      <c r="I94" s="2350"/>
      <c r="J94" s="2962"/>
      <c r="K94" s="2350"/>
      <c r="L94" s="2962"/>
      <c r="M94" s="2350"/>
      <c r="N94" s="2962"/>
      <c r="O94" s="2350"/>
      <c r="P94" s="2962"/>
      <c r="Q94" s="2350"/>
      <c r="R94" s="2962"/>
      <c r="S94" s="2350"/>
    </row>
    <row r="95" spans="1:19" ht="15.75" thickTop="1">
      <c r="A95" s="13"/>
      <c r="B95" s="226" t="s">
        <v>3265</v>
      </c>
      <c r="C95" s="15"/>
      <c r="D95" s="168"/>
      <c r="E95" s="176"/>
      <c r="F95" s="17"/>
      <c r="G95" s="227">
        <f>SUBTOTAL(9,G21:G94)</f>
        <v>47250</v>
      </c>
      <c r="H95" s="19"/>
      <c r="I95" s="225">
        <f>SUBTOTAL(9,I20:I94)</f>
        <v>461368.81999999995</v>
      </c>
      <c r="J95" s="19"/>
      <c r="K95" s="225">
        <f>SUBTOTAL(9,K20:K94)</f>
        <v>516216.3</v>
      </c>
      <c r="L95" s="19"/>
      <c r="M95" s="225">
        <f>SUBTOTAL(9,M20:M94)</f>
        <v>34500</v>
      </c>
      <c r="N95" s="19"/>
      <c r="O95" s="225">
        <f>SUBTOTAL(9,O20:O94)</f>
        <v>34500</v>
      </c>
      <c r="P95" s="19"/>
      <c r="Q95" s="225">
        <f>SUBTOTAL(9,Q20:Q94)</f>
        <v>34500</v>
      </c>
      <c r="R95" s="19"/>
      <c r="S95" s="225">
        <f>SUBTOTAL(9,S20:S94)</f>
        <v>34500</v>
      </c>
    </row>
    <row r="96" spans="1:19">
      <c r="A96" s="2908"/>
      <c r="B96" s="2909" t="s">
        <v>2976</v>
      </c>
      <c r="C96" s="2910"/>
      <c r="D96" s="2911"/>
      <c r="E96" s="2912"/>
      <c r="F96" s="2913"/>
      <c r="G96" s="654"/>
      <c r="H96" s="2914">
        <v>0</v>
      </c>
      <c r="I96" s="645"/>
      <c r="J96" s="2914">
        <v>0</v>
      </c>
      <c r="K96" s="645"/>
      <c r="L96" s="2914">
        <v>0</v>
      </c>
      <c r="M96" s="645"/>
      <c r="N96" s="2914">
        <v>0</v>
      </c>
      <c r="O96" s="645"/>
      <c r="P96" s="2914">
        <v>0</v>
      </c>
      <c r="Q96" s="645"/>
      <c r="R96" s="2914">
        <v>0</v>
      </c>
      <c r="S96" s="645"/>
    </row>
    <row r="97" spans="1:34">
      <c r="A97" s="2908"/>
      <c r="B97" s="2909" t="s">
        <v>2977</v>
      </c>
      <c r="C97" s="2910"/>
      <c r="D97" s="2911"/>
      <c r="E97" s="2912"/>
      <c r="F97" s="2913"/>
      <c r="G97" s="654">
        <f>F96*G95</f>
        <v>0</v>
      </c>
      <c r="H97" s="2915"/>
      <c r="I97" s="2916">
        <f>H96*I95</f>
        <v>0</v>
      </c>
      <c r="J97" s="2915"/>
      <c r="K97" s="2916">
        <f>J96*K95</f>
        <v>0</v>
      </c>
      <c r="L97" s="2915"/>
      <c r="M97" s="2916">
        <f>L96*M95</f>
        <v>0</v>
      </c>
      <c r="N97" s="2915"/>
      <c r="O97" s="2916">
        <f>N96*O95</f>
        <v>0</v>
      </c>
      <c r="P97" s="2915"/>
      <c r="Q97" s="2916">
        <f>P96*Q95</f>
        <v>0</v>
      </c>
      <c r="R97" s="2915"/>
      <c r="S97" s="2916">
        <f>R96*S95</f>
        <v>0</v>
      </c>
    </row>
    <row r="98" spans="1:34">
      <c r="A98" s="2908"/>
      <c r="B98" s="2909"/>
      <c r="C98" s="2910"/>
      <c r="D98" s="2911"/>
      <c r="E98" s="2912"/>
      <c r="F98" s="2913"/>
      <c r="G98" s="654"/>
      <c r="H98" s="2915"/>
      <c r="I98" s="2916"/>
      <c r="J98" s="2915"/>
      <c r="K98" s="2916"/>
      <c r="L98" s="2915"/>
      <c r="M98" s="2916"/>
      <c r="N98" s="2915"/>
      <c r="O98" s="2916"/>
      <c r="P98" s="2915"/>
      <c r="Q98" s="2916"/>
      <c r="R98" s="2915"/>
      <c r="S98" s="2916"/>
    </row>
    <row r="99" spans="1:34">
      <c r="A99" s="2908"/>
      <c r="B99" s="2909" t="s">
        <v>2978</v>
      </c>
      <c r="C99" s="2910"/>
      <c r="D99" s="2911"/>
      <c r="E99" s="2912"/>
      <c r="F99" s="2913"/>
      <c r="G99" s="654">
        <f>SUM(G95:G97)</f>
        <v>47250</v>
      </c>
      <c r="H99" s="2917"/>
      <c r="I99" s="2916">
        <f>SUM(I95:I97)</f>
        <v>461368.81999999995</v>
      </c>
      <c r="J99" s="2917"/>
      <c r="K99" s="2916">
        <f>SUM(K95:K97)</f>
        <v>516216.3</v>
      </c>
      <c r="L99" s="2917"/>
      <c r="M99" s="2916">
        <f>SUM(M95:M97)</f>
        <v>34500</v>
      </c>
      <c r="N99" s="2917"/>
      <c r="O99" s="2916">
        <f>SUM(O95:O97)</f>
        <v>34500</v>
      </c>
      <c r="P99" s="2917"/>
      <c r="Q99" s="2916">
        <f>SUM(Q95:Q97)</f>
        <v>34500</v>
      </c>
      <c r="R99" s="2917"/>
      <c r="S99" s="2916">
        <f>SUM(S95:S97)</f>
        <v>34500</v>
      </c>
    </row>
    <row r="100" spans="1:34">
      <c r="A100" s="2908"/>
      <c r="B100" s="2918" t="s">
        <v>2979</v>
      </c>
      <c r="C100" s="2910"/>
      <c r="D100" s="2911"/>
      <c r="E100" s="2912"/>
      <c r="F100" s="2918"/>
      <c r="G100" s="655">
        <f>G99/'Area Calculations'!$F$5</f>
        <v>0.53286268495128108</v>
      </c>
      <c r="H100" s="2919"/>
      <c r="I100" s="2920">
        <f>I99/'Area Calculations'!$F$5</f>
        <v>5.2030947762540594</v>
      </c>
      <c r="J100" s="2919"/>
      <c r="K100" s="2920">
        <f>K99/'Area Calculations'!$F$5</f>
        <v>5.8216381721400214</v>
      </c>
      <c r="L100" s="2919"/>
      <c r="M100" s="2920">
        <f>M99/'Area Calculations'!$F$5</f>
        <v>0.3890743413929989</v>
      </c>
      <c r="N100" s="2919"/>
      <c r="O100" s="2920">
        <f>O99/'Area Calculations'!$F$5</f>
        <v>0.3890743413929989</v>
      </c>
      <c r="P100" s="2919"/>
      <c r="Q100" s="2920">
        <f>Q99/'Area Calculations'!$F$5</f>
        <v>0.3890743413929989</v>
      </c>
      <c r="R100" s="2921"/>
      <c r="S100" s="2920">
        <f>S99/'Area Calculations'!$F$5</f>
        <v>0.3890743413929989</v>
      </c>
    </row>
    <row r="101" spans="1:34">
      <c r="A101" s="2908"/>
      <c r="B101" s="2922"/>
      <c r="C101" s="2910"/>
      <c r="D101" s="2911"/>
      <c r="E101" s="2912"/>
      <c r="F101" s="2913"/>
      <c r="G101" s="656"/>
      <c r="H101" s="2923"/>
      <c r="I101" s="2924"/>
      <c r="J101" s="2923"/>
      <c r="K101" s="2924"/>
      <c r="L101" s="2923"/>
      <c r="M101" s="2923"/>
      <c r="N101" s="2923"/>
      <c r="O101" s="2923"/>
      <c r="P101" s="2923"/>
      <c r="Q101" s="2923"/>
      <c r="R101" s="2923"/>
      <c r="S101" s="2923"/>
    </row>
    <row r="102" spans="1:34" ht="16.5" hidden="1" thickTop="1" thickBot="1">
      <c r="A102" s="830" t="s">
        <v>2980</v>
      </c>
      <c r="B102" s="831"/>
      <c r="C102" s="12"/>
      <c r="D102" s="169"/>
      <c r="E102" s="177"/>
      <c r="F102" s="12"/>
      <c r="G102" s="228"/>
      <c r="H102" s="20"/>
      <c r="I102" s="553"/>
      <c r="J102" s="20"/>
      <c r="K102" s="553"/>
      <c r="L102" s="20"/>
      <c r="M102" s="20"/>
      <c r="N102" s="20"/>
      <c r="O102" s="20"/>
      <c r="P102" s="20"/>
      <c r="Q102" s="20"/>
      <c r="R102" s="20"/>
      <c r="S102" s="20"/>
    </row>
    <row r="103" spans="1:34" ht="15.75" hidden="1" thickTop="1">
      <c r="A103" s="2925"/>
      <c r="B103" s="2948"/>
      <c r="C103" s="2926"/>
      <c r="D103" s="2927"/>
      <c r="E103" s="2928"/>
      <c r="F103" s="2926"/>
      <c r="G103" s="2929"/>
      <c r="H103" s="2930"/>
      <c r="I103" s="2987"/>
      <c r="J103" s="2930"/>
      <c r="K103" s="2987"/>
      <c r="L103" s="2930"/>
      <c r="M103" s="2930"/>
      <c r="N103" s="2930"/>
      <c r="O103" s="2930"/>
      <c r="P103" s="2930"/>
      <c r="Q103" s="2930"/>
      <c r="R103" s="2930"/>
      <c r="S103" s="2930"/>
    </row>
    <row r="104" spans="1:34" hidden="1">
      <c r="A104" s="2925"/>
      <c r="B104" s="2948"/>
      <c r="C104" s="2926"/>
      <c r="D104" s="2927"/>
      <c r="E104" s="2928"/>
      <c r="F104" s="2926"/>
      <c r="G104" s="2929"/>
      <c r="H104" s="2930"/>
      <c r="I104" s="2987"/>
      <c r="J104" s="2930"/>
      <c r="K104" s="2987"/>
      <c r="L104" s="2930"/>
      <c r="M104" s="2930"/>
      <c r="N104" s="2930"/>
      <c r="O104" s="2930"/>
      <c r="P104" s="2930"/>
      <c r="Q104" s="2930"/>
      <c r="R104" s="2930"/>
      <c r="S104" s="2930"/>
    </row>
    <row r="105" spans="1:34" ht="15.75" hidden="1" thickBot="1">
      <c r="A105" s="2925"/>
      <c r="B105" s="2948"/>
      <c r="C105" s="2926"/>
      <c r="D105" s="2927"/>
      <c r="E105" s="2928"/>
      <c r="F105" s="2926"/>
      <c r="G105" s="2929"/>
      <c r="H105" s="2930"/>
      <c r="I105" s="2987"/>
      <c r="J105" s="2930"/>
      <c r="K105" s="2987"/>
      <c r="L105" s="2930"/>
      <c r="M105" s="2930"/>
      <c r="N105" s="2930"/>
      <c r="O105" s="2930"/>
      <c r="P105" s="2930"/>
      <c r="Q105" s="2930"/>
      <c r="R105" s="2930"/>
      <c r="S105" s="2930"/>
    </row>
    <row r="106" spans="1:34" s="2" customFormat="1" ht="16.5" hidden="1" thickTop="1" thickBot="1">
      <c r="A106" s="830" t="s">
        <v>2981</v>
      </c>
      <c r="B106" s="831"/>
      <c r="C106" s="12"/>
      <c r="D106" s="169"/>
      <c r="E106" s="177"/>
      <c r="F106" s="12"/>
      <c r="G106" s="228"/>
      <c r="H106" s="20"/>
      <c r="I106" s="553"/>
      <c r="J106" s="20"/>
      <c r="K106" s="553"/>
      <c r="L106" s="20"/>
      <c r="M106" s="20"/>
      <c r="N106" s="20"/>
      <c r="O106" s="20"/>
      <c r="P106" s="20"/>
      <c r="Q106" s="20"/>
      <c r="R106" s="20"/>
      <c r="S106" s="20"/>
      <c r="T106"/>
      <c r="U106"/>
      <c r="V106"/>
      <c r="W106"/>
      <c r="X106"/>
      <c r="Y106"/>
      <c r="Z106"/>
      <c r="AA106"/>
      <c r="AB106"/>
      <c r="AC106"/>
      <c r="AD106"/>
      <c r="AE106"/>
      <c r="AF106"/>
      <c r="AG106"/>
      <c r="AH106"/>
    </row>
    <row r="107" spans="1:34" s="2" customFormat="1" ht="15.75" hidden="1" thickTop="1">
      <c r="A107" s="2925"/>
      <c r="B107" s="2948"/>
      <c r="C107" s="2926"/>
      <c r="D107" s="2927"/>
      <c r="E107" s="2928"/>
      <c r="F107" s="2926"/>
      <c r="G107" s="2929"/>
      <c r="H107" s="2930"/>
      <c r="I107" s="2987"/>
      <c r="J107" s="2930"/>
      <c r="K107" s="2987"/>
      <c r="L107" s="2930"/>
      <c r="M107" s="2930"/>
      <c r="N107" s="2930"/>
      <c r="O107" s="2930"/>
      <c r="P107" s="2930"/>
      <c r="Q107" s="2930"/>
      <c r="R107" s="2930"/>
      <c r="S107" s="2930"/>
      <c r="T107"/>
      <c r="U107"/>
      <c r="V107"/>
      <c r="W107"/>
      <c r="X107"/>
      <c r="Y107"/>
      <c r="Z107"/>
      <c r="AA107"/>
      <c r="AB107"/>
      <c r="AC107"/>
      <c r="AD107"/>
      <c r="AE107"/>
      <c r="AF107"/>
      <c r="AG107"/>
      <c r="AH107"/>
    </row>
    <row r="108" spans="1:34" s="2" customFormat="1" hidden="1">
      <c r="A108" s="2925"/>
      <c r="B108" s="2948"/>
      <c r="C108" s="2926"/>
      <c r="D108" s="2927"/>
      <c r="E108" s="2928"/>
      <c r="F108" s="2926"/>
      <c r="G108" s="2929"/>
      <c r="H108" s="2930"/>
      <c r="I108" s="2987"/>
      <c r="J108" s="2930"/>
      <c r="K108" s="2987"/>
      <c r="L108" s="2930"/>
      <c r="M108" s="2930"/>
      <c r="N108" s="2930"/>
      <c r="O108" s="2930"/>
      <c r="P108" s="2930"/>
      <c r="Q108" s="2930"/>
      <c r="R108" s="2930"/>
      <c r="S108" s="2930"/>
      <c r="T108"/>
      <c r="U108"/>
      <c r="V108"/>
      <c r="W108"/>
      <c r="X108"/>
      <c r="Y108"/>
      <c r="Z108"/>
      <c r="AA108"/>
      <c r="AB108"/>
      <c r="AC108"/>
      <c r="AD108"/>
      <c r="AE108"/>
      <c r="AF108"/>
      <c r="AG108"/>
      <c r="AH108"/>
    </row>
    <row r="109" spans="1:34" ht="15.75" hidden="1" thickBot="1">
      <c r="A109" s="2925"/>
      <c r="B109" s="2948"/>
      <c r="C109" s="2926"/>
      <c r="D109" s="2927"/>
      <c r="E109" s="2928"/>
      <c r="F109" s="2926"/>
      <c r="G109" s="2929"/>
      <c r="H109" s="2930"/>
      <c r="I109" s="2987"/>
      <c r="J109" s="2930"/>
      <c r="K109" s="2987"/>
      <c r="L109" s="2930"/>
      <c r="M109" s="2930"/>
      <c r="N109" s="2930"/>
      <c r="O109" s="2930"/>
      <c r="P109" s="2930"/>
      <c r="Q109" s="2930"/>
      <c r="R109" s="2930"/>
      <c r="S109" s="2930"/>
    </row>
    <row r="110" spans="1:34" s="2" customFormat="1" ht="16.5" hidden="1" thickTop="1" thickBot="1">
      <c r="A110" s="830" t="s">
        <v>2982</v>
      </c>
      <c r="B110" s="831"/>
      <c r="C110" s="12"/>
      <c r="D110" s="169"/>
      <c r="E110" s="177"/>
      <c r="F110" s="12"/>
      <c r="G110" s="228"/>
      <c r="H110" s="20"/>
      <c r="I110" s="553"/>
      <c r="J110" s="20"/>
      <c r="K110" s="553"/>
      <c r="L110" s="20"/>
      <c r="M110" s="20"/>
      <c r="N110" s="20"/>
      <c r="O110" s="20"/>
      <c r="P110" s="20"/>
      <c r="Q110" s="20"/>
      <c r="R110" s="20"/>
      <c r="S110" s="20"/>
      <c r="T110"/>
      <c r="U110"/>
      <c r="V110"/>
      <c r="W110"/>
      <c r="X110"/>
      <c r="Y110"/>
      <c r="Z110"/>
      <c r="AA110"/>
      <c r="AB110"/>
      <c r="AC110"/>
      <c r="AD110"/>
      <c r="AE110"/>
      <c r="AF110"/>
      <c r="AG110"/>
      <c r="AH110"/>
    </row>
    <row r="111" spans="1:34" s="2" customFormat="1" ht="15.75" hidden="1" thickTop="1">
      <c r="A111" s="2925"/>
      <c r="B111" s="2948"/>
      <c r="C111" s="2926"/>
      <c r="D111" s="2927"/>
      <c r="E111" s="2928"/>
      <c r="F111" s="2926"/>
      <c r="G111" s="2929"/>
      <c r="H111" s="2930"/>
      <c r="I111" s="2987"/>
      <c r="J111" s="2930"/>
      <c r="K111" s="2987"/>
      <c r="L111" s="2930"/>
      <c r="M111" s="2930"/>
      <c r="N111" s="2930"/>
      <c r="O111" s="2930"/>
      <c r="P111" s="2930"/>
      <c r="Q111" s="2930"/>
      <c r="R111" s="2930"/>
      <c r="S111" s="2930"/>
      <c r="T111"/>
      <c r="U111"/>
      <c r="V111"/>
      <c r="W111"/>
      <c r="X111"/>
      <c r="Y111"/>
      <c r="Z111"/>
      <c r="AA111"/>
      <c r="AB111"/>
      <c r="AC111"/>
      <c r="AD111"/>
      <c r="AE111"/>
      <c r="AF111"/>
      <c r="AG111"/>
      <c r="AH111"/>
    </row>
    <row r="112" spans="1:34" s="2" customFormat="1" hidden="1">
      <c r="A112" s="2931"/>
      <c r="B112" s="2948"/>
      <c r="C112" s="2949"/>
      <c r="D112" s="2950"/>
      <c r="E112" s="2951"/>
      <c r="F112" s="2949"/>
      <c r="G112" s="2932"/>
      <c r="H112" s="2933"/>
      <c r="I112" s="2988"/>
      <c r="J112" s="2933"/>
      <c r="K112" s="2988"/>
      <c r="L112" s="2933"/>
      <c r="M112" s="2933"/>
      <c r="N112" s="2933"/>
      <c r="O112" s="2933"/>
      <c r="P112" s="2933"/>
      <c r="Q112" s="2933"/>
      <c r="R112" s="2933"/>
      <c r="S112" s="2933"/>
      <c r="T112"/>
      <c r="U112"/>
      <c r="V112"/>
      <c r="W112"/>
      <c r="X112"/>
      <c r="Y112"/>
      <c r="Z112"/>
      <c r="AA112"/>
      <c r="AB112"/>
      <c r="AC112"/>
      <c r="AD112"/>
      <c r="AE112"/>
      <c r="AF112"/>
      <c r="AG112"/>
      <c r="AH112"/>
    </row>
    <row r="113" spans="1:34" s="2" customFormat="1" ht="15.75" hidden="1" thickBot="1">
      <c r="A113" s="2934"/>
      <c r="B113" s="2935"/>
      <c r="C113" s="2949"/>
      <c r="D113" s="2950"/>
      <c r="E113" s="2951"/>
      <c r="F113" s="2949"/>
      <c r="G113" s="2932"/>
      <c r="H113" s="2936"/>
      <c r="I113" s="2989"/>
      <c r="J113" s="2936"/>
      <c r="K113" s="2989"/>
      <c r="L113" s="2936"/>
      <c r="M113" s="2936"/>
      <c r="N113" s="2936"/>
      <c r="O113" s="2936"/>
      <c r="P113" s="2936"/>
      <c r="Q113" s="2936"/>
      <c r="R113" s="2936"/>
      <c r="S113" s="2936"/>
    </row>
    <row r="114" spans="1:34" s="2" customFormat="1" ht="16.5" hidden="1" thickTop="1" thickBot="1">
      <c r="A114" s="830" t="s">
        <v>2983</v>
      </c>
      <c r="B114" s="831"/>
      <c r="C114" s="12"/>
      <c r="D114" s="169"/>
      <c r="E114" s="177"/>
      <c r="F114" s="12"/>
      <c r="G114" s="228"/>
      <c r="H114" s="20"/>
      <c r="I114" s="553"/>
      <c r="J114" s="20"/>
      <c r="K114" s="553"/>
      <c r="L114" s="20"/>
      <c r="M114" s="20"/>
      <c r="N114" s="20"/>
      <c r="O114" s="20"/>
      <c r="P114" s="20"/>
      <c r="Q114" s="20"/>
      <c r="R114" s="20"/>
      <c r="S114" s="20"/>
      <c r="T114"/>
      <c r="U114"/>
      <c r="V114"/>
      <c r="W114"/>
      <c r="X114"/>
      <c r="Y114"/>
      <c r="Z114"/>
      <c r="AA114"/>
      <c r="AB114"/>
      <c r="AC114"/>
      <c r="AD114"/>
      <c r="AE114"/>
      <c r="AF114"/>
      <c r="AG114"/>
      <c r="AH114"/>
    </row>
    <row r="115" spans="1:34" ht="15.75" hidden="1" thickTop="1">
      <c r="A115" s="2937"/>
      <c r="B115" s="2938"/>
      <c r="C115" s="2926"/>
      <c r="D115" s="2927"/>
      <c r="E115" s="2928"/>
      <c r="F115" s="2926"/>
      <c r="G115" s="2929"/>
      <c r="H115" s="2930"/>
      <c r="I115" s="2987"/>
      <c r="J115" s="2930"/>
      <c r="K115" s="2987"/>
      <c r="L115" s="2930"/>
      <c r="M115" s="2930"/>
      <c r="N115" s="2930"/>
      <c r="O115" s="2930"/>
      <c r="P115" s="2930"/>
      <c r="Q115" s="2930"/>
      <c r="R115" s="2930"/>
      <c r="S115" s="2930"/>
      <c r="T115" s="2"/>
      <c r="U115" s="2"/>
      <c r="V115" s="2"/>
      <c r="W115" s="2"/>
      <c r="X115" s="2"/>
      <c r="Y115" s="2"/>
      <c r="Z115" s="2"/>
      <c r="AA115" s="2"/>
      <c r="AB115" s="2"/>
      <c r="AC115" s="2"/>
      <c r="AD115" s="2"/>
      <c r="AE115" s="2"/>
      <c r="AF115" s="2"/>
      <c r="AG115" s="2"/>
      <c r="AH115" s="2"/>
    </row>
    <row r="116" spans="1:34" hidden="1">
      <c r="A116" s="2934"/>
      <c r="B116" s="2935"/>
      <c r="C116" s="2949"/>
      <c r="D116" s="2950"/>
      <c r="E116" s="2951"/>
      <c r="F116" s="2949"/>
      <c r="G116" s="2932"/>
      <c r="H116" s="2939"/>
      <c r="I116" s="2989"/>
      <c r="J116" s="2939"/>
      <c r="K116" s="2989"/>
      <c r="L116" s="2939"/>
      <c r="M116" s="2939"/>
      <c r="N116" s="2939"/>
      <c r="O116" s="2939"/>
      <c r="P116" s="2939"/>
      <c r="Q116" s="2939"/>
      <c r="R116" s="2939"/>
      <c r="S116" s="2939"/>
      <c r="T116" s="2"/>
      <c r="U116" s="2"/>
      <c r="V116" s="2"/>
      <c r="W116" s="2"/>
      <c r="X116" s="2"/>
      <c r="Y116" s="2"/>
      <c r="Z116" s="2"/>
      <c r="AA116" s="2"/>
      <c r="AB116" s="2"/>
      <c r="AC116" s="2"/>
      <c r="AD116" s="2"/>
      <c r="AE116" s="2"/>
      <c r="AF116" s="2"/>
      <c r="AG116" s="2"/>
      <c r="AH116" s="2"/>
    </row>
    <row r="117" spans="1:34" ht="15.75" hidden="1" thickBot="1">
      <c r="A117" s="2934"/>
      <c r="B117" s="2935"/>
      <c r="C117" s="2949"/>
      <c r="D117" s="2950"/>
      <c r="E117" s="2951"/>
      <c r="F117" s="2949"/>
      <c r="G117" s="2932"/>
      <c r="H117" s="2939"/>
      <c r="I117" s="2989"/>
      <c r="J117" s="2939"/>
      <c r="K117" s="2989"/>
      <c r="L117" s="2939"/>
      <c r="M117" s="2939"/>
      <c r="N117" s="2939"/>
      <c r="O117" s="2939"/>
      <c r="P117" s="2939"/>
      <c r="Q117" s="2939"/>
      <c r="R117" s="2939"/>
      <c r="S117" s="2939"/>
      <c r="T117" s="2"/>
      <c r="U117" s="2"/>
      <c r="V117" s="2"/>
      <c r="W117" s="2"/>
      <c r="X117" s="2"/>
      <c r="Y117" s="2"/>
      <c r="Z117" s="2"/>
      <c r="AA117" s="2"/>
      <c r="AB117" s="2"/>
      <c r="AC117" s="2"/>
      <c r="AD117" s="2"/>
      <c r="AE117" s="2"/>
      <c r="AF117" s="2"/>
      <c r="AG117" s="2"/>
      <c r="AH117" s="2"/>
    </row>
    <row r="118" spans="1:34" ht="16.5" hidden="1" thickTop="1" thickBot="1">
      <c r="A118" s="830" t="s">
        <v>2984</v>
      </c>
      <c r="B118" s="831"/>
      <c r="C118" s="12"/>
      <c r="D118" s="169"/>
      <c r="E118" s="177"/>
      <c r="F118" s="12"/>
      <c r="G118" s="228"/>
      <c r="H118" s="20"/>
      <c r="I118" s="553"/>
      <c r="J118" s="20"/>
      <c r="K118" s="553"/>
      <c r="L118" s="20"/>
      <c r="M118" s="20"/>
      <c r="N118" s="20"/>
      <c r="O118" s="20"/>
      <c r="P118" s="20"/>
      <c r="Q118" s="20"/>
      <c r="R118" s="20"/>
      <c r="S118" s="20"/>
    </row>
    <row r="119" spans="1:34" ht="15.75" hidden="1" thickTop="1">
      <c r="A119" s="2931"/>
      <c r="B119" s="2948" t="s">
        <v>2985</v>
      </c>
      <c r="C119" s="2949"/>
      <c r="D119" s="2950"/>
      <c r="E119" s="2951"/>
      <c r="F119" s="2949"/>
      <c r="G119" s="2932"/>
      <c r="H119" s="2939"/>
      <c r="I119" s="2989"/>
      <c r="J119" s="2939"/>
      <c r="K119" s="2989"/>
      <c r="L119" s="2939"/>
      <c r="M119" s="2939"/>
      <c r="N119" s="2939"/>
      <c r="O119" s="2939"/>
      <c r="P119" s="2939"/>
      <c r="Q119" s="2939"/>
      <c r="R119" s="2939"/>
      <c r="S119" s="2939"/>
    </row>
    <row r="120" spans="1:34" hidden="1">
      <c r="A120" s="2931"/>
      <c r="B120" s="2948" t="s">
        <v>2986</v>
      </c>
      <c r="C120" s="2949"/>
      <c r="D120" s="2950"/>
      <c r="E120" s="2951"/>
      <c r="F120" s="2949"/>
      <c r="G120" s="2932"/>
      <c r="H120" s="2939"/>
      <c r="I120" s="2989"/>
      <c r="J120" s="2939"/>
      <c r="K120" s="2989"/>
      <c r="L120" s="2939"/>
      <c r="M120" s="2939"/>
      <c r="N120" s="2939"/>
      <c r="O120" s="2939"/>
      <c r="P120" s="2939"/>
      <c r="Q120" s="2939"/>
      <c r="R120" s="2939"/>
      <c r="S120" s="2939"/>
    </row>
    <row r="121" spans="1:34" hidden="1">
      <c r="A121" s="2931"/>
      <c r="B121" s="2948" t="s">
        <v>2987</v>
      </c>
      <c r="C121" s="2949"/>
      <c r="D121" s="2950"/>
      <c r="E121" s="2951"/>
      <c r="F121" s="2949"/>
      <c r="G121" s="2932"/>
      <c r="H121" s="2939"/>
      <c r="I121" s="2989"/>
      <c r="J121" s="2939"/>
      <c r="K121" s="2989"/>
      <c r="L121" s="2939"/>
      <c r="M121" s="2939"/>
      <c r="N121" s="2939"/>
      <c r="O121" s="2939"/>
      <c r="P121" s="2939"/>
      <c r="Q121" s="2939"/>
      <c r="R121" s="2939"/>
      <c r="S121" s="2939"/>
    </row>
    <row r="122" spans="1:34" hidden="1">
      <c r="A122" s="2931"/>
      <c r="B122" s="2948" t="s">
        <v>2988</v>
      </c>
      <c r="C122" s="2949"/>
      <c r="D122" s="2950"/>
      <c r="E122" s="2951"/>
      <c r="F122" s="2949"/>
      <c r="G122" s="2932"/>
      <c r="H122" s="2939"/>
      <c r="I122" s="2989"/>
      <c r="J122" s="2939"/>
      <c r="K122" s="2989"/>
      <c r="L122" s="2939"/>
      <c r="M122" s="2939"/>
      <c r="N122" s="2939"/>
      <c r="O122" s="2939"/>
      <c r="P122" s="2939"/>
      <c r="Q122" s="2939"/>
      <c r="R122" s="2939"/>
      <c r="S122" s="2939"/>
    </row>
    <row r="123" spans="1:34" ht="15.75" hidden="1" thickBot="1">
      <c r="A123" s="646"/>
      <c r="B123" s="619"/>
      <c r="C123" s="616"/>
      <c r="D123" s="621"/>
      <c r="E123" s="622"/>
      <c r="F123" s="616"/>
      <c r="G123" s="620"/>
      <c r="H123" s="647"/>
      <c r="I123" s="795"/>
      <c r="J123" s="647"/>
      <c r="K123" s="795"/>
      <c r="L123" s="647"/>
      <c r="M123" s="647"/>
      <c r="N123" s="647"/>
      <c r="O123" s="647"/>
      <c r="P123" s="647"/>
      <c r="Q123" s="647"/>
      <c r="R123" s="647"/>
      <c r="S123" s="647"/>
    </row>
    <row r="124" spans="1:34" ht="16.5" hidden="1" thickTop="1" thickBot="1">
      <c r="A124" s="7" t="s">
        <v>2989</v>
      </c>
      <c r="B124" s="8"/>
      <c r="C124" s="12"/>
      <c r="D124" s="169"/>
      <c r="E124" s="177"/>
      <c r="F124" s="12"/>
      <c r="G124" s="228"/>
      <c r="H124" s="20"/>
      <c r="I124" s="553"/>
      <c r="J124" s="20"/>
      <c r="K124" s="553"/>
      <c r="L124" s="20"/>
      <c r="M124" s="20"/>
      <c r="N124" s="20"/>
      <c r="O124" s="20"/>
      <c r="P124" s="20"/>
      <c r="Q124" s="20"/>
      <c r="R124" s="20"/>
      <c r="S124" s="20"/>
    </row>
    <row r="125" spans="1:34" ht="15.75" hidden="1" thickTop="1">
      <c r="A125" s="2925"/>
      <c r="B125" s="2881" t="s">
        <v>2990</v>
      </c>
      <c r="C125" s="2926"/>
      <c r="D125" s="2927"/>
      <c r="E125" s="2928"/>
      <c r="F125" s="2926"/>
      <c r="G125" s="2929"/>
      <c r="H125" s="2940"/>
      <c r="I125" s="2987"/>
      <c r="J125" s="2940"/>
      <c r="K125" s="2987"/>
      <c r="L125" s="2940"/>
      <c r="M125" s="2940"/>
      <c r="N125" s="2940"/>
      <c r="O125" s="2940"/>
      <c r="P125" s="2940"/>
      <c r="Q125" s="2940"/>
      <c r="R125" s="2940"/>
      <c r="S125" s="2940"/>
    </row>
    <row r="126" spans="1:34" hidden="1">
      <c r="A126" s="2931"/>
      <c r="B126" s="2948" t="s">
        <v>2991</v>
      </c>
      <c r="C126" s="2949"/>
      <c r="D126" s="2950"/>
      <c r="E126" s="2951"/>
      <c r="F126" s="2949"/>
      <c r="G126" s="2932"/>
      <c r="H126" s="2941"/>
      <c r="I126" s="2989"/>
      <c r="J126" s="2941"/>
      <c r="K126" s="2989"/>
      <c r="L126" s="2941"/>
      <c r="M126" s="2941"/>
      <c r="N126" s="2941"/>
      <c r="O126" s="2941"/>
      <c r="P126" s="2941"/>
      <c r="Q126" s="2941"/>
      <c r="R126" s="2941"/>
      <c r="S126" s="2941"/>
    </row>
    <row r="127" spans="1:34" ht="15.75" hidden="1" thickBot="1">
      <c r="A127" s="2256"/>
      <c r="B127" s="2284" t="s">
        <v>2992</v>
      </c>
      <c r="C127" s="2285"/>
      <c r="D127" s="2257"/>
      <c r="E127" s="2258"/>
      <c r="F127" s="2285"/>
      <c r="G127" s="2259"/>
      <c r="H127" s="2260"/>
      <c r="I127" s="2990"/>
      <c r="J127" s="2260"/>
      <c r="K127" s="2990"/>
      <c r="L127" s="2260"/>
      <c r="M127" s="2260"/>
      <c r="N127" s="2260"/>
      <c r="O127" s="2260"/>
      <c r="P127" s="2260"/>
      <c r="Q127" s="2260"/>
      <c r="R127" s="2260"/>
      <c r="S127" s="2260"/>
    </row>
    <row r="128" spans="1:34" ht="15.75" thickBot="1"/>
    <row r="129" spans="1:2" ht="16.5" thickTop="1" thickBot="1">
      <c r="A129" s="59" t="s">
        <v>2993</v>
      </c>
      <c r="B129" s="61"/>
    </row>
    <row r="130" spans="1:2" ht="15.75" thickTop="1">
      <c r="A130" s="60" t="s">
        <v>2936</v>
      </c>
      <c r="B130" s="2942"/>
    </row>
    <row r="131" spans="1:2">
      <c r="A131" s="2943" t="s">
        <v>2939</v>
      </c>
      <c r="B131" s="2942"/>
    </row>
    <row r="132" spans="1:2">
      <c r="A132" s="2944" t="s">
        <v>2941</v>
      </c>
      <c r="B132" s="2945"/>
    </row>
    <row r="133" spans="1:2">
      <c r="A133" s="2944" t="s">
        <v>2943</v>
      </c>
      <c r="B133" s="2946"/>
    </row>
    <row r="134" spans="1:2" ht="15.75" thickBot="1">
      <c r="A134" s="2267" t="s">
        <v>2994</v>
      </c>
      <c r="B134" s="2268">
        <f>$I$99</f>
        <v>461368.81999999995</v>
      </c>
    </row>
    <row r="135" spans="1:2" ht="15.75" thickTop="1"/>
    <row r="136" spans="1:2">
      <c r="A136" s="62"/>
      <c r="B136" s="1" t="s">
        <v>2995</v>
      </c>
    </row>
    <row r="137" spans="1:2">
      <c r="A137" s="63"/>
      <c r="B137" s="1" t="s">
        <v>2996</v>
      </c>
    </row>
  </sheetData>
  <mergeCells count="35">
    <mergeCell ref="A102:B102"/>
    <mergeCell ref="A106:B106"/>
    <mergeCell ref="A110:B110"/>
    <mergeCell ref="A114:B114"/>
    <mergeCell ref="A118:B118"/>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phoneticPr fontId="27" type="noConversion"/>
  <conditionalFormatting sqref="H11:H18 J11:J18 L11:L18 N11:N18 P11:P18 R11:R18 H20:H94 J20:J94 L20:L94 N20:N94 P20:P94 R20:R94">
    <cfRule type="cellIs" dxfId="95" priority="7" operator="equal">
      <formula>"X"</formula>
    </cfRule>
    <cfRule type="cellIs" dxfId="94" priority="8" operator="equal">
      <formula>"I"</formula>
    </cfRule>
  </conditionalFormatting>
  <hyperlinks>
    <hyperlink ref="B4" location="'Cost Summary'!A1" display="BACK TO SUMMARY SHEET" xr:uid="{26E72E11-4B58-4AD8-AC6C-7B9FA6369766}"/>
    <hyperlink ref="H8" r:id="rId1" xr:uid="{9F5E2190-7D9D-40E8-A164-15526E96EAFC}"/>
    <hyperlink ref="J8" r:id="rId2" xr:uid="{FFAAF527-47AC-4220-A4B9-C96966E5184F}"/>
  </hyperlinks>
  <pageMargins left="0.2" right="0.2" top="0.5" bottom="0.75" header="0.3" footer="0.3"/>
  <pageSetup scale="89" fitToHeight="0" orientation="portrait" r:id="rId3"/>
  <drawing r:id="rId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DC4E-4B89-442E-8479-C88DD70E795C}">
  <sheetPr>
    <tabColor rgb="FF00B050"/>
    <pageSetUpPr fitToPage="1"/>
  </sheetPr>
  <dimension ref="A1:AV158"/>
  <sheetViews>
    <sheetView zoomScale="90" zoomScaleNormal="90" workbookViewId="0">
      <pane xSplit="2" ySplit="10" topLeftCell="C11" activePane="bottomRight" state="frozen"/>
      <selection pane="bottomRight" activeCell="F23" sqref="F23"/>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36" bestFit="1" customWidth="1"/>
    <col min="7" max="7" width="15.28515625" style="511" bestFit="1" customWidth="1"/>
    <col min="8" max="8" width="7.42578125" style="511" bestFit="1" customWidth="1"/>
    <col min="9" max="9" width="14.85546875" style="511" customWidth="1"/>
    <col min="10" max="10" width="7.42578125" style="511" bestFit="1" customWidth="1"/>
    <col min="11" max="11" width="14.85546875" style="511" customWidth="1"/>
    <col min="12" max="12" width="7.42578125" style="511" bestFit="1" customWidth="1"/>
    <col min="13" max="13" width="14.85546875" style="511" customWidth="1"/>
    <col min="14" max="14" width="7.42578125" style="511" bestFit="1" customWidth="1"/>
    <col min="15" max="15" width="14.85546875" style="511" customWidth="1"/>
    <col min="16" max="16" width="7.42578125" style="511" bestFit="1" customWidth="1"/>
    <col min="17" max="17" width="14.85546875" style="511" customWidth="1"/>
    <col min="18" max="18" width="7.42578125" style="2" bestFit="1" customWidth="1"/>
    <col min="19" max="19" width="14.85546875" style="511" customWidth="1"/>
    <col min="20" max="20" width="7.42578125" style="511" bestFit="1" customWidth="1"/>
    <col min="21" max="21" width="14.85546875" style="511" customWidth="1"/>
    <col min="24" max="24" width="11.140625" bestFit="1" customWidth="1"/>
    <col min="25" max="25" width="10" bestFit="1" customWidth="1"/>
    <col min="27" max="27" width="9.28515625" bestFit="1" customWidth="1"/>
    <col min="29" max="29" width="9.140625" style="300"/>
    <col min="30" max="30" width="10" bestFit="1" customWidth="1"/>
    <col min="36" max="36" width="10.7109375" customWidth="1"/>
    <col min="37" max="37" width="70.7109375" style="1" customWidth="1"/>
    <col min="38" max="38" width="10.85546875" style="2" hidden="1" customWidth="1"/>
    <col min="39" max="39" width="15.7109375" style="165" hidden="1" customWidth="1"/>
    <col min="40" max="40" width="7.42578125" style="79" hidden="1" customWidth="1"/>
    <col min="41" max="41" width="16.42578125" style="2" hidden="1" customWidth="1"/>
    <col min="42" max="42" width="15.28515625" style="511" bestFit="1" customWidth="1"/>
    <col min="44" max="44" width="10.7109375" customWidth="1"/>
    <col min="45" max="45" width="70.7109375" style="1" customWidth="1"/>
    <col min="46" max="46" width="10.85546875" style="2" customWidth="1"/>
    <col min="47" max="47" width="15.7109375" style="165" customWidth="1"/>
    <col min="48" max="48" width="7.42578125" style="79" customWidth="1"/>
  </cols>
  <sheetData>
    <row r="1" spans="1:48">
      <c r="F1" s="370"/>
      <c r="G1" s="517" t="s">
        <v>2928</v>
      </c>
      <c r="AO1" s="79"/>
      <c r="AP1" s="79"/>
    </row>
    <row r="2" spans="1:48">
      <c r="F2" s="371" t="s">
        <v>2929</v>
      </c>
      <c r="G2" s="517" t="s">
        <v>2930</v>
      </c>
      <c r="AO2" s="79"/>
      <c r="AP2" s="79"/>
    </row>
    <row r="3" spans="1:48">
      <c r="F3" s="372" t="s">
        <v>2931</v>
      </c>
      <c r="G3" s="517" t="s">
        <v>2932</v>
      </c>
      <c r="AO3" s="79"/>
      <c r="AP3" s="79"/>
    </row>
    <row r="4" spans="1:48" ht="15.75" thickBot="1">
      <c r="B4" s="181" t="s">
        <v>2933</v>
      </c>
      <c r="F4" s="373"/>
      <c r="G4" s="511" t="s">
        <v>2934</v>
      </c>
      <c r="AK4" s="181" t="s">
        <v>2933</v>
      </c>
      <c r="AO4" s="79"/>
      <c r="AP4" s="79"/>
      <c r="AS4" s="181" t="s">
        <v>2933</v>
      </c>
    </row>
    <row r="5" spans="1:48" ht="15.75" thickTop="1">
      <c r="A5" s="3" t="s">
        <v>2935</v>
      </c>
      <c r="B5" s="4" t="s">
        <v>84</v>
      </c>
      <c r="C5" s="5"/>
      <c r="D5" s="166"/>
      <c r="E5" s="171"/>
      <c r="F5" s="374"/>
      <c r="G5" s="518" t="s">
        <v>2936</v>
      </c>
      <c r="H5" s="990" t="s">
        <v>6193</v>
      </c>
      <c r="I5" s="991"/>
      <c r="J5" s="990" t="s">
        <v>6194</v>
      </c>
      <c r="K5" s="991"/>
      <c r="L5" s="990" t="s">
        <v>6195</v>
      </c>
      <c r="M5" s="991"/>
      <c r="N5" s="990" t="s">
        <v>6196</v>
      </c>
      <c r="O5" s="991"/>
      <c r="P5" s="990" t="s">
        <v>6197</v>
      </c>
      <c r="Q5" s="991"/>
      <c r="R5" s="837" t="s">
        <v>6198</v>
      </c>
      <c r="S5" s="838"/>
      <c r="T5" s="990" t="s">
        <v>6199</v>
      </c>
      <c r="U5" s="991"/>
      <c r="AJ5" s="3" t="s">
        <v>2935</v>
      </c>
      <c r="AK5" s="4" t="s">
        <v>84</v>
      </c>
      <c r="AL5" s="5"/>
      <c r="AM5" s="166"/>
      <c r="AN5" s="171"/>
      <c r="AO5" s="5"/>
      <c r="AP5" s="540"/>
      <c r="AR5" s="3" t="s">
        <v>2935</v>
      </c>
      <c r="AS5" s="4" t="s">
        <v>84</v>
      </c>
      <c r="AT5" s="5"/>
      <c r="AU5" s="166"/>
      <c r="AV5" s="171"/>
    </row>
    <row r="6" spans="1:48">
      <c r="A6" s="2947" t="s">
        <v>2938</v>
      </c>
      <c r="B6" s="2948" t="s">
        <v>6200</v>
      </c>
      <c r="C6" s="2949"/>
      <c r="D6" s="2950"/>
      <c r="E6" s="2951"/>
      <c r="F6" s="2991"/>
      <c r="G6" s="712" t="s">
        <v>2939</v>
      </c>
      <c r="H6" s="2992" t="s">
        <v>6201</v>
      </c>
      <c r="I6" s="992"/>
      <c r="J6" s="2992" t="s">
        <v>6202</v>
      </c>
      <c r="K6" s="992"/>
      <c r="L6" s="2992" t="s">
        <v>6203</v>
      </c>
      <c r="M6" s="992"/>
      <c r="N6" s="2992" t="s">
        <v>6204</v>
      </c>
      <c r="O6" s="992"/>
      <c r="P6" s="2992" t="s">
        <v>6205</v>
      </c>
      <c r="Q6" s="992"/>
      <c r="R6" s="2952" t="s">
        <v>6206</v>
      </c>
      <c r="S6" s="839"/>
      <c r="T6" s="2992" t="s">
        <v>6207</v>
      </c>
      <c r="U6" s="992"/>
      <c r="AJ6" s="2947" t="s">
        <v>2938</v>
      </c>
      <c r="AK6" s="2948" t="s">
        <v>6200</v>
      </c>
      <c r="AL6" s="2949"/>
      <c r="AM6" s="2950"/>
      <c r="AN6" s="2951"/>
      <c r="AO6" s="2949"/>
      <c r="AP6" s="2993"/>
      <c r="AR6" s="2947" t="s">
        <v>2938</v>
      </c>
      <c r="AS6" s="2948" t="s">
        <v>6200</v>
      </c>
      <c r="AT6" s="2949"/>
      <c r="AU6" s="2950"/>
      <c r="AV6" s="2951"/>
    </row>
    <row r="7" spans="1:48">
      <c r="A7" s="2947" t="s">
        <v>2940</v>
      </c>
      <c r="B7" s="2954" t="s">
        <v>6208</v>
      </c>
      <c r="C7" s="2949"/>
      <c r="D7" s="2950"/>
      <c r="E7" s="2951"/>
      <c r="F7" s="2991"/>
      <c r="G7" s="2993" t="s">
        <v>2941</v>
      </c>
      <c r="H7" s="2992" t="s">
        <v>6209</v>
      </c>
      <c r="I7" s="992"/>
      <c r="J7" s="2992" t="s">
        <v>6210</v>
      </c>
      <c r="K7" s="992"/>
      <c r="L7" s="2992" t="s">
        <v>6211</v>
      </c>
      <c r="M7" s="992"/>
      <c r="N7" s="2992" t="s">
        <v>6212</v>
      </c>
      <c r="O7" s="992"/>
      <c r="P7" s="2992" t="s">
        <v>6213</v>
      </c>
      <c r="Q7" s="992"/>
      <c r="R7" s="2956" t="s">
        <v>6214</v>
      </c>
      <c r="S7" s="840"/>
      <c r="T7" s="2992" t="s">
        <v>6215</v>
      </c>
      <c r="U7" s="992"/>
      <c r="AJ7" s="2947" t="s">
        <v>2940</v>
      </c>
      <c r="AK7" s="2954" t="s">
        <v>6208</v>
      </c>
      <c r="AL7" s="2949"/>
      <c r="AM7" s="2950"/>
      <c r="AN7" s="2951"/>
      <c r="AO7" s="2949"/>
      <c r="AP7" s="2993"/>
      <c r="AR7" s="2947" t="s">
        <v>2940</v>
      </c>
      <c r="AS7" s="2954" t="s">
        <v>6208</v>
      </c>
      <c r="AT7" s="2949"/>
      <c r="AU7" s="2950"/>
      <c r="AV7" s="2951"/>
    </row>
    <row r="8" spans="1:48">
      <c r="A8" s="2947" t="s">
        <v>2942</v>
      </c>
      <c r="B8" s="2958"/>
      <c r="C8" s="2949"/>
      <c r="D8" s="2950"/>
      <c r="E8" s="2951"/>
      <c r="F8" s="2991"/>
      <c r="G8" s="2993" t="s">
        <v>2943</v>
      </c>
      <c r="H8" s="2994" t="s">
        <v>6216</v>
      </c>
      <c r="I8" s="993"/>
      <c r="J8" s="2994" t="s">
        <v>6217</v>
      </c>
      <c r="K8" s="993"/>
      <c r="L8" s="2995" t="s">
        <v>6218</v>
      </c>
      <c r="M8" s="994"/>
      <c r="N8" s="2994" t="s">
        <v>6219</v>
      </c>
      <c r="O8" s="993"/>
      <c r="P8" s="2994" t="s">
        <v>6220</v>
      </c>
      <c r="Q8" s="993"/>
      <c r="R8" s="2959" t="s">
        <v>6221</v>
      </c>
      <c r="S8" s="836"/>
      <c r="T8" s="2994" t="s">
        <v>6222</v>
      </c>
      <c r="U8" s="993"/>
      <c r="AJ8" s="2947" t="s">
        <v>2942</v>
      </c>
      <c r="AK8" s="2958"/>
      <c r="AL8" s="2949"/>
      <c r="AM8" s="2950"/>
      <c r="AN8" s="2951"/>
      <c r="AO8" s="2949"/>
      <c r="AP8" s="2993"/>
      <c r="AR8" s="2947" t="s">
        <v>2942</v>
      </c>
      <c r="AS8" s="2958"/>
      <c r="AT8" s="2949"/>
      <c r="AU8" s="2950"/>
      <c r="AV8" s="2951"/>
    </row>
    <row r="9" spans="1:48" ht="15.75" thickBot="1">
      <c r="A9" s="2336"/>
      <c r="B9" s="2284"/>
      <c r="C9" s="616"/>
      <c r="D9" s="621"/>
      <c r="E9" s="622"/>
      <c r="F9" s="2996"/>
      <c r="G9" s="2997" t="s">
        <v>2944</v>
      </c>
      <c r="H9" s="2998">
        <f>I$110</f>
        <v>6096192</v>
      </c>
      <c r="I9" s="2999"/>
      <c r="J9" s="3000">
        <f>K$110</f>
        <v>6819114</v>
      </c>
      <c r="K9" s="3000"/>
      <c r="L9" s="2998">
        <f>M$110</f>
        <v>7813774</v>
      </c>
      <c r="M9" s="2999"/>
      <c r="N9" s="2998">
        <f>O$110</f>
        <v>8747362</v>
      </c>
      <c r="O9" s="2999"/>
      <c r="P9" s="2998">
        <f>Q$110</f>
        <v>8363772</v>
      </c>
      <c r="Q9" s="2999"/>
      <c r="R9" s="2998">
        <f>S$110</f>
        <v>10523362</v>
      </c>
      <c r="S9" s="2999"/>
      <c r="T9" s="2998">
        <f>U$110</f>
        <v>6783515</v>
      </c>
      <c r="U9" s="2999"/>
      <c r="AJ9" s="2336"/>
      <c r="AK9" s="2284"/>
      <c r="AL9" s="616"/>
      <c r="AM9" s="621"/>
      <c r="AN9" s="622"/>
      <c r="AO9" s="2285"/>
      <c r="AP9" s="2997"/>
      <c r="AR9" s="2336"/>
      <c r="AS9" s="2284"/>
      <c r="AT9" s="616"/>
      <c r="AU9" s="621"/>
      <c r="AV9" s="622"/>
    </row>
    <row r="10" spans="1:48" s="175" customFormat="1" ht="31.5" thickTop="1" thickBot="1">
      <c r="A10" s="160" t="s">
        <v>2945</v>
      </c>
      <c r="B10" s="172"/>
      <c r="C10" s="173" t="s">
        <v>2946</v>
      </c>
      <c r="D10" s="167" t="s">
        <v>2947</v>
      </c>
      <c r="E10" s="173" t="s">
        <v>2948</v>
      </c>
      <c r="F10" s="375" t="s">
        <v>2949</v>
      </c>
      <c r="G10" s="519" t="s">
        <v>2950</v>
      </c>
      <c r="H10" s="512" t="s">
        <v>2951</v>
      </c>
      <c r="I10" s="512" t="s">
        <v>2952</v>
      </c>
      <c r="J10" s="512" t="s">
        <v>2951</v>
      </c>
      <c r="K10" s="512" t="s">
        <v>2952</v>
      </c>
      <c r="L10" s="512" t="s">
        <v>2951</v>
      </c>
      <c r="M10" s="512" t="s">
        <v>2952</v>
      </c>
      <c r="N10" s="512" t="s">
        <v>2951</v>
      </c>
      <c r="O10" s="512" t="s">
        <v>2952</v>
      </c>
      <c r="P10" s="512" t="s">
        <v>2951</v>
      </c>
      <c r="Q10" s="512" t="s">
        <v>2952</v>
      </c>
      <c r="R10" s="161" t="s">
        <v>2951</v>
      </c>
      <c r="S10" s="512" t="s">
        <v>2952</v>
      </c>
      <c r="T10" s="512" t="s">
        <v>2951</v>
      </c>
      <c r="U10" s="512" t="s">
        <v>2952</v>
      </c>
      <c r="AC10" s="301"/>
      <c r="AJ10" s="160" t="s">
        <v>2945</v>
      </c>
      <c r="AK10" s="172"/>
      <c r="AL10" s="173" t="s">
        <v>2946</v>
      </c>
      <c r="AM10" s="167" t="s">
        <v>2947</v>
      </c>
      <c r="AN10" s="173" t="s">
        <v>2948</v>
      </c>
      <c r="AO10" s="173" t="s">
        <v>2949</v>
      </c>
      <c r="AP10" s="541" t="s">
        <v>2950</v>
      </c>
      <c r="AR10" s="160" t="s">
        <v>2945</v>
      </c>
      <c r="AS10" s="172"/>
      <c r="AT10" s="173" t="s">
        <v>2946</v>
      </c>
      <c r="AU10" s="167" t="s">
        <v>2947</v>
      </c>
      <c r="AV10" s="173" t="s">
        <v>2948</v>
      </c>
    </row>
    <row r="11" spans="1:48" ht="16.5" thickTop="1" thickBot="1">
      <c r="A11" s="2961"/>
      <c r="B11" s="2889" t="s">
        <v>2953</v>
      </c>
      <c r="C11" s="659"/>
      <c r="D11" s="2950"/>
      <c r="E11" s="2951"/>
      <c r="F11" s="2991"/>
      <c r="G11" s="713"/>
      <c r="H11" s="3001"/>
      <c r="I11" s="3002"/>
      <c r="J11" s="3001"/>
      <c r="K11" s="3003"/>
      <c r="L11" s="3001"/>
      <c r="M11" s="3002"/>
      <c r="N11" s="3001"/>
      <c r="O11" s="3002"/>
      <c r="P11" s="3001"/>
      <c r="Q11" s="3002"/>
      <c r="R11" s="2962"/>
      <c r="S11" s="513"/>
      <c r="T11" s="3001"/>
      <c r="U11" s="3002"/>
      <c r="AJ11" s="2961"/>
      <c r="AK11" s="2889" t="s">
        <v>2953</v>
      </c>
      <c r="AL11" s="659"/>
      <c r="AM11" s="2950"/>
      <c r="AN11" s="2951"/>
      <c r="AO11" s="2949"/>
      <c r="AP11" s="3004"/>
      <c r="AR11" s="2961"/>
      <c r="AS11" s="2889" t="s">
        <v>2953</v>
      </c>
      <c r="AT11" s="659"/>
      <c r="AU11" s="2950"/>
      <c r="AV11" s="2951"/>
    </row>
    <row r="12" spans="1:48">
      <c r="A12" s="2886"/>
      <c r="B12" s="2963" t="s">
        <v>2954</v>
      </c>
      <c r="C12" s="2949"/>
      <c r="D12" s="2950"/>
      <c r="E12" s="2951"/>
      <c r="F12" s="2991"/>
      <c r="G12" s="713"/>
      <c r="H12" s="3001"/>
      <c r="I12" s="3002"/>
      <c r="J12" s="3001"/>
      <c r="K12" s="3003"/>
      <c r="L12" s="3001"/>
      <c r="M12" s="3002"/>
      <c r="N12" s="3001"/>
      <c r="O12" s="3002"/>
      <c r="P12" s="3001"/>
      <c r="Q12" s="3002"/>
      <c r="R12" s="2962"/>
      <c r="S12" s="3002"/>
      <c r="T12" s="3001"/>
      <c r="U12" s="3002"/>
      <c r="AJ12" s="2886"/>
      <c r="AK12" s="2963" t="s">
        <v>2954</v>
      </c>
      <c r="AL12" s="2949"/>
      <c r="AM12" s="2950"/>
      <c r="AN12" s="2951"/>
      <c r="AO12" s="2949"/>
      <c r="AP12" s="3004"/>
      <c r="AR12" s="2886"/>
      <c r="AS12" s="2963" t="s">
        <v>2954</v>
      </c>
      <c r="AT12" s="2949"/>
      <c r="AU12" s="2950"/>
      <c r="AV12" s="2951"/>
    </row>
    <row r="13" spans="1:48">
      <c r="A13" s="2964"/>
      <c r="B13" s="2965" t="s">
        <v>2955</v>
      </c>
      <c r="C13" s="2949"/>
      <c r="D13" s="2950"/>
      <c r="E13" s="2951"/>
      <c r="F13" s="2991"/>
      <c r="G13" s="713"/>
      <c r="H13" s="3001"/>
      <c r="I13" s="3002"/>
      <c r="J13" s="3001"/>
      <c r="K13" s="3003"/>
      <c r="L13" s="3001"/>
      <c r="M13" s="3002"/>
      <c r="N13" s="3001"/>
      <c r="O13" s="3002"/>
      <c r="P13" s="3001"/>
      <c r="Q13" s="3002"/>
      <c r="R13" s="2962"/>
      <c r="S13" s="3002"/>
      <c r="T13" s="3001"/>
      <c r="U13" s="3002"/>
      <c r="AJ13" s="2964"/>
      <c r="AK13" s="2965" t="s">
        <v>2955</v>
      </c>
      <c r="AL13" s="2949"/>
      <c r="AM13" s="2950"/>
      <c r="AN13" s="2951"/>
      <c r="AO13" s="2949"/>
      <c r="AP13" s="3004"/>
      <c r="AR13" s="2964"/>
      <c r="AS13" s="2965" t="s">
        <v>2955</v>
      </c>
      <c r="AT13" s="2949"/>
      <c r="AU13" s="2950"/>
      <c r="AV13" s="2951"/>
    </row>
    <row r="14" spans="1:48">
      <c r="A14" s="2964"/>
      <c r="B14" s="2966" t="s">
        <v>2956</v>
      </c>
      <c r="C14" s="2949"/>
      <c r="D14" s="2950"/>
      <c r="E14" s="2951"/>
      <c r="F14" s="2991"/>
      <c r="G14" s="713"/>
      <c r="H14" s="3001"/>
      <c r="I14" s="3002"/>
      <c r="J14" s="3001"/>
      <c r="K14" s="3003"/>
      <c r="L14" s="3001"/>
      <c r="M14" s="3002"/>
      <c r="N14" s="3001"/>
      <c r="O14" s="3002"/>
      <c r="P14" s="3001"/>
      <c r="Q14" s="3002"/>
      <c r="R14" s="2962"/>
      <c r="S14" s="3002"/>
      <c r="T14" s="3001"/>
      <c r="U14" s="3002"/>
      <c r="AJ14" s="2964"/>
      <c r="AK14" s="2966" t="s">
        <v>2956</v>
      </c>
      <c r="AL14" s="2949"/>
      <c r="AM14" s="2950"/>
      <c r="AN14" s="2951"/>
      <c r="AO14" s="2949"/>
      <c r="AP14" s="3004"/>
      <c r="AR14" s="2964"/>
      <c r="AS14" s="2966" t="s">
        <v>2956</v>
      </c>
      <c r="AT14" s="2949"/>
      <c r="AU14" s="2950"/>
      <c r="AV14" s="2951"/>
    </row>
    <row r="15" spans="1:48">
      <c r="A15" s="2964"/>
      <c r="B15" s="2966" t="s">
        <v>2957</v>
      </c>
      <c r="C15" s="2949"/>
      <c r="D15" s="2950"/>
      <c r="E15" s="2951"/>
      <c r="F15" s="2991"/>
      <c r="G15" s="713"/>
      <c r="H15" s="3001"/>
      <c r="I15" s="3003"/>
      <c r="J15" s="3001"/>
      <c r="K15" s="3003"/>
      <c r="L15" s="3001"/>
      <c r="M15" s="3003"/>
      <c r="N15" s="3001"/>
      <c r="O15" s="3003"/>
      <c r="P15" s="3001"/>
      <c r="Q15" s="3003"/>
      <c r="R15" s="2962"/>
      <c r="S15" s="3003"/>
      <c r="T15" s="3001"/>
      <c r="U15" s="3003"/>
      <c r="AJ15" s="2964"/>
      <c r="AK15" s="2966" t="s">
        <v>2957</v>
      </c>
      <c r="AL15" s="2949"/>
      <c r="AM15" s="2950"/>
      <c r="AN15" s="2951"/>
      <c r="AO15" s="2949"/>
      <c r="AP15" s="3004"/>
      <c r="AR15" s="2964"/>
      <c r="AS15" s="2966" t="s">
        <v>2957</v>
      </c>
      <c r="AT15" s="2949"/>
      <c r="AU15" s="2950"/>
      <c r="AV15" s="2951"/>
    </row>
    <row r="16" spans="1:48">
      <c r="A16" s="2964"/>
      <c r="B16" s="2966" t="s">
        <v>2958</v>
      </c>
      <c r="C16" s="2949"/>
      <c r="D16" s="2950"/>
      <c r="E16" s="2951"/>
      <c r="F16" s="2991"/>
      <c r="G16" s="713"/>
      <c r="H16" s="3001"/>
      <c r="I16" s="3002"/>
      <c r="J16" s="3001"/>
      <c r="K16" s="3003"/>
      <c r="L16" s="3001"/>
      <c r="M16" s="3002"/>
      <c r="N16" s="3001"/>
      <c r="O16" s="3002"/>
      <c r="P16" s="3001"/>
      <c r="Q16" s="3002"/>
      <c r="R16" s="2962"/>
      <c r="S16" s="3002"/>
      <c r="T16" s="3001"/>
      <c r="U16" s="3002"/>
      <c r="AJ16" s="2964"/>
      <c r="AK16" s="2966" t="s">
        <v>2958</v>
      </c>
      <c r="AL16" s="2949"/>
      <c r="AM16" s="2950"/>
      <c r="AN16" s="2951"/>
      <c r="AO16" s="2949"/>
      <c r="AP16" s="3004"/>
      <c r="AR16" s="2964"/>
      <c r="AS16" s="2966" t="s">
        <v>2958</v>
      </c>
      <c r="AT16" s="2949"/>
      <c r="AU16" s="2950"/>
      <c r="AV16" s="2951"/>
    </row>
    <row r="17" spans="1:48">
      <c r="A17" s="2964"/>
      <c r="B17" s="2966" t="s">
        <v>2959</v>
      </c>
      <c r="C17" s="2949"/>
      <c r="D17" s="2950"/>
      <c r="E17" s="2951"/>
      <c r="F17" s="2991"/>
      <c r="G17" s="713"/>
      <c r="H17" s="3001"/>
      <c r="I17" s="3003"/>
      <c r="J17" s="3001"/>
      <c r="K17" s="3003"/>
      <c r="L17" s="3001"/>
      <c r="M17" s="3003"/>
      <c r="N17" s="3001"/>
      <c r="O17" s="3003"/>
      <c r="P17" s="3001"/>
      <c r="Q17" s="3003"/>
      <c r="R17" s="2962"/>
      <c r="S17" s="3003"/>
      <c r="T17" s="3001"/>
      <c r="U17" s="3002"/>
      <c r="AJ17" s="2964"/>
      <c r="AK17" s="2966" t="s">
        <v>2959</v>
      </c>
      <c r="AL17" s="2949"/>
      <c r="AM17" s="2950"/>
      <c r="AN17" s="2951"/>
      <c r="AO17" s="2949"/>
      <c r="AP17" s="3004"/>
      <c r="AR17" s="2964"/>
      <c r="AS17" s="2966" t="s">
        <v>2959</v>
      </c>
      <c r="AT17" s="2949"/>
      <c r="AU17" s="2950"/>
      <c r="AV17" s="2951"/>
    </row>
    <row r="18" spans="1:48">
      <c r="A18" s="2964"/>
      <c r="B18" s="2967" t="s">
        <v>2960</v>
      </c>
      <c r="C18" s="2949"/>
      <c r="D18" s="2950"/>
      <c r="E18" s="2951"/>
      <c r="F18" s="2991"/>
      <c r="G18" s="713"/>
      <c r="H18" s="3001"/>
      <c r="I18" s="3002"/>
      <c r="J18" s="3001"/>
      <c r="K18" s="3003"/>
      <c r="L18" s="3001"/>
      <c r="M18" s="3002"/>
      <c r="N18" s="3001"/>
      <c r="O18" s="3002"/>
      <c r="P18" s="3001"/>
      <c r="Q18" s="3002"/>
      <c r="R18" s="2962"/>
      <c r="S18" s="3002"/>
      <c r="T18" s="3001"/>
      <c r="U18" s="3002"/>
      <c r="AJ18" s="2964"/>
      <c r="AK18" s="2967" t="s">
        <v>2960</v>
      </c>
      <c r="AL18" s="2949"/>
      <c r="AM18" s="2950"/>
      <c r="AN18" s="2951"/>
      <c r="AO18" s="2949"/>
      <c r="AP18" s="3004"/>
      <c r="AR18" s="2964"/>
      <c r="AS18" s="2967" t="s">
        <v>2960</v>
      </c>
      <c r="AT18" s="2949"/>
      <c r="AU18" s="2950"/>
      <c r="AV18" s="2951"/>
    </row>
    <row r="19" spans="1:48">
      <c r="A19" s="2964"/>
      <c r="B19" s="2968" t="s">
        <v>2961</v>
      </c>
      <c r="C19" s="2969"/>
      <c r="D19" s="2970"/>
      <c r="E19" s="2971"/>
      <c r="F19" s="3005"/>
      <c r="G19" s="714"/>
      <c r="H19" s="3006"/>
      <c r="I19" s="3007"/>
      <c r="J19" s="3006"/>
      <c r="K19" s="3008"/>
      <c r="L19" s="3006"/>
      <c r="M19" s="3007"/>
      <c r="N19" s="3006"/>
      <c r="O19" s="3007"/>
      <c r="P19" s="3006"/>
      <c r="Q19" s="3007"/>
      <c r="R19" s="2973"/>
      <c r="S19" s="3007"/>
      <c r="T19" s="3006"/>
      <c r="U19" s="3007"/>
      <c r="AJ19" s="2964"/>
      <c r="AK19" s="2968" t="s">
        <v>2961</v>
      </c>
      <c r="AL19" s="2969"/>
      <c r="AM19" s="2970"/>
      <c r="AN19" s="2971"/>
      <c r="AO19" s="2972"/>
      <c r="AP19" s="3009"/>
      <c r="AR19" s="2964"/>
      <c r="AS19" s="2968" t="s">
        <v>2961</v>
      </c>
      <c r="AT19" s="2969"/>
      <c r="AU19" s="2970"/>
      <c r="AV19" s="2971"/>
    </row>
    <row r="20" spans="1:48">
      <c r="A20" s="2964"/>
      <c r="B20" s="2974"/>
      <c r="C20" s="2949"/>
      <c r="D20" s="2950"/>
      <c r="E20" s="2951"/>
      <c r="F20" s="2991"/>
      <c r="G20" s="713"/>
      <c r="H20" s="3001"/>
      <c r="I20" s="3002"/>
      <c r="J20" s="3001"/>
      <c r="K20" s="3003"/>
      <c r="L20" s="3001"/>
      <c r="M20" s="3002"/>
      <c r="N20" s="3001"/>
      <c r="O20" s="3002"/>
      <c r="P20" s="3001"/>
      <c r="Q20" s="3002"/>
      <c r="R20" s="2962"/>
      <c r="S20" s="3002"/>
      <c r="T20" s="3001"/>
      <c r="U20" s="3002"/>
      <c r="AJ20" s="2964"/>
      <c r="AK20" s="2974"/>
      <c r="AL20" s="2949"/>
      <c r="AM20" s="2950"/>
      <c r="AN20" s="2951"/>
      <c r="AO20" s="2975"/>
      <c r="AP20" s="3004"/>
      <c r="AR20" s="2964"/>
      <c r="AS20" s="2974"/>
      <c r="AT20" s="2949"/>
      <c r="AU20" s="2950"/>
      <c r="AV20" s="2951"/>
    </row>
    <row r="21" spans="1:48">
      <c r="A21" s="2964"/>
      <c r="B21" s="2196" t="s">
        <v>2695</v>
      </c>
      <c r="C21" s="2949"/>
      <c r="D21" s="2950"/>
      <c r="E21" s="2951"/>
      <c r="F21" s="2991"/>
      <c r="G21" s="713">
        <f t="shared" ref="G21:G104" si="0">ROUND(D21*F21,0)</f>
        <v>0</v>
      </c>
      <c r="H21" s="3001"/>
      <c r="I21" s="3010">
        <f>SUBTOTAL(9,I22:I54)</f>
        <v>1910189</v>
      </c>
      <c r="J21" s="3001"/>
      <c r="K21" s="3010">
        <f>SUBTOTAL(9,K22:K54)</f>
        <v>2829521</v>
      </c>
      <c r="L21" s="3001"/>
      <c r="M21" s="3010">
        <f>SUBTOTAL(9,M22:M54)</f>
        <v>3563605</v>
      </c>
      <c r="N21" s="3001"/>
      <c r="O21" s="3010">
        <f>SUBTOTAL(9,O22:O54)</f>
        <v>2410262</v>
      </c>
      <c r="P21" s="3001"/>
      <c r="Q21" s="3010">
        <f>SUBTOTAL(9,Q22:Q54)</f>
        <v>3253379</v>
      </c>
      <c r="R21" s="2962"/>
      <c r="S21" s="3010">
        <f>SUBTOTAL(9,S22:S54)</f>
        <v>3294262</v>
      </c>
      <c r="T21" s="3001"/>
      <c r="U21" s="3010">
        <f>SUBTOTAL(9,U23:U54)</f>
        <v>3333735</v>
      </c>
      <c r="AJ21" s="2964"/>
      <c r="AK21" s="2196" t="s">
        <v>2695</v>
      </c>
      <c r="AL21" s="2949"/>
      <c r="AM21" s="2950"/>
      <c r="AN21" s="2951"/>
      <c r="AO21" s="2991"/>
      <c r="AP21" s="3004"/>
      <c r="AR21" s="2964"/>
      <c r="AS21" s="2196" t="s">
        <v>2695</v>
      </c>
      <c r="AT21" s="2949"/>
      <c r="AU21" s="2950"/>
      <c r="AV21" s="2951"/>
    </row>
    <row r="22" spans="1:48">
      <c r="A22" s="2964"/>
      <c r="B22" s="2974" t="s">
        <v>2994</v>
      </c>
      <c r="C22" s="2949"/>
      <c r="D22" s="2950"/>
      <c r="E22" s="2951"/>
      <c r="F22" s="2991"/>
      <c r="G22" s="713">
        <f t="shared" si="0"/>
        <v>0</v>
      </c>
      <c r="H22" s="3001"/>
      <c r="I22" s="3002"/>
      <c r="J22" s="3001"/>
      <c r="K22" s="3003"/>
      <c r="L22" s="3001"/>
      <c r="M22" s="3002"/>
      <c r="N22" s="3001"/>
      <c r="O22" s="3002"/>
      <c r="P22" s="3001"/>
      <c r="Q22" s="3002"/>
      <c r="R22" s="2962"/>
      <c r="S22" s="3002"/>
      <c r="T22" s="3001"/>
      <c r="U22" s="3002"/>
      <c r="AJ22" s="2964"/>
      <c r="AK22" s="2974"/>
      <c r="AL22" s="2949"/>
      <c r="AM22" s="2950"/>
      <c r="AN22" s="2951"/>
      <c r="AO22" s="2975"/>
      <c r="AP22" s="3004"/>
      <c r="AR22" s="2964"/>
      <c r="AS22" s="2974" t="s">
        <v>2994</v>
      </c>
      <c r="AT22" s="2949"/>
      <c r="AU22" s="2950"/>
      <c r="AV22" s="2951"/>
    </row>
    <row r="23" spans="1:48">
      <c r="A23" s="2964"/>
      <c r="B23" s="2974" t="s">
        <v>6223</v>
      </c>
      <c r="C23" s="2949" t="s">
        <v>2035</v>
      </c>
      <c r="D23" s="2950">
        <v>3089</v>
      </c>
      <c r="E23" s="2951" t="s">
        <v>3112</v>
      </c>
      <c r="F23" s="2991">
        <f>I23/D23</f>
        <v>304.69278083522175</v>
      </c>
      <c r="G23" s="713">
        <f t="shared" si="0"/>
        <v>941196</v>
      </c>
      <c r="H23" s="3001"/>
      <c r="I23" s="3002">
        <v>941196</v>
      </c>
      <c r="J23" s="3001"/>
      <c r="K23" s="3003">
        <v>1142598</v>
      </c>
      <c r="L23" s="3001"/>
      <c r="M23" s="3002">
        <v>1275253</v>
      </c>
      <c r="N23" s="3001"/>
      <c r="O23" s="3002">
        <v>1100000</v>
      </c>
      <c r="P23" s="3001"/>
      <c r="Q23" s="3002">
        <v>1980827</v>
      </c>
      <c r="R23" s="2962"/>
      <c r="S23" s="3003">
        <v>1240000</v>
      </c>
      <c r="T23" s="3001"/>
      <c r="U23" s="3002">
        <v>1512381</v>
      </c>
      <c r="AJ23" s="2964"/>
      <c r="AK23" s="2974" t="s">
        <v>6223</v>
      </c>
      <c r="AL23" s="2949" t="s">
        <v>2035</v>
      </c>
      <c r="AM23" s="2950"/>
      <c r="AN23" s="2951"/>
      <c r="AO23" s="2975"/>
      <c r="AP23" s="3011">
        <f t="shared" ref="AP23:AP58" si="1">ROUND(AM23*AO23,0)</f>
        <v>0</v>
      </c>
      <c r="AR23" s="2964"/>
      <c r="AS23" s="2974" t="s">
        <v>6223</v>
      </c>
      <c r="AT23" s="2949" t="s">
        <v>2035</v>
      </c>
      <c r="AU23" s="2950"/>
      <c r="AV23" s="2951"/>
    </row>
    <row r="24" spans="1:48">
      <c r="A24" s="2964"/>
      <c r="B24" s="2974" t="s">
        <v>6224</v>
      </c>
      <c r="C24" s="2949" t="s">
        <v>2035</v>
      </c>
      <c r="D24" s="2950"/>
      <c r="E24" s="2951"/>
      <c r="F24" s="2991"/>
      <c r="G24" s="713">
        <f t="shared" si="0"/>
        <v>0</v>
      </c>
      <c r="H24" s="3001"/>
      <c r="I24" s="3002">
        <v>87765</v>
      </c>
      <c r="J24" s="3001"/>
      <c r="K24" s="3003">
        <v>248195</v>
      </c>
      <c r="L24" s="3001"/>
      <c r="M24" s="3002">
        <v>265422</v>
      </c>
      <c r="N24" s="3001"/>
      <c r="O24" s="3002">
        <v>145000</v>
      </c>
      <c r="P24" s="3001" t="s">
        <v>2931</v>
      </c>
      <c r="Q24" s="3002"/>
      <c r="R24" s="2962"/>
      <c r="S24" s="3003">
        <v>429000</v>
      </c>
      <c r="T24" s="3001" t="s">
        <v>2931</v>
      </c>
      <c r="U24" s="3002"/>
      <c r="AJ24" s="2964"/>
      <c r="AK24" s="2974" t="s">
        <v>6224</v>
      </c>
      <c r="AL24" s="2949" t="s">
        <v>2035</v>
      </c>
      <c r="AM24" s="2950"/>
      <c r="AN24" s="2951"/>
      <c r="AO24" s="2975"/>
      <c r="AP24" s="3011">
        <f t="shared" si="1"/>
        <v>0</v>
      </c>
      <c r="AR24" s="2964"/>
      <c r="AS24" s="2974" t="s">
        <v>6224</v>
      </c>
      <c r="AT24" s="2949" t="s">
        <v>2035</v>
      </c>
      <c r="AU24" s="2950"/>
      <c r="AV24" s="2951"/>
    </row>
    <row r="25" spans="1:48">
      <c r="A25" s="2964"/>
      <c r="B25" s="2974" t="s">
        <v>6225</v>
      </c>
      <c r="C25" s="2949" t="s">
        <v>2035</v>
      </c>
      <c r="D25" s="2950"/>
      <c r="E25" s="2951"/>
      <c r="F25" s="2991"/>
      <c r="G25" s="713">
        <f t="shared" si="0"/>
        <v>0</v>
      </c>
      <c r="H25" s="3001" t="s">
        <v>2931</v>
      </c>
      <c r="I25" s="3002"/>
      <c r="J25" s="3001" t="s">
        <v>2931</v>
      </c>
      <c r="K25" s="3003"/>
      <c r="L25" s="3001"/>
      <c r="M25" s="3002"/>
      <c r="N25" s="3001" t="s">
        <v>2931</v>
      </c>
      <c r="O25" s="3002"/>
      <c r="P25" s="3001" t="s">
        <v>2931</v>
      </c>
      <c r="Q25" s="3002"/>
      <c r="R25" s="3001" t="s">
        <v>2931</v>
      </c>
      <c r="S25" s="3003"/>
      <c r="T25" s="3001" t="s">
        <v>2931</v>
      </c>
      <c r="U25" s="3002"/>
      <c r="AJ25" s="2964"/>
      <c r="AK25" s="2974" t="s">
        <v>6225</v>
      </c>
      <c r="AL25" s="2949" t="s">
        <v>2035</v>
      </c>
      <c r="AM25" s="2950"/>
      <c r="AN25" s="2951"/>
      <c r="AO25" s="2975"/>
      <c r="AP25" s="3004"/>
      <c r="AR25" s="2964"/>
      <c r="AS25" s="2974" t="s">
        <v>6225</v>
      </c>
      <c r="AT25" s="2949" t="s">
        <v>2035</v>
      </c>
      <c r="AU25" s="2950"/>
      <c r="AV25" s="2951"/>
    </row>
    <row r="26" spans="1:48">
      <c r="A26" s="2964"/>
      <c r="B26" s="2974" t="s">
        <v>6226</v>
      </c>
      <c r="C26" s="2949" t="s">
        <v>2035</v>
      </c>
      <c r="D26" s="2950"/>
      <c r="E26" s="2951"/>
      <c r="F26" s="2991"/>
      <c r="G26" s="713">
        <f t="shared" si="0"/>
        <v>0</v>
      </c>
      <c r="H26" s="3001" t="s">
        <v>2931</v>
      </c>
      <c r="I26" s="3002"/>
      <c r="J26" s="3001" t="s">
        <v>2931</v>
      </c>
      <c r="K26" s="3003"/>
      <c r="L26" s="3001"/>
      <c r="M26" s="3002"/>
      <c r="N26" s="3001" t="s">
        <v>2931</v>
      </c>
      <c r="O26" s="3002"/>
      <c r="P26" s="3001" t="s">
        <v>2931</v>
      </c>
      <c r="Q26" s="3002"/>
      <c r="R26" s="3001" t="s">
        <v>2931</v>
      </c>
      <c r="S26" s="3003"/>
      <c r="T26" s="3001"/>
      <c r="U26" s="3012"/>
      <c r="AJ26" s="2964"/>
      <c r="AK26" s="2974" t="s">
        <v>6226</v>
      </c>
      <c r="AL26" s="2949" t="s">
        <v>2035</v>
      </c>
      <c r="AM26" s="2950"/>
      <c r="AN26" s="2951"/>
      <c r="AO26" s="2975"/>
      <c r="AP26" s="3004"/>
      <c r="AR26" s="2964"/>
      <c r="AS26" s="2974" t="s">
        <v>6226</v>
      </c>
      <c r="AT26" s="2949" t="s">
        <v>2035</v>
      </c>
      <c r="AU26" s="2950"/>
      <c r="AV26" s="2951"/>
    </row>
    <row r="27" spans="1:48">
      <c r="A27" s="2964"/>
      <c r="B27" s="2974" t="s">
        <v>6227</v>
      </c>
      <c r="C27" s="2949"/>
      <c r="D27" s="2950"/>
      <c r="E27" s="2951"/>
      <c r="F27" s="2991"/>
      <c r="G27" s="713">
        <f t="shared" si="0"/>
        <v>0</v>
      </c>
      <c r="H27" s="3001" t="s">
        <v>2931</v>
      </c>
      <c r="I27" s="3002"/>
      <c r="J27" s="3001" t="s">
        <v>2931</v>
      </c>
      <c r="K27" s="3003"/>
      <c r="L27" s="3001" t="s">
        <v>2931</v>
      </c>
      <c r="M27" s="3002"/>
      <c r="N27" s="3001" t="s">
        <v>2929</v>
      </c>
      <c r="O27" s="3012"/>
      <c r="P27" s="3001" t="s">
        <v>2931</v>
      </c>
      <c r="Q27" s="3002"/>
      <c r="R27" s="3001" t="s">
        <v>2931</v>
      </c>
      <c r="S27" s="3003"/>
      <c r="T27" s="3001" t="s">
        <v>2931</v>
      </c>
      <c r="U27" s="3002"/>
      <c r="AJ27" s="2964"/>
      <c r="AK27" s="2974" t="s">
        <v>6227</v>
      </c>
      <c r="AL27" s="2949"/>
      <c r="AM27" s="2950"/>
      <c r="AN27" s="2951"/>
      <c r="AO27" s="2975"/>
      <c r="AP27" s="3004"/>
      <c r="AR27" s="2964"/>
      <c r="AS27" s="2974" t="s">
        <v>6227</v>
      </c>
      <c r="AT27" s="2949"/>
      <c r="AU27" s="2950"/>
      <c r="AV27" s="2951"/>
    </row>
    <row r="28" spans="1:48">
      <c r="A28" s="2964"/>
      <c r="B28" s="2974"/>
      <c r="C28" s="2949"/>
      <c r="D28" s="2950"/>
      <c r="E28" s="2951"/>
      <c r="F28" s="2991"/>
      <c r="G28" s="713">
        <f t="shared" si="0"/>
        <v>0</v>
      </c>
      <c r="H28" s="3001"/>
      <c r="I28" s="3002"/>
      <c r="J28" s="3001"/>
      <c r="K28" s="3003"/>
      <c r="L28" s="3001"/>
      <c r="M28" s="3002"/>
      <c r="N28" s="3001"/>
      <c r="O28" s="3002"/>
      <c r="P28" s="3001"/>
      <c r="Q28" s="3002"/>
      <c r="R28" s="2962"/>
      <c r="S28" s="3002"/>
      <c r="T28" s="3001"/>
      <c r="U28" s="3002"/>
      <c r="AJ28" s="2964"/>
      <c r="AK28" s="2974"/>
      <c r="AL28" s="2949"/>
      <c r="AM28" s="2950"/>
      <c r="AN28" s="2951"/>
      <c r="AO28" s="2975"/>
      <c r="AP28" s="3004"/>
      <c r="AR28" s="2964"/>
      <c r="AS28" s="2974"/>
      <c r="AT28" s="2949"/>
      <c r="AU28" s="2950"/>
      <c r="AV28" s="2951"/>
    </row>
    <row r="29" spans="1:48">
      <c r="A29" s="2964"/>
      <c r="B29" s="2974" t="s">
        <v>6228</v>
      </c>
      <c r="C29" s="2949" t="s">
        <v>2037</v>
      </c>
      <c r="D29" s="2950"/>
      <c r="E29" s="2951"/>
      <c r="F29" s="2991"/>
      <c r="G29" s="713">
        <f t="shared" si="0"/>
        <v>0</v>
      </c>
      <c r="H29" s="3001"/>
      <c r="I29" s="3002">
        <v>280175</v>
      </c>
      <c r="J29" s="3001"/>
      <c r="K29" s="3003">
        <f>241351+178982</f>
        <v>420333</v>
      </c>
      <c r="L29" s="3001"/>
      <c r="M29" s="3002">
        <v>682279</v>
      </c>
      <c r="N29" s="3001"/>
      <c r="O29" s="3002">
        <v>425000</v>
      </c>
      <c r="P29" s="3001"/>
      <c r="Q29" s="3002">
        <v>859215</v>
      </c>
      <c r="R29" s="2962"/>
      <c r="S29" s="3003">
        <v>520000</v>
      </c>
      <c r="T29" s="3001"/>
      <c r="U29" s="3002">
        <v>646079</v>
      </c>
      <c r="AJ29" s="2964"/>
      <c r="AK29" s="2974" t="s">
        <v>6228</v>
      </c>
      <c r="AL29" s="2949" t="s">
        <v>2037</v>
      </c>
      <c r="AM29" s="2950"/>
      <c r="AN29" s="2951"/>
      <c r="AO29" s="2975"/>
      <c r="AP29" s="3011">
        <f t="shared" si="1"/>
        <v>0</v>
      </c>
      <c r="AR29" s="2964"/>
      <c r="AS29" s="2974" t="s">
        <v>6228</v>
      </c>
      <c r="AT29" s="2949" t="s">
        <v>2037</v>
      </c>
      <c r="AU29" s="2950"/>
      <c r="AV29" s="2951"/>
    </row>
    <row r="30" spans="1:48">
      <c r="A30" s="2964"/>
      <c r="B30" s="2974" t="s">
        <v>6229</v>
      </c>
      <c r="C30" s="2949" t="s">
        <v>2039</v>
      </c>
      <c r="D30" s="2950"/>
      <c r="E30" s="2951"/>
      <c r="F30" s="2991"/>
      <c r="G30" s="713">
        <f t="shared" si="0"/>
        <v>0</v>
      </c>
      <c r="H30" s="3001"/>
      <c r="I30" s="3002">
        <v>280175</v>
      </c>
      <c r="J30" s="3001"/>
      <c r="K30" s="3003">
        <f>241351+178982</f>
        <v>420333</v>
      </c>
      <c r="L30" s="3001"/>
      <c r="M30" s="3002">
        <v>693745</v>
      </c>
      <c r="N30" s="3001"/>
      <c r="O30" s="3002">
        <v>425000</v>
      </c>
      <c r="P30" s="3001" t="s">
        <v>2931</v>
      </c>
      <c r="Q30" s="3001"/>
      <c r="R30" s="2962"/>
      <c r="S30" s="3003">
        <v>535000</v>
      </c>
      <c r="T30" s="3001"/>
      <c r="U30" s="3002">
        <v>646079</v>
      </c>
      <c r="AJ30" s="2964"/>
      <c r="AK30" s="2974" t="s">
        <v>6229</v>
      </c>
      <c r="AL30" s="2949" t="s">
        <v>2039</v>
      </c>
      <c r="AM30" s="2950"/>
      <c r="AN30" s="2951"/>
      <c r="AO30" s="2975"/>
      <c r="AP30" s="3011">
        <f t="shared" si="1"/>
        <v>0</v>
      </c>
      <c r="AR30" s="2964"/>
      <c r="AS30" s="2974" t="s">
        <v>6229</v>
      </c>
      <c r="AT30" s="2949" t="s">
        <v>2039</v>
      </c>
      <c r="AU30" s="2950"/>
      <c r="AV30" s="2951"/>
    </row>
    <row r="31" spans="1:48">
      <c r="A31" s="2964"/>
      <c r="B31" s="2974" t="s">
        <v>6230</v>
      </c>
      <c r="C31" s="2949"/>
      <c r="D31" s="2950"/>
      <c r="E31" s="2951"/>
      <c r="F31" s="2991"/>
      <c r="G31" s="713">
        <f t="shared" si="0"/>
        <v>0</v>
      </c>
      <c r="H31" s="3001"/>
      <c r="I31" s="3002">
        <v>81308</v>
      </c>
      <c r="J31" s="3001"/>
      <c r="K31" s="3003">
        <v>239400</v>
      </c>
      <c r="L31" s="3001"/>
      <c r="M31" s="3002">
        <v>244822</v>
      </c>
      <c r="N31" s="3001"/>
      <c r="O31" s="3002">
        <v>125000</v>
      </c>
      <c r="P31" s="3001"/>
      <c r="Q31" s="3002">
        <v>299075</v>
      </c>
      <c r="R31" s="2962"/>
      <c r="S31" s="3003">
        <v>275000</v>
      </c>
      <c r="T31" s="3001"/>
      <c r="U31" s="3002">
        <v>237967</v>
      </c>
      <c r="AJ31" s="2964"/>
      <c r="AK31" s="2974" t="s">
        <v>6230</v>
      </c>
      <c r="AL31" s="2949"/>
      <c r="AM31" s="2950"/>
      <c r="AN31" s="2951"/>
      <c r="AO31" s="2975"/>
      <c r="AP31" s="3011">
        <f t="shared" si="1"/>
        <v>0</v>
      </c>
      <c r="AR31" s="2964"/>
      <c r="AS31" s="2974" t="s">
        <v>6230</v>
      </c>
      <c r="AT31" s="2949"/>
      <c r="AU31" s="2950"/>
      <c r="AV31" s="2951"/>
    </row>
    <row r="32" spans="1:48">
      <c r="A32" s="2964"/>
      <c r="B32" s="2974" t="s">
        <v>6231</v>
      </c>
      <c r="C32" s="2949"/>
      <c r="D32" s="2950"/>
      <c r="E32" s="2951"/>
      <c r="F32" s="2991"/>
      <c r="G32" s="713">
        <f t="shared" si="0"/>
        <v>0</v>
      </c>
      <c r="H32" s="3001"/>
      <c r="I32" s="3002">
        <v>81308</v>
      </c>
      <c r="J32" s="3001"/>
      <c r="K32" s="3003">
        <v>239400</v>
      </c>
      <c r="L32" s="3001"/>
      <c r="M32" s="3002">
        <v>244822</v>
      </c>
      <c r="N32" s="3001"/>
      <c r="O32" s="3002">
        <v>125000</v>
      </c>
      <c r="P32" s="3001" t="s">
        <v>2931</v>
      </c>
      <c r="Q32" s="3001"/>
      <c r="R32" s="2962"/>
      <c r="S32" s="3003">
        <v>275000</v>
      </c>
      <c r="T32" s="3001"/>
      <c r="U32" s="3002">
        <v>237967</v>
      </c>
      <c r="AJ32" s="2964"/>
      <c r="AK32" s="2974" t="s">
        <v>6231</v>
      </c>
      <c r="AL32" s="2949"/>
      <c r="AM32" s="2950"/>
      <c r="AN32" s="2951"/>
      <c r="AO32" s="2975"/>
      <c r="AP32" s="3011">
        <f t="shared" si="1"/>
        <v>0</v>
      </c>
      <c r="AR32" s="2964"/>
      <c r="AS32" s="2974" t="s">
        <v>6231</v>
      </c>
      <c r="AT32" s="2949"/>
      <c r="AU32" s="2950"/>
      <c r="AV32" s="2951"/>
    </row>
    <row r="33" spans="1:48">
      <c r="A33" s="2964"/>
      <c r="B33" s="2974" t="s">
        <v>6232</v>
      </c>
      <c r="C33" s="2949" t="s">
        <v>2037</v>
      </c>
      <c r="D33" s="2950"/>
      <c r="E33" s="2951"/>
      <c r="F33" s="2991"/>
      <c r="G33" s="713">
        <f t="shared" si="0"/>
        <v>0</v>
      </c>
      <c r="H33" s="3001" t="s">
        <v>2931</v>
      </c>
      <c r="I33" s="3002"/>
      <c r="J33" s="3001" t="s">
        <v>2931</v>
      </c>
      <c r="K33" s="3003"/>
      <c r="L33" s="3001"/>
      <c r="M33" s="3002"/>
      <c r="N33" s="3001" t="s">
        <v>2931</v>
      </c>
      <c r="O33" s="3002"/>
      <c r="P33" s="3001" t="s">
        <v>2931</v>
      </c>
      <c r="Q33" s="3002"/>
      <c r="R33" s="3001" t="s">
        <v>2931</v>
      </c>
      <c r="S33" s="3003"/>
      <c r="T33" s="3001"/>
      <c r="U33" s="3012"/>
      <c r="AJ33" s="2964"/>
      <c r="AK33" s="2974" t="s">
        <v>6232</v>
      </c>
      <c r="AL33" s="2949" t="s">
        <v>2037</v>
      </c>
      <c r="AM33" s="2950"/>
      <c r="AN33" s="2951"/>
      <c r="AO33" s="2975"/>
      <c r="AP33" s="3004"/>
      <c r="AR33" s="2964"/>
      <c r="AS33" s="2974" t="s">
        <v>6232</v>
      </c>
      <c r="AT33" s="2949" t="s">
        <v>2037</v>
      </c>
      <c r="AU33" s="2950"/>
      <c r="AV33" s="2951"/>
    </row>
    <row r="34" spans="1:48">
      <c r="A34" s="2964"/>
      <c r="B34" s="2974" t="s">
        <v>6233</v>
      </c>
      <c r="C34" s="2949" t="s">
        <v>2037</v>
      </c>
      <c r="D34" s="2950"/>
      <c r="E34" s="2951"/>
      <c r="F34" s="2991"/>
      <c r="G34" s="713">
        <f t="shared" si="0"/>
        <v>0</v>
      </c>
      <c r="H34" s="3001" t="s">
        <v>2931</v>
      </c>
      <c r="I34" s="3002"/>
      <c r="J34" s="3001" t="s">
        <v>2931</v>
      </c>
      <c r="K34" s="3003"/>
      <c r="L34" s="3001"/>
      <c r="M34" s="3002"/>
      <c r="N34" s="3001" t="s">
        <v>2931</v>
      </c>
      <c r="O34" s="3002"/>
      <c r="P34" s="3001" t="s">
        <v>2931</v>
      </c>
      <c r="Q34" s="3002"/>
      <c r="R34" s="3001" t="s">
        <v>2931</v>
      </c>
      <c r="S34" s="3003"/>
      <c r="T34" s="3001"/>
      <c r="U34" s="3012"/>
      <c r="AJ34" s="2964"/>
      <c r="AK34" s="2974" t="s">
        <v>6233</v>
      </c>
      <c r="AL34" s="2949" t="s">
        <v>2037</v>
      </c>
      <c r="AM34" s="2950"/>
      <c r="AN34" s="2951"/>
      <c r="AO34" s="2975"/>
      <c r="AP34" s="3004"/>
      <c r="AR34" s="2964"/>
      <c r="AS34" s="2974" t="s">
        <v>6233</v>
      </c>
      <c r="AT34" s="2949" t="s">
        <v>2037</v>
      </c>
      <c r="AU34" s="2950"/>
      <c r="AV34" s="2951"/>
    </row>
    <row r="35" spans="1:48">
      <c r="A35" s="2964"/>
      <c r="B35" s="2974" t="s">
        <v>6234</v>
      </c>
      <c r="C35" s="2949" t="s">
        <v>2039</v>
      </c>
      <c r="D35" s="2950"/>
      <c r="E35" s="2951"/>
      <c r="F35" s="2991"/>
      <c r="G35" s="713">
        <f t="shared" si="0"/>
        <v>0</v>
      </c>
      <c r="H35" s="3001" t="s">
        <v>2931</v>
      </c>
      <c r="I35" s="3002"/>
      <c r="J35" s="3001" t="s">
        <v>2931</v>
      </c>
      <c r="K35" s="3003"/>
      <c r="L35" s="3001"/>
      <c r="M35" s="3002"/>
      <c r="N35" s="3001" t="s">
        <v>2931</v>
      </c>
      <c r="O35" s="3002"/>
      <c r="P35" s="3001" t="s">
        <v>2931</v>
      </c>
      <c r="Q35" s="3002"/>
      <c r="R35" s="3001" t="s">
        <v>2931</v>
      </c>
      <c r="S35" s="3003"/>
      <c r="T35" s="3001"/>
      <c r="U35" s="3012"/>
      <c r="AJ35" s="2964"/>
      <c r="AK35" s="2974" t="s">
        <v>6234</v>
      </c>
      <c r="AL35" s="2949" t="s">
        <v>2039</v>
      </c>
      <c r="AM35" s="2950"/>
      <c r="AN35" s="2951"/>
      <c r="AO35" s="2975"/>
      <c r="AP35" s="3004"/>
      <c r="AR35" s="2964"/>
      <c r="AS35" s="2974" t="s">
        <v>6234</v>
      </c>
      <c r="AT35" s="2949" t="s">
        <v>2039</v>
      </c>
      <c r="AU35" s="2950"/>
      <c r="AV35" s="2951"/>
    </row>
    <row r="36" spans="1:48">
      <c r="A36" s="2964"/>
      <c r="B36" s="2974" t="s">
        <v>6235</v>
      </c>
      <c r="C36" s="2949" t="s">
        <v>2039</v>
      </c>
      <c r="D36" s="2950"/>
      <c r="E36" s="2951"/>
      <c r="F36" s="2991"/>
      <c r="G36" s="713">
        <f t="shared" si="0"/>
        <v>0</v>
      </c>
      <c r="H36" s="3001" t="s">
        <v>2931</v>
      </c>
      <c r="I36" s="3002"/>
      <c r="J36" s="3001" t="s">
        <v>2931</v>
      </c>
      <c r="K36" s="3003"/>
      <c r="L36" s="3001"/>
      <c r="M36" s="3002"/>
      <c r="N36" s="3001" t="s">
        <v>2931</v>
      </c>
      <c r="O36" s="3002"/>
      <c r="P36" s="3001" t="s">
        <v>2931</v>
      </c>
      <c r="Q36" s="3002"/>
      <c r="R36" s="3001" t="s">
        <v>2931</v>
      </c>
      <c r="S36" s="3003"/>
      <c r="T36" s="3001"/>
      <c r="U36" s="3012"/>
      <c r="AJ36" s="2964"/>
      <c r="AK36" s="2974" t="s">
        <v>6235</v>
      </c>
      <c r="AL36" s="2949" t="s">
        <v>2039</v>
      </c>
      <c r="AM36" s="2950"/>
      <c r="AN36" s="2951"/>
      <c r="AO36" s="2975"/>
      <c r="AP36" s="3004"/>
      <c r="AR36" s="2964"/>
      <c r="AS36" s="2974" t="s">
        <v>6235</v>
      </c>
      <c r="AT36" s="2949" t="s">
        <v>2039</v>
      </c>
      <c r="AU36" s="2950"/>
      <c r="AV36" s="2951"/>
    </row>
    <row r="37" spans="1:48">
      <c r="A37" s="2964"/>
      <c r="B37" s="2974" t="s">
        <v>6236</v>
      </c>
      <c r="C37" s="2949"/>
      <c r="D37" s="2950"/>
      <c r="E37" s="2951"/>
      <c r="F37" s="2991"/>
      <c r="G37" s="713">
        <f t="shared" si="0"/>
        <v>0</v>
      </c>
      <c r="H37" s="3001" t="s">
        <v>2931</v>
      </c>
      <c r="I37" s="3002"/>
      <c r="J37" s="3001" t="s">
        <v>2931</v>
      </c>
      <c r="K37" s="3003"/>
      <c r="L37" s="3001"/>
      <c r="M37" s="3002"/>
      <c r="N37" s="3001" t="s">
        <v>2931</v>
      </c>
      <c r="O37" s="3002"/>
      <c r="P37" s="3001" t="s">
        <v>2931</v>
      </c>
      <c r="Q37" s="3002"/>
      <c r="R37" s="3001" t="s">
        <v>2931</v>
      </c>
      <c r="S37" s="3003"/>
      <c r="T37" s="3001"/>
      <c r="U37" s="3012"/>
      <c r="AJ37" s="2964"/>
      <c r="AK37" s="2974" t="s">
        <v>6236</v>
      </c>
      <c r="AL37" s="2949"/>
      <c r="AM37" s="2950"/>
      <c r="AN37" s="2951"/>
      <c r="AO37" s="2975"/>
      <c r="AP37" s="3004"/>
      <c r="AR37" s="2964"/>
      <c r="AS37" s="2974" t="s">
        <v>6236</v>
      </c>
      <c r="AT37" s="2949"/>
      <c r="AU37" s="2950"/>
      <c r="AV37" s="2951"/>
    </row>
    <row r="38" spans="1:48">
      <c r="A38" s="2964"/>
      <c r="B38" s="2974" t="s">
        <v>6237</v>
      </c>
      <c r="C38" s="2949"/>
      <c r="D38" s="2950"/>
      <c r="E38" s="2951"/>
      <c r="F38" s="2991"/>
      <c r="G38" s="713">
        <f t="shared" si="0"/>
        <v>0</v>
      </c>
      <c r="H38" s="3001" t="s">
        <v>2931</v>
      </c>
      <c r="I38" s="3002"/>
      <c r="J38" s="3001" t="s">
        <v>2931</v>
      </c>
      <c r="K38" s="3003"/>
      <c r="L38" s="3001"/>
      <c r="M38" s="3002"/>
      <c r="N38" s="3001" t="s">
        <v>2931</v>
      </c>
      <c r="O38" s="3002"/>
      <c r="P38" s="3001" t="s">
        <v>2931</v>
      </c>
      <c r="Q38" s="3002"/>
      <c r="R38" s="3001" t="s">
        <v>2931</v>
      </c>
      <c r="S38" s="3003"/>
      <c r="T38" s="3001"/>
      <c r="U38" s="3012"/>
      <c r="AJ38" s="2964"/>
      <c r="AK38" s="2974" t="s">
        <v>6237</v>
      </c>
      <c r="AL38" s="2949"/>
      <c r="AM38" s="2950"/>
      <c r="AN38" s="2951"/>
      <c r="AO38" s="2975"/>
      <c r="AP38" s="3004"/>
      <c r="AR38" s="2964"/>
      <c r="AS38" s="2974" t="s">
        <v>6237</v>
      </c>
      <c r="AT38" s="2949"/>
      <c r="AU38" s="2950"/>
      <c r="AV38" s="2951"/>
    </row>
    <row r="39" spans="1:48">
      <c r="A39" s="2964"/>
      <c r="B39" s="2974" t="s">
        <v>6238</v>
      </c>
      <c r="C39" s="2949"/>
      <c r="D39" s="2950"/>
      <c r="E39" s="2951"/>
      <c r="F39" s="2991"/>
      <c r="G39" s="713">
        <f t="shared" si="0"/>
        <v>0</v>
      </c>
      <c r="H39" s="3001" t="s">
        <v>2931</v>
      </c>
      <c r="I39" s="3002"/>
      <c r="J39" s="3001" t="s">
        <v>2931</v>
      </c>
      <c r="K39" s="3003"/>
      <c r="L39" s="3001" t="s">
        <v>2931</v>
      </c>
      <c r="M39" s="3002"/>
      <c r="N39" s="3001" t="s">
        <v>2931</v>
      </c>
      <c r="O39" s="3002"/>
      <c r="P39" s="3001" t="s">
        <v>2931</v>
      </c>
      <c r="Q39" s="3002"/>
      <c r="R39" s="3001" t="s">
        <v>2931</v>
      </c>
      <c r="S39" s="3003"/>
      <c r="T39" s="3001" t="s">
        <v>2931</v>
      </c>
      <c r="U39" s="3002"/>
      <c r="AJ39" s="2964"/>
      <c r="AK39" s="2974" t="s">
        <v>6238</v>
      </c>
      <c r="AL39" s="2949"/>
      <c r="AM39" s="2950"/>
      <c r="AN39" s="2951"/>
      <c r="AO39" s="2975"/>
      <c r="AP39" s="3004"/>
      <c r="AR39" s="2964"/>
      <c r="AS39" s="2974" t="s">
        <v>6238</v>
      </c>
      <c r="AT39" s="2949"/>
      <c r="AU39" s="2950"/>
      <c r="AV39" s="2951"/>
    </row>
    <row r="40" spans="1:48">
      <c r="A40" s="2964"/>
      <c r="B40" s="2974"/>
      <c r="C40" s="2949"/>
      <c r="D40" s="2950"/>
      <c r="E40" s="2951"/>
      <c r="F40" s="2991"/>
      <c r="G40" s="713">
        <f t="shared" ref="G40:G47" si="2">ROUND(D40*F40,0)</f>
        <v>0</v>
      </c>
      <c r="H40" s="3001"/>
      <c r="I40" s="3002"/>
      <c r="J40" s="3001"/>
      <c r="K40" s="3003"/>
      <c r="L40" s="3001"/>
      <c r="M40" s="3002"/>
      <c r="N40" s="3001"/>
      <c r="O40" s="3002"/>
      <c r="P40" s="3001"/>
      <c r="Q40" s="3002"/>
      <c r="R40" s="2962"/>
      <c r="S40" s="3003"/>
      <c r="T40" s="3001"/>
      <c r="U40" s="3002"/>
      <c r="AJ40" s="2964"/>
      <c r="AK40" s="2974"/>
      <c r="AL40" s="2949"/>
      <c r="AM40" s="2950"/>
      <c r="AN40" s="2951"/>
      <c r="AO40" s="2975"/>
      <c r="AP40" s="3004"/>
      <c r="AR40" s="2964"/>
      <c r="AS40" s="2974"/>
      <c r="AT40" s="2949"/>
      <c r="AU40" s="2950"/>
      <c r="AV40" s="2951"/>
    </row>
    <row r="41" spans="1:48">
      <c r="A41" s="2964"/>
      <c r="B41" s="2974" t="s">
        <v>6239</v>
      </c>
      <c r="C41" s="2949"/>
      <c r="D41" s="2950"/>
      <c r="E41" s="2951"/>
      <c r="F41" s="2991"/>
      <c r="G41" s="713">
        <f t="shared" si="2"/>
        <v>0</v>
      </c>
      <c r="H41" s="3001"/>
      <c r="I41" s="3002"/>
      <c r="J41" s="3001"/>
      <c r="K41" s="3003"/>
      <c r="L41" s="3001"/>
      <c r="M41" s="3002"/>
      <c r="N41" s="3001"/>
      <c r="O41" s="3002"/>
      <c r="P41" s="3001"/>
      <c r="Q41" s="3002"/>
      <c r="R41" s="2962"/>
      <c r="S41" s="3003"/>
      <c r="T41" s="3001"/>
      <c r="U41" s="3002"/>
      <c r="AJ41" s="2964"/>
      <c r="AK41" s="2974"/>
      <c r="AL41" s="2949"/>
      <c r="AM41" s="2950"/>
      <c r="AN41" s="2951"/>
      <c r="AO41" s="2975"/>
      <c r="AP41" s="3004"/>
      <c r="AR41" s="2964"/>
      <c r="AS41" s="2974"/>
      <c r="AT41" s="2949"/>
      <c r="AU41" s="2950"/>
      <c r="AV41" s="2951"/>
    </row>
    <row r="42" spans="1:48">
      <c r="A42" s="2964"/>
      <c r="B42" s="2974" t="s">
        <v>6240</v>
      </c>
      <c r="C42" s="2949"/>
      <c r="D42" s="2950"/>
      <c r="E42" s="2951"/>
      <c r="F42" s="2991"/>
      <c r="G42" s="713">
        <f t="shared" si="2"/>
        <v>0</v>
      </c>
      <c r="H42" s="3001"/>
      <c r="I42" s="3002"/>
      <c r="J42" s="3001"/>
      <c r="K42" s="3003"/>
      <c r="L42" s="3001"/>
      <c r="M42" s="3002"/>
      <c r="N42" s="3001"/>
      <c r="O42" s="3002"/>
      <c r="P42" s="3001"/>
      <c r="Q42" s="3002"/>
      <c r="R42" s="2962"/>
      <c r="S42" s="3003"/>
      <c r="T42" s="3001"/>
      <c r="U42" s="3002"/>
      <c r="AJ42" s="2964"/>
      <c r="AK42" s="2974"/>
      <c r="AL42" s="2949"/>
      <c r="AM42" s="2950"/>
      <c r="AN42" s="2951"/>
      <c r="AO42" s="2975"/>
      <c r="AP42" s="3004"/>
      <c r="AR42" s="2964"/>
      <c r="AS42" s="2974"/>
      <c r="AT42" s="2949"/>
      <c r="AU42" s="2950"/>
      <c r="AV42" s="2951"/>
    </row>
    <row r="43" spans="1:48">
      <c r="A43" s="2964"/>
      <c r="B43" s="2974"/>
      <c r="C43" s="2949"/>
      <c r="D43" s="2950"/>
      <c r="E43" s="2951"/>
      <c r="F43" s="2991"/>
      <c r="G43" s="713">
        <f t="shared" si="2"/>
        <v>0</v>
      </c>
      <c r="H43" s="3001"/>
      <c r="I43" s="3002"/>
      <c r="J43" s="3001"/>
      <c r="K43" s="3003"/>
      <c r="L43" s="3001"/>
      <c r="M43" s="3002"/>
      <c r="N43" s="3001"/>
      <c r="O43" s="3002"/>
      <c r="P43" s="3001"/>
      <c r="Q43" s="3002"/>
      <c r="R43" s="2962"/>
      <c r="S43" s="3003"/>
      <c r="T43" s="3001"/>
      <c r="U43" s="3002"/>
      <c r="AJ43" s="2964"/>
      <c r="AK43" s="2974"/>
      <c r="AL43" s="2949"/>
      <c r="AM43" s="2950"/>
      <c r="AN43" s="2951"/>
      <c r="AO43" s="2975"/>
      <c r="AP43" s="3004"/>
      <c r="AR43" s="2964"/>
      <c r="AS43" s="2974"/>
      <c r="AT43" s="2949"/>
      <c r="AU43" s="2950"/>
      <c r="AV43" s="2951"/>
    </row>
    <row r="44" spans="1:48">
      <c r="A44" s="2964"/>
      <c r="B44" s="2974" t="s">
        <v>6241</v>
      </c>
      <c r="C44" s="2949"/>
      <c r="D44" s="3013">
        <v>22</v>
      </c>
      <c r="E44" s="3014" t="s">
        <v>2803</v>
      </c>
      <c r="F44" s="2991">
        <v>1500</v>
      </c>
      <c r="G44" s="713">
        <f t="shared" si="2"/>
        <v>33000</v>
      </c>
      <c r="H44" s="3001" t="s">
        <v>2931</v>
      </c>
      <c r="I44" s="3002"/>
      <c r="J44" s="3015" t="s">
        <v>2929</v>
      </c>
      <c r="K44" s="3016">
        <f>$G44</f>
        <v>33000</v>
      </c>
      <c r="L44" s="3015" t="s">
        <v>2929</v>
      </c>
      <c r="M44" s="3002"/>
      <c r="N44" s="3001" t="s">
        <v>2929</v>
      </c>
      <c r="O44" s="3016">
        <f>$G44</f>
        <v>33000</v>
      </c>
      <c r="P44" s="3001" t="s">
        <v>2929</v>
      </c>
      <c r="Q44" s="3016">
        <f>$G44</f>
        <v>33000</v>
      </c>
      <c r="R44" s="3001" t="s">
        <v>2931</v>
      </c>
      <c r="S44" s="3003"/>
      <c r="T44" s="3001" t="s">
        <v>2929</v>
      </c>
      <c r="U44" s="3016">
        <f>$G44</f>
        <v>33000</v>
      </c>
      <c r="AJ44" s="2964"/>
      <c r="AK44" s="2974" t="s">
        <v>6242</v>
      </c>
      <c r="AL44" s="2949"/>
      <c r="AM44" s="2950"/>
      <c r="AN44" s="2951"/>
      <c r="AO44" s="2975"/>
      <c r="AP44" s="3004"/>
      <c r="AR44" s="2964"/>
      <c r="AS44" s="2974" t="s">
        <v>6242</v>
      </c>
      <c r="AT44" s="2949"/>
      <c r="AU44" s="2950"/>
      <c r="AV44" s="2951"/>
    </row>
    <row r="45" spans="1:48">
      <c r="A45" s="2964"/>
      <c r="B45" s="2974" t="s">
        <v>6243</v>
      </c>
      <c r="C45" s="2949"/>
      <c r="D45" s="2950">
        <v>1</v>
      </c>
      <c r="E45" s="2951" t="s">
        <v>2818</v>
      </c>
      <c r="F45" s="2991">
        <v>5000</v>
      </c>
      <c r="G45" s="713">
        <f t="shared" si="2"/>
        <v>5000</v>
      </c>
      <c r="H45" s="3001" t="s">
        <v>2931</v>
      </c>
      <c r="I45" s="3002"/>
      <c r="J45" s="3015" t="s">
        <v>2929</v>
      </c>
      <c r="K45" s="3016">
        <f>$G45</f>
        <v>5000</v>
      </c>
      <c r="L45" s="3001"/>
      <c r="M45" s="3002"/>
      <c r="N45" s="3001" t="s">
        <v>2931</v>
      </c>
      <c r="O45" s="3002"/>
      <c r="P45" s="3001" t="s">
        <v>2931</v>
      </c>
      <c r="Q45" s="3002"/>
      <c r="R45" s="3001" t="s">
        <v>2931</v>
      </c>
      <c r="S45" s="3003"/>
      <c r="T45" s="3001"/>
      <c r="U45" s="3012"/>
      <c r="AJ45" s="2964"/>
      <c r="AK45" s="2974" t="s">
        <v>6243</v>
      </c>
      <c r="AL45" s="2949"/>
      <c r="AM45" s="2950"/>
      <c r="AN45" s="2951"/>
      <c r="AO45" s="2975"/>
      <c r="AP45" s="3004"/>
      <c r="AR45" s="2964"/>
      <c r="AS45" s="2974" t="s">
        <v>6243</v>
      </c>
      <c r="AT45" s="2949"/>
      <c r="AU45" s="2950"/>
      <c r="AV45" s="2951"/>
    </row>
    <row r="46" spans="1:48" s="175" customFormat="1" ht="30">
      <c r="A46" s="2964"/>
      <c r="B46" s="2986" t="s">
        <v>6244</v>
      </c>
      <c r="C46" s="2056"/>
      <c r="D46" s="3013">
        <v>13</v>
      </c>
      <c r="E46" s="3014" t="s">
        <v>2803</v>
      </c>
      <c r="F46" s="3017">
        <v>1500</v>
      </c>
      <c r="G46" s="715">
        <f t="shared" si="2"/>
        <v>19500</v>
      </c>
      <c r="H46" s="3015" t="s">
        <v>2931</v>
      </c>
      <c r="I46" s="3018"/>
      <c r="J46" s="3015" t="s">
        <v>2929</v>
      </c>
      <c r="K46" s="3019">
        <f>$G46</f>
        <v>19500</v>
      </c>
      <c r="L46" s="3015"/>
      <c r="M46" s="3018"/>
      <c r="N46" s="3015" t="s">
        <v>2931</v>
      </c>
      <c r="O46" s="3018"/>
      <c r="P46" s="3015" t="s">
        <v>2929</v>
      </c>
      <c r="Q46" s="3019">
        <f>$G46</f>
        <v>19500</v>
      </c>
      <c r="R46" s="3015" t="s">
        <v>2931</v>
      </c>
      <c r="S46" s="3020"/>
      <c r="T46" s="3015"/>
      <c r="U46" s="3021"/>
      <c r="AC46" s="301"/>
      <c r="AJ46" s="2964"/>
      <c r="AK46" s="3022" t="s">
        <v>6245</v>
      </c>
      <c r="AL46" s="2056"/>
      <c r="AM46" s="3013"/>
      <c r="AN46" s="3014"/>
      <c r="AO46" s="3023"/>
      <c r="AP46" s="3024"/>
      <c r="AR46" s="2964"/>
      <c r="AS46" s="3022" t="s">
        <v>6245</v>
      </c>
      <c r="AT46" s="2056"/>
      <c r="AU46" s="3013"/>
      <c r="AV46" s="3014"/>
    </row>
    <row r="47" spans="1:48">
      <c r="A47" s="2964"/>
      <c r="B47" s="2974" t="s">
        <v>6246</v>
      </c>
      <c r="C47" s="2949"/>
      <c r="D47" s="2950">
        <v>4</v>
      </c>
      <c r="E47" s="2951" t="s">
        <v>2803</v>
      </c>
      <c r="F47" s="2991">
        <v>2500</v>
      </c>
      <c r="G47" s="713">
        <f t="shared" si="2"/>
        <v>10000</v>
      </c>
      <c r="H47" s="3001" t="s">
        <v>2931</v>
      </c>
      <c r="I47" s="3002"/>
      <c r="J47" s="3015" t="s">
        <v>2929</v>
      </c>
      <c r="K47" s="3016">
        <f>$G47</f>
        <v>10000</v>
      </c>
      <c r="L47" s="3001"/>
      <c r="M47" s="3002"/>
      <c r="N47" s="3001" t="s">
        <v>2931</v>
      </c>
      <c r="O47" s="3002"/>
      <c r="P47" s="3001" t="s">
        <v>2929</v>
      </c>
      <c r="Q47" s="3019">
        <f>$G47</f>
        <v>10000</v>
      </c>
      <c r="R47" s="3001" t="s">
        <v>2931</v>
      </c>
      <c r="S47" s="3003"/>
      <c r="T47" s="3001"/>
      <c r="U47" s="3012"/>
      <c r="AJ47" s="2964"/>
      <c r="AK47" s="2974" t="s">
        <v>6246</v>
      </c>
      <c r="AL47" s="2949"/>
      <c r="AM47" s="2950"/>
      <c r="AN47" s="2951"/>
      <c r="AO47" s="2975"/>
      <c r="AP47" s="3004"/>
      <c r="AR47" s="2964"/>
      <c r="AS47" s="2974" t="s">
        <v>6246</v>
      </c>
      <c r="AT47" s="2949"/>
      <c r="AU47" s="2950"/>
      <c r="AV47" s="2951"/>
    </row>
    <row r="48" spans="1:48">
      <c r="A48" s="2964"/>
      <c r="B48" s="2974" t="s">
        <v>6247</v>
      </c>
      <c r="C48" s="2949"/>
      <c r="D48" s="2950">
        <v>8</v>
      </c>
      <c r="E48" s="2951" t="s">
        <v>6248</v>
      </c>
      <c r="F48" s="2991">
        <v>1500</v>
      </c>
      <c r="G48" s="713">
        <f t="shared" ref="G48:G51" si="3">ROUND(D48*F48,0)</f>
        <v>12000</v>
      </c>
      <c r="H48" s="3001" t="s">
        <v>2931</v>
      </c>
      <c r="I48" s="3002"/>
      <c r="J48" s="3001"/>
      <c r="K48" s="3016">
        <f>$G48</f>
        <v>12000</v>
      </c>
      <c r="L48" s="3001" t="s">
        <v>2929</v>
      </c>
      <c r="M48" s="3016">
        <f>$G48</f>
        <v>12000</v>
      </c>
      <c r="N48" s="3001" t="s">
        <v>2929</v>
      </c>
      <c r="O48" s="3016">
        <f>$G48</f>
        <v>12000</v>
      </c>
      <c r="P48" s="3001" t="s">
        <v>2929</v>
      </c>
      <c r="Q48" s="3016">
        <f t="shared" ref="I48:U51" si="4">$G48</f>
        <v>12000</v>
      </c>
      <c r="R48" s="3001"/>
      <c r="S48" s="3003"/>
      <c r="T48" s="3001"/>
      <c r="U48" s="3012"/>
      <c r="AJ48" s="2964"/>
      <c r="AK48" s="2974"/>
      <c r="AL48" s="2949"/>
      <c r="AM48" s="2950"/>
      <c r="AN48" s="2951"/>
      <c r="AO48" s="2975"/>
      <c r="AP48" s="3004"/>
      <c r="AR48" s="2964"/>
      <c r="AS48" s="2974"/>
      <c r="AT48" s="2949"/>
      <c r="AU48" s="2950"/>
      <c r="AV48" s="2951"/>
    </row>
    <row r="49" spans="1:48">
      <c r="A49" s="2964"/>
      <c r="B49" s="2974" t="s">
        <v>6249</v>
      </c>
      <c r="C49" s="2949"/>
      <c r="D49" s="2950">
        <v>39</v>
      </c>
      <c r="E49" s="2951" t="s">
        <v>2803</v>
      </c>
      <c r="F49" s="2991">
        <v>500</v>
      </c>
      <c r="G49" s="713">
        <f t="shared" si="3"/>
        <v>19500</v>
      </c>
      <c r="H49" s="3001"/>
      <c r="I49" s="3025">
        <v>20000</v>
      </c>
      <c r="J49" s="3015" t="s">
        <v>2929</v>
      </c>
      <c r="K49" s="3016">
        <f t="shared" si="4"/>
        <v>19500</v>
      </c>
      <c r="L49" s="3001"/>
      <c r="M49" s="3002"/>
      <c r="N49" s="3001" t="s">
        <v>2931</v>
      </c>
      <c r="O49" s="3002"/>
      <c r="P49" s="3001" t="s">
        <v>2929</v>
      </c>
      <c r="Q49" s="3016">
        <f t="shared" si="4"/>
        <v>19500</v>
      </c>
      <c r="R49" s="3001" t="s">
        <v>2931</v>
      </c>
      <c r="S49" s="3003"/>
      <c r="T49" s="3001"/>
      <c r="U49" s="3012"/>
      <c r="W49">
        <v>1</v>
      </c>
      <c r="X49" t="s">
        <v>6250</v>
      </c>
      <c r="Y49">
        <v>13</v>
      </c>
      <c r="Z49">
        <f>2.5*2.5</f>
        <v>6.25</v>
      </c>
      <c r="AA49">
        <v>20</v>
      </c>
      <c r="AB49">
        <f>Z49*AA49</f>
        <v>125</v>
      </c>
      <c r="AJ49" s="2964"/>
      <c r="AK49" s="2974" t="s">
        <v>6251</v>
      </c>
      <c r="AL49" s="2949"/>
      <c r="AM49" s="2950"/>
      <c r="AN49" s="2951"/>
      <c r="AO49" s="2975"/>
      <c r="AP49" s="3004"/>
      <c r="AR49" s="2964"/>
      <c r="AS49" s="2974" t="s">
        <v>6251</v>
      </c>
      <c r="AT49" s="2949"/>
      <c r="AU49" s="2950"/>
      <c r="AV49" s="2951"/>
    </row>
    <row r="50" spans="1:48">
      <c r="A50" s="2964"/>
      <c r="B50" s="2983" t="s">
        <v>6252</v>
      </c>
      <c r="C50" s="2949"/>
      <c r="D50" s="2950">
        <v>600</v>
      </c>
      <c r="E50" s="2951" t="s">
        <v>2845</v>
      </c>
      <c r="F50" s="2991">
        <v>7.5</v>
      </c>
      <c r="G50" s="713">
        <f t="shared" si="3"/>
        <v>4500</v>
      </c>
      <c r="H50" s="3001"/>
      <c r="I50" s="3016">
        <f t="shared" si="4"/>
        <v>4500</v>
      </c>
      <c r="J50" s="3015"/>
      <c r="K50" s="3016">
        <f t="shared" si="4"/>
        <v>4500</v>
      </c>
      <c r="L50" s="3001"/>
      <c r="M50" s="3016">
        <f t="shared" si="4"/>
        <v>4500</v>
      </c>
      <c r="N50" s="3001"/>
      <c r="O50" s="3016">
        <f t="shared" si="4"/>
        <v>4500</v>
      </c>
      <c r="P50" s="3001"/>
      <c r="Q50" s="3016">
        <f t="shared" si="4"/>
        <v>4500</v>
      </c>
      <c r="R50" s="3001"/>
      <c r="S50" s="3016">
        <f t="shared" si="4"/>
        <v>4500</v>
      </c>
      <c r="T50" s="3001"/>
      <c r="U50" s="3016">
        <f t="shared" si="4"/>
        <v>4500</v>
      </c>
      <c r="W50">
        <v>2</v>
      </c>
      <c r="X50" t="s">
        <v>6253</v>
      </c>
      <c r="Y50">
        <v>12</v>
      </c>
      <c r="AJ50" s="2964"/>
      <c r="AK50" s="2974"/>
      <c r="AL50" s="2949"/>
      <c r="AM50" s="2950"/>
      <c r="AN50" s="2951"/>
      <c r="AO50" s="2975"/>
      <c r="AP50" s="3004"/>
      <c r="AR50" s="2964"/>
      <c r="AS50" s="2974"/>
      <c r="AT50" s="2949"/>
      <c r="AU50" s="2950"/>
      <c r="AV50" s="2951"/>
    </row>
    <row r="51" spans="1:48">
      <c r="A51" s="2964"/>
      <c r="B51" s="2983" t="s">
        <v>6254</v>
      </c>
      <c r="C51" s="2949"/>
      <c r="D51" s="2950">
        <f>74*3*2</f>
        <v>444</v>
      </c>
      <c r="E51" s="2951" t="s">
        <v>2845</v>
      </c>
      <c r="F51" s="2991">
        <v>35.5</v>
      </c>
      <c r="G51" s="713">
        <f t="shared" si="3"/>
        <v>15762</v>
      </c>
      <c r="H51" s="3001"/>
      <c r="I51" s="3016">
        <f t="shared" si="4"/>
        <v>15762</v>
      </c>
      <c r="J51" s="3001"/>
      <c r="K51" s="3016">
        <f t="shared" si="4"/>
        <v>15762</v>
      </c>
      <c r="L51" s="3001"/>
      <c r="M51" s="3016">
        <f t="shared" si="4"/>
        <v>15762</v>
      </c>
      <c r="N51" s="3001"/>
      <c r="O51" s="3016">
        <f t="shared" si="4"/>
        <v>15762</v>
      </c>
      <c r="P51" s="3001"/>
      <c r="Q51" s="3016">
        <f t="shared" si="4"/>
        <v>15762</v>
      </c>
      <c r="R51" s="3001"/>
      <c r="S51" s="3016">
        <f t="shared" si="4"/>
        <v>15762</v>
      </c>
      <c r="T51" s="3001"/>
      <c r="U51" s="3016">
        <f t="shared" si="4"/>
        <v>15762</v>
      </c>
      <c r="W51">
        <v>3</v>
      </c>
      <c r="X51" t="s">
        <v>6255</v>
      </c>
      <c r="Y51">
        <v>4</v>
      </c>
      <c r="AJ51" s="2964"/>
      <c r="AK51" s="2974"/>
      <c r="AL51" s="2949"/>
      <c r="AM51" s="2950"/>
      <c r="AN51" s="2951"/>
      <c r="AO51" s="2975"/>
      <c r="AP51" s="3004"/>
      <c r="AR51" s="2964"/>
      <c r="AS51" s="2974"/>
      <c r="AT51" s="2949"/>
      <c r="AU51" s="2950"/>
      <c r="AV51" s="2951"/>
    </row>
    <row r="52" spans="1:48">
      <c r="A52" s="2964"/>
      <c r="B52" s="2974"/>
      <c r="C52" s="2949"/>
      <c r="D52" s="2950"/>
      <c r="E52" s="2951"/>
      <c r="F52" s="2991"/>
      <c r="G52" s="713">
        <f>ROUND(D52*F52,0)</f>
        <v>0</v>
      </c>
      <c r="H52" s="3001"/>
      <c r="I52" s="3002"/>
      <c r="J52" s="3001"/>
      <c r="K52" s="3003"/>
      <c r="L52" s="3001"/>
      <c r="M52" s="3002"/>
      <c r="N52" s="3001"/>
      <c r="O52" s="3002"/>
      <c r="P52" s="3001"/>
      <c r="Q52" s="3002"/>
      <c r="R52" s="2962"/>
      <c r="S52" s="3003"/>
      <c r="T52" s="3001"/>
      <c r="U52" s="3002"/>
      <c r="W52">
        <v>4</v>
      </c>
      <c r="X52" t="s">
        <v>6256</v>
      </c>
      <c r="Y52">
        <v>10</v>
      </c>
      <c r="AJ52" s="2964"/>
      <c r="AK52" s="2974"/>
      <c r="AL52" s="2949"/>
      <c r="AM52" s="2950"/>
      <c r="AN52" s="2951"/>
      <c r="AO52" s="2975"/>
      <c r="AP52" s="3004"/>
      <c r="AR52" s="2964"/>
      <c r="AS52" s="2974"/>
      <c r="AT52" s="2949"/>
      <c r="AU52" s="2950"/>
      <c r="AV52" s="2951"/>
    </row>
    <row r="53" spans="1:48" ht="15.75" customHeight="1">
      <c r="A53" s="2964"/>
      <c r="B53" s="3026" t="s">
        <v>6257</v>
      </c>
      <c r="C53" s="2205"/>
      <c r="D53" s="2206"/>
      <c r="E53" s="2951"/>
      <c r="F53" s="2991"/>
      <c r="G53" s="713">
        <f t="shared" ref="G53" si="5">ROUND(D53*F53,0)</f>
        <v>0</v>
      </c>
      <c r="H53" s="3001"/>
      <c r="I53" s="3025">
        <v>118000</v>
      </c>
      <c r="J53" s="3001"/>
      <c r="K53" s="3016"/>
      <c r="L53" s="3001"/>
      <c r="M53" s="3025">
        <v>125000</v>
      </c>
      <c r="N53" s="3001"/>
      <c r="O53" s="3012"/>
      <c r="P53" s="3001"/>
      <c r="Q53" s="3016"/>
      <c r="R53" s="2962"/>
      <c r="S53" s="3016"/>
      <c r="T53" s="3001"/>
      <c r="U53" s="3012"/>
      <c r="Y53">
        <f>SUM(Y49:Y52)</f>
        <v>39</v>
      </c>
      <c r="Z53">
        <v>500</v>
      </c>
      <c r="AA53">
        <f>Y53*Z53</f>
        <v>19500</v>
      </c>
      <c r="AJ53" s="2964"/>
      <c r="AK53" s="3026" t="s">
        <v>6257</v>
      </c>
      <c r="AL53" s="2205"/>
      <c r="AM53" s="2206"/>
      <c r="AN53" s="2951"/>
      <c r="AO53" s="2991"/>
      <c r="AP53" s="3011">
        <f>ROUND(AM53*AO53,0)</f>
        <v>0</v>
      </c>
      <c r="AR53" s="2964"/>
      <c r="AS53" s="3026" t="s">
        <v>6257</v>
      </c>
      <c r="AT53" s="2205"/>
      <c r="AU53" s="2206"/>
      <c r="AV53" s="2951"/>
    </row>
    <row r="54" spans="1:48">
      <c r="A54" s="2964"/>
      <c r="B54" s="2974"/>
      <c r="C54" s="2949"/>
      <c r="D54" s="2950"/>
      <c r="E54" s="2951"/>
      <c r="F54" s="2991"/>
      <c r="G54" s="713">
        <f t="shared" si="0"/>
        <v>0</v>
      </c>
      <c r="H54" s="3001"/>
      <c r="I54" s="3002"/>
      <c r="J54" s="3001"/>
      <c r="K54" s="3003"/>
      <c r="L54" s="3001"/>
      <c r="M54" s="3002"/>
      <c r="N54" s="3001"/>
      <c r="O54" s="3002"/>
      <c r="P54" s="3001"/>
      <c r="Q54" s="3002"/>
      <c r="R54" s="2962"/>
      <c r="S54" s="3003"/>
      <c r="T54" s="3001"/>
      <c r="U54" s="3002"/>
      <c r="AJ54" s="2964"/>
      <c r="AK54" s="2974"/>
      <c r="AL54" s="2949"/>
      <c r="AM54" s="2950"/>
      <c r="AN54" s="2951"/>
      <c r="AO54" s="2975"/>
      <c r="AP54" s="3004"/>
      <c r="AR54" s="2964"/>
      <c r="AS54" s="2974"/>
      <c r="AT54" s="2949"/>
      <c r="AU54" s="2950"/>
      <c r="AV54" s="2951"/>
    </row>
    <row r="55" spans="1:48">
      <c r="A55" s="2964"/>
      <c r="B55" s="2202" t="s">
        <v>2697</v>
      </c>
      <c r="C55" s="2949"/>
      <c r="D55" s="2950"/>
      <c r="E55" s="2951"/>
      <c r="F55" s="2991"/>
      <c r="G55" s="713">
        <f t="shared" si="0"/>
        <v>0</v>
      </c>
      <c r="H55" s="3001"/>
      <c r="I55" s="3010">
        <f>SUBTOTAL(9,I56:I62)</f>
        <v>234057</v>
      </c>
      <c r="J55" s="3001"/>
      <c r="K55" s="3010">
        <f>SUBTOTAL(9,K56:K62)</f>
        <v>596772</v>
      </c>
      <c r="L55" s="3001"/>
      <c r="M55" s="3010">
        <f>SUBTOTAL(9,M56:M62)</f>
        <v>702130</v>
      </c>
      <c r="N55" s="3001"/>
      <c r="O55" s="3010">
        <f>SUBTOTAL(9,O56:O62)</f>
        <v>300000</v>
      </c>
      <c r="P55" s="3001"/>
      <c r="Q55" s="3010">
        <f>SUBTOTAL(9,Q56:Q62)</f>
        <v>598655</v>
      </c>
      <c r="R55" s="2962"/>
      <c r="S55" s="3010">
        <f>SUBTOTAL(9,S56:S62)</f>
        <v>675000</v>
      </c>
      <c r="T55" s="3001"/>
      <c r="U55" s="3010">
        <f>SUBTOTAL(9,U56:U62)</f>
        <v>331032</v>
      </c>
      <c r="AJ55" s="2964"/>
      <c r="AK55" s="2202" t="s">
        <v>2697</v>
      </c>
      <c r="AL55" s="2949"/>
      <c r="AM55" s="2950"/>
      <c r="AN55" s="2951"/>
      <c r="AO55" s="2975"/>
      <c r="AP55" s="3004"/>
      <c r="AR55" s="2964"/>
      <c r="AS55" s="2202" t="s">
        <v>2697</v>
      </c>
      <c r="AT55" s="2949"/>
      <c r="AU55" s="2950"/>
      <c r="AV55" s="2951"/>
    </row>
    <row r="56" spans="1:48">
      <c r="A56" s="2964"/>
      <c r="B56" s="2974" t="s">
        <v>6258</v>
      </c>
      <c r="C56" s="2949" t="s">
        <v>2043</v>
      </c>
      <c r="D56" s="2950"/>
      <c r="E56" s="2951"/>
      <c r="F56" s="2991"/>
      <c r="G56" s="713">
        <f t="shared" si="0"/>
        <v>0</v>
      </c>
      <c r="H56" s="3001"/>
      <c r="I56" s="3002">
        <v>78019</v>
      </c>
      <c r="J56" s="3001"/>
      <c r="K56" s="3003">
        <v>198924</v>
      </c>
      <c r="L56" s="3001"/>
      <c r="M56" s="3002">
        <v>229848</v>
      </c>
      <c r="N56" s="3001"/>
      <c r="O56" s="3002">
        <v>100000</v>
      </c>
      <c r="P56" s="3001"/>
      <c r="Q56" s="3002">
        <v>598655</v>
      </c>
      <c r="R56" s="2962"/>
      <c r="S56" s="3003">
        <v>225000</v>
      </c>
      <c r="T56" s="3001"/>
      <c r="U56" s="3002">
        <v>110344</v>
      </c>
      <c r="AJ56" s="2964"/>
      <c r="AK56" s="2974" t="s">
        <v>6258</v>
      </c>
      <c r="AL56" s="2949" t="s">
        <v>2043</v>
      </c>
      <c r="AM56" s="2950"/>
      <c r="AN56" s="2951"/>
      <c r="AO56" s="2975"/>
      <c r="AP56" s="3011">
        <f t="shared" si="1"/>
        <v>0</v>
      </c>
      <c r="AR56" s="2964"/>
      <c r="AS56" s="2974" t="s">
        <v>6258</v>
      </c>
      <c r="AT56" s="2949" t="s">
        <v>2043</v>
      </c>
      <c r="AU56" s="2950"/>
      <c r="AV56" s="2951"/>
    </row>
    <row r="57" spans="1:48">
      <c r="A57" s="2964"/>
      <c r="B57" s="2974" t="s">
        <v>6259</v>
      </c>
      <c r="C57" s="2949" t="s">
        <v>2043</v>
      </c>
      <c r="D57" s="2950"/>
      <c r="E57" s="2951"/>
      <c r="F57" s="2991"/>
      <c r="G57" s="713">
        <f t="shared" si="0"/>
        <v>0</v>
      </c>
      <c r="H57" s="3001"/>
      <c r="I57" s="3002">
        <v>78019</v>
      </c>
      <c r="J57" s="3001"/>
      <c r="K57" s="3003">
        <v>198924</v>
      </c>
      <c r="L57" s="3001"/>
      <c r="M57" s="3002">
        <v>241613</v>
      </c>
      <c r="N57" s="3001"/>
      <c r="O57" s="3002">
        <v>100000</v>
      </c>
      <c r="P57" s="3001"/>
      <c r="Q57" s="3001" t="s">
        <v>2931</v>
      </c>
      <c r="R57" s="2962"/>
      <c r="S57" s="3003">
        <v>225000</v>
      </c>
      <c r="T57" s="3001"/>
      <c r="U57" s="3002">
        <v>110344</v>
      </c>
      <c r="AJ57" s="2964"/>
      <c r="AK57" s="2974" t="s">
        <v>6259</v>
      </c>
      <c r="AL57" s="2949" t="s">
        <v>2043</v>
      </c>
      <c r="AM57" s="2950"/>
      <c r="AN57" s="2951"/>
      <c r="AO57" s="2975"/>
      <c r="AP57" s="3011">
        <f t="shared" si="1"/>
        <v>0</v>
      </c>
      <c r="AR57" s="2964"/>
      <c r="AS57" s="2974" t="s">
        <v>6259</v>
      </c>
      <c r="AT57" s="2949" t="s">
        <v>2043</v>
      </c>
      <c r="AU57" s="2950"/>
      <c r="AV57" s="2951"/>
    </row>
    <row r="58" spans="1:48">
      <c r="A58" s="2964"/>
      <c r="B58" s="2974" t="s">
        <v>6260</v>
      </c>
      <c r="C58" s="2949" t="s">
        <v>2043</v>
      </c>
      <c r="D58" s="2950"/>
      <c r="E58" s="2951"/>
      <c r="F58" s="2991"/>
      <c r="G58" s="713">
        <f t="shared" si="0"/>
        <v>0</v>
      </c>
      <c r="H58" s="3001"/>
      <c r="I58" s="3002">
        <v>78019</v>
      </c>
      <c r="J58" s="3001"/>
      <c r="K58" s="3003">
        <v>198924</v>
      </c>
      <c r="L58" s="3001"/>
      <c r="M58" s="3002">
        <v>230669</v>
      </c>
      <c r="N58" s="3001"/>
      <c r="O58" s="3002">
        <v>100000</v>
      </c>
      <c r="P58" s="3001"/>
      <c r="Q58" s="3001" t="s">
        <v>2931</v>
      </c>
      <c r="R58" s="2962"/>
      <c r="S58" s="3003">
        <v>225000</v>
      </c>
      <c r="T58" s="3001"/>
      <c r="U58" s="3002">
        <v>110344</v>
      </c>
      <c r="AJ58" s="2964"/>
      <c r="AK58" s="2974" t="s">
        <v>6260</v>
      </c>
      <c r="AL58" s="2949" t="s">
        <v>2043</v>
      </c>
      <c r="AM58" s="2950"/>
      <c r="AN58" s="2951"/>
      <c r="AO58" s="2975"/>
      <c r="AP58" s="3011">
        <f t="shared" si="1"/>
        <v>0</v>
      </c>
      <c r="AR58" s="2964"/>
      <c r="AS58" s="2974" t="s">
        <v>6260</v>
      </c>
      <c r="AT58" s="2949" t="s">
        <v>2043</v>
      </c>
      <c r="AU58" s="2950"/>
      <c r="AV58" s="2951"/>
    </row>
    <row r="59" spans="1:48">
      <c r="A59" s="2964"/>
      <c r="B59" s="2974" t="s">
        <v>6261</v>
      </c>
      <c r="C59" s="2949" t="s">
        <v>2043</v>
      </c>
      <c r="D59" s="2950"/>
      <c r="E59" s="2951"/>
      <c r="F59" s="2991"/>
      <c r="G59" s="713">
        <f t="shared" si="0"/>
        <v>0</v>
      </c>
      <c r="H59" s="3001" t="s">
        <v>2931</v>
      </c>
      <c r="I59" s="3002"/>
      <c r="J59" s="3001" t="s">
        <v>2931</v>
      </c>
      <c r="K59" s="3003"/>
      <c r="L59" s="3001"/>
      <c r="M59" s="3002"/>
      <c r="N59" s="3001" t="s">
        <v>2931</v>
      </c>
      <c r="O59" s="3002"/>
      <c r="P59" s="3001" t="s">
        <v>2931</v>
      </c>
      <c r="Q59" s="3002"/>
      <c r="R59" s="3001" t="s">
        <v>2931</v>
      </c>
      <c r="S59" s="3003"/>
      <c r="T59" s="3001"/>
      <c r="U59" s="3002"/>
      <c r="AJ59" s="2964"/>
      <c r="AK59" s="2974" t="s">
        <v>6261</v>
      </c>
      <c r="AL59" s="2949" t="s">
        <v>2043</v>
      </c>
      <c r="AM59" s="2950"/>
      <c r="AN59" s="2951"/>
      <c r="AO59" s="2975"/>
      <c r="AP59" s="3004"/>
      <c r="AR59" s="2964"/>
      <c r="AS59" s="2974" t="s">
        <v>6261</v>
      </c>
      <c r="AT59" s="2949" t="s">
        <v>2043</v>
      </c>
      <c r="AU59" s="2950"/>
      <c r="AV59" s="2951"/>
    </row>
    <row r="60" spans="1:48">
      <c r="A60" s="2964"/>
      <c r="B60" s="2974" t="s">
        <v>6262</v>
      </c>
      <c r="C60" s="2949" t="s">
        <v>2043</v>
      </c>
      <c r="D60" s="2950"/>
      <c r="E60" s="2951"/>
      <c r="F60" s="2991"/>
      <c r="G60" s="713">
        <f t="shared" si="0"/>
        <v>0</v>
      </c>
      <c r="H60" s="3001" t="s">
        <v>2931</v>
      </c>
      <c r="I60" s="3002"/>
      <c r="J60" s="3001" t="s">
        <v>2931</v>
      </c>
      <c r="K60" s="3003"/>
      <c r="L60" s="3001"/>
      <c r="M60" s="3002"/>
      <c r="N60" s="3001" t="s">
        <v>2931</v>
      </c>
      <c r="O60" s="3002"/>
      <c r="P60" s="3001" t="s">
        <v>2931</v>
      </c>
      <c r="Q60" s="3002"/>
      <c r="R60" s="3001" t="s">
        <v>2931</v>
      </c>
      <c r="S60" s="3003"/>
      <c r="T60" s="3001"/>
      <c r="U60" s="3002"/>
      <c r="AJ60" s="2964"/>
      <c r="AK60" s="3027" t="s">
        <v>6262</v>
      </c>
      <c r="AL60" s="2949" t="s">
        <v>2043</v>
      </c>
      <c r="AM60" s="2950"/>
      <c r="AN60" s="2951"/>
      <c r="AO60" s="2975"/>
      <c r="AP60" s="3004"/>
      <c r="AR60" s="2964"/>
      <c r="AS60" s="2974" t="s">
        <v>6262</v>
      </c>
      <c r="AT60" s="2949" t="s">
        <v>2043</v>
      </c>
      <c r="AU60" s="2950"/>
      <c r="AV60" s="2951"/>
    </row>
    <row r="61" spans="1:48">
      <c r="A61" s="2964"/>
      <c r="B61" s="2974" t="s">
        <v>6263</v>
      </c>
      <c r="C61" s="2949" t="s">
        <v>2043</v>
      </c>
      <c r="D61" s="2950"/>
      <c r="E61" s="2951"/>
      <c r="F61" s="2991"/>
      <c r="G61" s="713">
        <f t="shared" si="0"/>
        <v>0</v>
      </c>
      <c r="H61" s="3001" t="s">
        <v>2931</v>
      </c>
      <c r="I61" s="3002"/>
      <c r="J61" s="3001" t="s">
        <v>2931</v>
      </c>
      <c r="K61" s="3003"/>
      <c r="L61" s="3001"/>
      <c r="M61" s="3002"/>
      <c r="N61" s="3001" t="s">
        <v>2931</v>
      </c>
      <c r="O61" s="3002"/>
      <c r="P61" s="3001" t="s">
        <v>2931</v>
      </c>
      <c r="Q61" s="3002"/>
      <c r="R61" s="3001" t="s">
        <v>2931</v>
      </c>
      <c r="S61" s="3003"/>
      <c r="T61" s="3001"/>
      <c r="U61" s="3002"/>
      <c r="AJ61" s="2964"/>
      <c r="AK61" s="3028" t="s">
        <v>6263</v>
      </c>
      <c r="AL61" s="2949" t="s">
        <v>2043</v>
      </c>
      <c r="AM61" s="2950"/>
      <c r="AN61" s="2951"/>
      <c r="AO61" s="2975"/>
      <c r="AP61" s="3004"/>
      <c r="AR61" s="2964"/>
      <c r="AS61" s="2974" t="s">
        <v>6263</v>
      </c>
      <c r="AT61" s="2949" t="s">
        <v>2043</v>
      </c>
      <c r="AU61" s="2950"/>
      <c r="AV61" s="2951"/>
    </row>
    <row r="62" spans="1:48">
      <c r="A62" s="2964"/>
      <c r="B62" s="2974"/>
      <c r="C62" s="2949"/>
      <c r="D62" s="2950"/>
      <c r="E62" s="2951"/>
      <c r="F62" s="2991"/>
      <c r="G62" s="713">
        <f t="shared" si="0"/>
        <v>0</v>
      </c>
      <c r="H62" s="3001"/>
      <c r="I62" s="3002"/>
      <c r="J62" s="3001"/>
      <c r="K62" s="3003"/>
      <c r="L62" s="3001"/>
      <c r="M62" s="3002"/>
      <c r="N62" s="3001"/>
      <c r="O62" s="3002"/>
      <c r="P62" s="3001"/>
      <c r="Q62" s="3002"/>
      <c r="R62" s="2962"/>
      <c r="S62" s="3003"/>
      <c r="T62" s="3001"/>
      <c r="U62" s="3002"/>
      <c r="X62">
        <f>6-3.83</f>
        <v>2.17</v>
      </c>
      <c r="AJ62" s="2964"/>
      <c r="AK62" s="2974"/>
      <c r="AL62" s="2949"/>
      <c r="AM62" s="2950"/>
      <c r="AN62" s="2951"/>
      <c r="AO62" s="2975"/>
      <c r="AP62" s="3004"/>
      <c r="AR62" s="2964"/>
      <c r="AS62" s="2974"/>
      <c r="AT62" s="2949"/>
      <c r="AU62" s="2950"/>
      <c r="AV62" s="2951"/>
    </row>
    <row r="63" spans="1:48">
      <c r="A63" s="2964"/>
      <c r="B63" s="2202" t="s">
        <v>2974</v>
      </c>
      <c r="C63" s="2949"/>
      <c r="D63" s="2950"/>
      <c r="E63" s="2951"/>
      <c r="F63" s="2991"/>
      <c r="G63" s="713">
        <f t="shared" ref="G63" si="6">ROUND(D63*F63,0)</f>
        <v>0</v>
      </c>
      <c r="H63" s="3001"/>
      <c r="I63" s="3010">
        <f>SUBTOTAL(9,I64:I105)</f>
        <v>3951946</v>
      </c>
      <c r="J63" s="3001"/>
      <c r="K63" s="3010">
        <f>SUBTOTAL(9,K64:K105)</f>
        <v>3392821</v>
      </c>
      <c r="L63" s="3001"/>
      <c r="M63" s="3010">
        <f>SUBTOTAL(9,M64:M105)</f>
        <v>3548039</v>
      </c>
      <c r="N63" s="3001"/>
      <c r="O63" s="3010">
        <f>SUBTOTAL(9,O64:O105)</f>
        <v>6037100</v>
      </c>
      <c r="P63" s="3001"/>
      <c r="Q63" s="3010">
        <f>SUBTOTAL(9,Q64:Q105)</f>
        <v>4511738</v>
      </c>
      <c r="R63" s="2962"/>
      <c r="S63" s="3010">
        <f>SUBTOTAL(9,S64:S105)</f>
        <v>6554100</v>
      </c>
      <c r="T63" s="3001"/>
      <c r="U63" s="3010">
        <f>SUBTOTAL(9,U64:U105)</f>
        <v>3118748</v>
      </c>
      <c r="X63">
        <f>9.67-3.83</f>
        <v>5.84</v>
      </c>
      <c r="AJ63" s="2964"/>
      <c r="AK63" s="2202" t="s">
        <v>2974</v>
      </c>
      <c r="AL63" s="2949"/>
      <c r="AM63" s="2950"/>
      <c r="AN63" s="2951"/>
      <c r="AO63" s="2975"/>
      <c r="AP63" s="3004"/>
      <c r="AR63" s="2964"/>
      <c r="AS63" s="2202" t="s">
        <v>2974</v>
      </c>
      <c r="AT63" s="2949"/>
      <c r="AU63" s="2950"/>
      <c r="AV63" s="2951"/>
    </row>
    <row r="64" spans="1:48">
      <c r="A64" s="2964"/>
      <c r="B64" s="2974" t="s">
        <v>6264</v>
      </c>
      <c r="C64" s="2949" t="s">
        <v>2041</v>
      </c>
      <c r="D64" s="2950"/>
      <c r="E64" s="2951"/>
      <c r="F64" s="2991"/>
      <c r="G64" s="713">
        <f>ROUND(D64*F64,0)</f>
        <v>0</v>
      </c>
      <c r="H64" s="3001"/>
      <c r="I64" s="3002">
        <f>1371406</f>
        <v>1371406</v>
      </c>
      <c r="J64" s="3001"/>
      <c r="K64" s="3003">
        <v>1026697</v>
      </c>
      <c r="L64" s="3001"/>
      <c r="M64" s="3002">
        <v>997850</v>
      </c>
      <c r="N64" s="3001"/>
      <c r="O64" s="3002">
        <v>3100000</v>
      </c>
      <c r="P64" s="3001"/>
      <c r="Q64" s="3002">
        <f>3156455</f>
        <v>3156455</v>
      </c>
      <c r="R64" s="2962"/>
      <c r="S64" s="3003">
        <v>3267000</v>
      </c>
      <c r="T64" s="3001"/>
      <c r="U64" s="3002">
        <v>731648</v>
      </c>
      <c r="AD64" t="s">
        <v>6265</v>
      </c>
      <c r="AG64" t="s">
        <v>6266</v>
      </c>
      <c r="AJ64" s="2964"/>
      <c r="AK64" s="2974" t="s">
        <v>6264</v>
      </c>
      <c r="AL64" s="2949" t="s">
        <v>2041</v>
      </c>
      <c r="AM64" s="2950"/>
      <c r="AN64" s="2951"/>
      <c r="AO64" s="2975"/>
      <c r="AP64" s="3011">
        <f t="shared" ref="AP64:AP66" si="7">ROUND(AM64*AO64,0)</f>
        <v>0</v>
      </c>
      <c r="AR64" s="2964"/>
      <c r="AS64" s="2974" t="s">
        <v>6264</v>
      </c>
      <c r="AT64" s="2949" t="s">
        <v>2041</v>
      </c>
      <c r="AU64" s="2950"/>
      <c r="AV64" s="2951"/>
    </row>
    <row r="65" spans="1:48">
      <c r="A65" s="2037"/>
      <c r="B65" s="2978" t="s">
        <v>6227</v>
      </c>
      <c r="C65" s="2949"/>
      <c r="D65" s="2950"/>
      <c r="E65" s="2951"/>
      <c r="F65" s="2991"/>
      <c r="G65" s="713">
        <f t="shared" ref="G65:G70" si="8">ROUND(D65*F65,0)</f>
        <v>0</v>
      </c>
      <c r="H65" s="3029" t="s">
        <v>2931</v>
      </c>
      <c r="I65" s="3002"/>
      <c r="J65" s="3029" t="s">
        <v>2929</v>
      </c>
      <c r="K65" s="3016"/>
      <c r="L65" s="3029" t="s">
        <v>2931</v>
      </c>
      <c r="M65" s="3002"/>
      <c r="N65" s="3029" t="s">
        <v>2931</v>
      </c>
      <c r="O65" s="3002"/>
      <c r="P65" s="3029" t="s">
        <v>2931</v>
      </c>
      <c r="Q65" s="3002"/>
      <c r="R65" s="3029" t="s">
        <v>2931</v>
      </c>
      <c r="S65" s="3002"/>
      <c r="T65" s="3029"/>
      <c r="U65" s="3002"/>
      <c r="AD65" t="s">
        <v>6267</v>
      </c>
      <c r="AG65" t="s">
        <v>6267</v>
      </c>
      <c r="AJ65" s="2964"/>
      <c r="AK65" s="2978" t="s">
        <v>6227</v>
      </c>
      <c r="AL65" s="2949"/>
      <c r="AM65" s="2950"/>
      <c r="AN65" s="2951"/>
      <c r="AO65" s="2975"/>
      <c r="AP65" s="3004"/>
      <c r="AR65" s="2964"/>
      <c r="AS65" s="2978" t="s">
        <v>6227</v>
      </c>
      <c r="AT65" s="2949"/>
      <c r="AU65" s="2950"/>
      <c r="AV65" s="2951"/>
    </row>
    <row r="66" spans="1:48">
      <c r="A66" s="3030" t="s">
        <v>2587</v>
      </c>
      <c r="B66" s="2978" t="s">
        <v>2666</v>
      </c>
      <c r="C66" s="2949"/>
      <c r="D66" s="3031">
        <f>ROUND(SUM(D67:D70),-3)</f>
        <v>8000</v>
      </c>
      <c r="E66" s="716" t="s">
        <v>2845</v>
      </c>
      <c r="F66" s="3032">
        <v>100</v>
      </c>
      <c r="G66" s="717">
        <f t="shared" si="8"/>
        <v>800000</v>
      </c>
      <c r="H66" s="3001" t="s">
        <v>2929</v>
      </c>
      <c r="I66" s="3033">
        <f>$G66</f>
        <v>800000</v>
      </c>
      <c r="J66" s="3029" t="s">
        <v>2929</v>
      </c>
      <c r="K66" s="3033">
        <f>$G66</f>
        <v>800000</v>
      </c>
      <c r="L66" s="3001" t="s">
        <v>2929</v>
      </c>
      <c r="M66" s="3033">
        <f>$G66</f>
        <v>800000</v>
      </c>
      <c r="N66" s="3029"/>
      <c r="O66" s="3033">
        <f>$G66</f>
        <v>800000</v>
      </c>
      <c r="P66" s="3029"/>
      <c r="Q66" s="3033">
        <f>$G66</f>
        <v>800000</v>
      </c>
      <c r="R66" s="2962"/>
      <c r="S66" s="3033">
        <f>$G66</f>
        <v>800000</v>
      </c>
      <c r="T66" s="3001"/>
      <c r="U66" s="3033">
        <f>$G66</f>
        <v>800000</v>
      </c>
      <c r="X66" t="s">
        <v>6268</v>
      </c>
      <c r="Y66" s="300">
        <v>399</v>
      </c>
      <c r="Z66" s="300" t="s">
        <v>2845</v>
      </c>
      <c r="AA66" s="300">
        <v>95.3</v>
      </c>
      <c r="AB66" t="s">
        <v>2864</v>
      </c>
      <c r="AC66" s="300">
        <v>2</v>
      </c>
      <c r="AD66" s="300">
        <f>AA66*AC66</f>
        <v>190.6</v>
      </c>
      <c r="AE66" t="s">
        <v>2845</v>
      </c>
      <c r="AF66" t="s">
        <v>6269</v>
      </c>
      <c r="AG66">
        <v>46</v>
      </c>
      <c r="AH66" t="s">
        <v>2845</v>
      </c>
      <c r="AJ66" s="2964"/>
      <c r="AK66" s="2978" t="s">
        <v>6270</v>
      </c>
      <c r="AL66" s="2949"/>
      <c r="AM66" s="3031"/>
      <c r="AN66" s="716"/>
      <c r="AO66" s="2975"/>
      <c r="AP66" s="3011">
        <f t="shared" si="7"/>
        <v>0</v>
      </c>
      <c r="AR66" s="2964"/>
      <c r="AS66" s="2978" t="s">
        <v>6270</v>
      </c>
      <c r="AT66" s="2949"/>
      <c r="AU66" s="3031"/>
      <c r="AV66" s="716"/>
    </row>
    <row r="67" spans="1:48">
      <c r="A67" s="2037"/>
      <c r="B67" s="3034" t="s">
        <v>6271</v>
      </c>
      <c r="C67" s="2949"/>
      <c r="D67" s="2950">
        <f>Y72</f>
        <v>3429</v>
      </c>
      <c r="E67" s="2951" t="s">
        <v>2845</v>
      </c>
      <c r="F67" s="2991"/>
      <c r="G67" s="713">
        <f t="shared" si="8"/>
        <v>0</v>
      </c>
      <c r="H67" s="3029"/>
      <c r="I67" s="3002"/>
      <c r="J67" s="3029"/>
      <c r="K67" s="3003"/>
      <c r="L67" s="3029"/>
      <c r="M67" s="3002"/>
      <c r="N67" s="3029"/>
      <c r="O67" s="3002"/>
      <c r="P67" s="3029"/>
      <c r="Q67" s="3002"/>
      <c r="R67" s="2036"/>
      <c r="S67" s="3003"/>
      <c r="T67" s="3029"/>
      <c r="U67" s="3002"/>
      <c r="X67" t="s">
        <v>6272</v>
      </c>
      <c r="Y67" s="300">
        <v>553</v>
      </c>
      <c r="Z67" s="300" t="s">
        <v>2845</v>
      </c>
      <c r="AA67" s="300">
        <v>92.23</v>
      </c>
      <c r="AB67" t="s">
        <v>2864</v>
      </c>
      <c r="AC67" s="300">
        <v>2</v>
      </c>
      <c r="AD67" s="300">
        <f t="shared" ref="AD67:AD69" si="9">AA67*AC67</f>
        <v>184.46</v>
      </c>
      <c r="AE67" t="s">
        <v>2845</v>
      </c>
      <c r="AF67" t="s">
        <v>6273</v>
      </c>
      <c r="AG67">
        <v>21</v>
      </c>
      <c r="AH67" t="s">
        <v>2845</v>
      </c>
      <c r="AJ67" s="2964"/>
      <c r="AK67" s="3034" t="s">
        <v>6271</v>
      </c>
      <c r="AL67" s="2949"/>
      <c r="AM67" s="2950"/>
      <c r="AN67" s="2951"/>
      <c r="AO67" s="2975"/>
      <c r="AP67" s="3004"/>
      <c r="AR67" s="2037"/>
      <c r="AS67" s="3035" t="s">
        <v>6271</v>
      </c>
      <c r="AT67" s="2949"/>
      <c r="AU67" s="2950"/>
      <c r="AV67" s="2951"/>
    </row>
    <row r="68" spans="1:48">
      <c r="A68" s="2037"/>
      <c r="B68" s="3034" t="s">
        <v>6274</v>
      </c>
      <c r="C68" s="2949"/>
      <c r="D68" s="2950">
        <f>AD72</f>
        <v>1999.5497999999998</v>
      </c>
      <c r="E68" s="2951" t="s">
        <v>2845</v>
      </c>
      <c r="F68" s="2991"/>
      <c r="G68" s="713">
        <f t="shared" si="8"/>
        <v>0</v>
      </c>
      <c r="H68" s="3029"/>
      <c r="I68" s="3002"/>
      <c r="J68" s="3029"/>
      <c r="K68" s="3003"/>
      <c r="L68" s="3029"/>
      <c r="M68" s="3002"/>
      <c r="N68" s="3029"/>
      <c r="O68" s="3002"/>
      <c r="P68" s="3029"/>
      <c r="Q68" s="3002"/>
      <c r="R68" s="2036"/>
      <c r="S68" s="3003"/>
      <c r="T68" s="3029"/>
      <c r="U68" s="3002"/>
      <c r="X68" t="s">
        <v>6275</v>
      </c>
      <c r="Y68" s="300">
        <v>1619</v>
      </c>
      <c r="Z68" s="300" t="s">
        <v>2845</v>
      </c>
      <c r="AA68" s="300">
        <v>302.06</v>
      </c>
      <c r="AB68" t="s">
        <v>2864</v>
      </c>
      <c r="AC68" s="300">
        <v>3.83</v>
      </c>
      <c r="AD68" s="300">
        <f t="shared" si="9"/>
        <v>1156.8897999999999</v>
      </c>
      <c r="AE68" t="s">
        <v>2845</v>
      </c>
      <c r="AF68" t="s">
        <v>6276</v>
      </c>
      <c r="AG68">
        <v>62</v>
      </c>
      <c r="AH68" t="s">
        <v>2845</v>
      </c>
      <c r="AJ68" s="2964"/>
      <c r="AK68" s="3034" t="s">
        <v>6274</v>
      </c>
      <c r="AL68" s="2949"/>
      <c r="AM68" s="2950"/>
      <c r="AN68" s="2951"/>
      <c r="AO68" s="2975"/>
      <c r="AP68" s="3004"/>
      <c r="AR68" s="2037"/>
      <c r="AS68" s="3036" t="s">
        <v>6274</v>
      </c>
      <c r="AT68" s="2949"/>
      <c r="AU68" s="2950"/>
      <c r="AV68" s="2951"/>
    </row>
    <row r="69" spans="1:48">
      <c r="A69" s="2037"/>
      <c r="B69" s="3034" t="s">
        <v>6277</v>
      </c>
      <c r="C69" s="2949"/>
      <c r="D69" s="2950">
        <f>AG72</f>
        <v>236</v>
      </c>
      <c r="E69" s="2951" t="s">
        <v>2845</v>
      </c>
      <c r="F69" s="2991"/>
      <c r="G69" s="713">
        <f t="shared" si="8"/>
        <v>0</v>
      </c>
      <c r="H69" s="3029"/>
      <c r="I69" s="3002"/>
      <c r="J69" s="3029"/>
      <c r="K69" s="3003"/>
      <c r="L69" s="3029"/>
      <c r="M69" s="3002"/>
      <c r="N69" s="3029"/>
      <c r="O69" s="3002"/>
      <c r="P69" s="3029"/>
      <c r="Q69" s="3002"/>
      <c r="R69" s="2036"/>
      <c r="S69" s="3003"/>
      <c r="T69" s="3029"/>
      <c r="U69" s="3002"/>
      <c r="X69" t="s">
        <v>6278</v>
      </c>
      <c r="Y69" s="300">
        <v>394</v>
      </c>
      <c r="Z69" s="300" t="s">
        <v>2845</v>
      </c>
      <c r="AA69" s="300">
        <v>105.8</v>
      </c>
      <c r="AB69" t="s">
        <v>2864</v>
      </c>
      <c r="AC69" s="300">
        <v>2</v>
      </c>
      <c r="AD69" s="300">
        <f t="shared" si="9"/>
        <v>211.6</v>
      </c>
      <c r="AE69" t="s">
        <v>2845</v>
      </c>
      <c r="AF69" t="s">
        <v>6279</v>
      </c>
      <c r="AG69">
        <v>107</v>
      </c>
      <c r="AH69" t="s">
        <v>2845</v>
      </c>
      <c r="AJ69" s="2964"/>
      <c r="AK69" s="3034" t="s">
        <v>6277</v>
      </c>
      <c r="AL69" s="2949"/>
      <c r="AM69" s="2950"/>
      <c r="AN69" s="2951"/>
      <c r="AO69" s="2975"/>
      <c r="AP69" s="3004"/>
      <c r="AR69" s="2964"/>
      <c r="AS69" s="3034" t="s">
        <v>6277</v>
      </c>
      <c r="AT69" s="2949"/>
      <c r="AU69" s="2950"/>
      <c r="AV69" s="2951"/>
    </row>
    <row r="70" spans="1:48">
      <c r="A70" s="2037"/>
      <c r="B70" s="3034" t="s">
        <v>6280</v>
      </c>
      <c r="C70" s="2949"/>
      <c r="D70" s="2950">
        <f>AA72*3</f>
        <v>2170.17</v>
      </c>
      <c r="E70" s="2951" t="s">
        <v>2845</v>
      </c>
      <c r="F70" s="2991"/>
      <c r="G70" s="713">
        <f t="shared" si="8"/>
        <v>0</v>
      </c>
      <c r="H70" s="3029"/>
      <c r="I70" s="3002"/>
      <c r="J70" s="3029"/>
      <c r="K70" s="3003"/>
      <c r="L70" s="3029"/>
      <c r="M70" s="3002"/>
      <c r="N70" s="3029"/>
      <c r="O70" s="3002"/>
      <c r="P70" s="3029"/>
      <c r="Q70" s="3002"/>
      <c r="R70" s="2962"/>
      <c r="S70" s="3003"/>
      <c r="T70" s="3029"/>
      <c r="U70" s="3002"/>
      <c r="X70" t="s">
        <v>6281</v>
      </c>
      <c r="Y70" s="300">
        <v>173</v>
      </c>
      <c r="Z70" s="300" t="s">
        <v>2845</v>
      </c>
      <c r="AA70" s="300">
        <v>54</v>
      </c>
      <c r="AB70" t="s">
        <v>2864</v>
      </c>
      <c r="AC70" s="300">
        <v>2</v>
      </c>
      <c r="AD70" s="300">
        <f t="shared" ref="AD70:AD71" si="10">AA70*AC70</f>
        <v>108</v>
      </c>
      <c r="AE70" t="s">
        <v>2845</v>
      </c>
      <c r="AJ70" s="2964"/>
      <c r="AK70" s="3034" t="s">
        <v>6280</v>
      </c>
      <c r="AL70" s="2949"/>
      <c r="AM70" s="2950"/>
      <c r="AN70" s="2951"/>
      <c r="AO70" s="2975"/>
      <c r="AP70" s="3004"/>
      <c r="AR70" s="2964"/>
      <c r="AS70" s="3034" t="s">
        <v>6280</v>
      </c>
      <c r="AT70" s="2949"/>
      <c r="AU70" s="2950"/>
      <c r="AV70" s="2951"/>
    </row>
    <row r="71" spans="1:48">
      <c r="A71" s="2964"/>
      <c r="B71" s="2974" t="s">
        <v>6282</v>
      </c>
      <c r="C71" s="2949" t="s">
        <v>2043</v>
      </c>
      <c r="D71" s="2950"/>
      <c r="E71" s="2951"/>
      <c r="F71" s="2991"/>
      <c r="G71" s="713">
        <f>ROUND(D71*F71,0)</f>
        <v>0</v>
      </c>
      <c r="H71" s="3029"/>
      <c r="I71" s="3002">
        <v>2138445</v>
      </c>
      <c r="J71" s="3001"/>
      <c r="K71" s="3003">
        <v>1479024</v>
      </c>
      <c r="L71" s="3001"/>
      <c r="M71" s="3002">
        <v>1663089</v>
      </c>
      <c r="N71" s="3001"/>
      <c r="O71" s="3002">
        <v>2050000</v>
      </c>
      <c r="P71" s="3001"/>
      <c r="Q71" s="3002">
        <v>1768185</v>
      </c>
      <c r="R71" s="2962"/>
      <c r="S71" s="3003">
        <v>2400000</v>
      </c>
      <c r="T71" s="3001"/>
      <c r="U71" s="3012">
        <v>1500000</v>
      </c>
      <c r="X71" t="s">
        <v>6283</v>
      </c>
      <c r="Y71" s="3037">
        <v>291</v>
      </c>
      <c r="Z71" s="300" t="s">
        <v>2845</v>
      </c>
      <c r="AA71" s="3037">
        <v>74</v>
      </c>
      <c r="AB71" t="s">
        <v>2864</v>
      </c>
      <c r="AC71" s="300">
        <v>2</v>
      </c>
      <c r="AD71" s="3037">
        <f t="shared" si="10"/>
        <v>148</v>
      </c>
      <c r="AE71" t="s">
        <v>2845</v>
      </c>
      <c r="AJ71" s="2964"/>
      <c r="AK71" s="2974" t="s">
        <v>6282</v>
      </c>
      <c r="AL71" s="2949" t="s">
        <v>2043</v>
      </c>
      <c r="AM71" s="2950"/>
      <c r="AN71" s="2951"/>
      <c r="AO71" s="2975"/>
      <c r="AP71" s="3011">
        <f>ROUND(AM71*AO71,0)</f>
        <v>0</v>
      </c>
      <c r="AR71" s="2964"/>
      <c r="AS71" s="2974" t="s">
        <v>6282</v>
      </c>
      <c r="AT71" s="2949" t="s">
        <v>2043</v>
      </c>
      <c r="AU71" s="2950"/>
      <c r="AV71" s="2951"/>
    </row>
    <row r="72" spans="1:48">
      <c r="A72" s="2964"/>
      <c r="B72" s="2978" t="s">
        <v>6227</v>
      </c>
      <c r="C72" s="2949"/>
      <c r="D72" s="2950"/>
      <c r="E72" s="2951"/>
      <c r="F72" s="2991"/>
      <c r="G72" s="713">
        <f>ROUND(D72*F72,0)</f>
        <v>0</v>
      </c>
      <c r="H72" s="3001" t="s">
        <v>2931</v>
      </c>
      <c r="I72" s="3002"/>
      <c r="J72" s="3001" t="s">
        <v>2929</v>
      </c>
      <c r="K72" s="3016"/>
      <c r="L72" s="3001" t="s">
        <v>2931</v>
      </c>
      <c r="M72" s="3002"/>
      <c r="N72" s="3029" t="s">
        <v>2931</v>
      </c>
      <c r="O72" s="3002"/>
      <c r="P72" s="3029" t="s">
        <v>2931</v>
      </c>
      <c r="Q72" s="3002"/>
      <c r="R72" s="3029" t="s">
        <v>2931</v>
      </c>
      <c r="S72" s="3002"/>
      <c r="T72" s="3001"/>
      <c r="U72" s="3002"/>
      <c r="Y72" s="493">
        <f>SUM(Y66:Y71)</f>
        <v>3429</v>
      </c>
      <c r="Z72" s="300" t="s">
        <v>2845</v>
      </c>
      <c r="AA72" s="493">
        <f>SUM(AA66:AA71)</f>
        <v>723.39</v>
      </c>
      <c r="AB72" t="s">
        <v>2864</v>
      </c>
      <c r="AD72" s="493">
        <f>SUM(AD66:AD71)</f>
        <v>1999.5497999999998</v>
      </c>
      <c r="AE72" t="s">
        <v>2845</v>
      </c>
      <c r="AG72">
        <f>SUM(AG66:AG69)</f>
        <v>236</v>
      </c>
      <c r="AH72" t="s">
        <v>2845</v>
      </c>
      <c r="AJ72" s="2964"/>
      <c r="AK72" s="2978" t="s">
        <v>6227</v>
      </c>
      <c r="AL72" s="2949"/>
      <c r="AM72" s="2950"/>
      <c r="AN72" s="2951"/>
      <c r="AO72" s="2975"/>
      <c r="AP72" s="3004"/>
      <c r="AR72" s="2964"/>
      <c r="AS72" s="2978" t="s">
        <v>6227</v>
      </c>
      <c r="AT72" s="2949"/>
      <c r="AU72" s="2950"/>
      <c r="AV72" s="2951"/>
    </row>
    <row r="73" spans="1:48">
      <c r="A73" s="3030" t="s">
        <v>2587</v>
      </c>
      <c r="B73" s="2978" t="s">
        <v>6284</v>
      </c>
      <c r="C73" s="2949"/>
      <c r="D73" s="2950">
        <v>171</v>
      </c>
      <c r="E73" s="2951" t="s">
        <v>2845</v>
      </c>
      <c r="F73" s="3032">
        <f>F66</f>
        <v>100</v>
      </c>
      <c r="G73" s="717">
        <f>ROUND(D73*F73,0)</f>
        <v>17100</v>
      </c>
      <c r="H73" s="3001"/>
      <c r="I73" s="3033">
        <f>$G73</f>
        <v>17100</v>
      </c>
      <c r="J73" s="3001" t="s">
        <v>2929</v>
      </c>
      <c r="K73" s="3033">
        <f>$G73</f>
        <v>17100</v>
      </c>
      <c r="L73" s="3001"/>
      <c r="M73" s="3033">
        <f>$G73</f>
        <v>17100</v>
      </c>
      <c r="N73" s="3029"/>
      <c r="O73" s="3033">
        <f>$G73</f>
        <v>17100</v>
      </c>
      <c r="P73" s="3029"/>
      <c r="Q73" s="3033">
        <f>$G73</f>
        <v>17100</v>
      </c>
      <c r="R73" s="2962"/>
      <c r="S73" s="3033">
        <f>$G73</f>
        <v>17100</v>
      </c>
      <c r="T73" s="3001"/>
      <c r="U73" s="3033">
        <f>$G73</f>
        <v>17100</v>
      </c>
      <c r="AJ73" s="2964"/>
      <c r="AK73" s="2978" t="s">
        <v>6270</v>
      </c>
      <c r="AL73" s="2949"/>
      <c r="AM73" s="2950"/>
      <c r="AN73" s="2951"/>
      <c r="AO73" s="2975"/>
      <c r="AP73" s="3011">
        <f>ROUND(AM73*AO73,0)</f>
        <v>0</v>
      </c>
      <c r="AR73" s="2964"/>
      <c r="AS73" s="2978" t="s">
        <v>6270</v>
      </c>
      <c r="AT73" s="2949"/>
      <c r="AU73" s="2950"/>
      <c r="AV73" s="2951"/>
    </row>
    <row r="74" spans="1:48">
      <c r="A74" s="2964"/>
      <c r="B74" s="2974"/>
      <c r="C74" s="2949"/>
      <c r="D74" s="2950"/>
      <c r="E74" s="2951"/>
      <c r="F74" s="2991"/>
      <c r="G74" s="713">
        <f t="shared" ref="G74:G75" si="11">ROUND(D74*F74,0)</f>
        <v>0</v>
      </c>
      <c r="H74" s="3001"/>
      <c r="I74" s="3002"/>
      <c r="J74" s="3001"/>
      <c r="K74" s="3003"/>
      <c r="L74" s="3001"/>
      <c r="M74" s="3002"/>
      <c r="N74" s="3001"/>
      <c r="O74" s="3002"/>
      <c r="P74" s="3001"/>
      <c r="Q74" s="3002"/>
      <c r="R74" s="2962"/>
      <c r="S74" s="3003"/>
      <c r="T74" s="3001"/>
      <c r="U74" s="3002"/>
      <c r="X74">
        <f t="shared" ref="X74:X75" si="12">6-3.83</f>
        <v>2.17</v>
      </c>
      <c r="AJ74" s="2964"/>
      <c r="AK74" s="2974"/>
      <c r="AL74" s="2949"/>
      <c r="AM74" s="2950"/>
      <c r="AN74" s="2951"/>
      <c r="AO74" s="2975"/>
      <c r="AP74" s="3004"/>
      <c r="AR74" s="2964"/>
      <c r="AS74" s="2974"/>
      <c r="AT74" s="2949"/>
      <c r="AU74" s="2950"/>
      <c r="AV74" s="2951"/>
    </row>
    <row r="75" spans="1:48">
      <c r="A75" s="2964"/>
      <c r="B75" s="2974" t="s">
        <v>6285</v>
      </c>
      <c r="C75" s="2949"/>
      <c r="D75" s="2950"/>
      <c r="E75" s="2951"/>
      <c r="F75" s="2991"/>
      <c r="G75" s="713">
        <f t="shared" si="11"/>
        <v>0</v>
      </c>
      <c r="H75" s="3001"/>
      <c r="I75" s="3038">
        <v>-695000</v>
      </c>
      <c r="J75" s="3001"/>
      <c r="K75" s="3003"/>
      <c r="L75" s="3001"/>
      <c r="M75" s="3002"/>
      <c r="N75" s="3001"/>
      <c r="O75" s="3002"/>
      <c r="P75" s="3001"/>
      <c r="Q75" s="3038">
        <v>-1300000</v>
      </c>
      <c r="R75" s="2962"/>
      <c r="S75" s="3003"/>
      <c r="T75" s="3001"/>
      <c r="U75" s="3002"/>
      <c r="X75">
        <f t="shared" si="12"/>
        <v>2.17</v>
      </c>
      <c r="AJ75" s="2964"/>
      <c r="AK75" s="2974"/>
      <c r="AL75" s="2949"/>
      <c r="AM75" s="2950"/>
      <c r="AN75" s="2951"/>
      <c r="AO75" s="2975"/>
      <c r="AP75" s="3004"/>
      <c r="AR75" s="2964"/>
      <c r="AS75" s="2974"/>
      <c r="AT75" s="2949"/>
      <c r="AU75" s="2950"/>
      <c r="AV75" s="2951"/>
    </row>
    <row r="76" spans="1:48">
      <c r="A76" s="2964"/>
      <c r="B76" s="2974"/>
      <c r="C76" s="2949"/>
      <c r="D76" s="2950"/>
      <c r="E76" s="2951"/>
      <c r="F76" s="2991"/>
      <c r="G76" s="713">
        <f t="shared" ref="G76" si="13">ROUND(D76*F76,0)</f>
        <v>0</v>
      </c>
      <c r="H76" s="3001"/>
      <c r="I76" s="3002"/>
      <c r="J76" s="3001"/>
      <c r="K76" s="3003"/>
      <c r="L76" s="3001"/>
      <c r="M76" s="3002"/>
      <c r="N76" s="3001"/>
      <c r="O76" s="3002"/>
      <c r="P76" s="3001"/>
      <c r="Q76" s="3002"/>
      <c r="R76" s="2962"/>
      <c r="S76" s="3003"/>
      <c r="T76" s="3001"/>
      <c r="U76" s="3002"/>
      <c r="AJ76" s="2964"/>
      <c r="AK76" s="2974"/>
      <c r="AL76" s="2949"/>
      <c r="AM76" s="2950"/>
      <c r="AN76" s="2951"/>
      <c r="AO76" s="2975"/>
      <c r="AP76" s="3004"/>
      <c r="AR76" s="2964"/>
      <c r="AS76" s="2974"/>
      <c r="AT76" s="2949"/>
      <c r="AU76" s="2950"/>
      <c r="AV76" s="2951"/>
    </row>
    <row r="77" spans="1:48">
      <c r="A77" s="3030" t="s">
        <v>2587</v>
      </c>
      <c r="B77" s="2974" t="s">
        <v>2667</v>
      </c>
      <c r="C77" s="2949"/>
      <c r="D77" s="2950">
        <v>1</v>
      </c>
      <c r="E77" s="2951" t="s">
        <v>2818</v>
      </c>
      <c r="F77" s="3032">
        <v>70000</v>
      </c>
      <c r="G77" s="717">
        <f t="shared" si="0"/>
        <v>70000</v>
      </c>
      <c r="H77" s="3001"/>
      <c r="I77" s="3033">
        <f>$G77</f>
        <v>70000</v>
      </c>
      <c r="J77" s="3001" t="s">
        <v>2929</v>
      </c>
      <c r="K77" s="3033">
        <f>$G77</f>
        <v>70000</v>
      </c>
      <c r="L77" s="3001" t="s">
        <v>2929</v>
      </c>
      <c r="M77" s="3033">
        <f>$G77</f>
        <v>70000</v>
      </c>
      <c r="N77" s="3001"/>
      <c r="O77" s="3033">
        <f>$G77</f>
        <v>70000</v>
      </c>
      <c r="P77" s="3001"/>
      <c r="Q77" s="3033">
        <f>$G77</f>
        <v>70000</v>
      </c>
      <c r="R77" s="2962"/>
      <c r="S77" s="3033">
        <f>$G77</f>
        <v>70000</v>
      </c>
      <c r="T77" s="3001"/>
      <c r="U77" s="3033">
        <f>$G77</f>
        <v>70000</v>
      </c>
      <c r="AJ77" s="2964"/>
      <c r="AK77" s="2974" t="s">
        <v>6286</v>
      </c>
      <c r="AL77" s="2949"/>
      <c r="AM77" s="2950"/>
      <c r="AN77" s="2951"/>
      <c r="AO77" s="2975"/>
      <c r="AP77" s="3004"/>
      <c r="AR77" s="2964"/>
      <c r="AS77" s="2974" t="s">
        <v>6286</v>
      </c>
      <c r="AT77" s="2949"/>
      <c r="AU77" s="2950"/>
      <c r="AV77" s="2951"/>
    </row>
    <row r="78" spans="1:48">
      <c r="A78" s="2964"/>
      <c r="B78" s="2974"/>
      <c r="C78" s="2949"/>
      <c r="D78" s="2950"/>
      <c r="E78" s="2951"/>
      <c r="F78" s="2991"/>
      <c r="G78" s="713">
        <f t="shared" si="0"/>
        <v>0</v>
      </c>
      <c r="H78" s="3029"/>
      <c r="I78" s="3002"/>
      <c r="J78" s="3029"/>
      <c r="K78" s="3003"/>
      <c r="L78" s="3029"/>
      <c r="M78" s="3002"/>
      <c r="N78" s="3029"/>
      <c r="O78" s="3002"/>
      <c r="P78" s="3029"/>
      <c r="Q78" s="3002"/>
      <c r="R78" s="2962"/>
      <c r="S78" s="3003"/>
      <c r="T78" s="3029"/>
      <c r="U78" s="3002"/>
      <c r="AJ78" s="2964"/>
      <c r="AK78" s="2974"/>
      <c r="AL78" s="2949"/>
      <c r="AM78" s="2950"/>
      <c r="AN78" s="2951"/>
      <c r="AO78" s="2975"/>
      <c r="AP78" s="3004"/>
      <c r="AR78" s="2964"/>
      <c r="AS78" s="2974"/>
      <c r="AT78" s="2949"/>
      <c r="AU78" s="2950"/>
      <c r="AV78" s="2951"/>
    </row>
    <row r="79" spans="1:48">
      <c r="A79" s="2964"/>
      <c r="B79" s="2974" t="s">
        <v>6287</v>
      </c>
      <c r="C79" s="2949"/>
      <c r="D79" s="2950"/>
      <c r="E79" s="2951"/>
      <c r="F79" s="2991"/>
      <c r="G79" s="713">
        <f t="shared" si="0"/>
        <v>0</v>
      </c>
      <c r="H79" s="3001"/>
      <c r="I79" s="3002"/>
      <c r="J79" s="3001"/>
      <c r="K79" s="3003"/>
      <c r="L79" s="3001"/>
      <c r="M79" s="3002"/>
      <c r="N79" s="3001"/>
      <c r="O79" s="3002"/>
      <c r="P79" s="3001"/>
      <c r="Q79" s="3002"/>
      <c r="R79" s="2962"/>
      <c r="S79" s="3003"/>
      <c r="T79" s="3001"/>
      <c r="U79" s="3002"/>
      <c r="AJ79" s="2964"/>
      <c r="AK79" s="2974" t="s">
        <v>6287</v>
      </c>
      <c r="AL79" s="2949"/>
      <c r="AM79" s="2950"/>
      <c r="AN79" s="2951"/>
      <c r="AO79" s="2975"/>
      <c r="AP79" s="3004"/>
      <c r="AR79" s="2964"/>
      <c r="AS79" s="2974" t="s">
        <v>6287</v>
      </c>
      <c r="AT79" s="2949"/>
      <c r="AU79" s="2950"/>
      <c r="AV79" s="2951"/>
    </row>
    <row r="80" spans="1:48">
      <c r="A80" s="2964"/>
      <c r="B80" s="2974" t="s">
        <v>6288</v>
      </c>
      <c r="C80" s="2949"/>
      <c r="D80" s="2950"/>
      <c r="E80" s="2951"/>
      <c r="F80" s="2991"/>
      <c r="G80" s="713">
        <f t="shared" si="0"/>
        <v>0</v>
      </c>
      <c r="H80" s="3001" t="s">
        <v>2931</v>
      </c>
      <c r="I80" s="3002"/>
      <c r="J80" s="3001" t="s">
        <v>2931</v>
      </c>
      <c r="K80" s="3003"/>
      <c r="L80" s="3001" t="s">
        <v>2931</v>
      </c>
      <c r="M80" s="3002"/>
      <c r="N80" s="3001" t="s">
        <v>2931</v>
      </c>
      <c r="O80" s="3002"/>
      <c r="P80" s="3001" t="s">
        <v>2931</v>
      </c>
      <c r="Q80" s="3002"/>
      <c r="R80" s="3001" t="s">
        <v>2931</v>
      </c>
      <c r="S80" s="3003"/>
      <c r="T80" s="3001" t="s">
        <v>2931</v>
      </c>
      <c r="U80" s="3002"/>
      <c r="AJ80" s="2964"/>
      <c r="AK80" s="2974" t="s">
        <v>6288</v>
      </c>
      <c r="AL80" s="2949"/>
      <c r="AM80" s="2950"/>
      <c r="AN80" s="2951"/>
      <c r="AO80" s="2975"/>
      <c r="AP80" s="3004"/>
      <c r="AR80" s="2964"/>
      <c r="AS80" s="2974" t="s">
        <v>6288</v>
      </c>
      <c r="AT80" s="2949"/>
      <c r="AU80" s="2950"/>
      <c r="AV80" s="2951"/>
    </row>
    <row r="81" spans="1:48">
      <c r="A81" s="2964"/>
      <c r="B81" s="2974" t="s">
        <v>6289</v>
      </c>
      <c r="C81" s="2949"/>
      <c r="D81" s="2950"/>
      <c r="E81" s="2951"/>
      <c r="F81" s="2991"/>
      <c r="G81" s="713">
        <f t="shared" si="0"/>
        <v>0</v>
      </c>
      <c r="H81" s="3001" t="s">
        <v>2931</v>
      </c>
      <c r="I81" s="3002"/>
      <c r="J81" s="3001" t="s">
        <v>2931</v>
      </c>
      <c r="K81" s="3003"/>
      <c r="L81" s="3001" t="s">
        <v>2931</v>
      </c>
      <c r="M81" s="3002"/>
      <c r="N81" s="3001" t="s">
        <v>2931</v>
      </c>
      <c r="O81" s="3002"/>
      <c r="P81" s="3001" t="s">
        <v>2931</v>
      </c>
      <c r="Q81" s="3002"/>
      <c r="R81" s="3001" t="s">
        <v>2931</v>
      </c>
      <c r="S81" s="3003"/>
      <c r="T81" s="3001" t="s">
        <v>2931</v>
      </c>
      <c r="U81" s="3002"/>
      <c r="AJ81" s="2964"/>
      <c r="AK81" s="2974" t="s">
        <v>6289</v>
      </c>
      <c r="AL81" s="2949"/>
      <c r="AM81" s="2950"/>
      <c r="AN81" s="2951"/>
      <c r="AO81" s="2975"/>
      <c r="AP81" s="3004"/>
      <c r="AR81" s="2964"/>
      <c r="AS81" s="2974" t="s">
        <v>6289</v>
      </c>
      <c r="AT81" s="2949"/>
      <c r="AU81" s="2950"/>
      <c r="AV81" s="2951"/>
    </row>
    <row r="82" spans="1:48">
      <c r="A82" s="2964"/>
      <c r="B82" s="2974" t="s">
        <v>6290</v>
      </c>
      <c r="C82" s="2949"/>
      <c r="D82" s="2950"/>
      <c r="E82" s="2951"/>
      <c r="F82" s="2991"/>
      <c r="G82" s="713">
        <f t="shared" si="0"/>
        <v>0</v>
      </c>
      <c r="H82" s="3001" t="s">
        <v>2931</v>
      </c>
      <c r="I82" s="3002"/>
      <c r="J82" s="3001" t="s">
        <v>2931</v>
      </c>
      <c r="K82" s="3003"/>
      <c r="L82" s="3001"/>
      <c r="M82" s="3002"/>
      <c r="N82" s="3001" t="s">
        <v>2931</v>
      </c>
      <c r="O82" s="3002"/>
      <c r="P82" s="3001" t="s">
        <v>2931</v>
      </c>
      <c r="Q82" s="3002"/>
      <c r="R82" s="3001" t="s">
        <v>2931</v>
      </c>
      <c r="S82" s="3003"/>
      <c r="T82" s="3001"/>
      <c r="U82" s="3012"/>
      <c r="AJ82" s="2964"/>
      <c r="AK82" s="2974" t="s">
        <v>6290</v>
      </c>
      <c r="AL82" s="2949"/>
      <c r="AM82" s="2950"/>
      <c r="AN82" s="2951"/>
      <c r="AO82" s="2975"/>
      <c r="AP82" s="3004"/>
      <c r="AR82" s="2964"/>
      <c r="AS82" s="2974" t="s">
        <v>6290</v>
      </c>
      <c r="AT82" s="2949"/>
      <c r="AU82" s="2950"/>
      <c r="AV82" s="2951"/>
    </row>
    <row r="83" spans="1:48">
      <c r="A83" s="2964"/>
      <c r="B83" s="2974" t="s">
        <v>6291</v>
      </c>
      <c r="C83" s="2949"/>
      <c r="D83" s="2950"/>
      <c r="E83" s="2951"/>
      <c r="F83" s="2991"/>
      <c r="G83" s="713">
        <f>ROUND(D83*F83,0)</f>
        <v>0</v>
      </c>
      <c r="H83" s="3001" t="s">
        <v>2931</v>
      </c>
      <c r="I83" s="3002"/>
      <c r="J83" s="3001" t="s">
        <v>2931</v>
      </c>
      <c r="K83" s="3003"/>
      <c r="L83" s="3001"/>
      <c r="M83" s="3002"/>
      <c r="N83" s="3001" t="s">
        <v>2931</v>
      </c>
      <c r="O83" s="3002"/>
      <c r="P83" s="3001" t="s">
        <v>2931</v>
      </c>
      <c r="Q83" s="3002"/>
      <c r="R83" s="3001" t="s">
        <v>2931</v>
      </c>
      <c r="S83" s="3003"/>
      <c r="T83" s="3001" t="s">
        <v>2931</v>
      </c>
      <c r="U83" s="3002"/>
      <c r="AJ83" s="2964"/>
      <c r="AK83" s="2974" t="s">
        <v>6292</v>
      </c>
      <c r="AL83" s="2949"/>
      <c r="AM83" s="2950"/>
      <c r="AN83" s="2951"/>
      <c r="AO83" s="2975"/>
      <c r="AP83" s="3004"/>
      <c r="AR83" s="2964"/>
      <c r="AS83" s="2974" t="s">
        <v>6292</v>
      </c>
      <c r="AT83" s="2949"/>
      <c r="AU83" s="2950"/>
      <c r="AV83" s="2951"/>
    </row>
    <row r="84" spans="1:48">
      <c r="A84" s="2964"/>
      <c r="B84" s="2974" t="s">
        <v>6293</v>
      </c>
      <c r="C84" s="2949"/>
      <c r="D84" s="2950"/>
      <c r="E84" s="2951"/>
      <c r="F84" s="2991"/>
      <c r="G84" s="713">
        <f t="shared" si="0"/>
        <v>0</v>
      </c>
      <c r="H84" s="3001" t="s">
        <v>2931</v>
      </c>
      <c r="I84" s="3002"/>
      <c r="J84" s="3001" t="s">
        <v>2931</v>
      </c>
      <c r="K84" s="3003"/>
      <c r="L84" s="3001"/>
      <c r="M84" s="3002"/>
      <c r="N84" s="3001" t="s">
        <v>2931</v>
      </c>
      <c r="O84" s="3002"/>
      <c r="P84" s="3001" t="s">
        <v>2931</v>
      </c>
      <c r="Q84" s="3002"/>
      <c r="R84" s="3001" t="s">
        <v>2931</v>
      </c>
      <c r="S84" s="3003"/>
      <c r="T84" s="3001" t="s">
        <v>2931</v>
      </c>
      <c r="U84" s="3002"/>
      <c r="AJ84" s="2964"/>
      <c r="AK84" s="2974" t="s">
        <v>6293</v>
      </c>
      <c r="AL84" s="2949"/>
      <c r="AM84" s="2950"/>
      <c r="AN84" s="2951"/>
      <c r="AO84" s="2975"/>
      <c r="AP84" s="3004"/>
      <c r="AR84" s="2964"/>
      <c r="AS84" s="2974" t="s">
        <v>6293</v>
      </c>
      <c r="AT84" s="2949"/>
      <c r="AU84" s="2950"/>
      <c r="AV84" s="2951"/>
    </row>
    <row r="85" spans="1:48">
      <c r="A85" s="2964"/>
      <c r="B85" s="2974" t="s">
        <v>6294</v>
      </c>
      <c r="C85" s="2949"/>
      <c r="D85" s="2950"/>
      <c r="E85" s="2951"/>
      <c r="F85" s="2991"/>
      <c r="G85" s="713">
        <f t="shared" si="0"/>
        <v>0</v>
      </c>
      <c r="H85" s="3001" t="s">
        <v>2931</v>
      </c>
      <c r="I85" s="3002"/>
      <c r="J85" s="3001" t="s">
        <v>2931</v>
      </c>
      <c r="K85" s="3003"/>
      <c r="L85" s="3001"/>
      <c r="M85" s="3002"/>
      <c r="N85" s="3001" t="s">
        <v>2931</v>
      </c>
      <c r="O85" s="3002"/>
      <c r="P85" s="3001" t="s">
        <v>2931</v>
      </c>
      <c r="Q85" s="3002"/>
      <c r="R85" s="3001" t="s">
        <v>2931</v>
      </c>
      <c r="S85" s="3003"/>
      <c r="T85" s="3001" t="s">
        <v>2931</v>
      </c>
      <c r="U85" s="3002"/>
      <c r="AJ85" s="2964"/>
      <c r="AK85" s="2974" t="s">
        <v>6294</v>
      </c>
      <c r="AL85" s="2949"/>
      <c r="AM85" s="2950"/>
      <c r="AN85" s="2951"/>
      <c r="AO85" s="2975"/>
      <c r="AP85" s="3004"/>
      <c r="AR85" s="2964"/>
      <c r="AS85" s="2974" t="s">
        <v>6294</v>
      </c>
      <c r="AT85" s="2949"/>
      <c r="AU85" s="2950"/>
      <c r="AV85" s="2951"/>
    </row>
    <row r="86" spans="1:48">
      <c r="A86" s="2964"/>
      <c r="B86" s="2974" t="s">
        <v>6295</v>
      </c>
      <c r="C86" s="2949"/>
      <c r="D86" s="2950"/>
      <c r="E86" s="2951"/>
      <c r="F86" s="2991"/>
      <c r="G86" s="713">
        <f t="shared" si="0"/>
        <v>0</v>
      </c>
      <c r="H86" s="3001" t="s">
        <v>2931</v>
      </c>
      <c r="I86" s="3002"/>
      <c r="J86" s="3001" t="s">
        <v>2931</v>
      </c>
      <c r="K86" s="3003"/>
      <c r="L86" s="3001" t="s">
        <v>2931</v>
      </c>
      <c r="M86" s="3002"/>
      <c r="N86" s="3001" t="s">
        <v>2931</v>
      </c>
      <c r="O86" s="3002"/>
      <c r="P86" s="3001" t="s">
        <v>2931</v>
      </c>
      <c r="Q86" s="3002"/>
      <c r="R86" s="3001" t="s">
        <v>2931</v>
      </c>
      <c r="S86" s="3003"/>
      <c r="T86" s="3001" t="s">
        <v>2931</v>
      </c>
      <c r="U86" s="3002"/>
      <c r="AJ86" s="2964"/>
      <c r="AK86" s="2974" t="s">
        <v>6295</v>
      </c>
      <c r="AL86" s="2949"/>
      <c r="AM86" s="2950"/>
      <c r="AN86" s="2951"/>
      <c r="AO86" s="2975"/>
      <c r="AP86" s="3004"/>
      <c r="AR86" s="2964"/>
      <c r="AS86" s="2974" t="s">
        <v>6295</v>
      </c>
      <c r="AT86" s="2949"/>
      <c r="AU86" s="2950"/>
      <c r="AV86" s="2951"/>
    </row>
    <row r="87" spans="1:48">
      <c r="A87" s="2964"/>
      <c r="B87" s="2974" t="s">
        <v>6296</v>
      </c>
      <c r="C87" s="2949"/>
      <c r="D87" s="2950"/>
      <c r="E87" s="2951"/>
      <c r="F87" s="2991"/>
      <c r="G87" s="713">
        <f t="shared" si="0"/>
        <v>0</v>
      </c>
      <c r="H87" s="3001" t="s">
        <v>2931</v>
      </c>
      <c r="I87" s="3002"/>
      <c r="J87" s="3001" t="s">
        <v>2931</v>
      </c>
      <c r="K87" s="3003"/>
      <c r="L87" s="3001" t="s">
        <v>2931</v>
      </c>
      <c r="M87" s="3002"/>
      <c r="N87" s="3001" t="s">
        <v>2931</v>
      </c>
      <c r="O87" s="3002"/>
      <c r="P87" s="3001" t="s">
        <v>2931</v>
      </c>
      <c r="Q87" s="3002"/>
      <c r="R87" s="3001" t="s">
        <v>2931</v>
      </c>
      <c r="S87" s="3003"/>
      <c r="T87" s="3001" t="s">
        <v>2931</v>
      </c>
      <c r="U87" s="3002"/>
      <c r="AJ87" s="2964"/>
      <c r="AK87" s="2974" t="s">
        <v>6296</v>
      </c>
      <c r="AL87" s="2949"/>
      <c r="AM87" s="2950"/>
      <c r="AN87" s="2951"/>
      <c r="AO87" s="2975"/>
      <c r="AP87" s="3004"/>
      <c r="AR87" s="2964"/>
      <c r="AS87" s="2974" t="s">
        <v>6296</v>
      </c>
      <c r="AT87" s="2949"/>
      <c r="AU87" s="2950"/>
      <c r="AV87" s="2951"/>
    </row>
    <row r="88" spans="1:48">
      <c r="A88" s="2964"/>
      <c r="B88" s="2974" t="s">
        <v>6297</v>
      </c>
      <c r="C88" s="2949"/>
      <c r="D88" s="2950"/>
      <c r="E88" s="2951"/>
      <c r="F88" s="2991"/>
      <c r="G88" s="713">
        <f t="shared" si="0"/>
        <v>0</v>
      </c>
      <c r="H88" s="3001" t="s">
        <v>2931</v>
      </c>
      <c r="I88" s="3002"/>
      <c r="J88" s="3001" t="s">
        <v>2931</v>
      </c>
      <c r="K88" s="3003"/>
      <c r="L88" s="3001"/>
      <c r="M88" s="3002"/>
      <c r="N88" s="3001" t="s">
        <v>2931</v>
      </c>
      <c r="O88" s="3002"/>
      <c r="P88" s="3001" t="s">
        <v>2931</v>
      </c>
      <c r="Q88" s="3002"/>
      <c r="R88" s="3001" t="s">
        <v>2931</v>
      </c>
      <c r="S88" s="3003"/>
      <c r="T88" s="3001"/>
      <c r="U88" s="3002"/>
      <c r="AJ88" s="2964"/>
      <c r="AK88" s="2974" t="s">
        <v>6297</v>
      </c>
      <c r="AL88" s="2949"/>
      <c r="AM88" s="2950"/>
      <c r="AN88" s="2951"/>
      <c r="AO88" s="2975"/>
      <c r="AP88" s="3004"/>
      <c r="AR88" s="2964"/>
      <c r="AS88" s="2974" t="s">
        <v>6297</v>
      </c>
      <c r="AT88" s="2949"/>
      <c r="AU88" s="2950"/>
      <c r="AV88" s="2951"/>
    </row>
    <row r="89" spans="1:48">
      <c r="A89" s="2964"/>
      <c r="B89" s="2974" t="s">
        <v>6298</v>
      </c>
      <c r="C89" s="2949"/>
      <c r="D89" s="2950"/>
      <c r="E89" s="2951"/>
      <c r="F89" s="2991"/>
      <c r="G89" s="713">
        <f t="shared" si="0"/>
        <v>0</v>
      </c>
      <c r="H89" s="3001" t="s">
        <v>2931</v>
      </c>
      <c r="I89" s="3002"/>
      <c r="J89" s="3001" t="s">
        <v>2931</v>
      </c>
      <c r="K89" s="3003"/>
      <c r="L89" s="3001"/>
      <c r="M89" s="3002"/>
      <c r="N89" s="3001" t="s">
        <v>2929</v>
      </c>
      <c r="O89" s="3002"/>
      <c r="P89" s="3001" t="s">
        <v>2931</v>
      </c>
      <c r="Q89" s="3002"/>
      <c r="R89" s="3001" t="s">
        <v>2931</v>
      </c>
      <c r="S89" s="3003"/>
      <c r="T89" s="3001"/>
      <c r="U89" s="3002"/>
      <c r="AJ89" s="2964"/>
      <c r="AK89" s="2974" t="s">
        <v>6298</v>
      </c>
      <c r="AL89" s="2949"/>
      <c r="AM89" s="2950"/>
      <c r="AN89" s="2951"/>
      <c r="AO89" s="2975"/>
      <c r="AP89" s="3004"/>
      <c r="AR89" s="2964"/>
      <c r="AS89" s="2974" t="s">
        <v>6298</v>
      </c>
      <c r="AT89" s="2949"/>
      <c r="AU89" s="2950"/>
      <c r="AV89" s="2951"/>
    </row>
    <row r="90" spans="1:48">
      <c r="A90" s="2964"/>
      <c r="B90" s="2974" t="s">
        <v>6299</v>
      </c>
      <c r="C90" s="2949"/>
      <c r="D90" s="2950"/>
      <c r="E90" s="2951"/>
      <c r="F90" s="2991"/>
      <c r="G90" s="713">
        <f t="shared" si="0"/>
        <v>0</v>
      </c>
      <c r="H90" s="3001" t="s">
        <v>2931</v>
      </c>
      <c r="I90" s="3002"/>
      <c r="J90" s="3001" t="s">
        <v>2931</v>
      </c>
      <c r="K90" s="3003"/>
      <c r="L90" s="3001" t="s">
        <v>2931</v>
      </c>
      <c r="M90" s="3002"/>
      <c r="N90" s="3001" t="s">
        <v>2931</v>
      </c>
      <c r="O90" s="3002"/>
      <c r="P90" s="3001" t="s">
        <v>2931</v>
      </c>
      <c r="Q90" s="3002"/>
      <c r="R90" s="3001" t="s">
        <v>2931</v>
      </c>
      <c r="S90" s="3003"/>
      <c r="T90" s="3001" t="s">
        <v>2931</v>
      </c>
      <c r="U90" s="3002"/>
      <c r="AJ90" s="2964"/>
      <c r="AK90" s="2974" t="s">
        <v>6299</v>
      </c>
      <c r="AL90" s="2949"/>
      <c r="AM90" s="2950"/>
      <c r="AN90" s="2951"/>
      <c r="AO90" s="2975"/>
      <c r="AP90" s="3004"/>
      <c r="AR90" s="2964"/>
      <c r="AS90" s="2974" t="s">
        <v>6299</v>
      </c>
      <c r="AT90" s="2949"/>
      <c r="AU90" s="2950"/>
      <c r="AV90" s="2951"/>
    </row>
    <row r="91" spans="1:48">
      <c r="A91" s="2964"/>
      <c r="B91" s="2974" t="s">
        <v>6300</v>
      </c>
      <c r="C91" s="2949"/>
      <c r="D91" s="2950"/>
      <c r="E91" s="2951"/>
      <c r="F91" s="2991"/>
      <c r="G91" s="713">
        <f t="shared" si="0"/>
        <v>0</v>
      </c>
      <c r="H91" s="3001" t="s">
        <v>2931</v>
      </c>
      <c r="I91" s="3002"/>
      <c r="J91" s="3001" t="s">
        <v>2931</v>
      </c>
      <c r="K91" s="3003"/>
      <c r="L91" s="3001" t="s">
        <v>2931</v>
      </c>
      <c r="M91" s="3002"/>
      <c r="N91" s="3001" t="s">
        <v>2931</v>
      </c>
      <c r="O91" s="3002"/>
      <c r="P91" s="3001" t="s">
        <v>2931</v>
      </c>
      <c r="Q91" s="3002"/>
      <c r="R91" s="3001" t="s">
        <v>2931</v>
      </c>
      <c r="S91" s="3003"/>
      <c r="T91" s="3001"/>
      <c r="U91" s="3002"/>
      <c r="AJ91" s="2964"/>
      <c r="AK91" s="2974" t="s">
        <v>6300</v>
      </c>
      <c r="AL91" s="2949"/>
      <c r="AM91" s="2950"/>
      <c r="AN91" s="2951"/>
      <c r="AO91" s="2975"/>
      <c r="AP91" s="3004"/>
      <c r="AR91" s="2964"/>
      <c r="AS91" s="2974" t="s">
        <v>6300</v>
      </c>
      <c r="AT91" s="2949"/>
      <c r="AU91" s="2950"/>
      <c r="AV91" s="2951"/>
    </row>
    <row r="92" spans="1:48">
      <c r="A92" s="2964"/>
      <c r="B92" s="2974" t="s">
        <v>6301</v>
      </c>
      <c r="C92" s="2949"/>
      <c r="D92" s="2950"/>
      <c r="E92" s="2951"/>
      <c r="F92" s="2991"/>
      <c r="G92" s="713">
        <f t="shared" si="0"/>
        <v>0</v>
      </c>
      <c r="H92" s="3001" t="s">
        <v>2931</v>
      </c>
      <c r="I92" s="3002"/>
      <c r="J92" s="3001" t="s">
        <v>2931</v>
      </c>
      <c r="K92" s="3003"/>
      <c r="L92" s="3001"/>
      <c r="M92" s="3002"/>
      <c r="N92" s="3001" t="s">
        <v>2929</v>
      </c>
      <c r="O92" s="3002"/>
      <c r="P92" s="3001" t="s">
        <v>2931</v>
      </c>
      <c r="Q92" s="3002"/>
      <c r="R92" s="3001" t="s">
        <v>2931</v>
      </c>
      <c r="S92" s="3003"/>
      <c r="T92" s="3001"/>
      <c r="U92" s="3002"/>
      <c r="AJ92" s="2964"/>
      <c r="AK92" s="2974" t="s">
        <v>6301</v>
      </c>
      <c r="AL92" s="2949"/>
      <c r="AM92" s="2950"/>
      <c r="AN92" s="2951"/>
      <c r="AO92" s="2975"/>
      <c r="AP92" s="3004"/>
      <c r="AR92" s="2964"/>
      <c r="AS92" s="2974" t="s">
        <v>6301</v>
      </c>
      <c r="AT92" s="2949"/>
      <c r="AU92" s="2950"/>
      <c r="AV92" s="2951"/>
    </row>
    <row r="93" spans="1:48">
      <c r="A93" s="2964"/>
      <c r="B93" s="2974" t="s">
        <v>6302</v>
      </c>
      <c r="C93" s="2949"/>
      <c r="D93" s="2950"/>
      <c r="E93" s="2951"/>
      <c r="F93" s="2991"/>
      <c r="G93" s="713">
        <f t="shared" si="0"/>
        <v>0</v>
      </c>
      <c r="H93" s="3001" t="s">
        <v>2931</v>
      </c>
      <c r="I93" s="3002"/>
      <c r="J93" s="3001" t="s">
        <v>2931</v>
      </c>
      <c r="K93" s="3003"/>
      <c r="L93" s="3001"/>
      <c r="M93" s="3002"/>
      <c r="N93" s="3001" t="s">
        <v>2931</v>
      </c>
      <c r="O93" s="3002"/>
      <c r="P93" s="3001" t="s">
        <v>2931</v>
      </c>
      <c r="Q93" s="3002"/>
      <c r="R93" s="3001" t="s">
        <v>2931</v>
      </c>
      <c r="S93" s="3003"/>
      <c r="T93" s="3001" t="s">
        <v>2931</v>
      </c>
      <c r="U93" s="3002"/>
      <c r="AJ93" s="2964"/>
      <c r="AK93" s="2974" t="s">
        <v>6302</v>
      </c>
      <c r="AL93" s="2949"/>
      <c r="AM93" s="2950"/>
      <c r="AN93" s="2951"/>
      <c r="AO93" s="2975"/>
      <c r="AP93" s="3004"/>
      <c r="AR93" s="2964"/>
      <c r="AS93" s="2974" t="s">
        <v>6302</v>
      </c>
      <c r="AT93" s="2949"/>
      <c r="AU93" s="2950"/>
      <c r="AV93" s="2951"/>
    </row>
    <row r="94" spans="1:48">
      <c r="A94" s="2964"/>
      <c r="B94" s="2974" t="s">
        <v>6303</v>
      </c>
      <c r="C94" s="2949"/>
      <c r="D94" s="2950"/>
      <c r="E94" s="2951"/>
      <c r="F94" s="2991"/>
      <c r="G94" s="713">
        <f t="shared" si="0"/>
        <v>0</v>
      </c>
      <c r="H94" s="3001" t="s">
        <v>2931</v>
      </c>
      <c r="I94" s="3002"/>
      <c r="J94" s="3001" t="s">
        <v>2931</v>
      </c>
      <c r="K94" s="3003"/>
      <c r="L94" s="3001"/>
      <c r="M94" s="3002"/>
      <c r="N94" s="3001" t="s">
        <v>2931</v>
      </c>
      <c r="O94" s="3002"/>
      <c r="P94" s="3001" t="s">
        <v>2931</v>
      </c>
      <c r="Q94" s="3002"/>
      <c r="R94" s="3001" t="s">
        <v>2931</v>
      </c>
      <c r="S94" s="3003"/>
      <c r="T94" s="3001"/>
      <c r="U94" s="3002"/>
      <c r="AJ94" s="2964"/>
      <c r="AK94" s="2974" t="s">
        <v>6304</v>
      </c>
      <c r="AL94" s="2949"/>
      <c r="AM94" s="2950"/>
      <c r="AN94" s="2951"/>
      <c r="AO94" s="2975"/>
      <c r="AP94" s="3004"/>
      <c r="AR94" s="2964"/>
      <c r="AS94" s="2974" t="s">
        <v>6304</v>
      </c>
      <c r="AT94" s="2949"/>
      <c r="AU94" s="2950"/>
      <c r="AV94" s="2951"/>
    </row>
    <row r="95" spans="1:48">
      <c r="A95" s="2964"/>
      <c r="B95" s="2974" t="s">
        <v>6305</v>
      </c>
      <c r="C95" s="2949"/>
      <c r="D95" s="2950"/>
      <c r="E95" s="2951"/>
      <c r="F95" s="2991"/>
      <c r="G95" s="713">
        <f t="shared" ref="G95" si="14">ROUND(D95*F95,0)</f>
        <v>0</v>
      </c>
      <c r="H95" s="3001" t="s">
        <v>2931</v>
      </c>
      <c r="I95" s="3002"/>
      <c r="J95" s="3001" t="s">
        <v>2931</v>
      </c>
      <c r="K95" s="3003"/>
      <c r="L95" s="3001"/>
      <c r="M95" s="3002"/>
      <c r="N95" s="3001" t="s">
        <v>2931</v>
      </c>
      <c r="O95" s="3002"/>
      <c r="P95" s="3001" t="s">
        <v>2931</v>
      </c>
      <c r="Q95" s="3002"/>
      <c r="R95" s="3001" t="s">
        <v>2931</v>
      </c>
      <c r="S95" s="3003"/>
      <c r="T95" s="3001"/>
      <c r="U95" s="3002"/>
      <c r="AJ95" s="2964"/>
      <c r="AK95" s="2974" t="s">
        <v>6304</v>
      </c>
      <c r="AL95" s="2949"/>
      <c r="AM95" s="2950"/>
      <c r="AN95" s="2951"/>
      <c r="AO95" s="2975"/>
      <c r="AP95" s="3004"/>
      <c r="AR95" s="2964"/>
      <c r="AS95" s="2974" t="s">
        <v>6304</v>
      </c>
      <c r="AT95" s="2949"/>
      <c r="AU95" s="2950"/>
      <c r="AV95" s="2951"/>
    </row>
    <row r="96" spans="1:48">
      <c r="A96" s="2964"/>
      <c r="B96" s="2974" t="s">
        <v>6306</v>
      </c>
      <c r="C96" s="2949"/>
      <c r="D96" s="2950"/>
      <c r="E96" s="2951"/>
      <c r="F96" s="2991"/>
      <c r="G96" s="713"/>
      <c r="H96" s="3001" t="s">
        <v>2931</v>
      </c>
      <c r="I96" s="3002"/>
      <c r="J96" s="3001"/>
      <c r="K96" s="3003"/>
      <c r="L96" s="3001"/>
      <c r="M96" s="3002"/>
      <c r="N96" s="3001"/>
      <c r="O96" s="3002"/>
      <c r="P96" s="3001"/>
      <c r="Q96" s="3002"/>
      <c r="R96" s="3001"/>
      <c r="S96" s="3003"/>
      <c r="T96" s="3001"/>
      <c r="U96" s="3002"/>
      <c r="AJ96" s="2964"/>
      <c r="AK96" s="2974"/>
      <c r="AL96" s="2949"/>
      <c r="AM96" s="2950"/>
      <c r="AN96" s="2951"/>
      <c r="AO96" s="2975"/>
      <c r="AP96" s="3004"/>
      <c r="AR96" s="2964"/>
      <c r="AS96" s="2974"/>
      <c r="AT96" s="2949"/>
      <c r="AU96" s="2950"/>
      <c r="AV96" s="2951"/>
    </row>
    <row r="97" spans="1:48">
      <c r="A97" s="2964"/>
      <c r="B97" s="2974" t="s">
        <v>6307</v>
      </c>
      <c r="C97" s="2949"/>
      <c r="D97" s="2950"/>
      <c r="E97" s="2951"/>
      <c r="F97" s="2991"/>
      <c r="G97" s="713">
        <f t="shared" si="0"/>
        <v>0</v>
      </c>
      <c r="H97" s="3001" t="s">
        <v>2931</v>
      </c>
      <c r="I97" s="3002"/>
      <c r="J97" s="3001" t="s">
        <v>2931</v>
      </c>
      <c r="K97" s="3003"/>
      <c r="L97" s="3001"/>
      <c r="M97" s="3002"/>
      <c r="N97" s="3001" t="s">
        <v>2931</v>
      </c>
      <c r="O97" s="3002"/>
      <c r="P97" s="3001" t="s">
        <v>2931</v>
      </c>
      <c r="Q97" s="3002"/>
      <c r="R97" s="3001" t="s">
        <v>2931</v>
      </c>
      <c r="S97" s="3003"/>
      <c r="T97" s="3001"/>
      <c r="U97" s="3002"/>
      <c r="AJ97" s="2964"/>
      <c r="AK97" s="2974" t="s">
        <v>6307</v>
      </c>
      <c r="AL97" s="2949"/>
      <c r="AM97" s="2950"/>
      <c r="AN97" s="2951"/>
      <c r="AO97" s="2975"/>
      <c r="AP97" s="3004"/>
      <c r="AR97" s="2964"/>
      <c r="AS97" s="2974" t="s">
        <v>6307</v>
      </c>
      <c r="AT97" s="2949"/>
      <c r="AU97" s="2950"/>
      <c r="AV97" s="2951"/>
    </row>
    <row r="98" spans="1:48">
      <c r="A98" s="2964"/>
      <c r="B98" s="2974" t="s">
        <v>6308</v>
      </c>
      <c r="C98" s="2949"/>
      <c r="D98" s="2950"/>
      <c r="E98" s="2951"/>
      <c r="F98" s="2991"/>
      <c r="G98" s="713"/>
      <c r="H98" s="3001" t="s">
        <v>2931</v>
      </c>
      <c r="I98" s="3002"/>
      <c r="J98" s="3015"/>
      <c r="K98" s="3003"/>
      <c r="L98" s="3001"/>
      <c r="M98" s="3002"/>
      <c r="N98" s="3001" t="s">
        <v>2931</v>
      </c>
      <c r="O98" s="3002"/>
      <c r="P98" s="3001"/>
      <c r="Q98" s="3002"/>
      <c r="R98" s="3001" t="s">
        <v>2931</v>
      </c>
      <c r="S98" s="3003"/>
      <c r="T98" s="3001"/>
      <c r="U98" s="3002"/>
      <c r="AJ98" s="2964"/>
      <c r="AK98" s="2974"/>
      <c r="AL98" s="2949"/>
      <c r="AM98" s="2950"/>
      <c r="AN98" s="2951"/>
      <c r="AO98" s="2975"/>
      <c r="AP98" s="3004"/>
      <c r="AR98" s="2964"/>
      <c r="AS98" s="2974"/>
      <c r="AT98" s="2949"/>
      <c r="AU98" s="2950"/>
      <c r="AV98" s="2951"/>
    </row>
    <row r="99" spans="1:48">
      <c r="A99" s="2964"/>
      <c r="B99" s="2974"/>
      <c r="C99" s="2949"/>
      <c r="D99" s="2950"/>
      <c r="E99" s="2951"/>
      <c r="F99" s="2991"/>
      <c r="G99" s="713">
        <f t="shared" si="0"/>
        <v>0</v>
      </c>
      <c r="H99" s="3001"/>
      <c r="I99" s="3002"/>
      <c r="J99" s="3001"/>
      <c r="K99" s="3003"/>
      <c r="L99" s="3001"/>
      <c r="M99" s="3002"/>
      <c r="N99" s="3001"/>
      <c r="O99" s="3002"/>
      <c r="P99" s="3001"/>
      <c r="Q99" s="3002"/>
      <c r="R99" s="2962"/>
      <c r="S99" s="3003"/>
      <c r="T99" s="3001"/>
      <c r="U99" s="3002"/>
      <c r="AJ99" s="2964"/>
      <c r="AK99" s="2974"/>
      <c r="AL99" s="2949"/>
      <c r="AM99" s="2950"/>
      <c r="AN99" s="2951"/>
      <c r="AO99" s="2975"/>
      <c r="AP99" s="3004"/>
      <c r="AR99" s="2964"/>
      <c r="AS99" s="2974"/>
      <c r="AT99" s="2949"/>
      <c r="AU99" s="2950"/>
      <c r="AV99" s="2951"/>
    </row>
    <row r="100" spans="1:48">
      <c r="A100" s="2964"/>
      <c r="B100" s="2974" t="s">
        <v>6309</v>
      </c>
      <c r="C100" s="2949"/>
      <c r="D100" s="2950"/>
      <c r="E100" s="2951"/>
      <c r="F100" s="2991"/>
      <c r="G100" s="713">
        <f t="shared" si="0"/>
        <v>0</v>
      </c>
      <c r="H100" s="2962" t="s">
        <v>2929</v>
      </c>
      <c r="I100" s="3002"/>
      <c r="J100" s="3001" t="s">
        <v>2929</v>
      </c>
      <c r="K100" s="3003"/>
      <c r="L100" s="3001" t="s">
        <v>2929</v>
      </c>
      <c r="M100" s="3002"/>
      <c r="N100" s="3001" t="s">
        <v>2929</v>
      </c>
      <c r="O100" s="3002"/>
      <c r="P100" s="3001" t="s">
        <v>2929</v>
      </c>
      <c r="Q100" s="3002"/>
      <c r="R100" s="2962" t="s">
        <v>2929</v>
      </c>
      <c r="S100" s="3003"/>
      <c r="T100" s="3001"/>
      <c r="U100" s="3002"/>
      <c r="AJ100" s="2964"/>
      <c r="AK100" s="2974" t="s">
        <v>6309</v>
      </c>
      <c r="AL100" s="2949"/>
      <c r="AM100" s="2950"/>
      <c r="AN100" s="2951"/>
      <c r="AO100" s="2975"/>
      <c r="AP100" s="3004"/>
      <c r="AR100" s="2964"/>
      <c r="AS100" s="2974" t="s">
        <v>6309</v>
      </c>
      <c r="AT100" s="2949"/>
      <c r="AU100" s="2950"/>
      <c r="AV100" s="2951"/>
    </row>
    <row r="101" spans="1:48">
      <c r="A101" s="2964"/>
      <c r="B101" s="2974" t="s">
        <v>6310</v>
      </c>
      <c r="C101" s="2949"/>
      <c r="D101" s="2950"/>
      <c r="E101" s="2951"/>
      <c r="F101" s="2991"/>
      <c r="G101" s="713">
        <f t="shared" si="0"/>
        <v>0</v>
      </c>
      <c r="H101" s="2962" t="s">
        <v>2929</v>
      </c>
      <c r="I101" s="3002"/>
      <c r="J101" s="3001" t="s">
        <v>2929</v>
      </c>
      <c r="K101" s="3003"/>
      <c r="L101" s="3001" t="s">
        <v>2929</v>
      </c>
      <c r="M101" s="3002"/>
      <c r="N101" s="3001" t="s">
        <v>2929</v>
      </c>
      <c r="O101" s="3002"/>
      <c r="P101" s="3001" t="s">
        <v>2929</v>
      </c>
      <c r="Q101" s="3002"/>
      <c r="R101" s="2962" t="s">
        <v>2929</v>
      </c>
      <c r="S101" s="3003"/>
      <c r="T101" s="3001"/>
      <c r="U101" s="3002"/>
      <c r="AJ101" s="2964"/>
      <c r="AK101" s="2974" t="s">
        <v>6310</v>
      </c>
      <c r="AL101" s="2949"/>
      <c r="AM101" s="2950"/>
      <c r="AN101" s="2951"/>
      <c r="AO101" s="2975"/>
      <c r="AP101" s="3004"/>
      <c r="AR101" s="2964"/>
      <c r="AS101" s="2974" t="s">
        <v>6310</v>
      </c>
      <c r="AT101" s="2949"/>
      <c r="AU101" s="2950"/>
      <c r="AV101" s="2951"/>
    </row>
    <row r="102" spans="1:48">
      <c r="A102" s="2964"/>
      <c r="B102" s="2974"/>
      <c r="C102" s="2949"/>
      <c r="D102" s="2950"/>
      <c r="E102" s="2951"/>
      <c r="F102" s="2991"/>
      <c r="G102" s="713">
        <f t="shared" si="0"/>
        <v>0</v>
      </c>
      <c r="H102" s="3001"/>
      <c r="I102" s="3002"/>
      <c r="J102" s="3001"/>
      <c r="K102" s="3003"/>
      <c r="L102" s="3001"/>
      <c r="M102" s="3002"/>
      <c r="N102" s="3001"/>
      <c r="O102" s="3002"/>
      <c r="P102" s="3001"/>
      <c r="Q102" s="3002"/>
      <c r="R102" s="2962"/>
      <c r="S102" s="3003"/>
      <c r="T102" s="3001"/>
      <c r="U102" s="3002"/>
      <c r="AJ102" s="2964"/>
      <c r="AK102" s="2974"/>
      <c r="AL102" s="2949"/>
      <c r="AM102" s="2950"/>
      <c r="AN102" s="2951"/>
      <c r="AO102" s="2975"/>
      <c r="AP102" s="3004"/>
      <c r="AR102" s="2964"/>
      <c r="AS102" s="2974"/>
      <c r="AT102" s="2949"/>
      <c r="AU102" s="2950"/>
      <c r="AV102" s="2951"/>
    </row>
    <row r="103" spans="1:48">
      <c r="A103" s="2964"/>
      <c r="B103" s="2974" t="s">
        <v>6311</v>
      </c>
      <c r="C103" s="2949"/>
      <c r="D103" s="2950"/>
      <c r="E103" s="2951"/>
      <c r="F103" s="2991"/>
      <c r="G103" s="713">
        <f t="shared" si="0"/>
        <v>0</v>
      </c>
      <c r="H103" s="3001"/>
      <c r="I103" s="3039">
        <v>250000</v>
      </c>
      <c r="J103" s="3001"/>
      <c r="K103" s="3003"/>
      <c r="L103" s="3001"/>
      <c r="M103" s="3002"/>
      <c r="N103" s="3001"/>
      <c r="O103" s="3002"/>
      <c r="P103" s="3001"/>
      <c r="Q103" s="3002"/>
      <c r="R103" s="2962"/>
      <c r="S103" s="3003"/>
      <c r="T103" s="3001"/>
      <c r="U103" s="3002"/>
      <c r="AJ103" s="2964"/>
      <c r="AK103" s="2974" t="s">
        <v>6312</v>
      </c>
      <c r="AL103" s="2949"/>
      <c r="AM103" s="2950"/>
      <c r="AN103" s="2951"/>
      <c r="AO103" s="2975"/>
      <c r="AP103" s="3004"/>
      <c r="AR103" s="2964"/>
      <c r="AS103" s="2974" t="s">
        <v>6312</v>
      </c>
      <c r="AT103" s="2949"/>
      <c r="AU103" s="2950"/>
      <c r="AV103" s="2951"/>
    </row>
    <row r="104" spans="1:48">
      <c r="A104" s="2037"/>
      <c r="B104" s="3026"/>
      <c r="C104" s="2949"/>
      <c r="D104" s="2950"/>
      <c r="E104" s="2951"/>
      <c r="F104" s="2991"/>
      <c r="G104" s="713">
        <f t="shared" si="0"/>
        <v>0</v>
      </c>
      <c r="H104" s="3029"/>
      <c r="I104" s="3002"/>
      <c r="J104" s="3029"/>
      <c r="K104" s="3003"/>
      <c r="L104" s="3029"/>
      <c r="M104" s="3002"/>
      <c r="N104" s="3029"/>
      <c r="O104" s="3002"/>
      <c r="P104" s="3029"/>
      <c r="Q104" s="3002"/>
      <c r="R104" s="2962"/>
      <c r="S104" s="3003"/>
      <c r="T104" s="3029"/>
      <c r="U104" s="3002"/>
      <c r="AJ104" s="2964"/>
      <c r="AK104" s="3026"/>
      <c r="AL104" s="2949"/>
      <c r="AM104" s="2950"/>
      <c r="AN104" s="2951"/>
      <c r="AO104" s="2975"/>
      <c r="AP104" s="3004"/>
      <c r="AR104" s="2037"/>
      <c r="AS104" s="3026"/>
      <c r="AT104" s="2949"/>
      <c r="AU104" s="2950"/>
      <c r="AV104" s="2951"/>
    </row>
    <row r="105" spans="1:48" ht="15.75" thickBot="1">
      <c r="A105" s="2964"/>
      <c r="B105" s="2204"/>
      <c r="C105" s="2205"/>
      <c r="D105" s="2206"/>
      <c r="E105" s="2951"/>
      <c r="F105" s="2991"/>
      <c r="G105" s="713"/>
      <c r="H105" s="3001"/>
      <c r="I105" s="3002">
        <v>-5</v>
      </c>
      <c r="J105" s="3029"/>
      <c r="K105" s="3003"/>
      <c r="L105" s="3029"/>
      <c r="M105" s="3002"/>
      <c r="N105" s="3029"/>
      <c r="O105" s="3002"/>
      <c r="P105" s="3029"/>
      <c r="Q105" s="3002">
        <v>-2</v>
      </c>
      <c r="R105" s="2962"/>
      <c r="S105" s="3003"/>
      <c r="T105" s="3001"/>
      <c r="U105" s="3002"/>
      <c r="AJ105" s="2964"/>
      <c r="AK105" s="2204"/>
      <c r="AL105" s="2205"/>
      <c r="AM105" s="2206"/>
      <c r="AN105" s="2951"/>
      <c r="AO105" s="2991"/>
      <c r="AP105" s="3004"/>
      <c r="AR105" s="2964"/>
      <c r="AS105" s="2204"/>
      <c r="AT105" s="2205"/>
      <c r="AU105" s="2206"/>
      <c r="AV105" s="2951"/>
    </row>
    <row r="106" spans="1:48" ht="15.75" thickTop="1">
      <c r="A106" s="13"/>
      <c r="B106" s="226" t="s">
        <v>3265</v>
      </c>
      <c r="C106" s="15"/>
      <c r="D106" s="168"/>
      <c r="E106" s="176"/>
      <c r="F106" s="376"/>
      <c r="G106" s="520">
        <f>SUBTOTAL(9,G21:G105)</f>
        <v>1947558</v>
      </c>
      <c r="H106" s="515"/>
      <c r="I106" s="514">
        <f>SUBTOTAL(9,I20:I105)</f>
        <v>6096192</v>
      </c>
      <c r="J106" s="515"/>
      <c r="K106" s="514">
        <f>SUBTOTAL(9,K20:K105)</f>
        <v>6819114</v>
      </c>
      <c r="L106" s="515"/>
      <c r="M106" s="514">
        <f>SUBTOTAL(9,M20:M105)</f>
        <v>7813774</v>
      </c>
      <c r="N106" s="515"/>
      <c r="O106" s="514">
        <f>SUBTOTAL(9,O20:O105)</f>
        <v>8747362</v>
      </c>
      <c r="P106" s="515"/>
      <c r="Q106" s="514">
        <f>SUBTOTAL(9,Q20:Q105)</f>
        <v>8363772</v>
      </c>
      <c r="R106" s="19"/>
      <c r="S106" s="514">
        <f>SUBTOTAL(9,S20:S105)</f>
        <v>10523362</v>
      </c>
      <c r="T106" s="515"/>
      <c r="U106" s="514">
        <f>SUBTOTAL(9,U20:U105)</f>
        <v>6783515</v>
      </c>
      <c r="AJ106" s="13"/>
      <c r="AK106" s="226" t="s">
        <v>3265</v>
      </c>
      <c r="AL106" s="15"/>
      <c r="AM106" s="168"/>
      <c r="AN106" s="176"/>
      <c r="AO106" s="17"/>
      <c r="AP106" s="542">
        <f>SUBTOTAL(9,AP21:AP105)</f>
        <v>0</v>
      </c>
      <c r="AR106" s="13"/>
      <c r="AS106" s="226" t="s">
        <v>3265</v>
      </c>
      <c r="AT106" s="15"/>
      <c r="AU106" s="168"/>
      <c r="AV106" s="176"/>
    </row>
    <row r="107" spans="1:48">
      <c r="A107" s="2137"/>
      <c r="B107" s="2208" t="s">
        <v>2976</v>
      </c>
      <c r="C107" s="2138"/>
      <c r="D107" s="2209"/>
      <c r="E107" s="2210"/>
      <c r="F107" s="3040"/>
      <c r="G107" s="718"/>
      <c r="H107" s="3041">
        <v>0</v>
      </c>
      <c r="I107" s="796"/>
      <c r="J107" s="3041">
        <v>0</v>
      </c>
      <c r="K107" s="796"/>
      <c r="L107" s="3041">
        <v>0</v>
      </c>
      <c r="M107" s="796"/>
      <c r="N107" s="3041">
        <v>0</v>
      </c>
      <c r="O107" s="796"/>
      <c r="P107" s="3041">
        <v>0</v>
      </c>
      <c r="Q107" s="796"/>
      <c r="R107" s="2141"/>
      <c r="S107" s="796"/>
      <c r="T107" s="3041">
        <v>0</v>
      </c>
      <c r="U107" s="796"/>
      <c r="AJ107" s="2137"/>
      <c r="AK107" s="2208" t="s">
        <v>2976</v>
      </c>
      <c r="AL107" s="2138"/>
      <c r="AM107" s="2209"/>
      <c r="AN107" s="2210"/>
      <c r="AO107" s="2140"/>
      <c r="AP107" s="3042"/>
      <c r="AR107" s="2137"/>
      <c r="AS107" s="2208" t="s">
        <v>2976</v>
      </c>
      <c r="AT107" s="2138"/>
      <c r="AU107" s="2209"/>
      <c r="AV107" s="2210"/>
    </row>
    <row r="108" spans="1:48">
      <c r="A108" s="2137"/>
      <c r="B108" s="2208" t="s">
        <v>2977</v>
      </c>
      <c r="C108" s="2138"/>
      <c r="D108" s="2209"/>
      <c r="E108" s="2210"/>
      <c r="F108" s="3040"/>
      <c r="G108" s="718">
        <f>F107*G106</f>
        <v>0</v>
      </c>
      <c r="H108" s="3041"/>
      <c r="I108" s="3043">
        <f>H107*I106</f>
        <v>0</v>
      </c>
      <c r="J108" s="3041"/>
      <c r="K108" s="3043">
        <f>J107*K106</f>
        <v>0</v>
      </c>
      <c r="L108" s="3041"/>
      <c r="M108" s="3043">
        <f>L107*M106</f>
        <v>0</v>
      </c>
      <c r="N108" s="3041"/>
      <c r="O108" s="3043">
        <f>N107*O106</f>
        <v>0</v>
      </c>
      <c r="P108" s="3041"/>
      <c r="Q108" s="3043">
        <f>P107*Q106</f>
        <v>0</v>
      </c>
      <c r="R108" s="2143"/>
      <c r="S108" s="3043">
        <f>R107*S106</f>
        <v>0</v>
      </c>
      <c r="T108" s="3041"/>
      <c r="U108" s="3043">
        <f>T107*U106</f>
        <v>0</v>
      </c>
      <c r="AJ108" s="2137"/>
      <c r="AK108" s="2208" t="s">
        <v>2977</v>
      </c>
      <c r="AL108" s="2138"/>
      <c r="AM108" s="2209"/>
      <c r="AN108" s="2210"/>
      <c r="AO108" s="2140"/>
      <c r="AP108" s="3042">
        <f>AO107*AP106</f>
        <v>0</v>
      </c>
      <c r="AR108" s="2137"/>
      <c r="AS108" s="2208" t="s">
        <v>2977</v>
      </c>
      <c r="AT108" s="2138"/>
      <c r="AU108" s="2209"/>
      <c r="AV108" s="2210"/>
    </row>
    <row r="109" spans="1:48">
      <c r="A109" s="2137"/>
      <c r="B109" s="2208"/>
      <c r="C109" s="2138"/>
      <c r="D109" s="2209"/>
      <c r="E109" s="2210"/>
      <c r="F109" s="3040"/>
      <c r="G109" s="718"/>
      <c r="H109" s="3041"/>
      <c r="I109" s="3043"/>
      <c r="J109" s="3041"/>
      <c r="K109" s="3043"/>
      <c r="L109" s="3041"/>
      <c r="M109" s="3043"/>
      <c r="N109" s="3041"/>
      <c r="O109" s="3043"/>
      <c r="P109" s="3041"/>
      <c r="Q109" s="3043"/>
      <c r="R109" s="2143"/>
      <c r="S109" s="3043"/>
      <c r="T109" s="3041"/>
      <c r="U109" s="3043"/>
      <c r="AJ109" s="2137"/>
      <c r="AK109" s="2208"/>
      <c r="AL109" s="2138"/>
      <c r="AM109" s="2209"/>
      <c r="AN109" s="2210"/>
      <c r="AO109" s="2140"/>
      <c r="AP109" s="3042"/>
      <c r="AR109" s="2137"/>
      <c r="AS109" s="2208"/>
      <c r="AT109" s="2138"/>
      <c r="AU109" s="2209"/>
      <c r="AV109" s="2210"/>
    </row>
    <row r="110" spans="1:48">
      <c r="A110" s="2137"/>
      <c r="B110" s="2208" t="s">
        <v>2978</v>
      </c>
      <c r="C110" s="2138"/>
      <c r="D110" s="2209"/>
      <c r="E110" s="2210"/>
      <c r="F110" s="3040"/>
      <c r="G110" s="718">
        <f>SUM(G106:G108)</f>
        <v>1947558</v>
      </c>
      <c r="H110" s="3041"/>
      <c r="I110" s="3043">
        <f>SUM(I106:I108)</f>
        <v>6096192</v>
      </c>
      <c r="J110" s="3041"/>
      <c r="K110" s="3043">
        <f>SUM(K106:K108)</f>
        <v>6819114</v>
      </c>
      <c r="L110" s="3041"/>
      <c r="M110" s="3043">
        <f>SUM(M106:M108)</f>
        <v>7813774</v>
      </c>
      <c r="N110" s="3041"/>
      <c r="O110" s="3043">
        <f>SUM(O106:O108)</f>
        <v>8747362</v>
      </c>
      <c r="P110" s="3041"/>
      <c r="Q110" s="3043">
        <f>SUM(Q106:Q108)</f>
        <v>8363772</v>
      </c>
      <c r="R110" s="2145"/>
      <c r="S110" s="3043">
        <f>SUM(S106:S108)</f>
        <v>10523362</v>
      </c>
      <c r="T110" s="3041"/>
      <c r="U110" s="3043">
        <f>SUM(U106:U108)</f>
        <v>6783515</v>
      </c>
      <c r="AJ110" s="2137"/>
      <c r="AK110" s="2208" t="s">
        <v>2978</v>
      </c>
      <c r="AL110" s="2138"/>
      <c r="AM110" s="2209"/>
      <c r="AN110" s="2210"/>
      <c r="AO110" s="2140"/>
      <c r="AP110" s="3042">
        <f>SUM(AP106:AP108)</f>
        <v>0</v>
      </c>
      <c r="AR110" s="2137"/>
      <c r="AS110" s="2208" t="s">
        <v>2978</v>
      </c>
      <c r="AT110" s="2138"/>
      <c r="AU110" s="2209"/>
      <c r="AV110" s="2210"/>
    </row>
    <row r="111" spans="1:48">
      <c r="A111" s="2137"/>
      <c r="B111" s="2077" t="s">
        <v>2979</v>
      </c>
      <c r="C111" s="2138"/>
      <c r="D111" s="2209"/>
      <c r="E111" s="2210"/>
      <c r="F111" s="3044"/>
      <c r="G111" s="719">
        <v>0</v>
      </c>
      <c r="H111" s="3045"/>
      <c r="I111" s="3046">
        <v>0</v>
      </c>
      <c r="J111" s="3045"/>
      <c r="K111" s="3046">
        <v>0</v>
      </c>
      <c r="L111" s="3046"/>
      <c r="M111" s="3046">
        <v>0</v>
      </c>
      <c r="N111" s="3045"/>
      <c r="O111" s="3046">
        <v>0</v>
      </c>
      <c r="P111" s="3045"/>
      <c r="Q111" s="3046">
        <v>0</v>
      </c>
      <c r="R111" s="2147"/>
      <c r="S111" s="3046">
        <v>0</v>
      </c>
      <c r="T111" s="3046"/>
      <c r="U111" s="3046">
        <v>0</v>
      </c>
      <c r="AJ111" s="2137"/>
      <c r="AK111" s="2077" t="s">
        <v>2979</v>
      </c>
      <c r="AL111" s="2138"/>
      <c r="AM111" s="2209"/>
      <c r="AN111" s="2210"/>
      <c r="AO111" s="2077"/>
      <c r="AP111" s="3047">
        <v>0</v>
      </c>
      <c r="AR111" s="2137"/>
      <c r="AS111" s="2077" t="s">
        <v>2979</v>
      </c>
      <c r="AT111" s="2138"/>
      <c r="AU111" s="2209"/>
      <c r="AV111" s="2210"/>
    </row>
    <row r="112" spans="1:48">
      <c r="A112" s="2137"/>
      <c r="B112" s="2081"/>
      <c r="C112" s="2138"/>
      <c r="D112" s="2209"/>
      <c r="E112" s="2210"/>
      <c r="F112" s="3040"/>
      <c r="G112" s="718"/>
      <c r="H112" s="3048"/>
      <c r="I112" s="3048"/>
      <c r="J112" s="3048"/>
      <c r="K112" s="3048"/>
      <c r="L112" s="3048"/>
      <c r="M112" s="3048"/>
      <c r="N112" s="3048"/>
      <c r="O112" s="3048"/>
      <c r="P112" s="3048"/>
      <c r="Q112" s="3048"/>
      <c r="R112" s="2151"/>
      <c r="S112" s="3048"/>
      <c r="T112" s="3048"/>
      <c r="U112" s="3048"/>
      <c r="AJ112" s="2137"/>
      <c r="AK112" s="2081"/>
      <c r="AL112" s="2138"/>
      <c r="AM112" s="2209"/>
      <c r="AN112" s="2210"/>
      <c r="AO112" s="2140"/>
      <c r="AP112" s="3042"/>
      <c r="AR112" s="2137"/>
      <c r="AS112" s="2081"/>
      <c r="AT112" s="2138"/>
      <c r="AU112" s="2209"/>
      <c r="AV112" s="2210"/>
    </row>
    <row r="113" spans="1:48" ht="16.5" hidden="1" thickTop="1" thickBot="1">
      <c r="A113" s="253" t="s">
        <v>2980</v>
      </c>
      <c r="B113" s="254"/>
      <c r="C113" s="12"/>
      <c r="D113" s="169"/>
      <c r="E113" s="177"/>
      <c r="F113" s="377"/>
      <c r="G113" s="521"/>
      <c r="H113" s="516"/>
      <c r="I113" s="516"/>
      <c r="J113" s="516"/>
      <c r="K113" s="516"/>
      <c r="L113" s="516"/>
      <c r="M113" s="516"/>
      <c r="N113" s="516"/>
      <c r="O113" s="516"/>
      <c r="P113" s="516"/>
      <c r="Q113" s="516"/>
      <c r="R113" s="20"/>
      <c r="S113" s="516"/>
      <c r="T113" s="516"/>
      <c r="U113" s="516"/>
      <c r="AJ113" s="253" t="s">
        <v>2980</v>
      </c>
      <c r="AK113" s="254"/>
      <c r="AL113" s="12"/>
      <c r="AM113" s="169"/>
      <c r="AN113" s="177"/>
      <c r="AO113" s="12"/>
      <c r="AP113" s="521"/>
      <c r="AR113" s="253" t="s">
        <v>2980</v>
      </c>
      <c r="AS113" s="254"/>
      <c r="AT113" s="12"/>
      <c r="AU113" s="169"/>
      <c r="AV113" s="177"/>
    </row>
    <row r="114" spans="1:48" hidden="1">
      <c r="A114" s="3049"/>
      <c r="B114" s="2948"/>
      <c r="C114" s="3050"/>
      <c r="D114" s="3051"/>
      <c r="E114" s="3052"/>
      <c r="F114" s="3053"/>
      <c r="G114" s="3054"/>
      <c r="H114" s="3055"/>
      <c r="I114" s="3055"/>
      <c r="J114" s="3055"/>
      <c r="K114" s="3055"/>
      <c r="L114" s="3055"/>
      <c r="M114" s="3055"/>
      <c r="N114" s="3055"/>
      <c r="O114" s="3055"/>
      <c r="P114" s="3055"/>
      <c r="Q114" s="3055"/>
      <c r="R114" s="3056"/>
      <c r="S114" s="3055"/>
      <c r="T114" s="3055"/>
      <c r="U114" s="3055"/>
      <c r="AJ114" s="3049"/>
      <c r="AK114" s="2948"/>
      <c r="AL114" s="3050"/>
      <c r="AM114" s="3051"/>
      <c r="AN114" s="3052"/>
      <c r="AO114" s="3050"/>
      <c r="AP114" s="3054"/>
      <c r="AR114" s="3049"/>
      <c r="AS114" s="2948"/>
      <c r="AT114" s="3050"/>
      <c r="AU114" s="3051"/>
      <c r="AV114" s="3052"/>
    </row>
    <row r="115" spans="1:48" hidden="1">
      <c r="A115" s="3049"/>
      <c r="B115" s="2948"/>
      <c r="C115" s="3050"/>
      <c r="D115" s="3051"/>
      <c r="E115" s="3052"/>
      <c r="F115" s="3053"/>
      <c r="G115" s="3054"/>
      <c r="H115" s="3055"/>
      <c r="I115" s="3055"/>
      <c r="J115" s="3055"/>
      <c r="K115" s="3055"/>
      <c r="L115" s="3055"/>
      <c r="M115" s="3055"/>
      <c r="N115" s="3055"/>
      <c r="O115" s="3055"/>
      <c r="P115" s="3055"/>
      <c r="Q115" s="3055"/>
      <c r="R115" s="3056"/>
      <c r="S115" s="3055"/>
      <c r="T115" s="3055"/>
      <c r="U115" s="3055"/>
      <c r="AJ115" s="3049"/>
      <c r="AK115" s="2948"/>
      <c r="AL115" s="3050"/>
      <c r="AM115" s="3051"/>
      <c r="AN115" s="3052"/>
      <c r="AO115" s="3050"/>
      <c r="AP115" s="3054"/>
      <c r="AR115" s="3049"/>
      <c r="AS115" s="2948"/>
      <c r="AT115" s="3050"/>
      <c r="AU115" s="3051"/>
      <c r="AV115" s="3052"/>
    </row>
    <row r="116" spans="1:48" hidden="1">
      <c r="A116" s="3049"/>
      <c r="B116" s="2948"/>
      <c r="C116" s="3050"/>
      <c r="D116" s="3051"/>
      <c r="E116" s="3052"/>
      <c r="F116" s="3053"/>
      <c r="G116" s="3054"/>
      <c r="H116" s="3055"/>
      <c r="I116" s="3055"/>
      <c r="J116" s="3055"/>
      <c r="K116" s="3055"/>
      <c r="L116" s="3055"/>
      <c r="M116" s="3055"/>
      <c r="N116" s="3055"/>
      <c r="O116" s="3055"/>
      <c r="P116" s="3055"/>
      <c r="Q116" s="3055"/>
      <c r="R116" s="3056"/>
      <c r="S116" s="3055"/>
      <c r="T116" s="3055"/>
      <c r="U116" s="3055"/>
      <c r="AJ116" s="3049"/>
      <c r="AK116" s="2948"/>
      <c r="AL116" s="3050"/>
      <c r="AM116" s="3051"/>
      <c r="AN116" s="3052"/>
      <c r="AO116" s="3050"/>
      <c r="AP116" s="3054"/>
      <c r="AR116" s="3049"/>
      <c r="AS116" s="2948"/>
      <c r="AT116" s="3050"/>
      <c r="AU116" s="3051"/>
      <c r="AV116" s="3052"/>
    </row>
    <row r="117" spans="1:48" s="2" customFormat="1" ht="16.5" hidden="1" thickTop="1" thickBot="1">
      <c r="A117" s="830" t="s">
        <v>2981</v>
      </c>
      <c r="B117" s="831"/>
      <c r="C117" s="12"/>
      <c r="D117" s="169"/>
      <c r="E117" s="177"/>
      <c r="F117" s="377"/>
      <c r="G117" s="521"/>
      <c r="H117" s="516"/>
      <c r="I117" s="516"/>
      <c r="J117" s="516"/>
      <c r="K117" s="516"/>
      <c r="L117" s="516"/>
      <c r="M117" s="516"/>
      <c r="N117" s="516"/>
      <c r="O117" s="516"/>
      <c r="P117" s="516"/>
      <c r="Q117" s="516"/>
      <c r="R117" s="20"/>
      <c r="S117" s="516"/>
      <c r="T117" s="516"/>
      <c r="U117" s="516"/>
      <c r="V117"/>
      <c r="W117"/>
      <c r="X117"/>
      <c r="Y117"/>
      <c r="Z117"/>
      <c r="AA117"/>
      <c r="AB117"/>
      <c r="AC117" s="300"/>
      <c r="AD117"/>
      <c r="AE117"/>
      <c r="AF117"/>
      <c r="AG117"/>
      <c r="AJ117" s="830" t="s">
        <v>2981</v>
      </c>
      <c r="AK117" s="831"/>
      <c r="AL117" s="12"/>
      <c r="AM117" s="169"/>
      <c r="AN117" s="177"/>
      <c r="AO117" s="12"/>
      <c r="AP117" s="521"/>
      <c r="AR117" s="830" t="s">
        <v>2981</v>
      </c>
      <c r="AS117" s="831"/>
      <c r="AT117" s="12"/>
      <c r="AU117" s="169"/>
      <c r="AV117" s="177"/>
    </row>
    <row r="118" spans="1:48" s="2" customFormat="1" hidden="1">
      <c r="A118" s="3049"/>
      <c r="B118" s="2948"/>
      <c r="C118" s="3050"/>
      <c r="D118" s="3051"/>
      <c r="E118" s="3052"/>
      <c r="F118" s="3053"/>
      <c r="G118" s="3054"/>
      <c r="H118" s="3055"/>
      <c r="I118" s="3055"/>
      <c r="J118" s="3055"/>
      <c r="K118" s="3055"/>
      <c r="L118" s="3055"/>
      <c r="M118" s="3055"/>
      <c r="N118" s="3055"/>
      <c r="O118" s="3055"/>
      <c r="P118" s="3055"/>
      <c r="Q118" s="3055"/>
      <c r="R118" s="3056"/>
      <c r="S118" s="3055"/>
      <c r="T118" s="3055"/>
      <c r="U118" s="3055"/>
      <c r="V118"/>
      <c r="W118"/>
      <c r="X118"/>
      <c r="Y118"/>
      <c r="Z118"/>
      <c r="AA118"/>
      <c r="AB118"/>
      <c r="AC118" s="300"/>
      <c r="AD118"/>
      <c r="AE118"/>
      <c r="AF118"/>
      <c r="AG118"/>
      <c r="AJ118" s="3049"/>
      <c r="AK118" s="2948"/>
      <c r="AL118" s="3050"/>
      <c r="AM118" s="3051"/>
      <c r="AN118" s="3052"/>
      <c r="AO118" s="3050"/>
      <c r="AP118" s="3054"/>
      <c r="AR118" s="3049"/>
      <c r="AS118" s="2948"/>
      <c r="AT118" s="3050"/>
      <c r="AU118" s="3051"/>
      <c r="AV118" s="3052"/>
    </row>
    <row r="119" spans="1:48" s="2" customFormat="1" hidden="1">
      <c r="A119" s="3049"/>
      <c r="B119" s="2948"/>
      <c r="C119" s="3050"/>
      <c r="D119" s="3051"/>
      <c r="E119" s="3052"/>
      <c r="F119" s="3053"/>
      <c r="G119" s="3054"/>
      <c r="H119" s="3055"/>
      <c r="I119" s="3055"/>
      <c r="J119" s="3055"/>
      <c r="K119" s="3055"/>
      <c r="L119" s="3055"/>
      <c r="M119" s="3055"/>
      <c r="N119" s="3055"/>
      <c r="O119" s="3055"/>
      <c r="P119" s="3055"/>
      <c r="Q119" s="3055"/>
      <c r="R119" s="3056"/>
      <c r="S119" s="3055"/>
      <c r="T119" s="3055"/>
      <c r="U119" s="3055"/>
      <c r="V119"/>
      <c r="W119"/>
      <c r="X119"/>
      <c r="Y119"/>
      <c r="Z119"/>
      <c r="AA119"/>
      <c r="AB119"/>
      <c r="AC119" s="300"/>
      <c r="AD119"/>
      <c r="AE119"/>
      <c r="AF119"/>
      <c r="AG119"/>
      <c r="AJ119" s="3049"/>
      <c r="AK119" s="2948"/>
      <c r="AL119" s="3050"/>
      <c r="AM119" s="3051"/>
      <c r="AN119" s="3052"/>
      <c r="AO119" s="3050"/>
      <c r="AP119" s="3054"/>
      <c r="AR119" s="3049"/>
      <c r="AS119" s="2948"/>
      <c r="AT119" s="3050"/>
      <c r="AU119" s="3051"/>
      <c r="AV119" s="3052"/>
    </row>
    <row r="120" spans="1:48" hidden="1">
      <c r="A120" s="3049"/>
      <c r="B120" s="2948"/>
      <c r="C120" s="3050"/>
      <c r="D120" s="3051"/>
      <c r="E120" s="3052"/>
      <c r="F120" s="3053"/>
      <c r="G120" s="3054"/>
      <c r="H120" s="3055"/>
      <c r="I120" s="3055"/>
      <c r="J120" s="3055"/>
      <c r="K120" s="3055"/>
      <c r="L120" s="3055"/>
      <c r="M120" s="3055"/>
      <c r="N120" s="3055"/>
      <c r="O120" s="3055"/>
      <c r="P120" s="3055"/>
      <c r="Q120" s="3055"/>
      <c r="R120" s="3056"/>
      <c r="S120" s="3055"/>
      <c r="T120" s="3055"/>
      <c r="U120" s="3055"/>
      <c r="AJ120" s="3049"/>
      <c r="AK120" s="2948"/>
      <c r="AL120" s="3050"/>
      <c r="AM120" s="3051"/>
      <c r="AN120" s="3052"/>
      <c r="AO120" s="3050"/>
      <c r="AP120" s="3054"/>
      <c r="AR120" s="3049"/>
      <c r="AS120" s="2948"/>
      <c r="AT120" s="3050"/>
      <c r="AU120" s="3051"/>
      <c r="AV120" s="3052"/>
    </row>
    <row r="121" spans="1:48" s="2" customFormat="1" ht="16.5" hidden="1" thickTop="1" thickBot="1">
      <c r="A121" s="830" t="s">
        <v>2982</v>
      </c>
      <c r="B121" s="831"/>
      <c r="C121" s="12"/>
      <c r="D121" s="169"/>
      <c r="E121" s="177"/>
      <c r="F121" s="377"/>
      <c r="G121" s="521"/>
      <c r="H121" s="516"/>
      <c r="I121" s="516"/>
      <c r="J121" s="516"/>
      <c r="K121" s="516"/>
      <c r="L121" s="516"/>
      <c r="M121" s="516"/>
      <c r="N121" s="516"/>
      <c r="O121" s="516"/>
      <c r="P121" s="516"/>
      <c r="Q121" s="516"/>
      <c r="R121" s="20"/>
      <c r="S121" s="516"/>
      <c r="T121" s="516"/>
      <c r="U121" s="516"/>
      <c r="V121"/>
      <c r="W121"/>
      <c r="X121"/>
      <c r="Y121"/>
      <c r="Z121"/>
      <c r="AA121"/>
      <c r="AB121"/>
      <c r="AC121" s="300"/>
      <c r="AD121"/>
      <c r="AE121"/>
      <c r="AF121"/>
      <c r="AG121"/>
      <c r="AJ121" s="830" t="s">
        <v>2982</v>
      </c>
      <c r="AK121" s="831"/>
      <c r="AL121" s="12"/>
      <c r="AM121" s="169"/>
      <c r="AN121" s="177"/>
      <c r="AO121" s="12"/>
      <c r="AP121" s="521"/>
      <c r="AR121" s="830" t="s">
        <v>2982</v>
      </c>
      <c r="AS121" s="831"/>
      <c r="AT121" s="12"/>
      <c r="AU121" s="169"/>
      <c r="AV121" s="177"/>
    </row>
    <row r="122" spans="1:48" s="2" customFormat="1" hidden="1">
      <c r="A122" s="3049"/>
      <c r="B122" s="2948"/>
      <c r="C122" s="3050"/>
      <c r="D122" s="3051"/>
      <c r="E122" s="3052"/>
      <c r="F122" s="3053"/>
      <c r="G122" s="3054"/>
      <c r="H122" s="3055"/>
      <c r="I122" s="3055"/>
      <c r="J122" s="3055"/>
      <c r="K122" s="3055"/>
      <c r="L122" s="3055"/>
      <c r="M122" s="3055"/>
      <c r="N122" s="3055"/>
      <c r="O122" s="3055"/>
      <c r="P122" s="3055"/>
      <c r="Q122" s="3055"/>
      <c r="R122" s="3056"/>
      <c r="S122" s="3055"/>
      <c r="T122" s="3055"/>
      <c r="U122" s="3055"/>
      <c r="V122"/>
      <c r="W122"/>
      <c r="X122"/>
      <c r="Y122"/>
      <c r="Z122"/>
      <c r="AA122"/>
      <c r="AB122"/>
      <c r="AC122" s="300"/>
      <c r="AD122"/>
      <c r="AE122"/>
      <c r="AF122"/>
      <c r="AG122"/>
      <c r="AJ122" s="3049"/>
      <c r="AK122" s="2948"/>
      <c r="AL122" s="3050"/>
      <c r="AM122" s="3051"/>
      <c r="AN122" s="3052"/>
      <c r="AO122" s="3050"/>
      <c r="AP122" s="3054"/>
      <c r="AR122" s="3049"/>
      <c r="AS122" s="2948"/>
      <c r="AT122" s="3050"/>
      <c r="AU122" s="3051"/>
      <c r="AV122" s="3052"/>
    </row>
    <row r="123" spans="1:48" s="2" customFormat="1" hidden="1">
      <c r="A123" s="2085"/>
      <c r="B123" s="2948"/>
      <c r="C123" s="2949"/>
      <c r="D123" s="2950"/>
      <c r="E123" s="2951"/>
      <c r="F123" s="2991"/>
      <c r="G123" s="3004"/>
      <c r="H123" s="3057"/>
      <c r="I123" s="3057"/>
      <c r="J123" s="3057"/>
      <c r="K123" s="3057"/>
      <c r="L123" s="3057"/>
      <c r="M123" s="3057"/>
      <c r="N123" s="3057"/>
      <c r="O123" s="3057"/>
      <c r="P123" s="3057"/>
      <c r="Q123" s="3057"/>
      <c r="R123" s="2158"/>
      <c r="S123" s="3057"/>
      <c r="T123" s="3057"/>
      <c r="U123" s="3057"/>
      <c r="V123"/>
      <c r="W123"/>
      <c r="X123"/>
      <c r="Y123"/>
      <c r="Z123"/>
      <c r="AA123"/>
      <c r="AB123"/>
      <c r="AC123" s="300"/>
      <c r="AD123"/>
      <c r="AE123"/>
      <c r="AF123"/>
      <c r="AG123"/>
      <c r="AJ123" s="2085"/>
      <c r="AK123" s="2948"/>
      <c r="AL123" s="2949"/>
      <c r="AM123" s="2950"/>
      <c r="AN123" s="2951"/>
      <c r="AO123" s="2949"/>
      <c r="AP123" s="3004"/>
      <c r="AR123" s="2085"/>
      <c r="AS123" s="2948"/>
      <c r="AT123" s="2949"/>
      <c r="AU123" s="2950"/>
      <c r="AV123" s="2951"/>
    </row>
    <row r="124" spans="1:48" s="2" customFormat="1" hidden="1">
      <c r="A124" s="2088"/>
      <c r="B124" s="2089"/>
      <c r="C124" s="2949"/>
      <c r="D124" s="2950"/>
      <c r="E124" s="2951"/>
      <c r="F124" s="2991"/>
      <c r="G124" s="3004"/>
      <c r="H124" s="3058"/>
      <c r="I124" s="3058"/>
      <c r="J124" s="3058"/>
      <c r="K124" s="3058"/>
      <c r="L124" s="3058"/>
      <c r="M124" s="3058"/>
      <c r="N124" s="3058"/>
      <c r="O124" s="3058"/>
      <c r="P124" s="3058"/>
      <c r="Q124" s="3058"/>
      <c r="R124" s="2159"/>
      <c r="S124" s="3058"/>
      <c r="T124" s="3058"/>
      <c r="U124" s="3058"/>
      <c r="AC124" s="165"/>
      <c r="AJ124" s="2088"/>
      <c r="AK124" s="2089"/>
      <c r="AL124" s="2949"/>
      <c r="AM124" s="2950"/>
      <c r="AN124" s="2951"/>
      <c r="AO124" s="2949"/>
      <c r="AP124" s="3004"/>
      <c r="AR124" s="2088"/>
      <c r="AS124" s="2089"/>
      <c r="AT124" s="2949"/>
      <c r="AU124" s="2950"/>
      <c r="AV124" s="2951"/>
    </row>
    <row r="125" spans="1:48" s="2" customFormat="1" ht="16.5" hidden="1" thickTop="1" thickBot="1">
      <c r="A125" s="830" t="s">
        <v>2983</v>
      </c>
      <c r="B125" s="831"/>
      <c r="C125" s="12"/>
      <c r="D125" s="169"/>
      <c r="E125" s="177"/>
      <c r="F125" s="377"/>
      <c r="G125" s="521"/>
      <c r="H125" s="516"/>
      <c r="I125" s="516"/>
      <c r="J125" s="516"/>
      <c r="K125" s="516"/>
      <c r="L125" s="516"/>
      <c r="M125" s="516"/>
      <c r="N125" s="516"/>
      <c r="O125" s="516"/>
      <c r="P125" s="516"/>
      <c r="Q125" s="516"/>
      <c r="R125" s="20"/>
      <c r="S125" s="516"/>
      <c r="T125" s="516"/>
      <c r="U125" s="516"/>
      <c r="V125"/>
      <c r="W125"/>
      <c r="X125"/>
      <c r="Y125"/>
      <c r="Z125"/>
      <c r="AA125"/>
      <c r="AB125"/>
      <c r="AC125" s="300"/>
      <c r="AD125"/>
      <c r="AE125"/>
      <c r="AF125"/>
      <c r="AG125"/>
      <c r="AJ125" s="830" t="s">
        <v>2983</v>
      </c>
      <c r="AK125" s="831"/>
      <c r="AL125" s="12"/>
      <c r="AM125" s="169"/>
      <c r="AN125" s="177"/>
      <c r="AO125" s="12"/>
      <c r="AP125" s="521"/>
      <c r="AR125" s="830" t="s">
        <v>2983</v>
      </c>
      <c r="AS125" s="831"/>
      <c r="AT125" s="12"/>
      <c r="AU125" s="169"/>
      <c r="AV125" s="177"/>
    </row>
    <row r="126" spans="1:48" hidden="1">
      <c r="A126" s="3059"/>
      <c r="B126" s="3060"/>
      <c r="C126" s="3050"/>
      <c r="D126" s="3051"/>
      <c r="E126" s="3052"/>
      <c r="F126" s="3053"/>
      <c r="G126" s="3054"/>
      <c r="H126" s="3055"/>
      <c r="I126" s="3055"/>
      <c r="J126" s="3055"/>
      <c r="K126" s="3055"/>
      <c r="L126" s="3055"/>
      <c r="M126" s="3055"/>
      <c r="N126" s="3055"/>
      <c r="O126" s="3055"/>
      <c r="P126" s="3055"/>
      <c r="Q126" s="3055"/>
      <c r="R126" s="3056"/>
      <c r="S126" s="3055"/>
      <c r="T126" s="3055"/>
      <c r="U126" s="3055"/>
      <c r="V126" s="2"/>
      <c r="W126" s="2"/>
      <c r="X126" s="2"/>
      <c r="Y126" s="2"/>
      <c r="Z126" s="2"/>
      <c r="AA126" s="2"/>
      <c r="AB126" s="2"/>
      <c r="AC126" s="165"/>
      <c r="AD126" s="2"/>
      <c r="AE126" s="2"/>
      <c r="AF126" s="2"/>
      <c r="AG126" s="2"/>
      <c r="AJ126" s="3059"/>
      <c r="AK126" s="3060"/>
      <c r="AL126" s="3050"/>
      <c r="AM126" s="3051"/>
      <c r="AN126" s="3052"/>
      <c r="AO126" s="3050"/>
      <c r="AP126" s="3054"/>
      <c r="AR126" s="3059"/>
      <c r="AS126" s="3060"/>
      <c r="AT126" s="3050"/>
      <c r="AU126" s="3051"/>
      <c r="AV126" s="3052"/>
    </row>
    <row r="127" spans="1:48" hidden="1">
      <c r="A127" s="2088"/>
      <c r="B127" s="2089"/>
      <c r="C127" s="2949"/>
      <c r="D127" s="2950"/>
      <c r="E127" s="2951"/>
      <c r="F127" s="2991"/>
      <c r="G127" s="3004"/>
      <c r="H127" s="3058"/>
      <c r="I127" s="3058"/>
      <c r="J127" s="3058"/>
      <c r="K127" s="3058"/>
      <c r="L127" s="3058"/>
      <c r="M127" s="3058"/>
      <c r="N127" s="3058"/>
      <c r="O127" s="3058"/>
      <c r="P127" s="3058"/>
      <c r="Q127" s="3058"/>
      <c r="R127" s="2162"/>
      <c r="S127" s="3058"/>
      <c r="T127" s="3058"/>
      <c r="U127" s="3058"/>
      <c r="V127" s="2"/>
      <c r="W127" s="2"/>
      <c r="X127" s="2"/>
      <c r="Y127" s="2"/>
      <c r="Z127" s="2"/>
      <c r="AA127" s="2"/>
      <c r="AB127" s="2"/>
      <c r="AC127" s="165"/>
      <c r="AD127" s="2"/>
      <c r="AE127" s="2"/>
      <c r="AF127" s="2"/>
      <c r="AG127" s="2"/>
      <c r="AJ127" s="2088"/>
      <c r="AK127" s="2089"/>
      <c r="AL127" s="2949"/>
      <c r="AM127" s="2950"/>
      <c r="AN127" s="2951"/>
      <c r="AO127" s="2949"/>
      <c r="AP127" s="3004"/>
      <c r="AR127" s="2088"/>
      <c r="AS127" s="2089"/>
      <c r="AT127" s="2949"/>
      <c r="AU127" s="2950"/>
      <c r="AV127" s="2951"/>
    </row>
    <row r="128" spans="1:48" hidden="1">
      <c r="A128" s="2088"/>
      <c r="B128" s="2089"/>
      <c r="C128" s="2949"/>
      <c r="D128" s="2950"/>
      <c r="E128" s="2951"/>
      <c r="F128" s="2991"/>
      <c r="G128" s="3004"/>
      <c r="H128" s="3058"/>
      <c r="I128" s="3058"/>
      <c r="J128" s="3058"/>
      <c r="K128" s="3058"/>
      <c r="L128" s="3058"/>
      <c r="M128" s="3058"/>
      <c r="N128" s="3058"/>
      <c r="O128" s="3058"/>
      <c r="P128" s="3058"/>
      <c r="Q128" s="3058"/>
      <c r="R128" s="2162"/>
      <c r="S128" s="3058"/>
      <c r="T128" s="3058"/>
      <c r="U128" s="3058"/>
      <c r="V128" s="2"/>
      <c r="W128" s="2"/>
      <c r="X128" s="2"/>
      <c r="Y128" s="2"/>
      <c r="Z128" s="2"/>
      <c r="AA128" s="2"/>
      <c r="AB128" s="2"/>
      <c r="AC128" s="165"/>
      <c r="AD128" s="2"/>
      <c r="AE128" s="2"/>
      <c r="AF128" s="2"/>
      <c r="AG128" s="2"/>
      <c r="AJ128" s="2088"/>
      <c r="AK128" s="2089"/>
      <c r="AL128" s="2949"/>
      <c r="AM128" s="2950"/>
      <c r="AN128" s="2951"/>
      <c r="AO128" s="2949"/>
      <c r="AP128" s="3004"/>
      <c r="AR128" s="2088"/>
      <c r="AS128" s="2089"/>
      <c r="AT128" s="2949"/>
      <c r="AU128" s="2950"/>
      <c r="AV128" s="2951"/>
    </row>
    <row r="129" spans="1:48" ht="16.5" hidden="1" thickTop="1" thickBot="1">
      <c r="A129" s="830" t="s">
        <v>2984</v>
      </c>
      <c r="B129" s="831"/>
      <c r="C129" s="12"/>
      <c r="D129" s="169"/>
      <c r="E129" s="177"/>
      <c r="F129" s="377"/>
      <c r="G129" s="521"/>
      <c r="H129" s="516"/>
      <c r="I129" s="516"/>
      <c r="J129" s="516"/>
      <c r="K129" s="516"/>
      <c r="L129" s="516"/>
      <c r="M129" s="516"/>
      <c r="N129" s="516"/>
      <c r="O129" s="516"/>
      <c r="P129" s="516"/>
      <c r="Q129" s="516"/>
      <c r="R129" s="20"/>
      <c r="S129" s="516"/>
      <c r="T129" s="516"/>
      <c r="U129" s="516"/>
      <c r="AJ129" s="830" t="s">
        <v>2984</v>
      </c>
      <c r="AK129" s="831"/>
      <c r="AL129" s="12"/>
      <c r="AM129" s="169"/>
      <c r="AN129" s="177"/>
      <c r="AO129" s="12"/>
      <c r="AP129" s="521"/>
      <c r="AR129" s="830" t="s">
        <v>2984</v>
      </c>
      <c r="AS129" s="831"/>
      <c r="AT129" s="12"/>
      <c r="AU129" s="169"/>
      <c r="AV129" s="177"/>
    </row>
    <row r="130" spans="1:48" hidden="1">
      <c r="A130" s="2085"/>
      <c r="B130" s="2948" t="s">
        <v>2985</v>
      </c>
      <c r="C130" s="2949"/>
      <c r="D130" s="2950"/>
      <c r="E130" s="2951"/>
      <c r="F130" s="2991"/>
      <c r="G130" s="3004"/>
      <c r="H130" s="3058"/>
      <c r="I130" s="3058"/>
      <c r="J130" s="3058"/>
      <c r="K130" s="3058"/>
      <c r="L130" s="3058"/>
      <c r="M130" s="3058"/>
      <c r="N130" s="3058"/>
      <c r="O130" s="3058"/>
      <c r="P130" s="3058"/>
      <c r="Q130" s="3058"/>
      <c r="R130" s="2162"/>
      <c r="S130" s="3058"/>
      <c r="T130" s="3058"/>
      <c r="U130" s="3058"/>
      <c r="AJ130" s="2085"/>
      <c r="AK130" s="2948" t="s">
        <v>2985</v>
      </c>
      <c r="AL130" s="2949"/>
      <c r="AM130" s="2950"/>
      <c r="AN130" s="2951"/>
      <c r="AO130" s="2949"/>
      <c r="AP130" s="3004"/>
      <c r="AR130" s="2085"/>
      <c r="AS130" s="2948" t="s">
        <v>2985</v>
      </c>
      <c r="AT130" s="2949"/>
      <c r="AU130" s="2950"/>
      <c r="AV130" s="2951"/>
    </row>
    <row r="131" spans="1:48" hidden="1">
      <c r="A131" s="2085"/>
      <c r="B131" s="2948" t="s">
        <v>2986</v>
      </c>
      <c r="C131" s="2949"/>
      <c r="D131" s="2950"/>
      <c r="E131" s="2951"/>
      <c r="F131" s="2991"/>
      <c r="G131" s="3004"/>
      <c r="H131" s="3058"/>
      <c r="I131" s="3058"/>
      <c r="J131" s="3058"/>
      <c r="K131" s="3058"/>
      <c r="L131" s="3058"/>
      <c r="M131" s="3058"/>
      <c r="N131" s="3058"/>
      <c r="O131" s="3058"/>
      <c r="P131" s="3058"/>
      <c r="Q131" s="3058"/>
      <c r="R131" s="2162"/>
      <c r="S131" s="3058"/>
      <c r="T131" s="3058"/>
      <c r="U131" s="3058"/>
      <c r="AJ131" s="2085"/>
      <c r="AK131" s="2948" t="s">
        <v>2986</v>
      </c>
      <c r="AL131" s="2949"/>
      <c r="AM131" s="2950"/>
      <c r="AN131" s="2951"/>
      <c r="AO131" s="2949"/>
      <c r="AP131" s="3004"/>
      <c r="AR131" s="2085"/>
      <c r="AS131" s="2948" t="s">
        <v>2986</v>
      </c>
      <c r="AT131" s="2949"/>
      <c r="AU131" s="2950"/>
      <c r="AV131" s="2951"/>
    </row>
    <row r="132" spans="1:48" hidden="1">
      <c r="A132" s="2085"/>
      <c r="B132" s="2948" t="s">
        <v>2987</v>
      </c>
      <c r="C132" s="2949"/>
      <c r="D132" s="2950"/>
      <c r="E132" s="2951"/>
      <c r="F132" s="2991"/>
      <c r="G132" s="3004"/>
      <c r="H132" s="3058"/>
      <c r="I132" s="3058"/>
      <c r="J132" s="3058"/>
      <c r="K132" s="3058"/>
      <c r="L132" s="3058"/>
      <c r="M132" s="3058"/>
      <c r="N132" s="3058"/>
      <c r="O132" s="3058"/>
      <c r="P132" s="3058"/>
      <c r="Q132" s="3058"/>
      <c r="R132" s="2162"/>
      <c r="S132" s="3058"/>
      <c r="T132" s="3058"/>
      <c r="U132" s="3058"/>
      <c r="AJ132" s="2085"/>
      <c r="AK132" s="2948" t="s">
        <v>2987</v>
      </c>
      <c r="AL132" s="2949"/>
      <c r="AM132" s="2950"/>
      <c r="AN132" s="2951"/>
      <c r="AO132" s="2949"/>
      <c r="AP132" s="3004"/>
      <c r="AR132" s="2085"/>
      <c r="AS132" s="2948" t="s">
        <v>2987</v>
      </c>
      <c r="AT132" s="2949"/>
      <c r="AU132" s="2950"/>
      <c r="AV132" s="2951"/>
    </row>
    <row r="133" spans="1:48" hidden="1">
      <c r="A133" s="2085"/>
      <c r="B133" s="2948" t="s">
        <v>2988</v>
      </c>
      <c r="C133" s="2949"/>
      <c r="D133" s="2950"/>
      <c r="E133" s="2951"/>
      <c r="F133" s="2991"/>
      <c r="G133" s="3004"/>
      <c r="H133" s="3058"/>
      <c r="I133" s="3058"/>
      <c r="J133" s="3058"/>
      <c r="K133" s="3058"/>
      <c r="L133" s="3058"/>
      <c r="M133" s="3058"/>
      <c r="N133" s="3058"/>
      <c r="O133" s="3058"/>
      <c r="P133" s="3058"/>
      <c r="Q133" s="3058"/>
      <c r="R133" s="2162"/>
      <c r="S133" s="3058"/>
      <c r="T133" s="3058"/>
      <c r="U133" s="3058"/>
      <c r="AJ133" s="2085"/>
      <c r="AK133" s="2948" t="s">
        <v>2988</v>
      </c>
      <c r="AL133" s="2949"/>
      <c r="AM133" s="2950"/>
      <c r="AN133" s="2951"/>
      <c r="AO133" s="2949"/>
      <c r="AP133" s="3004"/>
      <c r="AR133" s="2085"/>
      <c r="AS133" s="2948" t="s">
        <v>2988</v>
      </c>
      <c r="AT133" s="2949"/>
      <c r="AU133" s="2950"/>
      <c r="AV133" s="2951"/>
    </row>
    <row r="134" spans="1:48" hidden="1">
      <c r="A134" s="646"/>
      <c r="B134" s="619"/>
      <c r="C134" s="616"/>
      <c r="D134" s="621"/>
      <c r="E134" s="622"/>
      <c r="F134" s="623"/>
      <c r="G134" s="638"/>
      <c r="H134" s="797"/>
      <c r="I134" s="797"/>
      <c r="J134" s="797"/>
      <c r="K134" s="797"/>
      <c r="L134" s="797"/>
      <c r="M134" s="797"/>
      <c r="N134" s="797"/>
      <c r="O134" s="797"/>
      <c r="P134" s="797"/>
      <c r="Q134" s="797"/>
      <c r="R134" s="647"/>
      <c r="S134" s="797"/>
      <c r="T134" s="797"/>
      <c r="U134" s="797"/>
      <c r="AJ134" s="646"/>
      <c r="AK134" s="619"/>
      <c r="AL134" s="616"/>
      <c r="AM134" s="621"/>
      <c r="AN134" s="622"/>
      <c r="AO134" s="616"/>
      <c r="AP134" s="638"/>
      <c r="AR134" s="646"/>
      <c r="AS134" s="619"/>
      <c r="AT134" s="616"/>
      <c r="AU134" s="621"/>
      <c r="AV134" s="622"/>
    </row>
    <row r="135" spans="1:48" ht="16.5" hidden="1" thickTop="1" thickBot="1">
      <c r="A135" s="7" t="s">
        <v>2989</v>
      </c>
      <c r="B135" s="8"/>
      <c r="C135" s="12"/>
      <c r="D135" s="169"/>
      <c r="E135" s="177"/>
      <c r="F135" s="377"/>
      <c r="G135" s="521"/>
      <c r="H135" s="516"/>
      <c r="I135" s="516"/>
      <c r="J135" s="516"/>
      <c r="K135" s="516"/>
      <c r="L135" s="516"/>
      <c r="M135" s="516"/>
      <c r="N135" s="516"/>
      <c r="O135" s="516"/>
      <c r="P135" s="516"/>
      <c r="Q135" s="516"/>
      <c r="R135" s="20"/>
      <c r="S135" s="516"/>
      <c r="T135" s="516"/>
      <c r="U135" s="516"/>
      <c r="AJ135" s="7" t="s">
        <v>2989</v>
      </c>
      <c r="AK135" s="8"/>
      <c r="AL135" s="12"/>
      <c r="AM135" s="169"/>
      <c r="AN135" s="177"/>
      <c r="AO135" s="12"/>
      <c r="AP135" s="521"/>
      <c r="AR135" s="7" t="s">
        <v>2989</v>
      </c>
      <c r="AS135" s="8"/>
      <c r="AT135" s="12"/>
      <c r="AU135" s="169"/>
      <c r="AV135" s="177"/>
    </row>
    <row r="136" spans="1:48" hidden="1">
      <c r="A136" s="3049"/>
      <c r="B136" s="3061" t="s">
        <v>2990</v>
      </c>
      <c r="C136" s="3050"/>
      <c r="D136" s="3051"/>
      <c r="E136" s="3052"/>
      <c r="F136" s="3053"/>
      <c r="G136" s="3054"/>
      <c r="H136" s="3055"/>
      <c r="I136" s="3055"/>
      <c r="J136" s="3055"/>
      <c r="K136" s="3055"/>
      <c r="L136" s="3055"/>
      <c r="M136" s="3055"/>
      <c r="N136" s="3055"/>
      <c r="O136" s="3055"/>
      <c r="P136" s="3055"/>
      <c r="Q136" s="3055"/>
      <c r="R136" s="3062"/>
      <c r="S136" s="3055"/>
      <c r="T136" s="3055"/>
      <c r="U136" s="3055"/>
      <c r="AJ136" s="3049"/>
      <c r="AK136" s="3061" t="s">
        <v>2990</v>
      </c>
      <c r="AL136" s="3050"/>
      <c r="AM136" s="3051"/>
      <c r="AN136" s="3052"/>
      <c r="AO136" s="3050"/>
      <c r="AP136" s="3054"/>
      <c r="AR136" s="3049"/>
      <c r="AS136" s="3061" t="s">
        <v>2990</v>
      </c>
      <c r="AT136" s="3050"/>
      <c r="AU136" s="3051"/>
      <c r="AV136" s="3052"/>
    </row>
    <row r="137" spans="1:48" hidden="1">
      <c r="A137" s="2085"/>
      <c r="B137" s="2948" t="s">
        <v>2991</v>
      </c>
      <c r="C137" s="2949"/>
      <c r="D137" s="2950"/>
      <c r="E137" s="2951"/>
      <c r="F137" s="2991"/>
      <c r="G137" s="3004"/>
      <c r="H137" s="3058"/>
      <c r="I137" s="3058"/>
      <c r="J137" s="3058"/>
      <c r="K137" s="3058"/>
      <c r="L137" s="3058"/>
      <c r="M137" s="3058"/>
      <c r="N137" s="3058"/>
      <c r="O137" s="3058"/>
      <c r="P137" s="3058"/>
      <c r="Q137" s="3058"/>
      <c r="R137" s="2165"/>
      <c r="S137" s="3058"/>
      <c r="T137" s="3058"/>
      <c r="U137" s="3058"/>
      <c r="AJ137" s="2085"/>
      <c r="AK137" s="2948" t="s">
        <v>2991</v>
      </c>
      <c r="AL137" s="2949"/>
      <c r="AM137" s="2950"/>
      <c r="AN137" s="2951"/>
      <c r="AO137" s="2949"/>
      <c r="AP137" s="3004"/>
      <c r="AR137" s="2085"/>
      <c r="AS137" s="2948" t="s">
        <v>2991</v>
      </c>
      <c r="AT137" s="2949"/>
      <c r="AU137" s="2950"/>
      <c r="AV137" s="2951"/>
    </row>
    <row r="138" spans="1:48" ht="15.75" hidden="1" thickBot="1">
      <c r="A138" s="2093"/>
      <c r="B138" s="2284" t="s">
        <v>2992</v>
      </c>
      <c r="C138" s="2285"/>
      <c r="D138" s="2217"/>
      <c r="E138" s="2095"/>
      <c r="F138" s="2996"/>
      <c r="G138" s="3063"/>
      <c r="H138" s="3064"/>
      <c r="I138" s="3064"/>
      <c r="J138" s="3064"/>
      <c r="K138" s="3064"/>
      <c r="L138" s="3064"/>
      <c r="M138" s="3064"/>
      <c r="N138" s="3064"/>
      <c r="O138" s="3064"/>
      <c r="P138" s="3064"/>
      <c r="Q138" s="3064"/>
      <c r="R138" s="2097"/>
      <c r="S138" s="3064"/>
      <c r="T138" s="3064"/>
      <c r="U138" s="3064"/>
      <c r="AJ138" s="2093"/>
      <c r="AK138" s="2284" t="s">
        <v>2992</v>
      </c>
      <c r="AL138" s="2285"/>
      <c r="AM138" s="2217"/>
      <c r="AN138" s="2095"/>
      <c r="AO138" s="2285"/>
      <c r="AP138" s="3063"/>
      <c r="AR138" s="2093"/>
      <c r="AS138" s="2284" t="s">
        <v>2992</v>
      </c>
      <c r="AT138" s="2285"/>
      <c r="AU138" s="2217"/>
      <c r="AV138" s="2095"/>
    </row>
    <row r="139" spans="1:48" ht="15.75" thickBot="1"/>
    <row r="140" spans="1:48" ht="16.5" thickTop="1" thickBot="1">
      <c r="A140" s="59" t="s">
        <v>2993</v>
      </c>
      <c r="B140" s="61"/>
      <c r="G140" s="2" t="s">
        <v>6313</v>
      </c>
      <c r="I140" s="511">
        <v>5495830</v>
      </c>
      <c r="J140" s="236"/>
      <c r="K140" s="511">
        <v>5812752</v>
      </c>
      <c r="M140" s="511">
        <v>6769412</v>
      </c>
      <c r="O140" s="511">
        <v>7795000</v>
      </c>
      <c r="Q140" s="511">
        <v>8662410</v>
      </c>
      <c r="R140" s="548"/>
      <c r="S140" s="511">
        <f>S158</f>
        <v>9616000</v>
      </c>
      <c r="AJ140" s="59" t="s">
        <v>2993</v>
      </c>
      <c r="AK140" s="61"/>
      <c r="AR140" s="59" t="s">
        <v>2993</v>
      </c>
      <c r="AS140" s="61"/>
    </row>
    <row r="141" spans="1:48" ht="15.75" thickTop="1">
      <c r="A141" s="60" t="s">
        <v>2936</v>
      </c>
      <c r="B141" s="2098"/>
      <c r="G141" s="2"/>
      <c r="J141" s="236"/>
      <c r="R141" s="548"/>
      <c r="AJ141" s="60" t="s">
        <v>2936</v>
      </c>
      <c r="AK141" s="2098"/>
      <c r="AR141" s="60" t="s">
        <v>2936</v>
      </c>
      <c r="AS141" s="2098"/>
    </row>
    <row r="142" spans="1:48">
      <c r="A142" s="2099" t="s">
        <v>2939</v>
      </c>
      <c r="B142" s="2098"/>
      <c r="G142" s="2" t="s">
        <v>3585</v>
      </c>
      <c r="I142" s="549">
        <f>I66+I73+I77</f>
        <v>887100</v>
      </c>
      <c r="J142" s="236"/>
      <c r="K142" s="549">
        <f>K66+K73+K77</f>
        <v>887100</v>
      </c>
      <c r="M142" s="549">
        <f>M66+M73+M77</f>
        <v>887100</v>
      </c>
      <c r="O142" s="549">
        <f>O66+O73+O77</f>
        <v>887100</v>
      </c>
      <c r="Q142" s="549">
        <f>Q66+Q73+Q77</f>
        <v>887100</v>
      </c>
      <c r="R142" s="548"/>
      <c r="S142" s="549">
        <f>S66+S73+S77</f>
        <v>887100</v>
      </c>
      <c r="U142" s="549">
        <f>U66+U73+U77</f>
        <v>887100</v>
      </c>
      <c r="AJ142" s="2099" t="s">
        <v>2939</v>
      </c>
      <c r="AK142" s="2098"/>
      <c r="AR142" s="2099" t="s">
        <v>2939</v>
      </c>
      <c r="AS142" s="2098"/>
    </row>
    <row r="143" spans="1:48">
      <c r="A143" s="2100" t="s">
        <v>2941</v>
      </c>
      <c r="B143" s="2101"/>
      <c r="G143" s="2" t="s">
        <v>3586</v>
      </c>
      <c r="I143" s="550">
        <f>I50+I51+I103</f>
        <v>270262</v>
      </c>
      <c r="J143" s="236"/>
      <c r="K143" s="550">
        <f>K44+K45+K46+K47+K48+K49+K50+K51+K53+K65+K72</f>
        <v>119262</v>
      </c>
      <c r="M143" s="550">
        <f>M48+M50+M51</f>
        <v>32262</v>
      </c>
      <c r="O143" s="550">
        <f>O27+O44+O48+O50+O51+O53</f>
        <v>65262</v>
      </c>
      <c r="Q143" s="550">
        <f>Q44+Q46+Q47+Q48+Q49+Q50+Q51+Q53</f>
        <v>114262</v>
      </c>
      <c r="R143" s="548"/>
      <c r="S143" s="550">
        <f>S50+S51+S53</f>
        <v>20262</v>
      </c>
      <c r="U143" s="550">
        <f>U50+U51</f>
        <v>20262</v>
      </c>
      <c r="AJ143" s="2100" t="s">
        <v>2941</v>
      </c>
      <c r="AK143" s="2101"/>
      <c r="AR143" s="2100" t="s">
        <v>2941</v>
      </c>
      <c r="AS143" s="2101"/>
    </row>
    <row r="144" spans="1:48">
      <c r="A144" s="2100" t="s">
        <v>2943</v>
      </c>
      <c r="B144" s="2102"/>
      <c r="G144" s="2" t="s">
        <v>3587</v>
      </c>
      <c r="I144" s="551">
        <f>I75</f>
        <v>-695000</v>
      </c>
      <c r="J144" s="236"/>
      <c r="K144" s="551"/>
      <c r="M144" s="551"/>
      <c r="O144" s="551"/>
      <c r="Q144" s="551">
        <f>Q75</f>
        <v>-1300000</v>
      </c>
      <c r="R144" s="548"/>
      <c r="S144" s="551"/>
      <c r="U144" s="551"/>
      <c r="AJ144" s="2100" t="s">
        <v>2943</v>
      </c>
      <c r="AK144" s="2102"/>
      <c r="AR144" s="2100" t="s">
        <v>2943</v>
      </c>
      <c r="AS144" s="2102"/>
    </row>
    <row r="145" spans="1:45" ht="15.75" thickBot="1">
      <c r="A145" s="2103" t="s">
        <v>2994</v>
      </c>
      <c r="B145" s="2104">
        <f>I110</f>
        <v>6096192</v>
      </c>
      <c r="G145" s="2" t="s">
        <v>3588</v>
      </c>
      <c r="I145" s="3065">
        <f>I49+I53</f>
        <v>138000</v>
      </c>
      <c r="J145" s="236"/>
      <c r="K145" s="3065"/>
      <c r="M145" s="3065">
        <f>M53</f>
        <v>125000</v>
      </c>
      <c r="O145" s="3065"/>
      <c r="Q145" s="3065"/>
      <c r="R145" s="548"/>
      <c r="S145" s="3065"/>
      <c r="U145" s="3065"/>
      <c r="AJ145" s="2103" t="s">
        <v>2994</v>
      </c>
      <c r="AK145" s="2104">
        <f>AR110</f>
        <v>0</v>
      </c>
      <c r="AR145" s="2103" t="s">
        <v>2994</v>
      </c>
      <c r="AS145" s="2104">
        <f>AZ110</f>
        <v>0</v>
      </c>
    </row>
    <row r="146" spans="1:45" ht="15.75" thickTop="1">
      <c r="G146" s="2" t="s">
        <v>3589</v>
      </c>
      <c r="I146" s="511">
        <f>SUM(I140:I145)</f>
        <v>6096192</v>
      </c>
      <c r="J146" s="236"/>
      <c r="K146" s="511">
        <f>SUM(K140:K145)</f>
        <v>6819114</v>
      </c>
      <c r="M146" s="511">
        <f>SUM(M140:M145)</f>
        <v>7813774</v>
      </c>
      <c r="O146" s="511">
        <f>SUM(O140:O145)</f>
        <v>8747362</v>
      </c>
      <c r="Q146" s="511">
        <f>SUM(Q140:Q145)</f>
        <v>8363772</v>
      </c>
      <c r="R146" s="548"/>
      <c r="S146" s="511">
        <f>SUM(S140:S145)</f>
        <v>10523362</v>
      </c>
      <c r="U146" s="511">
        <f>SUM(U140:U145)</f>
        <v>907362</v>
      </c>
    </row>
    <row r="147" spans="1:45">
      <c r="A147" s="62"/>
      <c r="B147" s="1" t="s">
        <v>2995</v>
      </c>
      <c r="G147" s="2" t="s">
        <v>3590</v>
      </c>
      <c r="I147" s="3066">
        <f>I106</f>
        <v>6096192</v>
      </c>
      <c r="J147" s="236"/>
      <c r="K147" s="3066">
        <f>K106</f>
        <v>6819114</v>
      </c>
      <c r="M147" s="3066">
        <f>M106</f>
        <v>7813774</v>
      </c>
      <c r="O147" s="3066">
        <f>O106</f>
        <v>8747362</v>
      </c>
      <c r="Q147" s="3066">
        <f>Q106</f>
        <v>8363772</v>
      </c>
      <c r="R147" s="548"/>
      <c r="S147" s="3066">
        <f>S106</f>
        <v>10523362</v>
      </c>
      <c r="U147" s="3066">
        <f>U106</f>
        <v>6783515</v>
      </c>
      <c r="AJ147" s="62"/>
      <c r="AK147" s="1" t="s">
        <v>2995</v>
      </c>
      <c r="AR147" s="62"/>
      <c r="AS147" s="1" t="s">
        <v>2995</v>
      </c>
    </row>
    <row r="148" spans="1:45">
      <c r="A148" s="63"/>
      <c r="B148" s="1" t="s">
        <v>2996</v>
      </c>
      <c r="G148" s="2" t="s">
        <v>3591</v>
      </c>
      <c r="I148" s="511">
        <f>I147-I146</f>
        <v>0</v>
      </c>
      <c r="J148" s="236"/>
      <c r="K148" s="511">
        <f>K147-K146</f>
        <v>0</v>
      </c>
      <c r="M148" s="511">
        <f>M147-M146</f>
        <v>0</v>
      </c>
      <c r="O148" s="511">
        <f>O147-O146</f>
        <v>0</v>
      </c>
      <c r="Q148" s="511">
        <f>Q147-Q146</f>
        <v>0</v>
      </c>
      <c r="R148" s="548"/>
      <c r="S148" s="511">
        <f>S147-S146</f>
        <v>0</v>
      </c>
      <c r="U148" s="511">
        <f>U147-U146</f>
        <v>5876153</v>
      </c>
      <c r="AJ148" s="63"/>
      <c r="AK148" s="1" t="s">
        <v>2996</v>
      </c>
      <c r="AR148" s="63"/>
      <c r="AS148" s="1" t="s">
        <v>2996</v>
      </c>
    </row>
    <row r="150" spans="1:45">
      <c r="S150" s="511">
        <v>3267000</v>
      </c>
    </row>
    <row r="151" spans="1:45">
      <c r="S151" s="511">
        <v>2400000</v>
      </c>
    </row>
    <row r="152" spans="1:45">
      <c r="S152" s="511">
        <v>1240000</v>
      </c>
    </row>
    <row r="153" spans="1:45">
      <c r="S153" s="511">
        <v>429000</v>
      </c>
    </row>
    <row r="154" spans="1:45">
      <c r="S154" s="511">
        <v>550000</v>
      </c>
    </row>
    <row r="155" spans="1:45">
      <c r="S155" s="511">
        <v>520000</v>
      </c>
    </row>
    <row r="156" spans="1:45">
      <c r="S156" s="511">
        <v>535000</v>
      </c>
    </row>
    <row r="157" spans="1:45">
      <c r="S157" s="3066">
        <v>675000</v>
      </c>
    </row>
    <row r="158" spans="1:45">
      <c r="S158" s="511">
        <f>SUM(S150:S157)</f>
        <v>9616000</v>
      </c>
    </row>
  </sheetData>
  <mergeCells count="47">
    <mergeCell ref="AR117:AS117"/>
    <mergeCell ref="AR121:AS121"/>
    <mergeCell ref="AR125:AS125"/>
    <mergeCell ref="AR129:AS129"/>
    <mergeCell ref="AJ117:AK117"/>
    <mergeCell ref="AJ121:AK121"/>
    <mergeCell ref="AJ125:AK125"/>
    <mergeCell ref="AJ129:AK129"/>
    <mergeCell ref="H9:I9"/>
    <mergeCell ref="T9:U9"/>
    <mergeCell ref="J9:K9"/>
    <mergeCell ref="H7:I7"/>
    <mergeCell ref="T7:U7"/>
    <mergeCell ref="J7:K7"/>
    <mergeCell ref="P8:Q8"/>
    <mergeCell ref="N8:O8"/>
    <mergeCell ref="H8:I8"/>
    <mergeCell ref="T8:U8"/>
    <mergeCell ref="J8:K8"/>
    <mergeCell ref="L7:M7"/>
    <mergeCell ref="L8:M8"/>
    <mergeCell ref="L9:M9"/>
    <mergeCell ref="T5:U5"/>
    <mergeCell ref="J5:K5"/>
    <mergeCell ref="P6:Q6"/>
    <mergeCell ref="N6:O6"/>
    <mergeCell ref="H6:I6"/>
    <mergeCell ref="T6:U6"/>
    <mergeCell ref="J6:K6"/>
    <mergeCell ref="L5:M5"/>
    <mergeCell ref="L6:M6"/>
    <mergeCell ref="A117:B117"/>
    <mergeCell ref="A121:B121"/>
    <mergeCell ref="A125:B125"/>
    <mergeCell ref="A129:B129"/>
    <mergeCell ref="R5:S5"/>
    <mergeCell ref="R6:S6"/>
    <mergeCell ref="R7:S7"/>
    <mergeCell ref="R8:S8"/>
    <mergeCell ref="R9:S9"/>
    <mergeCell ref="P5:Q5"/>
    <mergeCell ref="N5:O5"/>
    <mergeCell ref="P7:Q7"/>
    <mergeCell ref="N7:O7"/>
    <mergeCell ref="P9:Q9"/>
    <mergeCell ref="N9:O9"/>
    <mergeCell ref="H5:I5"/>
  </mergeCells>
  <phoneticPr fontId="27" type="noConversion"/>
  <conditionalFormatting sqref="H11:H18 N11:N18 P11:P18 R11:R18 T11:T18">
    <cfRule type="cellIs" dxfId="93" priority="65" operator="equal">
      <formula>"X"</formula>
    </cfRule>
    <cfRule type="cellIs" dxfId="92" priority="66" operator="equal">
      <formula>"I"</formula>
    </cfRule>
  </conditionalFormatting>
  <conditionalFormatting sqref="J11:J18 H20:H105 J20:J105 L20:L105 N20:N105 P20:P105 R20:R105 T20:T105">
    <cfRule type="cellIs" dxfId="91" priority="63" operator="equal">
      <formula>"X"</formula>
    </cfRule>
    <cfRule type="cellIs" dxfId="90" priority="64" operator="equal">
      <formula>"I"</formula>
    </cfRule>
  </conditionalFormatting>
  <conditionalFormatting sqref="L11:L18">
    <cfRule type="cellIs" dxfId="89" priority="3" operator="equal">
      <formula>"X"</formula>
    </cfRule>
    <cfRule type="cellIs" dxfId="88" priority="4" operator="equal">
      <formula>"I"</formula>
    </cfRule>
  </conditionalFormatting>
  <conditionalFormatting sqref="Q30">
    <cfRule type="cellIs" dxfId="87" priority="37" operator="equal">
      <formula>"X"</formula>
    </cfRule>
    <cfRule type="cellIs" dxfId="86" priority="38" operator="equal">
      <formula>"I"</formula>
    </cfRule>
  </conditionalFormatting>
  <conditionalFormatting sqref="Q32">
    <cfRule type="cellIs" dxfId="85" priority="39" operator="equal">
      <formula>"X"</formula>
    </cfRule>
    <cfRule type="cellIs" dxfId="84" priority="40" operator="equal">
      <formula>"I"</formula>
    </cfRule>
  </conditionalFormatting>
  <conditionalFormatting sqref="Q57:Q58">
    <cfRule type="cellIs" dxfId="83" priority="41" operator="equal">
      <formula>"X"</formula>
    </cfRule>
    <cfRule type="cellIs" dxfId="82" priority="42" operator="equal">
      <formula>"I"</formula>
    </cfRule>
  </conditionalFormatting>
  <hyperlinks>
    <hyperlink ref="B4" location="'Cost Summary'!A1" display="BACK TO SUMMARY SHEET" xr:uid="{60E8165E-BA7F-4CA8-A56A-96D3C0975F41}"/>
    <hyperlink ref="R8" r:id="rId1" xr:uid="{89F66B9B-5271-40DE-AB5A-AF8BC177151C}"/>
    <hyperlink ref="P8" r:id="rId2" xr:uid="{2F31C106-BA29-4311-96B9-82332EA9A598}"/>
    <hyperlink ref="J8" r:id="rId3" xr:uid="{7986D3D2-F8D8-4E62-A1CF-B4381DED11DE}"/>
    <hyperlink ref="N8" r:id="rId4" xr:uid="{F130B9D5-DE7A-4BC8-AFBB-5F08A9554BAE}"/>
    <hyperlink ref="H8" r:id="rId5" xr:uid="{0327E9A3-4378-4556-BD47-1127FA3C3944}"/>
    <hyperlink ref="AK4" location="'Cost Summary'!A1" display="BACK TO SUMMARY SHEET" xr:uid="{03F6B991-7052-4F3E-A7F0-C3B3E17124B2}"/>
    <hyperlink ref="L8" r:id="rId6" xr:uid="{14F73BDF-C61D-4D1D-B6D6-4EC802986FDD}"/>
    <hyperlink ref="AS4" location="'Cost Summary'!A1" display="BACK TO SUMMARY SHEET" xr:uid="{19E06089-46B4-4B2D-8443-CD7805242B60}"/>
    <hyperlink ref="T8" r:id="rId7" xr:uid="{F8D3B4A2-EF3F-4799-AEA6-56AA35F7D8C7}"/>
  </hyperlinks>
  <pageMargins left="0.2" right="0.2" top="0.5" bottom="0.75" header="0.3" footer="0.3"/>
  <pageSetup scale="89" fitToHeight="0" orientation="portrait" r:id="rId8"/>
  <drawing r:id="rId9"/>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12DA-FE2A-412B-8335-4B734999A25B}">
  <sheetPr>
    <tabColor rgb="FF00B050"/>
    <pageSetUpPr fitToPage="1"/>
  </sheetPr>
  <dimension ref="A1:AH113"/>
  <sheetViews>
    <sheetView zoomScale="90" zoomScaleNormal="90" workbookViewId="0">
      <pane xSplit="2" ySplit="10" topLeftCell="C233" activePane="bottomRight" state="frozen"/>
      <selection pane="bottomRight" activeCell="G66" sqref="G66"/>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1" width="15" bestFit="1"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166"/>
      <c r="E5" s="171"/>
      <c r="F5" s="5"/>
      <c r="G5" s="6" t="s">
        <v>2936</v>
      </c>
      <c r="H5" s="837" t="s">
        <v>6314</v>
      </c>
      <c r="I5" s="838"/>
      <c r="J5" s="837"/>
      <c r="K5" s="838"/>
      <c r="L5" s="837"/>
      <c r="M5" s="838"/>
      <c r="N5" s="841"/>
      <c r="O5" s="842"/>
      <c r="P5" s="841"/>
      <c r="Q5" s="842"/>
      <c r="R5" s="841"/>
      <c r="S5" s="842"/>
    </row>
    <row r="6" spans="1:19">
      <c r="A6" s="2105" t="s">
        <v>2938</v>
      </c>
      <c r="B6" s="2106" t="s">
        <v>6315</v>
      </c>
      <c r="C6" s="2049"/>
      <c r="D6" s="2171"/>
      <c r="E6" s="2051"/>
      <c r="F6" s="2049"/>
      <c r="G6" s="657" t="s">
        <v>2939</v>
      </c>
      <c r="H6" s="2172" t="s">
        <v>6316</v>
      </c>
      <c r="I6" s="839"/>
      <c r="J6" s="2172"/>
      <c r="K6" s="839"/>
      <c r="L6" s="2172"/>
      <c r="M6" s="839"/>
      <c r="N6" s="2107"/>
      <c r="O6" s="843"/>
      <c r="P6" s="2107"/>
      <c r="Q6" s="843"/>
      <c r="R6" s="2107"/>
      <c r="S6" s="843"/>
    </row>
    <row r="7" spans="1:19">
      <c r="A7" s="2105" t="s">
        <v>2940</v>
      </c>
      <c r="B7" s="2108" t="s">
        <v>2668</v>
      </c>
      <c r="C7" s="2049"/>
      <c r="D7" s="2171"/>
      <c r="E7" s="2051"/>
      <c r="F7" s="2049"/>
      <c r="G7" s="2109" t="s">
        <v>2941</v>
      </c>
      <c r="H7" s="2173" t="s">
        <v>6317</v>
      </c>
      <c r="I7" s="840"/>
      <c r="J7" s="2173"/>
      <c r="K7" s="840"/>
      <c r="L7" s="2173"/>
      <c r="M7" s="840"/>
      <c r="N7" s="2110"/>
      <c r="O7" s="844"/>
      <c r="P7" s="2110"/>
      <c r="Q7" s="844"/>
      <c r="R7" s="2110"/>
      <c r="S7" s="844"/>
    </row>
    <row r="8" spans="1:19">
      <c r="A8" s="2105" t="s">
        <v>2942</v>
      </c>
      <c r="B8" s="2111"/>
      <c r="C8" s="2049"/>
      <c r="D8" s="2171"/>
      <c r="E8" s="2051"/>
      <c r="F8" s="2049"/>
      <c r="G8" s="2109" t="s">
        <v>2943</v>
      </c>
      <c r="H8" s="2174" t="s">
        <v>6318</v>
      </c>
      <c r="I8" s="836"/>
      <c r="J8" s="2174"/>
      <c r="K8" s="836"/>
      <c r="L8" s="2174"/>
      <c r="M8" s="836"/>
      <c r="N8" s="2112"/>
      <c r="O8" s="845"/>
      <c r="P8" s="2112"/>
      <c r="Q8" s="845"/>
      <c r="R8" s="2112"/>
      <c r="S8" s="845"/>
    </row>
    <row r="9" spans="1:19" ht="15.75" thickBot="1">
      <c r="A9" s="2175"/>
      <c r="B9" s="2166"/>
      <c r="C9" s="616"/>
      <c r="D9" s="621"/>
      <c r="E9" s="622"/>
      <c r="F9" s="2167"/>
      <c r="G9" s="2176" t="s">
        <v>2944</v>
      </c>
      <c r="H9" s="2179">
        <f>I$75</f>
        <v>1706404</v>
      </c>
      <c r="I9" s="2180"/>
      <c r="J9" s="2177">
        <f>K$75</f>
        <v>0</v>
      </c>
      <c r="K9" s="2178"/>
      <c r="L9" s="2179">
        <f>M$75</f>
        <v>0</v>
      </c>
      <c r="M9" s="2180"/>
      <c r="N9" s="2179">
        <f>O$75</f>
        <v>0</v>
      </c>
      <c r="O9" s="2180"/>
      <c r="P9" s="2179">
        <f>Q$75</f>
        <v>0</v>
      </c>
      <c r="Q9" s="2180"/>
      <c r="R9" s="2179">
        <f>S$75</f>
        <v>0</v>
      </c>
      <c r="S9" s="218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067"/>
      <c r="B11" s="2889" t="s">
        <v>2953</v>
      </c>
      <c r="C11" s="659"/>
      <c r="D11" s="2171"/>
      <c r="E11" s="2051"/>
      <c r="F11" s="2049"/>
      <c r="G11" s="660"/>
      <c r="H11" s="2183"/>
      <c r="I11" s="182"/>
      <c r="J11" s="2183"/>
      <c r="K11" s="3068"/>
      <c r="L11" s="2183"/>
      <c r="M11" s="3069"/>
      <c r="N11" s="2183"/>
      <c r="O11" s="3069"/>
      <c r="P11" s="2183"/>
      <c r="Q11" s="3069"/>
      <c r="R11" s="2183"/>
      <c r="S11" s="3069"/>
    </row>
    <row r="12" spans="1:19">
      <c r="A12" s="3070"/>
      <c r="B12" s="2963" t="s">
        <v>2954</v>
      </c>
      <c r="C12" s="2049"/>
      <c r="D12" s="2171"/>
      <c r="E12" s="2051"/>
      <c r="F12" s="2049"/>
      <c r="G12" s="660"/>
      <c r="H12" s="2183"/>
      <c r="I12" s="3069"/>
      <c r="J12" s="2183"/>
      <c r="K12" s="3068"/>
      <c r="L12" s="2183"/>
      <c r="M12" s="3069"/>
      <c r="N12" s="2183"/>
      <c r="O12" s="3069"/>
      <c r="P12" s="2183"/>
      <c r="Q12" s="3069"/>
      <c r="R12" s="2183"/>
      <c r="S12" s="3069"/>
    </row>
    <row r="13" spans="1:19">
      <c r="A13" s="2185"/>
      <c r="B13" s="3071" t="s">
        <v>2955</v>
      </c>
      <c r="C13" s="2049"/>
      <c r="D13" s="2171"/>
      <c r="E13" s="2051"/>
      <c r="F13" s="2049"/>
      <c r="G13" s="660"/>
      <c r="H13" s="2183"/>
      <c r="I13" s="3069"/>
      <c r="J13" s="2183"/>
      <c r="K13" s="3068"/>
      <c r="L13" s="2183"/>
      <c r="M13" s="3069"/>
      <c r="N13" s="2183"/>
      <c r="O13" s="3069"/>
      <c r="P13" s="2183"/>
      <c r="Q13" s="3069"/>
      <c r="R13" s="2183"/>
      <c r="S13" s="3069"/>
    </row>
    <row r="14" spans="1:19">
      <c r="A14" s="2185"/>
      <c r="B14" s="3072" t="s">
        <v>2956</v>
      </c>
      <c r="C14" s="2049"/>
      <c r="D14" s="2171"/>
      <c r="E14" s="2051"/>
      <c r="F14" s="2049"/>
      <c r="G14" s="660"/>
      <c r="H14" s="2183"/>
      <c r="I14" s="3069"/>
      <c r="J14" s="2183"/>
      <c r="K14" s="3068"/>
      <c r="L14" s="2183"/>
      <c r="M14" s="3069"/>
      <c r="N14" s="2183"/>
      <c r="O14" s="3069"/>
      <c r="P14" s="2183"/>
      <c r="Q14" s="3069"/>
      <c r="R14" s="2183"/>
      <c r="S14" s="3069"/>
    </row>
    <row r="15" spans="1:19">
      <c r="A15" s="2185"/>
      <c r="B15" s="3072" t="s">
        <v>2957</v>
      </c>
      <c r="C15" s="2049"/>
      <c r="D15" s="2171"/>
      <c r="E15" s="2051"/>
      <c r="F15" s="2049"/>
      <c r="G15" s="660"/>
      <c r="H15" s="2183"/>
      <c r="I15" s="3068"/>
      <c r="J15" s="2183"/>
      <c r="K15" s="3068"/>
      <c r="L15" s="2183"/>
      <c r="M15" s="3068"/>
      <c r="N15" s="2183"/>
      <c r="O15" s="3068"/>
      <c r="P15" s="2183"/>
      <c r="Q15" s="3068"/>
      <c r="R15" s="2183"/>
      <c r="S15" s="3068"/>
    </row>
    <row r="16" spans="1:19">
      <c r="A16" s="2185"/>
      <c r="B16" s="3072" t="s">
        <v>2958</v>
      </c>
      <c r="C16" s="2049"/>
      <c r="D16" s="2171"/>
      <c r="E16" s="2051"/>
      <c r="F16" s="2049"/>
      <c r="G16" s="660"/>
      <c r="H16" s="2183"/>
      <c r="I16" s="3069"/>
      <c r="J16" s="2183"/>
      <c r="K16" s="3068"/>
      <c r="L16" s="2183"/>
      <c r="M16" s="3069"/>
      <c r="N16" s="2183"/>
      <c r="O16" s="3069"/>
      <c r="P16" s="2183"/>
      <c r="Q16" s="3069"/>
      <c r="R16" s="2183"/>
      <c r="S16" s="3069"/>
    </row>
    <row r="17" spans="1:19">
      <c r="A17" s="2185"/>
      <c r="B17" s="3072" t="s">
        <v>2959</v>
      </c>
      <c r="C17" s="2049"/>
      <c r="D17" s="2171"/>
      <c r="E17" s="2051"/>
      <c r="F17" s="2049"/>
      <c r="G17" s="660"/>
      <c r="H17" s="2183"/>
      <c r="I17" s="3069"/>
      <c r="J17" s="2183"/>
      <c r="K17" s="3068"/>
      <c r="L17" s="2183"/>
      <c r="M17" s="3069"/>
      <c r="N17" s="2183"/>
      <c r="O17" s="3069"/>
      <c r="P17" s="2183"/>
      <c r="Q17" s="3069"/>
      <c r="R17" s="2183"/>
      <c r="S17" s="3069"/>
    </row>
    <row r="18" spans="1:19">
      <c r="A18" s="2185"/>
      <c r="B18" s="3073" t="s">
        <v>2960</v>
      </c>
      <c r="C18" s="2049"/>
      <c r="D18" s="2171"/>
      <c r="E18" s="2051"/>
      <c r="F18" s="2049"/>
      <c r="G18" s="660"/>
      <c r="H18" s="2183"/>
      <c r="I18" s="3069"/>
      <c r="J18" s="2183"/>
      <c r="K18" s="3068"/>
      <c r="L18" s="2183"/>
      <c r="M18" s="3069"/>
      <c r="N18" s="2183"/>
      <c r="O18" s="3069"/>
      <c r="P18" s="2183"/>
      <c r="Q18" s="3069"/>
      <c r="R18" s="2183"/>
      <c r="S18" s="3069"/>
    </row>
    <row r="19" spans="1:19">
      <c r="A19" s="2185"/>
      <c r="B19" s="3074" t="s">
        <v>2961</v>
      </c>
      <c r="C19" s="2127"/>
      <c r="D19" s="2190"/>
      <c r="E19" s="2191"/>
      <c r="F19" s="2192"/>
      <c r="G19" s="661"/>
      <c r="H19" s="2193"/>
      <c r="I19" s="3075"/>
      <c r="J19" s="2193"/>
      <c r="K19" s="3076"/>
      <c r="L19" s="2193"/>
      <c r="M19" s="3075"/>
      <c r="N19" s="2193"/>
      <c r="O19" s="3075"/>
      <c r="P19" s="2193"/>
      <c r="Q19" s="3075"/>
      <c r="R19" s="2193"/>
      <c r="S19" s="3075"/>
    </row>
    <row r="20" spans="1:19">
      <c r="A20" s="2185"/>
      <c r="B20" s="3077"/>
      <c r="C20" s="2049"/>
      <c r="D20" s="2171"/>
      <c r="E20" s="2051"/>
      <c r="F20" s="2052"/>
      <c r="G20" s="660"/>
      <c r="H20" s="2183"/>
      <c r="I20" s="3078"/>
      <c r="J20" s="2183"/>
      <c r="K20" s="3079"/>
      <c r="L20" s="2183"/>
      <c r="M20" s="3078"/>
      <c r="N20" s="2183"/>
      <c r="O20" s="3078"/>
      <c r="P20" s="2183"/>
      <c r="Q20" s="3078"/>
      <c r="R20" s="2183"/>
      <c r="S20" s="3078"/>
    </row>
    <row r="21" spans="1:19">
      <c r="A21" s="2185"/>
      <c r="B21" s="2196" t="s">
        <v>2695</v>
      </c>
      <c r="C21" s="2049"/>
      <c r="D21" s="2171"/>
      <c r="E21" s="2051"/>
      <c r="F21" s="2052"/>
      <c r="G21" s="662">
        <f t="shared" ref="G21:G69" si="0">ROUND(D21*F21,0)</f>
        <v>0</v>
      </c>
      <c r="H21" s="2183"/>
      <c r="I21" s="3080">
        <f>SUBTOTAL(9,I22:I69)</f>
        <v>1706404</v>
      </c>
      <c r="J21" s="2183"/>
      <c r="K21" s="3079"/>
      <c r="L21" s="2183"/>
      <c r="M21" s="3078"/>
      <c r="N21" s="2183"/>
      <c r="O21" s="3078"/>
      <c r="P21" s="2183"/>
      <c r="Q21" s="3078"/>
      <c r="R21" s="2183"/>
      <c r="S21" s="3078"/>
    </row>
    <row r="22" spans="1:19">
      <c r="A22" s="2185"/>
      <c r="B22" s="3077" t="s">
        <v>6319</v>
      </c>
      <c r="C22" s="2049"/>
      <c r="D22" s="2171"/>
      <c r="E22" s="2051"/>
      <c r="F22" s="2052"/>
      <c r="G22" s="662">
        <f t="shared" si="0"/>
        <v>0</v>
      </c>
      <c r="H22" s="2183"/>
      <c r="I22" s="3079">
        <f>G22</f>
        <v>0</v>
      </c>
      <c r="J22" s="2183"/>
      <c r="K22" s="3079"/>
      <c r="L22" s="2183"/>
      <c r="M22" s="3078"/>
      <c r="N22" s="2183"/>
      <c r="O22" s="3078"/>
      <c r="P22" s="2183"/>
      <c r="Q22" s="3078"/>
      <c r="R22" s="2183"/>
      <c r="S22" s="3078"/>
    </row>
    <row r="23" spans="1:19">
      <c r="A23" s="2185"/>
      <c r="B23" s="3077" t="s">
        <v>6320</v>
      </c>
      <c r="C23" s="2049"/>
      <c r="D23" s="2171"/>
      <c r="E23" s="2051"/>
      <c r="F23" s="2052"/>
      <c r="G23" s="662">
        <f t="shared" si="0"/>
        <v>0</v>
      </c>
      <c r="H23" s="2183"/>
      <c r="I23" s="3079">
        <f>G23</f>
        <v>0</v>
      </c>
      <c r="J23" s="2183"/>
      <c r="K23" s="3079"/>
      <c r="L23" s="2183"/>
      <c r="M23" s="3078"/>
      <c r="N23" s="2183"/>
      <c r="O23" s="3078"/>
      <c r="P23" s="2183"/>
      <c r="Q23" s="3078"/>
      <c r="R23" s="2183"/>
      <c r="S23" s="3078"/>
    </row>
    <row r="24" spans="1:19">
      <c r="A24" s="2185"/>
      <c r="B24" s="3077"/>
      <c r="C24" s="2049"/>
      <c r="D24" s="2171"/>
      <c r="E24" s="2051"/>
      <c r="F24" s="2052"/>
      <c r="G24" s="662">
        <f t="shared" si="0"/>
        <v>0</v>
      </c>
      <c r="H24" s="2183"/>
      <c r="I24" s="3079">
        <f t="shared" ref="I24:I69" si="1">G24</f>
        <v>0</v>
      </c>
      <c r="J24" s="2183"/>
      <c r="K24" s="3079"/>
      <c r="L24" s="2183"/>
      <c r="M24" s="3078"/>
      <c r="N24" s="2183"/>
      <c r="O24" s="3078"/>
      <c r="P24" s="2183"/>
      <c r="Q24" s="3078"/>
      <c r="R24" s="2183"/>
      <c r="S24" s="3078"/>
    </row>
    <row r="25" spans="1:19">
      <c r="A25" s="2185"/>
      <c r="B25" s="3077" t="s">
        <v>3113</v>
      </c>
      <c r="C25" s="2049"/>
      <c r="D25" s="2171"/>
      <c r="E25" s="2051"/>
      <c r="F25" s="2052"/>
      <c r="G25" s="662">
        <f t="shared" si="0"/>
        <v>0</v>
      </c>
      <c r="H25" s="2183"/>
      <c r="I25" s="3079">
        <f t="shared" si="1"/>
        <v>0</v>
      </c>
      <c r="J25" s="2183"/>
      <c r="K25" s="3079"/>
      <c r="L25" s="2183"/>
      <c r="M25" s="3078"/>
      <c r="N25" s="2183"/>
      <c r="O25" s="3078"/>
      <c r="P25" s="2183"/>
      <c r="Q25" s="3078"/>
      <c r="R25" s="2183"/>
      <c r="S25" s="3078"/>
    </row>
    <row r="26" spans="1:19">
      <c r="A26" s="2185"/>
      <c r="B26" s="3077" t="s">
        <v>6321</v>
      </c>
      <c r="C26" s="2049"/>
      <c r="D26" s="2171">
        <v>1</v>
      </c>
      <c r="E26" s="2051" t="s">
        <v>2818</v>
      </c>
      <c r="F26" s="2052"/>
      <c r="G26" s="662">
        <f t="shared" si="0"/>
        <v>0</v>
      </c>
      <c r="H26" s="2183"/>
      <c r="I26" s="3079">
        <v>172642</v>
      </c>
      <c r="J26" s="2183"/>
      <c r="K26" s="3079"/>
      <c r="L26" s="2183"/>
      <c r="M26" s="3078"/>
      <c r="N26" s="2183"/>
      <c r="O26" s="3078"/>
      <c r="P26" s="2183"/>
      <c r="Q26" s="3078"/>
      <c r="R26" s="2183"/>
      <c r="S26" s="3078"/>
    </row>
    <row r="27" spans="1:19">
      <c r="A27" s="2185"/>
      <c r="B27" s="3077" t="s">
        <v>6322</v>
      </c>
      <c r="C27" s="2049"/>
      <c r="D27" s="2171">
        <v>1</v>
      </c>
      <c r="E27" s="2051" t="s">
        <v>2818</v>
      </c>
      <c r="F27" s="2052"/>
      <c r="G27" s="662">
        <f t="shared" si="0"/>
        <v>0</v>
      </c>
      <c r="H27" s="2183"/>
      <c r="I27" s="3079">
        <v>146133</v>
      </c>
      <c r="J27" s="2183"/>
      <c r="K27" s="3079"/>
      <c r="L27" s="2183"/>
      <c r="M27" s="3078"/>
      <c r="N27" s="2183"/>
      <c r="O27" s="3078"/>
      <c r="P27" s="2183"/>
      <c r="Q27" s="3078"/>
      <c r="R27" s="2183"/>
      <c r="S27" s="3078"/>
    </row>
    <row r="28" spans="1:19">
      <c r="A28" s="2185"/>
      <c r="B28" s="3081" t="s">
        <v>6323</v>
      </c>
      <c r="C28" s="2049"/>
      <c r="D28" s="2171"/>
      <c r="E28" s="2051"/>
      <c r="F28" s="2052"/>
      <c r="G28" s="662"/>
      <c r="H28" s="2183"/>
      <c r="I28" s="3079"/>
      <c r="J28" s="2183"/>
      <c r="K28" s="3079"/>
      <c r="L28" s="2183"/>
      <c r="M28" s="3078"/>
      <c r="N28" s="2183"/>
      <c r="O28" s="3078"/>
      <c r="P28" s="2183"/>
      <c r="Q28" s="3078"/>
      <c r="R28" s="2183"/>
      <c r="S28" s="3078"/>
    </row>
    <row r="29" spans="1:19">
      <c r="A29" s="2185"/>
      <c r="B29" s="3082" t="s">
        <v>6324</v>
      </c>
      <c r="C29" s="2049"/>
      <c r="D29" s="2171"/>
      <c r="E29" s="2051"/>
      <c r="F29" s="2052"/>
      <c r="G29" s="662"/>
      <c r="H29" s="2183"/>
      <c r="I29" s="3079"/>
      <c r="J29" s="2183"/>
      <c r="K29" s="3079"/>
      <c r="L29" s="2183"/>
      <c r="M29" s="3078"/>
      <c r="N29" s="2183"/>
      <c r="O29" s="3078"/>
      <c r="P29" s="2183"/>
      <c r="Q29" s="3078"/>
      <c r="R29" s="2183"/>
      <c r="S29" s="3078"/>
    </row>
    <row r="30" spans="1:19">
      <c r="A30" s="2185"/>
      <c r="B30" s="3082" t="s">
        <v>6325</v>
      </c>
      <c r="C30" s="2049"/>
      <c r="D30" s="2171"/>
      <c r="E30" s="2051"/>
      <c r="F30" s="2052"/>
      <c r="G30" s="662"/>
      <c r="H30" s="2183"/>
      <c r="I30" s="3079"/>
      <c r="J30" s="2183"/>
      <c r="K30" s="3079"/>
      <c r="L30" s="2183"/>
      <c r="M30" s="3078"/>
      <c r="N30" s="2183"/>
      <c r="O30" s="3078"/>
      <c r="P30" s="2183"/>
      <c r="Q30" s="3078"/>
      <c r="R30" s="2183"/>
      <c r="S30" s="3078"/>
    </row>
    <row r="31" spans="1:19">
      <c r="A31" s="2185"/>
      <c r="B31" s="3082" t="s">
        <v>6326</v>
      </c>
      <c r="C31" s="2049"/>
      <c r="D31" s="2171"/>
      <c r="E31" s="2051"/>
      <c r="F31" s="2052"/>
      <c r="G31" s="662"/>
      <c r="H31" s="2183"/>
      <c r="I31" s="3079"/>
      <c r="J31" s="2183"/>
      <c r="K31" s="3079"/>
      <c r="L31" s="2183"/>
      <c r="M31" s="3078"/>
      <c r="N31" s="2183"/>
      <c r="O31" s="3078"/>
      <c r="P31" s="2183"/>
      <c r="Q31" s="3078"/>
      <c r="R31" s="2183"/>
      <c r="S31" s="3078"/>
    </row>
    <row r="32" spans="1:19">
      <c r="A32" s="2185"/>
      <c r="B32" s="3083" t="s">
        <v>6327</v>
      </c>
      <c r="C32" s="2049"/>
      <c r="D32" s="2171"/>
      <c r="E32" s="2051"/>
      <c r="F32" s="2052"/>
      <c r="G32" s="662"/>
      <c r="H32" s="2183"/>
      <c r="I32" s="3079"/>
      <c r="J32" s="2183"/>
      <c r="K32" s="3079"/>
      <c r="L32" s="2183"/>
      <c r="M32" s="3078"/>
      <c r="N32" s="2183"/>
      <c r="O32" s="3078"/>
      <c r="P32" s="2183"/>
      <c r="Q32" s="3078"/>
      <c r="R32" s="2183"/>
      <c r="S32" s="3078"/>
    </row>
    <row r="33" spans="1:21">
      <c r="A33" s="2185"/>
      <c r="B33" s="3077" t="s">
        <v>6328</v>
      </c>
      <c r="C33" s="2049"/>
      <c r="D33" s="2171">
        <v>1</v>
      </c>
      <c r="E33" s="2051" t="s">
        <v>2818</v>
      </c>
      <c r="F33" s="2052"/>
      <c r="G33" s="662">
        <f>ROUND(D33*F33,0)</f>
        <v>0</v>
      </c>
      <c r="H33" s="2183"/>
      <c r="I33" s="3079">
        <v>144669</v>
      </c>
      <c r="J33" s="2183"/>
      <c r="K33" s="3079"/>
      <c r="L33" s="2183"/>
      <c r="M33" s="3078"/>
      <c r="N33" s="2183"/>
      <c r="O33" s="3078"/>
      <c r="P33" s="2183"/>
      <c r="Q33" s="3078"/>
      <c r="R33" s="2183"/>
      <c r="S33" s="3078"/>
    </row>
    <row r="34" spans="1:21">
      <c r="A34" s="2185"/>
      <c r="B34" s="3077" t="s">
        <v>5636</v>
      </c>
      <c r="C34" s="2049"/>
      <c r="D34" s="2171">
        <v>1</v>
      </c>
      <c r="E34" s="2051" t="s">
        <v>2818</v>
      </c>
      <c r="F34" s="2052"/>
      <c r="G34" s="662">
        <f t="shared" si="0"/>
        <v>0</v>
      </c>
      <c r="H34" s="2183"/>
      <c r="I34" s="3079">
        <v>131477</v>
      </c>
      <c r="J34" s="2183"/>
      <c r="K34" s="3079"/>
      <c r="L34" s="2183"/>
      <c r="M34" s="3078"/>
      <c r="N34" s="2183"/>
      <c r="O34" s="3078"/>
      <c r="P34" s="2183"/>
      <c r="Q34" s="3078"/>
      <c r="R34" s="2183"/>
      <c r="S34" s="3078"/>
    </row>
    <row r="35" spans="1:21">
      <c r="A35" s="2185"/>
      <c r="B35" s="3081" t="s">
        <v>6323</v>
      </c>
      <c r="C35" s="2049"/>
      <c r="D35" s="2171"/>
      <c r="E35" s="2051"/>
      <c r="F35" s="2052"/>
      <c r="G35" s="662"/>
      <c r="H35" s="2183"/>
      <c r="I35" s="3079"/>
      <c r="J35" s="2183"/>
      <c r="K35" s="3079"/>
      <c r="L35" s="2183"/>
      <c r="M35" s="3078"/>
      <c r="N35" s="2183"/>
      <c r="O35" s="3078"/>
      <c r="P35" s="2183"/>
      <c r="Q35" s="3078"/>
      <c r="R35" s="2183"/>
      <c r="S35" s="3078"/>
    </row>
    <row r="36" spans="1:21">
      <c r="A36" s="2185"/>
      <c r="B36" s="3082" t="s">
        <v>6329</v>
      </c>
      <c r="C36" s="2049"/>
      <c r="D36" s="2171"/>
      <c r="E36" s="2051"/>
      <c r="F36" s="2052"/>
      <c r="G36" s="662"/>
      <c r="H36" s="2183"/>
      <c r="I36" s="3079"/>
      <c r="J36" s="2183"/>
      <c r="K36" s="3079"/>
      <c r="L36" s="2183"/>
      <c r="M36" s="3078"/>
      <c r="N36" s="2183"/>
      <c r="O36" s="3078"/>
      <c r="P36" s="2183"/>
      <c r="Q36" s="3078"/>
      <c r="R36" s="2183"/>
      <c r="S36" s="3078"/>
    </row>
    <row r="37" spans="1:21">
      <c r="A37" s="2185"/>
      <c r="B37" s="3082" t="s">
        <v>6330</v>
      </c>
      <c r="C37" s="2049"/>
      <c r="D37" s="2171"/>
      <c r="E37" s="2051"/>
      <c r="F37" s="2052"/>
      <c r="G37" s="662"/>
      <c r="H37" s="2183"/>
      <c r="I37" s="3079"/>
      <c r="J37" s="2183"/>
      <c r="K37" s="3079"/>
      <c r="L37" s="2183"/>
      <c r="M37" s="3078"/>
      <c r="N37" s="2183"/>
      <c r="O37" s="3078"/>
      <c r="P37" s="2183"/>
      <c r="Q37" s="3078"/>
      <c r="R37" s="2183"/>
      <c r="S37" s="3078"/>
    </row>
    <row r="38" spans="1:21">
      <c r="A38" s="2185"/>
      <c r="B38" s="3082" t="s">
        <v>6325</v>
      </c>
      <c r="C38" s="2049"/>
      <c r="D38" s="2171"/>
      <c r="E38" s="2051"/>
      <c r="F38" s="2052"/>
      <c r="G38" s="662"/>
      <c r="H38" s="2183"/>
      <c r="I38" s="3079"/>
      <c r="J38" s="2183"/>
      <c r="K38" s="3079"/>
      <c r="L38" s="2183"/>
      <c r="M38" s="3078"/>
      <c r="N38" s="2183"/>
      <c r="O38" s="3078"/>
      <c r="P38" s="2183"/>
      <c r="Q38" s="3078"/>
      <c r="R38" s="2183"/>
      <c r="S38" s="3078"/>
    </row>
    <row r="39" spans="1:21">
      <c r="A39" s="2185"/>
      <c r="B39" s="3082" t="s">
        <v>6326</v>
      </c>
      <c r="C39" s="2049"/>
      <c r="D39" s="2171"/>
      <c r="E39" s="2051"/>
      <c r="F39" s="2052"/>
      <c r="G39" s="662"/>
      <c r="H39" s="2183"/>
      <c r="I39" s="3079"/>
      <c r="J39" s="2183"/>
      <c r="K39" s="3079"/>
      <c r="L39" s="2183"/>
      <c r="M39" s="3078"/>
      <c r="N39" s="2183"/>
      <c r="O39" s="3078"/>
      <c r="P39" s="2183"/>
      <c r="Q39" s="3078"/>
      <c r="R39" s="2183"/>
      <c r="S39" s="3078"/>
    </row>
    <row r="40" spans="1:21">
      <c r="A40" s="2185"/>
      <c r="B40" s="3083" t="s">
        <v>6327</v>
      </c>
      <c r="C40" s="2049"/>
      <c r="D40" s="2171"/>
      <c r="E40" s="2051"/>
      <c r="F40" s="2052"/>
      <c r="G40" s="662"/>
      <c r="H40" s="2183"/>
      <c r="I40" s="3079"/>
      <c r="J40" s="2183"/>
      <c r="K40" s="3079"/>
      <c r="L40" s="2183"/>
      <c r="M40" s="3078"/>
      <c r="N40" s="2183"/>
      <c r="O40" s="3078"/>
      <c r="P40" s="2183"/>
      <c r="Q40" s="3078"/>
      <c r="R40" s="2183"/>
      <c r="S40" s="3078"/>
    </row>
    <row r="41" spans="1:21">
      <c r="A41" s="2185"/>
      <c r="B41" s="3077" t="s">
        <v>4146</v>
      </c>
      <c r="C41" s="2049"/>
      <c r="D41" s="2171">
        <v>1</v>
      </c>
      <c r="E41" s="2051" t="s">
        <v>2818</v>
      </c>
      <c r="F41" s="2052"/>
      <c r="G41" s="662">
        <f t="shared" si="0"/>
        <v>0</v>
      </c>
      <c r="H41" s="2183"/>
      <c r="I41" s="3079">
        <v>468815</v>
      </c>
      <c r="J41" s="2183"/>
      <c r="K41" s="3079"/>
      <c r="L41" s="2183"/>
      <c r="M41" s="3078"/>
      <c r="N41" s="2183"/>
      <c r="O41" s="3078"/>
      <c r="P41" s="2183"/>
      <c r="Q41" s="3078"/>
      <c r="R41" s="2183"/>
      <c r="S41" s="3078"/>
    </row>
    <row r="42" spans="1:21">
      <c r="A42" s="2185"/>
      <c r="B42" s="3081" t="s">
        <v>6323</v>
      </c>
      <c r="C42" s="2049"/>
      <c r="D42" s="2171"/>
      <c r="E42" s="2051"/>
      <c r="F42" s="2052"/>
      <c r="G42" s="662"/>
      <c r="H42" s="2183"/>
      <c r="I42" s="3079"/>
      <c r="J42" s="2183"/>
      <c r="K42" s="3079"/>
      <c r="L42" s="2183"/>
      <c r="M42" s="3078"/>
      <c r="N42" s="2183"/>
      <c r="O42" s="3078"/>
      <c r="P42" s="2183"/>
      <c r="Q42" s="3078"/>
      <c r="R42" s="2183"/>
      <c r="S42" s="3078"/>
    </row>
    <row r="43" spans="1:21">
      <c r="A43" s="2185"/>
      <c r="B43" s="3082" t="s">
        <v>6331</v>
      </c>
      <c r="C43" s="2049"/>
      <c r="D43" s="2171"/>
      <c r="E43" s="2051"/>
      <c r="F43" s="2052"/>
      <c r="G43" s="662"/>
      <c r="H43" s="2183"/>
      <c r="I43" s="3079"/>
      <c r="J43" s="2183"/>
      <c r="K43" s="3079"/>
      <c r="L43" s="2183"/>
      <c r="M43" s="3078"/>
      <c r="N43" s="2183"/>
      <c r="O43" s="3078"/>
      <c r="P43" s="2183"/>
      <c r="Q43" s="3078"/>
      <c r="R43" s="2183"/>
      <c r="S43" s="3078"/>
    </row>
    <row r="44" spans="1:21">
      <c r="A44" s="2185"/>
      <c r="B44" s="3083" t="s">
        <v>6327</v>
      </c>
      <c r="C44" s="2049"/>
      <c r="D44" s="2171"/>
      <c r="E44" s="2051"/>
      <c r="F44" s="2052"/>
      <c r="G44" s="662"/>
      <c r="H44" s="2183"/>
      <c r="I44" s="3079"/>
      <c r="J44" s="2183"/>
      <c r="K44" s="3079"/>
      <c r="L44" s="2183"/>
      <c r="M44" s="3078"/>
      <c r="N44" s="2183"/>
      <c r="O44" s="3078"/>
      <c r="P44" s="2183"/>
      <c r="Q44" s="3078"/>
      <c r="R44" s="2183"/>
      <c r="S44" s="3078"/>
    </row>
    <row r="45" spans="1:21">
      <c r="A45" s="2185"/>
      <c r="B45" s="3083" t="s">
        <v>6332</v>
      </c>
      <c r="C45" s="2049"/>
      <c r="D45" s="2171"/>
      <c r="E45" s="2051"/>
      <c r="F45" s="2052"/>
      <c r="G45" s="662"/>
      <c r="H45" s="2183"/>
      <c r="I45" s="3079"/>
      <c r="J45" s="2183"/>
      <c r="K45" s="3079"/>
      <c r="L45" s="2183"/>
      <c r="M45" s="3078"/>
      <c r="N45" s="2183"/>
      <c r="O45" s="3078"/>
      <c r="P45" s="2183"/>
      <c r="Q45" s="3078"/>
      <c r="R45" s="2183"/>
      <c r="S45" s="3078"/>
    </row>
    <row r="46" spans="1:21">
      <c r="A46" s="2185"/>
      <c r="B46" s="3082" t="s">
        <v>6325</v>
      </c>
      <c r="C46" s="2049"/>
      <c r="D46" s="2171"/>
      <c r="E46" s="2051"/>
      <c r="F46" s="2052"/>
      <c r="G46" s="662"/>
      <c r="H46" s="2183"/>
      <c r="I46" s="3079"/>
      <c r="J46" s="2183"/>
      <c r="K46" s="3079"/>
      <c r="L46" s="2183"/>
      <c r="M46" s="3078"/>
      <c r="N46" s="2183"/>
      <c r="O46" s="3078"/>
      <c r="P46" s="2183"/>
      <c r="Q46" s="3078"/>
      <c r="R46" s="2183"/>
      <c r="S46" s="3078"/>
    </row>
    <row r="47" spans="1:21">
      <c r="A47" s="2185"/>
      <c r="B47" s="3082" t="s">
        <v>6333</v>
      </c>
      <c r="C47" s="2049"/>
      <c r="D47" s="2171"/>
      <c r="E47" s="2051"/>
      <c r="F47" s="2052"/>
      <c r="G47" s="662"/>
      <c r="H47" s="2183"/>
      <c r="I47" s="3079"/>
      <c r="J47" s="2183"/>
      <c r="K47" s="3079"/>
      <c r="L47" s="2183"/>
      <c r="M47" s="3078"/>
      <c r="N47" s="2183"/>
      <c r="O47" s="3078"/>
      <c r="P47" s="2183"/>
      <c r="Q47" s="3078"/>
      <c r="R47" s="2183"/>
      <c r="S47" s="3078"/>
    </row>
    <row r="48" spans="1:21">
      <c r="A48" s="2185"/>
      <c r="B48" s="3077" t="s">
        <v>4143</v>
      </c>
      <c r="C48" s="2049"/>
      <c r="D48" s="2171">
        <v>1</v>
      </c>
      <c r="E48" s="2051" t="s">
        <v>2818</v>
      </c>
      <c r="F48" s="2052"/>
      <c r="G48" s="662">
        <f t="shared" si="0"/>
        <v>0</v>
      </c>
      <c r="H48" s="2183"/>
      <c r="I48" s="3079">
        <v>141620</v>
      </c>
      <c r="J48" s="2183"/>
      <c r="K48" s="3079"/>
      <c r="L48" s="2183"/>
      <c r="M48" s="3078"/>
      <c r="N48" s="2183"/>
      <c r="O48" s="3078"/>
      <c r="P48" s="2183"/>
      <c r="Q48" s="3078"/>
      <c r="R48" s="2183"/>
      <c r="S48" s="3078"/>
      <c r="U48" s="58">
        <v>1429403</v>
      </c>
    </row>
    <row r="49" spans="1:21">
      <c r="A49" s="2185"/>
      <c r="B49" s="3081" t="s">
        <v>6323</v>
      </c>
      <c r="C49" s="2049"/>
      <c r="D49" s="2171"/>
      <c r="E49" s="2051"/>
      <c r="F49" s="2052"/>
      <c r="G49" s="662"/>
      <c r="H49" s="2183"/>
      <c r="I49" s="3079"/>
      <c r="J49" s="2183"/>
      <c r="K49" s="3079"/>
      <c r="L49" s="2183"/>
      <c r="M49" s="3078"/>
      <c r="N49" s="2183"/>
      <c r="O49" s="3078"/>
      <c r="P49" s="2183"/>
      <c r="Q49" s="3078"/>
      <c r="R49" s="2183"/>
      <c r="S49" s="3078"/>
      <c r="U49" s="58"/>
    </row>
    <row r="50" spans="1:21">
      <c r="A50" s="2185"/>
      <c r="B50" s="3082" t="s">
        <v>6334</v>
      </c>
      <c r="C50" s="2049"/>
      <c r="D50" s="2171"/>
      <c r="E50" s="2051"/>
      <c r="F50" s="2052"/>
      <c r="G50" s="662"/>
      <c r="H50" s="2183"/>
      <c r="I50" s="3079"/>
      <c r="J50" s="2183"/>
      <c r="K50" s="3079"/>
      <c r="L50" s="2183"/>
      <c r="M50" s="3078"/>
      <c r="N50" s="2183"/>
      <c r="O50" s="3078"/>
      <c r="P50" s="2183"/>
      <c r="Q50" s="3078"/>
      <c r="R50" s="2183"/>
      <c r="S50" s="3078"/>
      <c r="U50" s="58"/>
    </row>
    <row r="51" spans="1:21">
      <c r="A51" s="2185"/>
      <c r="B51" s="3082" t="s">
        <v>6335</v>
      </c>
      <c r="C51" s="2049"/>
      <c r="D51" s="2171"/>
      <c r="E51" s="2051"/>
      <c r="F51" s="2052"/>
      <c r="G51" s="662"/>
      <c r="H51" s="2183"/>
      <c r="I51" s="3079"/>
      <c r="J51" s="2183"/>
      <c r="K51" s="3079"/>
      <c r="L51" s="2183"/>
      <c r="M51" s="3078"/>
      <c r="N51" s="2183"/>
      <c r="O51" s="3078"/>
      <c r="P51" s="2183"/>
      <c r="Q51" s="3078"/>
      <c r="R51" s="2183"/>
      <c r="S51" s="3078"/>
      <c r="U51" s="58"/>
    </row>
    <row r="52" spans="1:21">
      <c r="A52" s="2185"/>
      <c r="B52" s="3082" t="s">
        <v>6336</v>
      </c>
      <c r="C52" s="2049"/>
      <c r="D52" s="2171"/>
      <c r="E52" s="2051"/>
      <c r="F52" s="2052"/>
      <c r="G52" s="662"/>
      <c r="H52" s="2183"/>
      <c r="I52" s="3079"/>
      <c r="J52" s="2183"/>
      <c r="K52" s="3079"/>
      <c r="L52" s="2183"/>
      <c r="M52" s="3078"/>
      <c r="N52" s="2183"/>
      <c r="O52" s="3078"/>
      <c r="P52" s="2183"/>
      <c r="Q52" s="3078"/>
      <c r="R52" s="2183"/>
      <c r="S52" s="3078"/>
      <c r="U52" s="58"/>
    </row>
    <row r="53" spans="1:21">
      <c r="A53" s="2185"/>
      <c r="B53" s="3082" t="s">
        <v>6326</v>
      </c>
      <c r="C53" s="2049"/>
      <c r="D53" s="2171"/>
      <c r="E53" s="2051"/>
      <c r="F53" s="2052"/>
      <c r="G53" s="662"/>
      <c r="H53" s="2183"/>
      <c r="I53" s="3079"/>
      <c r="J53" s="2183"/>
      <c r="K53" s="3079"/>
      <c r="L53" s="2183"/>
      <c r="M53" s="3078"/>
      <c r="N53" s="2183"/>
      <c r="O53" s="3078"/>
      <c r="P53" s="2183"/>
      <c r="Q53" s="3078"/>
      <c r="R53" s="2183"/>
      <c r="S53" s="3078"/>
      <c r="U53" s="58"/>
    </row>
    <row r="54" spans="1:21">
      <c r="A54" s="2185"/>
      <c r="B54" s="3077" t="s">
        <v>5610</v>
      </c>
      <c r="C54" s="2049"/>
      <c r="D54" s="2171">
        <v>1</v>
      </c>
      <c r="E54" s="2051" t="s">
        <v>2818</v>
      </c>
      <c r="F54" s="2052"/>
      <c r="G54" s="662">
        <f t="shared" si="0"/>
        <v>0</v>
      </c>
      <c r="H54" s="2183"/>
      <c r="I54" s="3079">
        <v>224048</v>
      </c>
      <c r="J54" s="2183"/>
      <c r="K54" s="3079"/>
      <c r="L54" s="2183"/>
      <c r="M54" s="3078"/>
      <c r="N54" s="2183"/>
      <c r="O54" s="3078"/>
      <c r="P54" s="2183"/>
      <c r="Q54" s="3078"/>
      <c r="R54" s="2183"/>
      <c r="S54" s="3078"/>
      <c r="U54" s="464">
        <f>SUM(I26:I54)</f>
        <v>1429404</v>
      </c>
    </row>
    <row r="55" spans="1:21">
      <c r="A55" s="2185"/>
      <c r="B55" s="3081" t="s">
        <v>6323</v>
      </c>
      <c r="C55" s="2049"/>
      <c r="D55" s="2171"/>
      <c r="E55" s="2051"/>
      <c r="F55" s="2052"/>
      <c r="G55" s="662"/>
      <c r="H55" s="2183"/>
      <c r="I55" s="3079"/>
      <c r="J55" s="2183"/>
      <c r="K55" s="3079"/>
      <c r="L55" s="2183"/>
      <c r="M55" s="3078"/>
      <c r="N55" s="2183"/>
      <c r="O55" s="3078"/>
      <c r="P55" s="2183"/>
      <c r="Q55" s="3078"/>
      <c r="R55" s="2183"/>
      <c r="S55" s="3078"/>
      <c r="U55" s="464"/>
    </row>
    <row r="56" spans="1:21">
      <c r="A56" s="2185"/>
      <c r="B56" s="3082" t="s">
        <v>6329</v>
      </c>
      <c r="C56" s="2049"/>
      <c r="D56" s="2171"/>
      <c r="E56" s="2051"/>
      <c r="F56" s="2052"/>
      <c r="G56" s="662"/>
      <c r="H56" s="2183"/>
      <c r="I56" s="3079"/>
      <c r="J56" s="2183"/>
      <c r="K56" s="3079"/>
      <c r="L56" s="2183"/>
      <c r="M56" s="3078"/>
      <c r="N56" s="2183"/>
      <c r="O56" s="3078"/>
      <c r="P56" s="2183"/>
      <c r="Q56" s="3078"/>
      <c r="R56" s="2183"/>
      <c r="S56" s="3078"/>
      <c r="U56" s="464"/>
    </row>
    <row r="57" spans="1:21">
      <c r="A57" s="2185"/>
      <c r="B57" s="3082" t="s">
        <v>6330</v>
      </c>
      <c r="C57" s="2049"/>
      <c r="D57" s="2171"/>
      <c r="E57" s="2051"/>
      <c r="F57" s="2052"/>
      <c r="G57" s="662"/>
      <c r="H57" s="2183"/>
      <c r="I57" s="3079"/>
      <c r="J57" s="2183"/>
      <c r="K57" s="3079"/>
      <c r="L57" s="2183"/>
      <c r="M57" s="3078"/>
      <c r="N57" s="2183"/>
      <c r="O57" s="3078"/>
      <c r="P57" s="2183"/>
      <c r="Q57" s="3078"/>
      <c r="R57" s="2183"/>
      <c r="S57" s="3078"/>
      <c r="U57" s="464"/>
    </row>
    <row r="58" spans="1:21">
      <c r="A58" s="2185"/>
      <c r="B58" s="3082" t="s">
        <v>6335</v>
      </c>
      <c r="C58" s="2049"/>
      <c r="D58" s="2171"/>
      <c r="E58" s="2051"/>
      <c r="F58" s="2052"/>
      <c r="G58" s="662"/>
      <c r="H58" s="2183"/>
      <c r="I58" s="3079"/>
      <c r="J58" s="2183"/>
      <c r="K58" s="3079"/>
      <c r="L58" s="2183"/>
      <c r="M58" s="3078"/>
      <c r="N58" s="2183"/>
      <c r="O58" s="3078"/>
      <c r="P58" s="2183"/>
      <c r="Q58" s="3078"/>
      <c r="R58" s="2183"/>
      <c r="S58" s="3078"/>
      <c r="U58" s="464"/>
    </row>
    <row r="59" spans="1:21">
      <c r="A59" s="2185"/>
      <c r="B59" s="3083" t="s">
        <v>6332</v>
      </c>
      <c r="C59" s="2049"/>
      <c r="D59" s="2171"/>
      <c r="E59" s="2051"/>
      <c r="F59" s="2052"/>
      <c r="G59" s="662"/>
      <c r="H59" s="2183"/>
      <c r="I59" s="3079"/>
      <c r="J59" s="2183"/>
      <c r="K59" s="3079"/>
      <c r="L59" s="2183"/>
      <c r="M59" s="3078"/>
      <c r="N59" s="2183"/>
      <c r="O59" s="3078"/>
      <c r="P59" s="2183"/>
      <c r="Q59" s="3078"/>
      <c r="R59" s="2183"/>
      <c r="S59" s="3078"/>
      <c r="U59" s="464"/>
    </row>
    <row r="60" spans="1:21">
      <c r="A60" s="2185"/>
      <c r="B60" s="3083" t="s">
        <v>6327</v>
      </c>
      <c r="C60" s="2049"/>
      <c r="D60" s="2171"/>
      <c r="E60" s="2051"/>
      <c r="F60" s="2052"/>
      <c r="G60" s="662"/>
      <c r="H60" s="2183"/>
      <c r="I60" s="3079"/>
      <c r="J60" s="2183"/>
      <c r="K60" s="3079"/>
      <c r="L60" s="2183"/>
      <c r="M60" s="3078"/>
      <c r="N60" s="2183"/>
      <c r="O60" s="3078"/>
      <c r="P60" s="2183"/>
      <c r="Q60" s="3078"/>
      <c r="R60" s="2183"/>
      <c r="S60" s="3078"/>
      <c r="U60" s="464"/>
    </row>
    <row r="61" spans="1:21">
      <c r="A61" s="2185"/>
      <c r="B61" s="3082" t="s">
        <v>6337</v>
      </c>
      <c r="C61" s="2049"/>
      <c r="D61" s="2171"/>
      <c r="E61" s="2051"/>
      <c r="F61" s="2052"/>
      <c r="G61" s="662"/>
      <c r="H61" s="2183"/>
      <c r="I61" s="3079"/>
      <c r="J61" s="2183"/>
      <c r="K61" s="3079"/>
      <c r="L61" s="2183"/>
      <c r="M61" s="3078"/>
      <c r="N61" s="2183"/>
      <c r="O61" s="3078"/>
      <c r="P61" s="2183"/>
      <c r="Q61" s="3078"/>
      <c r="R61" s="2183"/>
      <c r="S61" s="3078"/>
      <c r="U61" s="464"/>
    </row>
    <row r="62" spans="1:21">
      <c r="A62" s="2185"/>
      <c r="B62" s="3077"/>
      <c r="C62" s="2049"/>
      <c r="D62" s="2171"/>
      <c r="E62" s="2051"/>
      <c r="F62" s="2052"/>
      <c r="G62" s="662"/>
      <c r="H62" s="2183"/>
      <c r="I62" s="3079"/>
      <c r="J62" s="2183"/>
      <c r="K62" s="3079"/>
      <c r="L62" s="2183"/>
      <c r="M62" s="3078"/>
      <c r="N62" s="2183"/>
      <c r="O62" s="3078"/>
      <c r="P62" s="2183"/>
      <c r="Q62" s="3078"/>
      <c r="R62" s="2183"/>
      <c r="S62" s="3078"/>
      <c r="U62" s="464"/>
    </row>
    <row r="63" spans="1:21" ht="30">
      <c r="A63" s="2185"/>
      <c r="B63" s="3084" t="s">
        <v>6338</v>
      </c>
      <c r="C63" s="2049"/>
      <c r="D63" s="2171"/>
      <c r="E63" s="2051"/>
      <c r="F63" s="2052"/>
      <c r="G63" s="662">
        <f t="shared" si="0"/>
        <v>0</v>
      </c>
      <c r="H63" s="2183"/>
      <c r="I63" s="3079">
        <v>152000</v>
      </c>
      <c r="J63" s="2183"/>
      <c r="K63" s="3079"/>
      <c r="L63" s="2183"/>
      <c r="M63" s="3078"/>
      <c r="N63" s="2183"/>
      <c r="O63" s="3078"/>
      <c r="P63" s="2183"/>
      <c r="Q63" s="3078"/>
      <c r="R63" s="2183"/>
      <c r="S63" s="3078"/>
    </row>
    <row r="64" spans="1:21" ht="30">
      <c r="A64" s="2185"/>
      <c r="B64" s="3084" t="s">
        <v>6339</v>
      </c>
      <c r="C64" s="2049"/>
      <c r="D64" s="2171"/>
      <c r="E64" s="2051"/>
      <c r="F64" s="2052"/>
      <c r="G64" s="662">
        <f t="shared" si="0"/>
        <v>0</v>
      </c>
      <c r="H64" s="2183"/>
      <c r="I64" s="3079">
        <v>79000</v>
      </c>
      <c r="J64" s="2183"/>
      <c r="K64" s="3079"/>
      <c r="L64" s="2183"/>
      <c r="M64" s="3078"/>
      <c r="N64" s="2183"/>
      <c r="O64" s="3078"/>
      <c r="P64" s="2183"/>
      <c r="Q64" s="3078"/>
      <c r="R64" s="2183"/>
      <c r="S64" s="3078"/>
    </row>
    <row r="65" spans="1:19">
      <c r="A65" s="2185"/>
      <c r="B65" s="3077"/>
      <c r="C65" s="2049"/>
      <c r="D65" s="2171"/>
      <c r="E65" s="2051"/>
      <c r="F65" s="2052"/>
      <c r="G65" s="662">
        <f t="shared" si="0"/>
        <v>0</v>
      </c>
      <c r="H65" s="2183"/>
      <c r="I65" s="3079">
        <f t="shared" si="1"/>
        <v>0</v>
      </c>
      <c r="J65" s="2183"/>
      <c r="K65" s="3079"/>
      <c r="L65" s="2183"/>
      <c r="M65" s="3078"/>
      <c r="N65" s="2183"/>
      <c r="O65" s="3078"/>
      <c r="P65" s="2183"/>
      <c r="Q65" s="3078"/>
      <c r="R65" s="2183"/>
      <c r="S65" s="3078"/>
    </row>
    <row r="66" spans="1:19">
      <c r="A66" s="2054" t="s">
        <v>2587</v>
      </c>
      <c r="B66" s="3077" t="s">
        <v>2669</v>
      </c>
      <c r="C66" s="2049"/>
      <c r="D66" s="2171">
        <v>7</v>
      </c>
      <c r="E66" s="2051" t="s">
        <v>2803</v>
      </c>
      <c r="F66" s="2052">
        <v>3000</v>
      </c>
      <c r="G66" s="670">
        <f t="shared" si="0"/>
        <v>21000</v>
      </c>
      <c r="H66" s="2183"/>
      <c r="I66" s="3085">
        <f t="shared" si="1"/>
        <v>21000</v>
      </c>
      <c r="J66" s="2183"/>
      <c r="K66" s="3079"/>
      <c r="L66" s="2183"/>
      <c r="M66" s="3078"/>
      <c r="N66" s="2183"/>
      <c r="O66" s="3078"/>
      <c r="P66" s="2183"/>
      <c r="Q66" s="3078"/>
      <c r="R66" s="2183"/>
      <c r="S66" s="3078"/>
    </row>
    <row r="67" spans="1:19" ht="15.75" customHeight="1">
      <c r="A67" s="2185"/>
      <c r="B67" s="3026"/>
      <c r="C67" s="2205"/>
      <c r="D67" s="2206"/>
      <c r="E67" s="2051"/>
      <c r="F67" s="2207"/>
      <c r="G67" s="662">
        <f t="shared" si="0"/>
        <v>0</v>
      </c>
      <c r="H67" s="2183"/>
      <c r="I67" s="3079">
        <f t="shared" si="1"/>
        <v>0</v>
      </c>
      <c r="J67" s="2183"/>
      <c r="K67" s="3079"/>
      <c r="L67" s="2183"/>
      <c r="M67" s="3079"/>
      <c r="N67" s="2183"/>
      <c r="O67" s="3078"/>
      <c r="P67" s="2183"/>
      <c r="Q67" s="3078"/>
      <c r="R67" s="2183"/>
      <c r="S67" s="3078"/>
    </row>
    <row r="68" spans="1:19" ht="15.75" customHeight="1">
      <c r="A68" s="2185"/>
      <c r="B68" s="3086" t="s">
        <v>6340</v>
      </c>
      <c r="C68" s="2205"/>
      <c r="D68" s="2206"/>
      <c r="E68" s="2051"/>
      <c r="F68" s="2207"/>
      <c r="G68" s="662">
        <f t="shared" si="0"/>
        <v>0</v>
      </c>
      <c r="H68" s="2183"/>
      <c r="I68" s="3087">
        <v>25000</v>
      </c>
      <c r="J68" s="2183"/>
      <c r="K68" s="3079"/>
      <c r="L68" s="2183"/>
      <c r="M68" s="3079"/>
      <c r="N68" s="2183"/>
      <c r="O68" s="3078"/>
      <c r="P68" s="2183"/>
      <c r="Q68" s="3078"/>
      <c r="R68" s="2183"/>
      <c r="S68" s="3078"/>
    </row>
    <row r="69" spans="1:19" ht="15.75" customHeight="1">
      <c r="A69" s="2185"/>
      <c r="B69" s="3026"/>
      <c r="C69" s="2205"/>
      <c r="D69" s="2206"/>
      <c r="E69" s="2051"/>
      <c r="F69" s="2207"/>
      <c r="G69" s="662">
        <f t="shared" si="0"/>
        <v>0</v>
      </c>
      <c r="H69" s="2183"/>
      <c r="I69" s="3079">
        <f t="shared" si="1"/>
        <v>0</v>
      </c>
      <c r="J69" s="2183"/>
      <c r="K69" s="3079"/>
      <c r="L69" s="2183"/>
      <c r="M69" s="3079"/>
      <c r="N69" s="2183"/>
      <c r="O69" s="3078"/>
      <c r="P69" s="2183"/>
      <c r="Q69" s="3078"/>
      <c r="R69" s="2183"/>
      <c r="S69" s="3078"/>
    </row>
    <row r="70" spans="1:19" ht="15.75" thickBot="1">
      <c r="A70" s="2185"/>
      <c r="B70" s="2204"/>
      <c r="C70" s="2205"/>
      <c r="D70" s="2206"/>
      <c r="E70" s="2051"/>
      <c r="F70" s="2207"/>
      <c r="G70" s="662"/>
      <c r="H70" s="2183"/>
      <c r="I70" s="3079"/>
      <c r="J70" s="2183"/>
      <c r="K70" s="3079"/>
      <c r="L70" s="2183"/>
      <c r="M70" s="3079"/>
      <c r="N70" s="2183"/>
      <c r="O70" s="3078"/>
      <c r="P70" s="2183"/>
      <c r="Q70" s="3078"/>
      <c r="R70" s="2183"/>
      <c r="S70" s="3078"/>
    </row>
    <row r="71" spans="1:19" ht="15.75" thickTop="1">
      <c r="A71" s="13"/>
      <c r="B71" s="226" t="s">
        <v>3265</v>
      </c>
      <c r="C71" s="15"/>
      <c r="D71" s="168"/>
      <c r="E71" s="176"/>
      <c r="F71" s="17"/>
      <c r="G71" s="227">
        <f>SUBTOTAL(9,G23:G70)</f>
        <v>21000</v>
      </c>
      <c r="H71" s="19"/>
      <c r="I71" s="225">
        <f>SUBTOTAL(9,I19:I70)</f>
        <v>1706404</v>
      </c>
      <c r="J71" s="19"/>
      <c r="K71" s="225">
        <f>SUBTOTAL(9,K23:K70)</f>
        <v>0</v>
      </c>
      <c r="L71" s="19"/>
      <c r="M71" s="225">
        <f>SUBTOTAL(9,M23:M70)</f>
        <v>0</v>
      </c>
      <c r="N71" s="19"/>
      <c r="O71" s="164">
        <f>SUM(O19:O70)</f>
        <v>0</v>
      </c>
      <c r="P71" s="19"/>
      <c r="Q71" s="164">
        <f>SUM(Q19:Q70)</f>
        <v>0</v>
      </c>
      <c r="R71" s="19"/>
      <c r="S71" s="164">
        <f>SUM(S19:S70)</f>
        <v>0</v>
      </c>
    </row>
    <row r="72" spans="1:19">
      <c r="A72" s="2137"/>
      <c r="B72" s="2208" t="s">
        <v>2976</v>
      </c>
      <c r="C72" s="2138"/>
      <c r="D72" s="2209"/>
      <c r="E72" s="2210"/>
      <c r="F72" s="2140"/>
      <c r="G72" s="654"/>
      <c r="H72" s="2141"/>
      <c r="I72" s="645"/>
      <c r="J72" s="2141">
        <v>0</v>
      </c>
      <c r="K72" s="645"/>
      <c r="L72" s="2141">
        <v>0</v>
      </c>
      <c r="M72" s="645"/>
      <c r="N72" s="2141">
        <v>0</v>
      </c>
      <c r="O72" s="645"/>
      <c r="P72" s="2141">
        <v>0</v>
      </c>
      <c r="Q72" s="645"/>
      <c r="R72" s="2141">
        <v>0</v>
      </c>
      <c r="S72" s="645"/>
    </row>
    <row r="73" spans="1:19">
      <c r="A73" s="2137"/>
      <c r="B73" s="2208" t="s">
        <v>2977</v>
      </c>
      <c r="C73" s="2138"/>
      <c r="D73" s="2209"/>
      <c r="E73" s="2210"/>
      <c r="F73" s="2140"/>
      <c r="G73" s="654">
        <f>F72*G71</f>
        <v>0</v>
      </c>
      <c r="H73" s="2143"/>
      <c r="I73" s="2211">
        <f>H72*I71</f>
        <v>0</v>
      </c>
      <c r="J73" s="2143"/>
      <c r="K73" s="2211">
        <f>J72*K71</f>
        <v>0</v>
      </c>
      <c r="L73" s="2143"/>
      <c r="M73" s="2211">
        <f>L72*M71</f>
        <v>0</v>
      </c>
      <c r="N73" s="2143"/>
      <c r="O73" s="2211">
        <f>N72*O71</f>
        <v>0</v>
      </c>
      <c r="P73" s="2143"/>
      <c r="Q73" s="2211">
        <f>P72*Q71</f>
        <v>0</v>
      </c>
      <c r="R73" s="2143"/>
      <c r="S73" s="2211">
        <f>R72*S71</f>
        <v>0</v>
      </c>
    </row>
    <row r="74" spans="1:19">
      <c r="A74" s="2137"/>
      <c r="B74" s="2208"/>
      <c r="C74" s="2138"/>
      <c r="D74" s="2209"/>
      <c r="E74" s="2210"/>
      <c r="F74" s="2140"/>
      <c r="G74" s="654"/>
      <c r="H74" s="2143"/>
      <c r="I74" s="2211"/>
      <c r="J74" s="2143"/>
      <c r="K74" s="2211"/>
      <c r="L74" s="2143"/>
      <c r="M74" s="2211"/>
      <c r="N74" s="2143"/>
      <c r="O74" s="2211"/>
      <c r="P74" s="2143"/>
      <c r="Q74" s="2211"/>
      <c r="R74" s="2143"/>
      <c r="S74" s="2211"/>
    </row>
    <row r="75" spans="1:19">
      <c r="A75" s="2137"/>
      <c r="B75" s="2208" t="s">
        <v>2978</v>
      </c>
      <c r="C75" s="2138"/>
      <c r="D75" s="2209"/>
      <c r="E75" s="2210"/>
      <c r="F75" s="2140"/>
      <c r="G75" s="654">
        <f>SUM(G71:G73)</f>
        <v>21000</v>
      </c>
      <c r="H75" s="2145"/>
      <c r="I75" s="2211">
        <f>SUM(I71:I73)</f>
        <v>1706404</v>
      </c>
      <c r="J75" s="2145"/>
      <c r="K75" s="2211">
        <f>SUM(K71:K73)</f>
        <v>0</v>
      </c>
      <c r="L75" s="2145"/>
      <c r="M75" s="2211">
        <f>SUM(M71:M73)</f>
        <v>0</v>
      </c>
      <c r="N75" s="2145"/>
      <c r="O75" s="2211">
        <f>SUM(O71:O73)</f>
        <v>0</v>
      </c>
      <c r="P75" s="2145"/>
      <c r="Q75" s="2211">
        <f>SUM(Q71:Q73)</f>
        <v>0</v>
      </c>
      <c r="R75" s="2145"/>
      <c r="S75" s="2211">
        <f>SUM(S71:S73)</f>
        <v>0</v>
      </c>
    </row>
    <row r="76" spans="1:19">
      <c r="A76" s="2137"/>
      <c r="B76" s="2077" t="s">
        <v>2979</v>
      </c>
      <c r="C76" s="2138"/>
      <c r="D76" s="2209"/>
      <c r="E76" s="2210"/>
      <c r="F76" s="2077"/>
      <c r="G76" s="655">
        <v>0</v>
      </c>
      <c r="H76" s="2147"/>
      <c r="I76" s="2212">
        <v>19.274749257057948</v>
      </c>
      <c r="J76" s="2147"/>
      <c r="K76" s="2212">
        <v>0</v>
      </c>
      <c r="L76" s="2147"/>
      <c r="M76" s="2212">
        <v>0</v>
      </c>
      <c r="N76" s="2147"/>
      <c r="O76" s="2212">
        <v>0</v>
      </c>
      <c r="P76" s="2147"/>
      <c r="Q76" s="2212">
        <v>0</v>
      </c>
      <c r="R76" s="2148"/>
      <c r="S76" s="2212">
        <v>0</v>
      </c>
    </row>
    <row r="77" spans="1:19">
      <c r="A77" s="2137"/>
      <c r="B77" s="2081"/>
      <c r="C77" s="2138"/>
      <c r="D77" s="2209"/>
      <c r="E77" s="2210"/>
      <c r="F77" s="2140"/>
      <c r="G77" s="656"/>
      <c r="H77" s="2151"/>
      <c r="I77" s="2151"/>
      <c r="J77" s="2151"/>
      <c r="K77" s="2213"/>
      <c r="L77" s="2151"/>
      <c r="M77" s="2151"/>
      <c r="N77" s="2151"/>
      <c r="O77" s="2151"/>
      <c r="P77" s="2151"/>
      <c r="Q77" s="2151"/>
      <c r="R77" s="2151"/>
      <c r="S77" s="2151"/>
    </row>
    <row r="78" spans="1:19" ht="16.5" hidden="1" thickTop="1" thickBot="1">
      <c r="A78" s="253" t="s">
        <v>2980</v>
      </c>
      <c r="B78" s="254"/>
      <c r="C78" s="12"/>
      <c r="D78" s="169"/>
      <c r="E78" s="177"/>
      <c r="F78" s="12"/>
      <c r="G78" s="228"/>
      <c r="H78" s="20"/>
      <c r="I78" s="20"/>
      <c r="J78" s="20"/>
      <c r="K78" s="20"/>
      <c r="L78" s="20"/>
      <c r="M78" s="20"/>
      <c r="N78" s="20"/>
      <c r="O78" s="20"/>
      <c r="P78" s="20"/>
      <c r="Q78" s="20"/>
      <c r="R78" s="20"/>
      <c r="S78" s="20"/>
    </row>
    <row r="79" spans="1:19" ht="15.75" hidden="1" thickTop="1">
      <c r="A79" s="3049"/>
      <c r="B79" s="2106"/>
      <c r="C79" s="3050"/>
      <c r="D79" s="3051"/>
      <c r="E79" s="3052"/>
      <c r="F79" s="3050"/>
      <c r="G79" s="3088"/>
      <c r="H79" s="3056"/>
      <c r="I79" s="3056"/>
      <c r="J79" s="3056"/>
      <c r="K79" s="3056"/>
      <c r="L79" s="3056"/>
      <c r="M79" s="3056"/>
      <c r="N79" s="3056"/>
      <c r="O79" s="3056"/>
      <c r="P79" s="3056"/>
      <c r="Q79" s="3056"/>
      <c r="R79" s="3056"/>
      <c r="S79" s="3056"/>
    </row>
    <row r="80" spans="1:19" hidden="1">
      <c r="A80" s="3049"/>
      <c r="B80" s="2106"/>
      <c r="C80" s="3050"/>
      <c r="D80" s="3051"/>
      <c r="E80" s="3052"/>
      <c r="F80" s="3050"/>
      <c r="G80" s="3088"/>
      <c r="H80" s="3056"/>
      <c r="I80" s="3056"/>
      <c r="J80" s="3056"/>
      <c r="K80" s="3056"/>
      <c r="L80" s="3056"/>
      <c r="M80" s="3056"/>
      <c r="N80" s="3056"/>
      <c r="O80" s="3056"/>
      <c r="P80" s="3056"/>
      <c r="Q80" s="3056"/>
      <c r="R80" s="3056"/>
      <c r="S80" s="3056"/>
    </row>
    <row r="81" spans="1:34" ht="15.75" hidden="1" thickBot="1">
      <c r="A81" s="3049"/>
      <c r="B81" s="2106"/>
      <c r="C81" s="3050"/>
      <c r="D81" s="3051"/>
      <c r="E81" s="3052"/>
      <c r="F81" s="3050"/>
      <c r="G81" s="3088"/>
      <c r="H81" s="3056"/>
      <c r="I81" s="3056"/>
      <c r="J81" s="3056"/>
      <c r="K81" s="3056"/>
      <c r="L81" s="3056"/>
      <c r="M81" s="3056"/>
      <c r="N81" s="3056"/>
      <c r="O81" s="3056"/>
      <c r="P81" s="3056"/>
      <c r="Q81" s="3056"/>
      <c r="R81" s="3056"/>
      <c r="S81" s="3056"/>
    </row>
    <row r="82" spans="1:34" s="2" customFormat="1" ht="16.5" hidden="1" thickTop="1" thickBot="1">
      <c r="A82" s="830" t="s">
        <v>2981</v>
      </c>
      <c r="B82" s="831"/>
      <c r="C82" s="12"/>
      <c r="D82" s="169"/>
      <c r="E82" s="177"/>
      <c r="F82" s="12"/>
      <c r="G82" s="228"/>
      <c r="H82" s="20"/>
      <c r="I82" s="20"/>
      <c r="J82" s="20"/>
      <c r="K82" s="20"/>
      <c r="L82" s="20"/>
      <c r="M82" s="20"/>
      <c r="N82" s="20"/>
      <c r="O82" s="20"/>
      <c r="P82" s="20"/>
      <c r="Q82" s="20"/>
      <c r="R82" s="20"/>
      <c r="S82" s="20"/>
      <c r="T82"/>
      <c r="U82"/>
      <c r="V82"/>
      <c r="W82"/>
      <c r="X82"/>
      <c r="Y82"/>
      <c r="Z82"/>
      <c r="AA82"/>
      <c r="AB82"/>
      <c r="AC82"/>
      <c r="AD82"/>
      <c r="AE82"/>
      <c r="AF82"/>
      <c r="AG82"/>
      <c r="AH82"/>
    </row>
    <row r="83" spans="1:34" s="2" customFormat="1" ht="15.75" hidden="1" thickTop="1">
      <c r="A83" s="3049"/>
      <c r="B83" s="2106"/>
      <c r="C83" s="3050"/>
      <c r="D83" s="3051"/>
      <c r="E83" s="3052"/>
      <c r="F83" s="3050"/>
      <c r="G83" s="3088"/>
      <c r="H83" s="3056"/>
      <c r="I83" s="3056"/>
      <c r="J83" s="3056"/>
      <c r="K83" s="3056"/>
      <c r="L83" s="3056"/>
      <c r="M83" s="3056"/>
      <c r="N83" s="3056"/>
      <c r="O83" s="3056"/>
      <c r="P83" s="3056"/>
      <c r="Q83" s="3056"/>
      <c r="R83" s="3056"/>
      <c r="S83" s="3056"/>
      <c r="T83"/>
      <c r="U83"/>
      <c r="V83"/>
      <c r="W83"/>
      <c r="X83"/>
      <c r="Y83"/>
      <c r="Z83"/>
      <c r="AA83"/>
      <c r="AB83"/>
      <c r="AC83"/>
      <c r="AD83"/>
      <c r="AE83"/>
      <c r="AF83"/>
      <c r="AG83"/>
      <c r="AH83"/>
    </row>
    <row r="84" spans="1:34" s="2" customFormat="1" hidden="1">
      <c r="A84" s="3049"/>
      <c r="B84" s="2106"/>
      <c r="C84" s="3050"/>
      <c r="D84" s="3051"/>
      <c r="E84" s="3052"/>
      <c r="F84" s="3050"/>
      <c r="G84" s="3088"/>
      <c r="H84" s="3056"/>
      <c r="I84" s="3056"/>
      <c r="J84" s="3056"/>
      <c r="K84" s="3056"/>
      <c r="L84" s="3056"/>
      <c r="M84" s="3056"/>
      <c r="N84" s="3056"/>
      <c r="O84" s="3056"/>
      <c r="P84" s="3056"/>
      <c r="Q84" s="3056"/>
      <c r="R84" s="3056"/>
      <c r="S84" s="3056"/>
      <c r="T84"/>
      <c r="U84"/>
      <c r="V84"/>
      <c r="W84"/>
      <c r="X84"/>
      <c r="Y84"/>
      <c r="Z84"/>
      <c r="AA84"/>
      <c r="AB84"/>
      <c r="AC84"/>
      <c r="AD84"/>
      <c r="AE84"/>
      <c r="AF84"/>
      <c r="AG84"/>
      <c r="AH84"/>
    </row>
    <row r="85" spans="1:34" ht="15.75" hidden="1" thickBot="1">
      <c r="A85" s="3049"/>
      <c r="B85" s="2106"/>
      <c r="C85" s="3050"/>
      <c r="D85" s="3051"/>
      <c r="E85" s="3052"/>
      <c r="F85" s="3050"/>
      <c r="G85" s="3088"/>
      <c r="H85" s="3056"/>
      <c r="I85" s="3056"/>
      <c r="J85" s="3056"/>
      <c r="K85" s="3056"/>
      <c r="L85" s="3056"/>
      <c r="M85" s="3056"/>
      <c r="N85" s="3056"/>
      <c r="O85" s="3056"/>
      <c r="P85" s="3056"/>
      <c r="Q85" s="3056"/>
      <c r="R85" s="3056"/>
      <c r="S85" s="3056"/>
    </row>
    <row r="86" spans="1:34" s="2" customFormat="1" ht="16.5" hidden="1" thickTop="1" thickBot="1">
      <c r="A86" s="830" t="s">
        <v>2982</v>
      </c>
      <c r="B86" s="831"/>
      <c r="C86" s="12"/>
      <c r="D86" s="169"/>
      <c r="E86" s="177"/>
      <c r="F86" s="12"/>
      <c r="G86" s="228"/>
      <c r="H86" s="20"/>
      <c r="I86" s="20"/>
      <c r="J86" s="20"/>
      <c r="K86" s="20"/>
      <c r="L86" s="20"/>
      <c r="M86" s="20"/>
      <c r="N86" s="20"/>
      <c r="O86" s="20"/>
      <c r="P86" s="20"/>
      <c r="Q86" s="20"/>
      <c r="R86" s="20"/>
      <c r="S86" s="20"/>
      <c r="T86"/>
      <c r="U86"/>
      <c r="V86"/>
      <c r="W86"/>
      <c r="X86"/>
      <c r="Y86"/>
      <c r="Z86"/>
      <c r="AA86"/>
      <c r="AB86"/>
      <c r="AC86"/>
      <c r="AD86"/>
      <c r="AE86"/>
      <c r="AF86"/>
      <c r="AG86"/>
      <c r="AH86"/>
    </row>
    <row r="87" spans="1:34" s="2" customFormat="1" ht="15.75" hidden="1" thickTop="1">
      <c r="A87" s="3049"/>
      <c r="B87" s="2106"/>
      <c r="C87" s="3050"/>
      <c r="D87" s="3051"/>
      <c r="E87" s="3052"/>
      <c r="F87" s="3050"/>
      <c r="G87" s="3088"/>
      <c r="H87" s="3056"/>
      <c r="I87" s="3056"/>
      <c r="J87" s="3056"/>
      <c r="K87" s="3056"/>
      <c r="L87" s="3056"/>
      <c r="M87" s="3056"/>
      <c r="N87" s="3056"/>
      <c r="O87" s="3056"/>
      <c r="P87" s="3056"/>
      <c r="Q87" s="3056"/>
      <c r="R87" s="3056"/>
      <c r="S87" s="3056"/>
      <c r="T87"/>
      <c r="U87"/>
      <c r="V87"/>
      <c r="W87"/>
      <c r="X87"/>
      <c r="Y87"/>
      <c r="Z87"/>
      <c r="AA87"/>
      <c r="AB87"/>
      <c r="AC87"/>
      <c r="AD87"/>
      <c r="AE87"/>
      <c r="AF87"/>
      <c r="AG87"/>
      <c r="AH87"/>
    </row>
    <row r="88" spans="1:34" s="2" customFormat="1" hidden="1">
      <c r="A88" s="2085"/>
      <c r="B88" s="2106"/>
      <c r="C88" s="2049"/>
      <c r="D88" s="2171"/>
      <c r="E88" s="2051"/>
      <c r="F88" s="2049"/>
      <c r="G88" s="2086"/>
      <c r="H88" s="2158"/>
      <c r="I88" s="2158"/>
      <c r="J88" s="2158"/>
      <c r="K88" s="2158"/>
      <c r="L88" s="2158"/>
      <c r="M88" s="2158"/>
      <c r="N88" s="2158"/>
      <c r="O88" s="2158"/>
      <c r="P88" s="2158"/>
      <c r="Q88" s="2158"/>
      <c r="R88" s="2158"/>
      <c r="S88" s="2158"/>
      <c r="T88"/>
      <c r="U88"/>
      <c r="V88"/>
      <c r="W88"/>
      <c r="X88"/>
      <c r="Y88"/>
      <c r="Z88"/>
      <c r="AA88"/>
      <c r="AB88"/>
      <c r="AC88"/>
      <c r="AD88"/>
      <c r="AE88"/>
      <c r="AF88"/>
      <c r="AG88"/>
      <c r="AH88"/>
    </row>
    <row r="89" spans="1:34" s="2" customFormat="1" ht="15.75" hidden="1" thickBot="1">
      <c r="A89" s="2088"/>
      <c r="B89" s="2089"/>
      <c r="C89" s="2049"/>
      <c r="D89" s="2171"/>
      <c r="E89" s="2051"/>
      <c r="F89" s="2049"/>
      <c r="G89" s="2086"/>
      <c r="H89" s="2159"/>
      <c r="I89" s="2159"/>
      <c r="J89" s="2159"/>
      <c r="K89" s="2159"/>
      <c r="L89" s="2159"/>
      <c r="M89" s="2159"/>
      <c r="N89" s="2159"/>
      <c r="O89" s="2159"/>
      <c r="P89" s="2159"/>
      <c r="Q89" s="2159"/>
      <c r="R89" s="2159"/>
      <c r="S89" s="2159"/>
    </row>
    <row r="90" spans="1:34" s="2" customFormat="1" ht="16.5" hidden="1" thickTop="1" thickBot="1">
      <c r="A90" s="830" t="s">
        <v>2983</v>
      </c>
      <c r="B90" s="831"/>
      <c r="C90" s="12"/>
      <c r="D90" s="169"/>
      <c r="E90" s="177"/>
      <c r="F90" s="12"/>
      <c r="G90" s="228"/>
      <c r="H90" s="20"/>
      <c r="I90" s="20"/>
      <c r="J90" s="20"/>
      <c r="K90" s="20"/>
      <c r="L90" s="20"/>
      <c r="M90" s="20"/>
      <c r="N90" s="20"/>
      <c r="O90" s="20"/>
      <c r="P90" s="20"/>
      <c r="Q90" s="20"/>
      <c r="R90" s="20"/>
      <c r="S90" s="20"/>
      <c r="T90"/>
      <c r="U90"/>
      <c r="V90"/>
      <c r="W90"/>
      <c r="X90"/>
      <c r="Y90"/>
      <c r="Z90"/>
      <c r="AA90"/>
      <c r="AB90"/>
      <c r="AC90"/>
      <c r="AD90"/>
      <c r="AE90"/>
      <c r="AF90"/>
      <c r="AG90"/>
      <c r="AH90"/>
    </row>
    <row r="91" spans="1:34" ht="15.75" hidden="1" thickTop="1">
      <c r="A91" s="3059"/>
      <c r="B91" s="3060"/>
      <c r="C91" s="3050"/>
      <c r="D91" s="3051"/>
      <c r="E91" s="3052"/>
      <c r="F91" s="3050"/>
      <c r="G91" s="3088"/>
      <c r="H91" s="3056"/>
      <c r="I91" s="3056"/>
      <c r="J91" s="3056"/>
      <c r="K91" s="3056"/>
      <c r="L91" s="3056"/>
      <c r="M91" s="3056"/>
      <c r="N91" s="3056"/>
      <c r="O91" s="3056"/>
      <c r="P91" s="3056"/>
      <c r="Q91" s="3056"/>
      <c r="R91" s="3056"/>
      <c r="S91" s="3056"/>
      <c r="T91" s="2"/>
      <c r="U91" s="2"/>
      <c r="V91" s="2"/>
      <c r="W91" s="2"/>
      <c r="X91" s="2"/>
      <c r="Y91" s="2"/>
      <c r="Z91" s="2"/>
      <c r="AA91" s="2"/>
      <c r="AB91" s="2"/>
      <c r="AC91" s="2"/>
      <c r="AD91" s="2"/>
      <c r="AE91" s="2"/>
      <c r="AF91" s="2"/>
      <c r="AG91" s="2"/>
      <c r="AH91" s="2"/>
    </row>
    <row r="92" spans="1:34" hidden="1">
      <c r="A92" s="2088"/>
      <c r="B92" s="2089"/>
      <c r="C92" s="2049"/>
      <c r="D92" s="2171"/>
      <c r="E92" s="2051"/>
      <c r="F92" s="2049"/>
      <c r="G92" s="2086"/>
      <c r="H92" s="2162"/>
      <c r="I92" s="2162"/>
      <c r="J92" s="2162"/>
      <c r="K92" s="2162"/>
      <c r="L92" s="2162"/>
      <c r="M92" s="2162"/>
      <c r="N92" s="2162"/>
      <c r="O92" s="2162"/>
      <c r="P92" s="2162"/>
      <c r="Q92" s="2162"/>
      <c r="R92" s="2162"/>
      <c r="S92" s="2162"/>
      <c r="T92" s="2"/>
      <c r="U92" s="2"/>
      <c r="V92" s="2"/>
      <c r="W92" s="2"/>
      <c r="X92" s="2"/>
      <c r="Y92" s="2"/>
      <c r="Z92" s="2"/>
      <c r="AA92" s="2"/>
      <c r="AB92" s="2"/>
      <c r="AC92" s="2"/>
      <c r="AD92" s="2"/>
      <c r="AE92" s="2"/>
      <c r="AF92" s="2"/>
      <c r="AG92" s="2"/>
      <c r="AH92" s="2"/>
    </row>
    <row r="93" spans="1:34" ht="15.75" hidden="1" thickBot="1">
      <c r="A93" s="2088"/>
      <c r="B93" s="2089"/>
      <c r="C93" s="2049"/>
      <c r="D93" s="2171"/>
      <c r="E93" s="2051"/>
      <c r="F93" s="2049"/>
      <c r="G93" s="2086"/>
      <c r="H93" s="2162"/>
      <c r="I93" s="2162"/>
      <c r="J93" s="2162"/>
      <c r="K93" s="2162"/>
      <c r="L93" s="2162"/>
      <c r="M93" s="2162"/>
      <c r="N93" s="2162"/>
      <c r="O93" s="2162"/>
      <c r="P93" s="2162"/>
      <c r="Q93" s="2162"/>
      <c r="R93" s="2162"/>
      <c r="S93" s="2162"/>
      <c r="T93" s="2"/>
      <c r="U93" s="2"/>
      <c r="V93" s="2"/>
      <c r="W93" s="2"/>
      <c r="X93" s="2"/>
      <c r="Y93" s="2"/>
      <c r="Z93" s="2"/>
      <c r="AA93" s="2"/>
      <c r="AB93" s="2"/>
      <c r="AC93" s="2"/>
      <c r="AD93" s="2"/>
      <c r="AE93" s="2"/>
      <c r="AF93" s="2"/>
      <c r="AG93" s="2"/>
      <c r="AH93" s="2"/>
    </row>
    <row r="94" spans="1:34" ht="16.5" hidden="1" thickTop="1" thickBot="1">
      <c r="A94" s="830" t="s">
        <v>2984</v>
      </c>
      <c r="B94" s="831"/>
      <c r="C94" s="12"/>
      <c r="D94" s="169"/>
      <c r="E94" s="177"/>
      <c r="F94" s="12"/>
      <c r="G94" s="228"/>
      <c r="H94" s="20"/>
      <c r="I94" s="20"/>
      <c r="J94" s="20"/>
      <c r="K94" s="20"/>
      <c r="L94" s="20"/>
      <c r="M94" s="20"/>
      <c r="N94" s="20"/>
      <c r="O94" s="20"/>
      <c r="P94" s="20"/>
      <c r="Q94" s="20"/>
      <c r="R94" s="20"/>
      <c r="S94" s="20"/>
    </row>
    <row r="95" spans="1:34" ht="15.75" hidden="1" thickTop="1">
      <c r="A95" s="2085"/>
      <c r="B95" s="2106" t="s">
        <v>2985</v>
      </c>
      <c r="C95" s="2049"/>
      <c r="D95" s="2171"/>
      <c r="E95" s="2051"/>
      <c r="F95" s="2049"/>
      <c r="G95" s="2086"/>
      <c r="H95" s="2162"/>
      <c r="I95" s="2162"/>
      <c r="J95" s="2162"/>
      <c r="K95" s="2162"/>
      <c r="L95" s="2162"/>
      <c r="M95" s="2162"/>
      <c r="N95" s="2162"/>
      <c r="O95" s="2162"/>
      <c r="P95" s="2162"/>
      <c r="Q95" s="2162"/>
      <c r="R95" s="2162"/>
      <c r="S95" s="2162"/>
    </row>
    <row r="96" spans="1:34" hidden="1">
      <c r="A96" s="2085"/>
      <c r="B96" s="2106" t="s">
        <v>2986</v>
      </c>
      <c r="C96" s="2049"/>
      <c r="D96" s="2171"/>
      <c r="E96" s="2051"/>
      <c r="F96" s="2049"/>
      <c r="G96" s="2086"/>
      <c r="H96" s="2162"/>
      <c r="I96" s="2162"/>
      <c r="J96" s="2162"/>
      <c r="K96" s="2162"/>
      <c r="L96" s="2162"/>
      <c r="M96" s="2162"/>
      <c r="N96" s="2162"/>
      <c r="O96" s="2162"/>
      <c r="P96" s="2162"/>
      <c r="Q96" s="2162"/>
      <c r="R96" s="2162"/>
      <c r="S96" s="2162"/>
    </row>
    <row r="97" spans="1:19" hidden="1">
      <c r="A97" s="2085"/>
      <c r="B97" s="2106" t="s">
        <v>2987</v>
      </c>
      <c r="C97" s="2049"/>
      <c r="D97" s="2171"/>
      <c r="E97" s="2051"/>
      <c r="F97" s="2049"/>
      <c r="G97" s="2086"/>
      <c r="H97" s="2162"/>
      <c r="I97" s="2162"/>
      <c r="J97" s="2162"/>
      <c r="K97" s="2162"/>
      <c r="L97" s="2162"/>
      <c r="M97" s="2162"/>
      <c r="N97" s="2162"/>
      <c r="O97" s="2162"/>
      <c r="P97" s="2162"/>
      <c r="Q97" s="2162"/>
      <c r="R97" s="2162"/>
      <c r="S97" s="2162"/>
    </row>
    <row r="98" spans="1:19" hidden="1">
      <c r="A98" s="2085"/>
      <c r="B98" s="2106" t="s">
        <v>2988</v>
      </c>
      <c r="C98" s="2049"/>
      <c r="D98" s="2171"/>
      <c r="E98" s="2051"/>
      <c r="F98" s="2049"/>
      <c r="G98" s="2086"/>
      <c r="H98" s="2162"/>
      <c r="I98" s="2162"/>
      <c r="J98" s="2162"/>
      <c r="K98" s="2162"/>
      <c r="L98" s="2162"/>
      <c r="M98" s="2162"/>
      <c r="N98" s="2162"/>
      <c r="O98" s="2162"/>
      <c r="P98" s="2162"/>
      <c r="Q98" s="2162"/>
      <c r="R98" s="2162"/>
      <c r="S98" s="2162"/>
    </row>
    <row r="99" spans="1:19" ht="15.75" hidden="1" thickBot="1">
      <c r="A99" s="646"/>
      <c r="B99" s="619"/>
      <c r="C99" s="616"/>
      <c r="D99" s="621"/>
      <c r="E99" s="622"/>
      <c r="F99" s="616"/>
      <c r="G99" s="620"/>
      <c r="H99" s="647"/>
      <c r="I99" s="647"/>
      <c r="J99" s="647"/>
      <c r="K99" s="647"/>
      <c r="L99" s="647"/>
      <c r="M99" s="647"/>
      <c r="N99" s="647"/>
      <c r="O99" s="647"/>
      <c r="P99" s="647"/>
      <c r="Q99" s="647"/>
      <c r="R99" s="647"/>
      <c r="S99" s="647"/>
    </row>
    <row r="100" spans="1:19" ht="16.5" hidden="1" thickTop="1" thickBot="1">
      <c r="A100" s="7" t="s">
        <v>2989</v>
      </c>
      <c r="B100" s="8"/>
      <c r="C100" s="12"/>
      <c r="D100" s="169"/>
      <c r="E100" s="177"/>
      <c r="F100" s="12"/>
      <c r="G100" s="228"/>
      <c r="H100" s="20"/>
      <c r="I100" s="20"/>
      <c r="J100" s="20"/>
      <c r="K100" s="20"/>
      <c r="L100" s="20"/>
      <c r="M100" s="20"/>
      <c r="N100" s="20"/>
      <c r="O100" s="20"/>
      <c r="P100" s="20"/>
      <c r="Q100" s="20"/>
      <c r="R100" s="20"/>
      <c r="S100" s="20"/>
    </row>
    <row r="101" spans="1:19" ht="15.75" hidden="1" thickTop="1">
      <c r="A101" s="3049"/>
      <c r="B101" s="3061" t="s">
        <v>2990</v>
      </c>
      <c r="C101" s="3050"/>
      <c r="D101" s="3051"/>
      <c r="E101" s="3052"/>
      <c r="F101" s="3050"/>
      <c r="G101" s="3088"/>
      <c r="H101" s="3062"/>
      <c r="I101" s="3062"/>
      <c r="J101" s="3062"/>
      <c r="K101" s="3062"/>
      <c r="L101" s="3062"/>
      <c r="M101" s="3062"/>
      <c r="N101" s="3062"/>
      <c r="O101" s="3062"/>
      <c r="P101" s="3062"/>
      <c r="Q101" s="3062"/>
      <c r="R101" s="3062"/>
      <c r="S101" s="3062"/>
    </row>
    <row r="102" spans="1:19" hidden="1">
      <c r="A102" s="2085"/>
      <c r="B102" s="2106" t="s">
        <v>2991</v>
      </c>
      <c r="C102" s="2049"/>
      <c r="D102" s="2171"/>
      <c r="E102" s="2051"/>
      <c r="F102" s="2049"/>
      <c r="G102" s="2086"/>
      <c r="H102" s="2165"/>
      <c r="I102" s="2165"/>
      <c r="J102" s="2165"/>
      <c r="K102" s="2165"/>
      <c r="L102" s="2165"/>
      <c r="M102" s="2165"/>
      <c r="N102" s="2165"/>
      <c r="O102" s="2165"/>
      <c r="P102" s="2165"/>
      <c r="Q102" s="2165"/>
      <c r="R102" s="2165"/>
      <c r="S102" s="2165"/>
    </row>
    <row r="103" spans="1:19" ht="15.75" hidden="1" thickBot="1">
      <c r="A103" s="2093"/>
      <c r="B103" s="2166" t="s">
        <v>2992</v>
      </c>
      <c r="C103" s="2167"/>
      <c r="D103" s="2217"/>
      <c r="E103" s="2095"/>
      <c r="F103" s="2167"/>
      <c r="G103" s="2096"/>
      <c r="H103" s="2097"/>
      <c r="I103" s="2097"/>
      <c r="J103" s="2097"/>
      <c r="K103" s="2097"/>
      <c r="L103" s="2097"/>
      <c r="M103" s="2097"/>
      <c r="N103" s="2097"/>
      <c r="O103" s="2097"/>
      <c r="P103" s="2097"/>
      <c r="Q103" s="2097"/>
      <c r="R103" s="2097"/>
      <c r="S103" s="2097"/>
    </row>
    <row r="104" spans="1:19" ht="15.75" thickBot="1"/>
    <row r="105" spans="1:19" ht="16.5" thickTop="1" thickBot="1">
      <c r="A105" s="59" t="s">
        <v>2993</v>
      </c>
      <c r="B105" s="61"/>
    </row>
    <row r="106" spans="1:19" ht="15.75" thickTop="1">
      <c r="A106" s="60" t="s">
        <v>2936</v>
      </c>
      <c r="B106" s="2098"/>
    </row>
    <row r="107" spans="1:19">
      <c r="A107" s="2099" t="s">
        <v>2939</v>
      </c>
      <c r="B107" s="2098"/>
    </row>
    <row r="108" spans="1:19">
      <c r="A108" s="2100" t="s">
        <v>2941</v>
      </c>
      <c r="B108" s="2101"/>
    </row>
    <row r="109" spans="1:19">
      <c r="A109" s="2100" t="s">
        <v>2943</v>
      </c>
      <c r="B109" s="2102"/>
    </row>
    <row r="110" spans="1:19" ht="15.75" thickBot="1">
      <c r="A110" s="2103" t="s">
        <v>2994</v>
      </c>
      <c r="B110" s="2104">
        <f>$I$75</f>
        <v>1706404</v>
      </c>
    </row>
    <row r="111" spans="1:19" ht="15.75" thickTop="1"/>
    <row r="112" spans="1:19">
      <c r="A112" s="62"/>
      <c r="B112" s="1" t="s">
        <v>2995</v>
      </c>
    </row>
    <row r="113" spans="1:2">
      <c r="A113" s="63"/>
      <c r="B113" s="1" t="s">
        <v>2996</v>
      </c>
    </row>
  </sheetData>
  <mergeCells count="34">
    <mergeCell ref="R9:S9"/>
    <mergeCell ref="H9:I9"/>
    <mergeCell ref="P8:Q8"/>
    <mergeCell ref="J9:K9"/>
    <mergeCell ref="L9:M9"/>
    <mergeCell ref="N9:O9"/>
    <mergeCell ref="P9:Q9"/>
    <mergeCell ref="R5:S5"/>
    <mergeCell ref="H6:I6"/>
    <mergeCell ref="J6:K6"/>
    <mergeCell ref="L6:M6"/>
    <mergeCell ref="N6:O6"/>
    <mergeCell ref="P6:Q6"/>
    <mergeCell ref="H5:I5"/>
    <mergeCell ref="J5:K5"/>
    <mergeCell ref="L5:M5"/>
    <mergeCell ref="N5:O5"/>
    <mergeCell ref="P5:Q5"/>
    <mergeCell ref="A82:B82"/>
    <mergeCell ref="A86:B86"/>
    <mergeCell ref="A90:B90"/>
    <mergeCell ref="A94:B94"/>
    <mergeCell ref="R6:S6"/>
    <mergeCell ref="R8:S8"/>
    <mergeCell ref="H7:I7"/>
    <mergeCell ref="J7:K7"/>
    <mergeCell ref="L7:M7"/>
    <mergeCell ref="N7:O7"/>
    <mergeCell ref="P7:Q7"/>
    <mergeCell ref="R7:S7"/>
    <mergeCell ref="H8:I8"/>
    <mergeCell ref="J8:K8"/>
    <mergeCell ref="L8:M8"/>
    <mergeCell ref="N8:O8"/>
  </mergeCells>
  <conditionalFormatting sqref="H11:H18 L11:L18 N11:N18 P11:P18 R11:R18">
    <cfRule type="cellIs" dxfId="81" priority="7" operator="equal">
      <formula>"X"</formula>
    </cfRule>
    <cfRule type="cellIs" dxfId="80" priority="8" operator="equal">
      <formula>"I"</formula>
    </cfRule>
  </conditionalFormatting>
  <conditionalFormatting sqref="H20:H70 J20:J70 L20:L70 N20:N70 P20:P70 R20:R70">
    <cfRule type="cellIs" dxfId="79" priority="1" operator="equal">
      <formula>"X"</formula>
    </cfRule>
    <cfRule type="cellIs" dxfId="78" priority="2" operator="equal">
      <formula>"I"</formula>
    </cfRule>
  </conditionalFormatting>
  <conditionalFormatting sqref="J11:J18">
    <cfRule type="cellIs" dxfId="77" priority="5" operator="equal">
      <formula>"X"</formula>
    </cfRule>
    <cfRule type="cellIs" dxfId="76" priority="6" operator="equal">
      <formula>"I"</formula>
    </cfRule>
  </conditionalFormatting>
  <hyperlinks>
    <hyperlink ref="B4" location="'Cost Summary'!A1" display="BACK TO SUMMARY SHEET" xr:uid="{3915C39B-7D4F-4A94-BBAC-7593597AA65F}"/>
    <hyperlink ref="H8" r:id="rId1" xr:uid="{0C1038DA-C91D-4600-B4A7-7D23FCF38259}"/>
  </hyperlinks>
  <pageMargins left="0.2" right="0.2" top="0.5" bottom="0.75" header="0.3" footer="0.3"/>
  <pageSetup paperSize="3" scale="77" fitToHeight="0" orientation="landscape"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9C1E-E717-42A7-B0DA-DCE8CEE31F32}">
  <sheetPr>
    <tabColor rgb="FF00B050"/>
    <pageSetUpPr fitToPage="1"/>
  </sheetPr>
  <dimension ref="A1:AH122"/>
  <sheetViews>
    <sheetView zoomScale="90" zoomScaleNormal="90" workbookViewId="0">
      <pane xSplit="2" ySplit="10" topLeftCell="D63" activePane="bottomRight" state="frozen"/>
      <selection pane="bottomRight" activeCell="D58" activeCellId="4" sqref="D26 D32 D46 D52 D58"/>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166"/>
      <c r="E5" s="171"/>
      <c r="F5" s="5"/>
      <c r="G5" s="6" t="s">
        <v>2936</v>
      </c>
      <c r="H5" s="837" t="s">
        <v>6341</v>
      </c>
      <c r="I5" s="838"/>
      <c r="J5" s="837"/>
      <c r="K5" s="838"/>
      <c r="L5" s="837"/>
      <c r="M5" s="838"/>
      <c r="N5" s="841"/>
      <c r="O5" s="842"/>
      <c r="P5" s="841"/>
      <c r="Q5" s="842"/>
      <c r="R5" s="841"/>
      <c r="S5" s="842"/>
    </row>
    <row r="6" spans="1:19">
      <c r="A6" s="2105" t="s">
        <v>2938</v>
      </c>
      <c r="B6" s="2106" t="s">
        <v>2596</v>
      </c>
      <c r="C6" s="2049"/>
      <c r="D6" s="2171"/>
      <c r="E6" s="2051"/>
      <c r="F6" s="2049"/>
      <c r="G6" s="657" t="s">
        <v>2939</v>
      </c>
      <c r="H6" s="2172" t="s">
        <v>6342</v>
      </c>
      <c r="I6" s="839"/>
      <c r="J6" s="2172"/>
      <c r="K6" s="839"/>
      <c r="L6" s="2172"/>
      <c r="M6" s="839"/>
      <c r="N6" s="2107"/>
      <c r="O6" s="843"/>
      <c r="P6" s="2107"/>
      <c r="Q6" s="843"/>
      <c r="R6" s="2107"/>
      <c r="S6" s="843"/>
    </row>
    <row r="7" spans="1:19">
      <c r="A7" s="2105" t="s">
        <v>2940</v>
      </c>
      <c r="B7" s="2108" t="s">
        <v>2670</v>
      </c>
      <c r="C7" s="2049"/>
      <c r="D7" s="2171"/>
      <c r="E7" s="2051"/>
      <c r="F7" s="2049"/>
      <c r="G7" s="2109" t="s">
        <v>2941</v>
      </c>
      <c r="H7" s="2173" t="s">
        <v>6343</v>
      </c>
      <c r="I7" s="840"/>
      <c r="J7" s="2173"/>
      <c r="K7" s="840"/>
      <c r="L7" s="2173"/>
      <c r="M7" s="840"/>
      <c r="N7" s="2110"/>
      <c r="O7" s="844"/>
      <c r="P7" s="2110"/>
      <c r="Q7" s="844"/>
      <c r="R7" s="2110"/>
      <c r="S7" s="844"/>
    </row>
    <row r="8" spans="1:19">
      <c r="A8" s="2105" t="s">
        <v>2942</v>
      </c>
      <c r="B8" s="2111"/>
      <c r="C8" s="2049"/>
      <c r="D8" s="2171"/>
      <c r="E8" s="2051"/>
      <c r="F8" s="2049"/>
      <c r="G8" s="2109" t="s">
        <v>2943</v>
      </c>
      <c r="H8" s="2174" t="s">
        <v>6344</v>
      </c>
      <c r="I8" s="836"/>
      <c r="J8" s="2174"/>
      <c r="K8" s="836"/>
      <c r="L8" s="2174"/>
      <c r="M8" s="836"/>
      <c r="N8" s="2112"/>
      <c r="O8" s="845"/>
      <c r="P8" s="2112"/>
      <c r="Q8" s="845"/>
      <c r="R8" s="2112"/>
      <c r="S8" s="845"/>
    </row>
    <row r="9" spans="1:19" ht="15.75" thickBot="1">
      <c r="A9" s="2175"/>
      <c r="B9" s="2166"/>
      <c r="C9" s="616"/>
      <c r="D9" s="621"/>
      <c r="E9" s="622"/>
      <c r="F9" s="2167"/>
      <c r="G9" s="2176" t="s">
        <v>2944</v>
      </c>
      <c r="H9" s="2179">
        <f>I$84</f>
        <v>1230500</v>
      </c>
      <c r="I9" s="2180"/>
      <c r="J9" s="2177">
        <f>K$84</f>
        <v>0</v>
      </c>
      <c r="K9" s="2178"/>
      <c r="L9" s="2179">
        <f>M$84</f>
        <v>0</v>
      </c>
      <c r="M9" s="2180"/>
      <c r="N9" s="2179">
        <f>O$84</f>
        <v>0</v>
      </c>
      <c r="O9" s="2180"/>
      <c r="P9" s="2179">
        <f>Q$84</f>
        <v>0</v>
      </c>
      <c r="Q9" s="2180"/>
      <c r="R9" s="2179">
        <f>S$84</f>
        <v>0</v>
      </c>
      <c r="S9" s="218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067"/>
      <c r="B11" s="2889" t="s">
        <v>2953</v>
      </c>
      <c r="C11" s="659"/>
      <c r="D11" s="2171"/>
      <c r="E11" s="2051"/>
      <c r="F11" s="2049"/>
      <c r="G11" s="660"/>
      <c r="H11" s="2183"/>
      <c r="I11" s="182"/>
      <c r="J11" s="2183"/>
      <c r="K11" s="3068"/>
      <c r="L11" s="2183"/>
      <c r="M11" s="3069"/>
      <c r="N11" s="2183"/>
      <c r="O11" s="3069"/>
      <c r="P11" s="2183"/>
      <c r="Q11" s="3069"/>
      <c r="R11" s="2183"/>
      <c r="S11" s="3069"/>
    </row>
    <row r="12" spans="1:19">
      <c r="A12" s="3070"/>
      <c r="B12" s="2963" t="s">
        <v>2954</v>
      </c>
      <c r="C12" s="2049"/>
      <c r="D12" s="2171"/>
      <c r="E12" s="2051"/>
      <c r="F12" s="2049"/>
      <c r="G12" s="660"/>
      <c r="H12" s="2183"/>
      <c r="I12" s="3069"/>
      <c r="J12" s="2183"/>
      <c r="K12" s="3068"/>
      <c r="L12" s="2183"/>
      <c r="M12" s="3069"/>
      <c r="N12" s="2183"/>
      <c r="O12" s="3069"/>
      <c r="P12" s="2183"/>
      <c r="Q12" s="3069"/>
      <c r="R12" s="2183"/>
      <c r="S12" s="3069"/>
    </row>
    <row r="13" spans="1:19">
      <c r="A13" s="2185"/>
      <c r="B13" s="3071" t="s">
        <v>2955</v>
      </c>
      <c r="C13" s="2049"/>
      <c r="D13" s="2171"/>
      <c r="E13" s="2051"/>
      <c r="F13" s="2049"/>
      <c r="G13" s="660"/>
      <c r="H13" s="2183"/>
      <c r="I13" s="3069"/>
      <c r="J13" s="2183"/>
      <c r="K13" s="3068"/>
      <c r="L13" s="2183"/>
      <c r="M13" s="3069"/>
      <c r="N13" s="2183"/>
      <c r="O13" s="3069"/>
      <c r="P13" s="2183"/>
      <c r="Q13" s="3069"/>
      <c r="R13" s="2183"/>
      <c r="S13" s="3069"/>
    </row>
    <row r="14" spans="1:19">
      <c r="A14" s="2185"/>
      <c r="B14" s="3072" t="s">
        <v>2956</v>
      </c>
      <c r="C14" s="2049"/>
      <c r="D14" s="2171"/>
      <c r="E14" s="2051"/>
      <c r="F14" s="2049"/>
      <c r="G14" s="660"/>
      <c r="H14" s="2183"/>
      <c r="I14" s="3069"/>
      <c r="J14" s="2183"/>
      <c r="K14" s="3068"/>
      <c r="L14" s="2183"/>
      <c r="M14" s="3069"/>
      <c r="N14" s="2183"/>
      <c r="O14" s="3069"/>
      <c r="P14" s="2183"/>
      <c r="Q14" s="3069"/>
      <c r="R14" s="2183"/>
      <c r="S14" s="3069"/>
    </row>
    <row r="15" spans="1:19">
      <c r="A15" s="2185"/>
      <c r="B15" s="3072" t="s">
        <v>2957</v>
      </c>
      <c r="C15" s="2049"/>
      <c r="D15" s="2171"/>
      <c r="E15" s="2051"/>
      <c r="F15" s="2049"/>
      <c r="G15" s="660"/>
      <c r="H15" s="2183"/>
      <c r="I15" s="3068"/>
      <c r="J15" s="2183"/>
      <c r="K15" s="3068"/>
      <c r="L15" s="2183"/>
      <c r="M15" s="3068"/>
      <c r="N15" s="2183"/>
      <c r="O15" s="3068"/>
      <c r="P15" s="2183"/>
      <c r="Q15" s="3068"/>
      <c r="R15" s="2183"/>
      <c r="S15" s="3068"/>
    </row>
    <row r="16" spans="1:19">
      <c r="A16" s="2185"/>
      <c r="B16" s="3072" t="s">
        <v>2958</v>
      </c>
      <c r="C16" s="2049"/>
      <c r="D16" s="2171"/>
      <c r="E16" s="2051"/>
      <c r="F16" s="2049"/>
      <c r="G16" s="660"/>
      <c r="H16" s="2183"/>
      <c r="I16" s="3069"/>
      <c r="J16" s="2183"/>
      <c r="K16" s="3068"/>
      <c r="L16" s="2183"/>
      <c r="M16" s="3069"/>
      <c r="N16" s="2183"/>
      <c r="O16" s="3069"/>
      <c r="P16" s="2183"/>
      <c r="Q16" s="3069"/>
      <c r="R16" s="2183"/>
      <c r="S16" s="3069"/>
    </row>
    <row r="17" spans="1:21">
      <c r="A17" s="2185"/>
      <c r="B17" s="3072" t="s">
        <v>2959</v>
      </c>
      <c r="C17" s="2049"/>
      <c r="D17" s="2171"/>
      <c r="E17" s="2051"/>
      <c r="F17" s="2049"/>
      <c r="G17" s="660"/>
      <c r="H17" s="2183"/>
      <c r="I17" s="3069"/>
      <c r="J17" s="2183"/>
      <c r="K17" s="3068"/>
      <c r="L17" s="2183"/>
      <c r="M17" s="3069"/>
      <c r="N17" s="2183"/>
      <c r="O17" s="3069"/>
      <c r="P17" s="2183"/>
      <c r="Q17" s="3069"/>
      <c r="R17" s="2183"/>
      <c r="S17" s="3069"/>
    </row>
    <row r="18" spans="1:21">
      <c r="A18" s="2185"/>
      <c r="B18" s="3073" t="s">
        <v>2960</v>
      </c>
      <c r="C18" s="2049"/>
      <c r="D18" s="2171"/>
      <c r="E18" s="2051"/>
      <c r="F18" s="2049"/>
      <c r="G18" s="660"/>
      <c r="H18" s="2183"/>
      <c r="I18" s="3069"/>
      <c r="J18" s="2183"/>
      <c r="K18" s="3068"/>
      <c r="L18" s="2183"/>
      <c r="M18" s="3069"/>
      <c r="N18" s="2183"/>
      <c r="O18" s="3069"/>
      <c r="P18" s="2183"/>
      <c r="Q18" s="3069"/>
      <c r="R18" s="2183"/>
      <c r="S18" s="3069"/>
    </row>
    <row r="19" spans="1:21">
      <c r="A19" s="2185"/>
      <c r="B19" s="3074" t="s">
        <v>2961</v>
      </c>
      <c r="C19" s="2127"/>
      <c r="D19" s="2190"/>
      <c r="E19" s="2191"/>
      <c r="F19" s="2192"/>
      <c r="G19" s="661"/>
      <c r="H19" s="2193"/>
      <c r="I19" s="3075"/>
      <c r="J19" s="2193"/>
      <c r="K19" s="3076"/>
      <c r="L19" s="2193"/>
      <c r="M19" s="3075"/>
      <c r="N19" s="2193"/>
      <c r="O19" s="3075"/>
      <c r="P19" s="2193"/>
      <c r="Q19" s="3075"/>
      <c r="R19" s="2193"/>
      <c r="S19" s="3075"/>
    </row>
    <row r="20" spans="1:21">
      <c r="A20" s="2185"/>
      <c r="B20" s="3077"/>
      <c r="C20" s="2049"/>
      <c r="D20" s="2171"/>
      <c r="E20" s="2051"/>
      <c r="F20" s="2052"/>
      <c r="G20" s="660"/>
      <c r="H20" s="2183"/>
      <c r="I20" s="3078"/>
      <c r="J20" s="2183"/>
      <c r="K20" s="3079"/>
      <c r="L20" s="2183"/>
      <c r="M20" s="3078"/>
      <c r="N20" s="2183"/>
      <c r="O20" s="3078"/>
      <c r="P20" s="2183"/>
      <c r="Q20" s="3078"/>
      <c r="R20" s="2183"/>
      <c r="S20" s="3078"/>
    </row>
    <row r="21" spans="1:21" s="175" customFormat="1">
      <c r="A21" s="2185"/>
      <c r="B21" s="3089" t="s">
        <v>6345</v>
      </c>
      <c r="C21" s="2056"/>
      <c r="D21" s="3013"/>
      <c r="E21" s="3014"/>
      <c r="F21" s="3023"/>
      <c r="G21" s="668"/>
      <c r="H21" s="3090"/>
      <c r="I21" s="3091"/>
      <c r="J21" s="3090"/>
      <c r="K21" s="3091"/>
      <c r="L21" s="3090"/>
      <c r="M21" s="3092"/>
      <c r="N21" s="3090"/>
      <c r="O21" s="3092"/>
      <c r="P21" s="3090"/>
      <c r="Q21" s="3092"/>
      <c r="R21" s="3090"/>
      <c r="S21" s="3092"/>
    </row>
    <row r="22" spans="1:21">
      <c r="A22" s="2185"/>
      <c r="B22" s="3077"/>
      <c r="C22" s="2049"/>
      <c r="D22" s="2171"/>
      <c r="E22" s="2051"/>
      <c r="F22" s="2052"/>
      <c r="G22" s="662"/>
      <c r="H22" s="2183"/>
      <c r="I22" s="3079"/>
      <c r="J22" s="2183"/>
      <c r="K22" s="3079"/>
      <c r="L22" s="2183"/>
      <c r="M22" s="3078"/>
      <c r="N22" s="2183"/>
      <c r="O22" s="3078"/>
      <c r="P22" s="2183"/>
      <c r="Q22" s="3078"/>
      <c r="R22" s="2183"/>
      <c r="S22" s="3078"/>
      <c r="U22" t="s">
        <v>6346</v>
      </c>
    </row>
    <row r="23" spans="1:21">
      <c r="A23" s="2185"/>
      <c r="B23" s="2196" t="s">
        <v>2695</v>
      </c>
      <c r="C23" s="2049"/>
      <c r="D23" s="2171"/>
      <c r="E23" s="2051"/>
      <c r="F23" s="2052"/>
      <c r="G23" s="662">
        <f t="shared" ref="G23:G78" si="0">ROUND(D23*F23,0)</f>
        <v>0</v>
      </c>
      <c r="H23" s="2183"/>
      <c r="I23" s="3080">
        <f>SUBTOTAL(9,I24:I78)</f>
        <v>1230500</v>
      </c>
      <c r="J23" s="2183"/>
      <c r="K23" s="3080">
        <f>SUBTOTAL(9,K24:K78)</f>
        <v>0</v>
      </c>
      <c r="L23" s="2183"/>
      <c r="M23" s="3080">
        <f>SUBTOTAL(9,M24:M78)</f>
        <v>0</v>
      </c>
      <c r="N23" s="2183"/>
      <c r="O23" s="3080">
        <f>SUBTOTAL(9,O24:O78)</f>
        <v>0</v>
      </c>
      <c r="P23" s="2183"/>
      <c r="Q23" s="3080">
        <f>SUBTOTAL(9,Q24:Q78)</f>
        <v>0</v>
      </c>
      <c r="R23" s="2183"/>
      <c r="S23" s="3080">
        <f>SUBTOTAL(9,S24:S78)</f>
        <v>0</v>
      </c>
      <c r="U23" t="s">
        <v>6347</v>
      </c>
    </row>
    <row r="24" spans="1:21">
      <c r="A24" s="2185"/>
      <c r="B24" s="3077"/>
      <c r="C24" s="2049"/>
      <c r="D24" s="2171"/>
      <c r="E24" s="2051"/>
      <c r="F24" s="2052"/>
      <c r="G24" s="662"/>
      <c r="H24" s="2183"/>
      <c r="I24" s="3079">
        <v>994000</v>
      </c>
      <c r="J24" s="2183"/>
      <c r="K24" s="3079"/>
      <c r="L24" s="2183"/>
      <c r="M24" s="3078"/>
      <c r="N24" s="2183"/>
      <c r="O24" s="3078"/>
      <c r="P24" s="2183"/>
      <c r="Q24" s="3078"/>
      <c r="R24" s="2183"/>
      <c r="S24" s="3078"/>
    </row>
    <row r="25" spans="1:21">
      <c r="A25" s="2185"/>
      <c r="B25" s="3077" t="s">
        <v>3029</v>
      </c>
      <c r="C25" s="2049"/>
      <c r="D25" s="2171"/>
      <c r="E25" s="2051"/>
      <c r="F25" s="2052"/>
      <c r="G25" s="662">
        <f t="shared" si="0"/>
        <v>0</v>
      </c>
      <c r="H25" s="2183"/>
      <c r="I25" s="3079"/>
      <c r="J25" s="2183"/>
      <c r="K25" s="3079"/>
      <c r="L25" s="2183"/>
      <c r="M25" s="3078"/>
      <c r="N25" s="2183"/>
      <c r="O25" s="3078"/>
      <c r="P25" s="2183"/>
      <c r="Q25" s="3078"/>
      <c r="R25" s="2183"/>
      <c r="S25" s="3078"/>
    </row>
    <row r="26" spans="1:21">
      <c r="A26" s="2185"/>
      <c r="B26" s="3081" t="s">
        <v>6348</v>
      </c>
      <c r="C26" s="2049"/>
      <c r="D26" s="2171">
        <v>3</v>
      </c>
      <c r="E26" s="2051" t="s">
        <v>6349</v>
      </c>
      <c r="F26" s="2052"/>
      <c r="G26" s="662">
        <f t="shared" si="0"/>
        <v>0</v>
      </c>
      <c r="H26" s="2183" t="s">
        <v>2931</v>
      </c>
      <c r="I26" s="3079"/>
      <c r="J26" s="2183"/>
      <c r="K26" s="3079"/>
      <c r="L26" s="2183"/>
      <c r="M26" s="3078"/>
      <c r="N26" s="2183"/>
      <c r="O26" s="3078"/>
      <c r="P26" s="2183"/>
      <c r="Q26" s="3078"/>
      <c r="R26" s="2183"/>
      <c r="S26" s="3078"/>
    </row>
    <row r="27" spans="1:21">
      <c r="A27" s="2185"/>
      <c r="B27" s="3082" t="s">
        <v>6350</v>
      </c>
      <c r="C27" s="2049"/>
      <c r="D27" s="2171"/>
      <c r="E27" s="2051"/>
      <c r="F27" s="2052"/>
      <c r="G27" s="662">
        <f t="shared" si="0"/>
        <v>0</v>
      </c>
      <c r="H27" s="2183" t="s">
        <v>2931</v>
      </c>
      <c r="I27" s="3079"/>
      <c r="J27" s="2183"/>
      <c r="K27" s="3079"/>
      <c r="L27" s="2183"/>
      <c r="M27" s="3078"/>
      <c r="N27" s="2183"/>
      <c r="O27" s="3078"/>
      <c r="P27" s="2183"/>
      <c r="Q27" s="3078"/>
      <c r="R27" s="2183"/>
      <c r="S27" s="3078"/>
    </row>
    <row r="28" spans="1:21">
      <c r="A28" s="2185"/>
      <c r="B28" s="3082" t="s">
        <v>6351</v>
      </c>
      <c r="C28" s="2049"/>
      <c r="D28" s="2171"/>
      <c r="E28" s="2051"/>
      <c r="F28" s="2052"/>
      <c r="G28" s="662">
        <f t="shared" si="0"/>
        <v>0</v>
      </c>
      <c r="H28" s="2183" t="s">
        <v>2931</v>
      </c>
      <c r="I28" s="3079"/>
      <c r="J28" s="2183"/>
      <c r="K28" s="3079"/>
      <c r="L28" s="2183"/>
      <c r="M28" s="3078"/>
      <c r="N28" s="2183"/>
      <c r="O28" s="3078"/>
      <c r="P28" s="2183"/>
      <c r="Q28" s="3078"/>
      <c r="R28" s="2183"/>
      <c r="S28" s="3078"/>
    </row>
    <row r="29" spans="1:21">
      <c r="A29" s="2185"/>
      <c r="B29" s="3082" t="s">
        <v>6352</v>
      </c>
      <c r="C29" s="2049"/>
      <c r="D29" s="2171"/>
      <c r="E29" s="2051"/>
      <c r="F29" s="2052"/>
      <c r="G29" s="662">
        <f t="shared" si="0"/>
        <v>0</v>
      </c>
      <c r="H29" s="2183" t="s">
        <v>2931</v>
      </c>
      <c r="I29" s="3079"/>
      <c r="J29" s="2183"/>
      <c r="K29" s="3079"/>
      <c r="L29" s="2183"/>
      <c r="M29" s="3078"/>
      <c r="N29" s="2183"/>
      <c r="O29" s="3078"/>
      <c r="P29" s="2183"/>
      <c r="Q29" s="3078"/>
      <c r="R29" s="2183"/>
      <c r="S29" s="3078"/>
    </row>
    <row r="30" spans="1:21">
      <c r="A30" s="2185"/>
      <c r="B30" s="3082" t="s">
        <v>6353</v>
      </c>
      <c r="C30" s="2049"/>
      <c r="D30" s="2171"/>
      <c r="E30" s="2051"/>
      <c r="F30" s="2052"/>
      <c r="G30" s="662">
        <f>ROUND(D30*F30,0)</f>
        <v>0</v>
      </c>
      <c r="H30" s="2183" t="s">
        <v>2931</v>
      </c>
      <c r="I30" s="3079"/>
      <c r="J30" s="2183"/>
      <c r="K30" s="3079"/>
      <c r="L30" s="2183"/>
      <c r="M30" s="3078"/>
      <c r="N30" s="2183"/>
      <c r="O30" s="3078"/>
      <c r="P30" s="2183"/>
      <c r="Q30" s="3078"/>
      <c r="R30" s="2183"/>
      <c r="S30" s="3078"/>
    </row>
    <row r="31" spans="1:21">
      <c r="A31" s="2185"/>
      <c r="B31" s="3082" t="s">
        <v>6354</v>
      </c>
      <c r="C31" s="2049"/>
      <c r="D31" s="2171"/>
      <c r="E31" s="2051"/>
      <c r="F31" s="2052"/>
      <c r="G31" s="662">
        <f>ROUND(D31*F31,0)</f>
        <v>0</v>
      </c>
      <c r="H31" s="3093"/>
      <c r="I31" s="3087">
        <v>2500</v>
      </c>
      <c r="J31" s="2183"/>
      <c r="K31" s="3079"/>
      <c r="L31" s="2183"/>
      <c r="M31" s="3078"/>
      <c r="N31" s="2183"/>
      <c r="O31" s="3078"/>
      <c r="P31" s="2183"/>
      <c r="Q31" s="3078"/>
      <c r="R31" s="2183"/>
      <c r="S31" s="3078"/>
    </row>
    <row r="32" spans="1:21">
      <c r="A32" s="2185"/>
      <c r="B32" s="3081" t="s">
        <v>6355</v>
      </c>
      <c r="C32" s="2049"/>
      <c r="D32" s="2171">
        <v>3</v>
      </c>
      <c r="E32" s="2051" t="s">
        <v>6349</v>
      </c>
      <c r="F32" s="2052"/>
      <c r="G32" s="662">
        <f>ROUND(D32*F32,0)</f>
        <v>0</v>
      </c>
      <c r="H32" s="2183" t="s">
        <v>2931</v>
      </c>
      <c r="I32" s="3079"/>
      <c r="J32" s="2183"/>
      <c r="K32" s="3079"/>
      <c r="L32" s="2183"/>
      <c r="M32" s="3078"/>
      <c r="N32" s="2183"/>
      <c r="O32" s="3078"/>
      <c r="P32" s="2183"/>
      <c r="Q32" s="3078"/>
      <c r="R32" s="2183"/>
      <c r="S32" s="3078"/>
    </row>
    <row r="33" spans="1:19">
      <c r="A33" s="2185"/>
      <c r="B33" s="3082" t="s">
        <v>6356</v>
      </c>
      <c r="C33" s="2049"/>
      <c r="D33" s="2171"/>
      <c r="E33" s="2051"/>
      <c r="F33" s="2052"/>
      <c r="G33" s="662">
        <f>ROUND(D33*F33,0)</f>
        <v>0</v>
      </c>
      <c r="H33" s="2183" t="s">
        <v>2931</v>
      </c>
      <c r="I33" s="3079"/>
      <c r="J33" s="2183"/>
      <c r="K33" s="3079"/>
      <c r="L33" s="2183"/>
      <c r="M33" s="3078"/>
      <c r="N33" s="2183"/>
      <c r="O33" s="3078"/>
      <c r="P33" s="2183"/>
      <c r="Q33" s="3078"/>
      <c r="R33" s="2183"/>
      <c r="S33" s="3078"/>
    </row>
    <row r="34" spans="1:19">
      <c r="A34" s="2185"/>
      <c r="B34" s="3082" t="s">
        <v>6351</v>
      </c>
      <c r="C34" s="2049"/>
      <c r="D34" s="2171"/>
      <c r="E34" s="2051"/>
      <c r="F34" s="2052"/>
      <c r="G34" s="662">
        <f t="shared" si="0"/>
        <v>0</v>
      </c>
      <c r="H34" s="2183" t="s">
        <v>2931</v>
      </c>
      <c r="I34" s="3079"/>
      <c r="J34" s="2183"/>
      <c r="K34" s="3079"/>
      <c r="L34" s="2183"/>
      <c r="M34" s="3078"/>
      <c r="N34" s="2183"/>
      <c r="O34" s="3078"/>
      <c r="P34" s="2183"/>
      <c r="Q34" s="3078"/>
      <c r="R34" s="2183"/>
      <c r="S34" s="3078"/>
    </row>
    <row r="35" spans="1:19">
      <c r="A35" s="2185"/>
      <c r="B35" s="3082" t="s">
        <v>6357</v>
      </c>
      <c r="C35" s="2049"/>
      <c r="D35" s="2171"/>
      <c r="E35" s="2051"/>
      <c r="F35" s="2052"/>
      <c r="G35" s="662">
        <f t="shared" si="0"/>
        <v>0</v>
      </c>
      <c r="H35" s="2183" t="s">
        <v>2931</v>
      </c>
      <c r="I35" s="3079"/>
      <c r="J35" s="2183"/>
      <c r="K35" s="3079"/>
      <c r="L35" s="2183"/>
      <c r="M35" s="3078"/>
      <c r="N35" s="2183"/>
      <c r="O35" s="3078"/>
      <c r="P35" s="2183"/>
      <c r="Q35" s="3078"/>
      <c r="R35" s="2183"/>
      <c r="S35" s="3078"/>
    </row>
    <row r="36" spans="1:19">
      <c r="A36" s="2185"/>
      <c r="B36" s="3082" t="s">
        <v>6353</v>
      </c>
      <c r="C36" s="2049"/>
      <c r="D36" s="2171"/>
      <c r="E36" s="2051"/>
      <c r="F36" s="2052"/>
      <c r="G36" s="662">
        <f t="shared" si="0"/>
        <v>0</v>
      </c>
      <c r="H36" s="2183" t="s">
        <v>2931</v>
      </c>
      <c r="I36" s="3079"/>
      <c r="J36" s="2183"/>
      <c r="K36" s="3079"/>
      <c r="L36" s="2183"/>
      <c r="M36" s="3078"/>
      <c r="N36" s="2183"/>
      <c r="O36" s="3078"/>
      <c r="P36" s="2183"/>
      <c r="Q36" s="3078"/>
      <c r="R36" s="2183"/>
      <c r="S36" s="3078"/>
    </row>
    <row r="37" spans="1:19">
      <c r="A37" s="2185"/>
      <c r="B37" s="3082" t="s">
        <v>6354</v>
      </c>
      <c r="C37" s="2049"/>
      <c r="D37" s="2171"/>
      <c r="E37" s="2051"/>
      <c r="F37" s="2052"/>
      <c r="G37" s="662">
        <f>ROUND(D37*F37,0)</f>
        <v>0</v>
      </c>
      <c r="H37" s="3093"/>
      <c r="I37" s="3087">
        <v>2500</v>
      </c>
      <c r="J37" s="2183"/>
      <c r="K37" s="3079"/>
      <c r="L37" s="2183"/>
      <c r="M37" s="3078"/>
      <c r="N37" s="2183"/>
      <c r="O37" s="3078"/>
      <c r="P37" s="2183"/>
      <c r="Q37" s="3078"/>
      <c r="R37" s="2183"/>
      <c r="S37" s="3078"/>
    </row>
    <row r="38" spans="1:19">
      <c r="A38" s="2185"/>
      <c r="B38" s="3082"/>
      <c r="C38" s="2049"/>
      <c r="D38" s="2171"/>
      <c r="E38" s="2051"/>
      <c r="F38" s="2052"/>
      <c r="G38" s="662">
        <f t="shared" si="0"/>
        <v>0</v>
      </c>
      <c r="H38" s="2183"/>
      <c r="I38" s="3079"/>
      <c r="J38" s="2183"/>
      <c r="K38" s="3079"/>
      <c r="L38" s="2183"/>
      <c r="M38" s="3078"/>
      <c r="N38" s="2183"/>
      <c r="O38" s="3078"/>
      <c r="P38" s="2183"/>
      <c r="Q38" s="3078"/>
      <c r="R38" s="2183"/>
      <c r="S38" s="3078"/>
    </row>
    <row r="39" spans="1:19">
      <c r="A39" s="2185"/>
      <c r="B39" s="3082" t="s">
        <v>6358</v>
      </c>
      <c r="C39" s="2049"/>
      <c r="D39" s="2171">
        <v>2</v>
      </c>
      <c r="E39" s="2051" t="s">
        <v>2803</v>
      </c>
      <c r="F39" s="2052">
        <v>5000</v>
      </c>
      <c r="G39" s="662">
        <f t="shared" si="0"/>
        <v>10000</v>
      </c>
      <c r="H39" s="2183"/>
      <c r="I39" s="3087">
        <f>$G39</f>
        <v>10000</v>
      </c>
      <c r="J39" s="2183"/>
      <c r="K39" s="3079"/>
      <c r="L39" s="2183"/>
      <c r="M39" s="3078"/>
      <c r="N39" s="2183"/>
      <c r="O39" s="3078"/>
      <c r="P39" s="2183"/>
      <c r="Q39" s="3078"/>
      <c r="R39" s="2183"/>
      <c r="S39" s="3078"/>
    </row>
    <row r="40" spans="1:19">
      <c r="A40" s="2185"/>
      <c r="B40" s="3082" t="s">
        <v>6359</v>
      </c>
      <c r="C40" s="2049"/>
      <c r="D40" s="2171">
        <v>2</v>
      </c>
      <c r="E40" s="2051" t="s">
        <v>2803</v>
      </c>
      <c r="F40" s="2052">
        <v>2500</v>
      </c>
      <c r="G40" s="662">
        <f t="shared" si="0"/>
        <v>5000</v>
      </c>
      <c r="H40" s="2183"/>
      <c r="I40" s="3087">
        <f>$G40</f>
        <v>5000</v>
      </c>
      <c r="J40" s="2183"/>
      <c r="K40" s="3079"/>
      <c r="L40" s="2183"/>
      <c r="M40" s="3078"/>
      <c r="N40" s="2183"/>
      <c r="O40" s="3078"/>
      <c r="P40" s="2183"/>
      <c r="Q40" s="3078"/>
      <c r="R40" s="2183"/>
      <c r="S40" s="3078"/>
    </row>
    <row r="41" spans="1:19">
      <c r="A41" s="2185"/>
      <c r="B41" s="3082" t="s">
        <v>6360</v>
      </c>
      <c r="C41" s="2049"/>
      <c r="D41" s="2171">
        <v>2</v>
      </c>
      <c r="E41" s="2051" t="s">
        <v>2803</v>
      </c>
      <c r="F41" s="2052">
        <v>4500</v>
      </c>
      <c r="G41" s="662">
        <f t="shared" ref="G41:G43" si="1">ROUND(D41*F41,0)</f>
        <v>9000</v>
      </c>
      <c r="H41" s="2183"/>
      <c r="I41" s="3087">
        <f>$G41</f>
        <v>9000</v>
      </c>
      <c r="J41" s="2183"/>
      <c r="K41" s="3079"/>
      <c r="L41" s="2183"/>
      <c r="M41" s="3078"/>
      <c r="N41" s="2183"/>
      <c r="O41" s="3078"/>
      <c r="P41" s="2183"/>
      <c r="Q41" s="3078"/>
      <c r="R41" s="2183"/>
      <c r="S41" s="3078"/>
    </row>
    <row r="42" spans="1:19">
      <c r="A42" s="2185"/>
      <c r="B42" s="3082" t="s">
        <v>6361</v>
      </c>
      <c r="C42" s="2049"/>
      <c r="D42" s="2171">
        <v>6</v>
      </c>
      <c r="E42" s="2051" t="s">
        <v>6362</v>
      </c>
      <c r="F42" s="2052">
        <v>3500</v>
      </c>
      <c r="G42" s="662">
        <f t="shared" si="1"/>
        <v>21000</v>
      </c>
      <c r="H42" s="2183"/>
      <c r="I42" s="3087">
        <f>$G42</f>
        <v>21000</v>
      </c>
      <c r="J42" s="2183"/>
      <c r="K42" s="3079"/>
      <c r="L42" s="2183"/>
      <c r="M42" s="3078"/>
      <c r="N42" s="2183"/>
      <c r="O42" s="3078"/>
      <c r="P42" s="2183"/>
      <c r="Q42" s="3078"/>
      <c r="R42" s="2183"/>
      <c r="S42" s="3078"/>
    </row>
    <row r="43" spans="1:19">
      <c r="A43" s="2185"/>
      <c r="B43" s="3082" t="s">
        <v>6363</v>
      </c>
      <c r="C43" s="2049"/>
      <c r="D43" s="2171">
        <v>2</v>
      </c>
      <c r="E43" s="2051" t="s">
        <v>2818</v>
      </c>
      <c r="F43" s="2052">
        <v>5000</v>
      </c>
      <c r="G43" s="662">
        <f t="shared" si="1"/>
        <v>10000</v>
      </c>
      <c r="H43" s="2183"/>
      <c r="I43" s="3087">
        <f>$G43</f>
        <v>10000</v>
      </c>
      <c r="J43" s="2183"/>
      <c r="K43" s="3079"/>
      <c r="L43" s="2183"/>
      <c r="M43" s="3078"/>
      <c r="N43" s="2183"/>
      <c r="O43" s="3078"/>
      <c r="P43" s="2183"/>
      <c r="Q43" s="3078"/>
      <c r="R43" s="2183"/>
      <c r="S43" s="3078"/>
    </row>
    <row r="44" spans="1:19">
      <c r="A44" s="2185"/>
      <c r="B44" s="3077"/>
      <c r="C44" s="2049"/>
      <c r="D44" s="2171"/>
      <c r="E44" s="2051"/>
      <c r="F44" s="2052"/>
      <c r="G44" s="662">
        <f t="shared" si="0"/>
        <v>0</v>
      </c>
      <c r="H44" s="2183"/>
      <c r="I44" s="3079"/>
      <c r="J44" s="2183"/>
      <c r="K44" s="3079"/>
      <c r="L44" s="2183"/>
      <c r="M44" s="3078"/>
      <c r="N44" s="2183"/>
      <c r="O44" s="3078"/>
      <c r="P44" s="2183"/>
      <c r="Q44" s="3078"/>
      <c r="R44" s="2183"/>
      <c r="S44" s="3078"/>
    </row>
    <row r="45" spans="1:19">
      <c r="A45" s="2185"/>
      <c r="B45" s="3077" t="s">
        <v>3113</v>
      </c>
      <c r="C45" s="2049"/>
      <c r="D45" s="2171"/>
      <c r="E45" s="2051"/>
      <c r="F45" s="2052"/>
      <c r="G45" s="662">
        <f t="shared" si="0"/>
        <v>0</v>
      </c>
      <c r="H45" s="2183"/>
      <c r="I45" s="3079"/>
      <c r="J45" s="2183"/>
      <c r="K45" s="3079"/>
      <c r="L45" s="2183"/>
      <c r="M45" s="3078"/>
      <c r="N45" s="2183"/>
      <c r="O45" s="3078"/>
      <c r="P45" s="2183"/>
      <c r="Q45" s="3078"/>
      <c r="R45" s="2183"/>
      <c r="S45" s="3078"/>
    </row>
    <row r="46" spans="1:19">
      <c r="A46" s="2185"/>
      <c r="B46" s="3081" t="s">
        <v>6364</v>
      </c>
      <c r="C46" s="2049"/>
      <c r="D46" s="2171">
        <v>2</v>
      </c>
      <c r="E46" s="2051" t="s">
        <v>6349</v>
      </c>
      <c r="F46" s="2052"/>
      <c r="G46" s="662">
        <f t="shared" si="0"/>
        <v>0</v>
      </c>
      <c r="H46" s="2183" t="s">
        <v>2931</v>
      </c>
      <c r="I46" s="3079"/>
      <c r="J46" s="2183"/>
      <c r="K46" s="3079"/>
      <c r="L46" s="2183"/>
      <c r="M46" s="3078"/>
      <c r="N46" s="2183"/>
      <c r="O46" s="3078"/>
      <c r="P46" s="2183"/>
      <c r="Q46" s="3078"/>
      <c r="R46" s="2183"/>
      <c r="S46" s="3078"/>
    </row>
    <row r="47" spans="1:19">
      <c r="A47" s="2185"/>
      <c r="B47" s="3082" t="s">
        <v>6350</v>
      </c>
      <c r="C47" s="2049"/>
      <c r="D47" s="2171"/>
      <c r="E47" s="2051"/>
      <c r="F47" s="2052"/>
      <c r="G47" s="662">
        <f t="shared" si="0"/>
        <v>0</v>
      </c>
      <c r="H47" s="2183" t="s">
        <v>2931</v>
      </c>
      <c r="I47" s="3079"/>
      <c r="J47" s="2183"/>
      <c r="K47" s="3079"/>
      <c r="L47" s="2183"/>
      <c r="M47" s="3078"/>
      <c r="N47" s="2183"/>
      <c r="O47" s="3078"/>
      <c r="P47" s="2183"/>
      <c r="Q47" s="3078"/>
      <c r="R47" s="2183"/>
      <c r="S47" s="3078"/>
    </row>
    <row r="48" spans="1:19">
      <c r="A48" s="2185"/>
      <c r="B48" s="3082" t="s">
        <v>6351</v>
      </c>
      <c r="C48" s="2049"/>
      <c r="D48" s="2171"/>
      <c r="E48" s="2051"/>
      <c r="F48" s="2052"/>
      <c r="G48" s="662">
        <f t="shared" si="0"/>
        <v>0</v>
      </c>
      <c r="H48" s="2183" t="s">
        <v>2931</v>
      </c>
      <c r="I48" s="3079"/>
      <c r="J48" s="2183"/>
      <c r="K48" s="3079"/>
      <c r="L48" s="2183"/>
      <c r="M48" s="3078"/>
      <c r="N48" s="2183"/>
      <c r="O48" s="3078"/>
      <c r="P48" s="2183"/>
      <c r="Q48" s="3078"/>
      <c r="R48" s="2183"/>
      <c r="S48" s="3078"/>
    </row>
    <row r="49" spans="1:19">
      <c r="A49" s="2185"/>
      <c r="B49" s="3082" t="s">
        <v>6352</v>
      </c>
      <c r="C49" s="2049"/>
      <c r="D49" s="2171"/>
      <c r="E49" s="2051"/>
      <c r="F49" s="2052"/>
      <c r="G49" s="662">
        <f t="shared" si="0"/>
        <v>0</v>
      </c>
      <c r="H49" s="2183" t="s">
        <v>2931</v>
      </c>
      <c r="I49" s="3079"/>
      <c r="J49" s="2183"/>
      <c r="K49" s="3079"/>
      <c r="L49" s="2183"/>
      <c r="M49" s="3078"/>
      <c r="N49" s="2183"/>
      <c r="O49" s="3078"/>
      <c r="P49" s="2183"/>
      <c r="Q49" s="3078"/>
      <c r="R49" s="2183"/>
      <c r="S49" s="3078"/>
    </row>
    <row r="50" spans="1:19">
      <c r="A50" s="2185"/>
      <c r="B50" s="3082" t="s">
        <v>6353</v>
      </c>
      <c r="C50" s="2049"/>
      <c r="D50" s="2171"/>
      <c r="E50" s="2051"/>
      <c r="F50" s="2052"/>
      <c r="G50" s="662">
        <f t="shared" si="0"/>
        <v>0</v>
      </c>
      <c r="H50" s="2183" t="s">
        <v>2931</v>
      </c>
      <c r="I50" s="3079"/>
      <c r="J50" s="2183"/>
      <c r="K50" s="3079"/>
      <c r="L50" s="2183"/>
      <c r="M50" s="3078"/>
      <c r="N50" s="2183"/>
      <c r="O50" s="3078"/>
      <c r="P50" s="2183"/>
      <c r="Q50" s="3078"/>
      <c r="R50" s="2183"/>
      <c r="S50" s="3078"/>
    </row>
    <row r="51" spans="1:19">
      <c r="A51" s="2185"/>
      <c r="B51" s="3082" t="s">
        <v>6354</v>
      </c>
      <c r="C51" s="2049"/>
      <c r="D51" s="2171"/>
      <c r="E51" s="2051"/>
      <c r="F51" s="2052"/>
      <c r="G51" s="662">
        <f>ROUND(D51*F51,0)</f>
        <v>0</v>
      </c>
      <c r="H51" s="3093"/>
      <c r="I51" s="3087">
        <v>2500</v>
      </c>
      <c r="J51" s="2183"/>
      <c r="K51" s="3079"/>
      <c r="L51" s="2183"/>
      <c r="M51" s="3078"/>
      <c r="N51" s="2183"/>
      <c r="O51" s="3078"/>
      <c r="P51" s="2183"/>
      <c r="Q51" s="3078"/>
      <c r="R51" s="2183"/>
      <c r="S51" s="3078"/>
    </row>
    <row r="52" spans="1:19">
      <c r="A52" s="2185"/>
      <c r="B52" s="3081" t="s">
        <v>6365</v>
      </c>
      <c r="C52" s="2049"/>
      <c r="D52" s="2171">
        <v>2</v>
      </c>
      <c r="E52" s="2051" t="s">
        <v>6349</v>
      </c>
      <c r="F52" s="2052"/>
      <c r="G52" s="662">
        <f t="shared" si="0"/>
        <v>0</v>
      </c>
      <c r="H52" s="2183" t="s">
        <v>2931</v>
      </c>
      <c r="I52" s="3079"/>
      <c r="J52" s="2183"/>
      <c r="K52" s="3079"/>
      <c r="L52" s="2183"/>
      <c r="M52" s="3078"/>
      <c r="N52" s="2183"/>
      <c r="O52" s="3078"/>
      <c r="P52" s="2183"/>
      <c r="Q52" s="3078"/>
      <c r="R52" s="2183"/>
      <c r="S52" s="3078"/>
    </row>
    <row r="53" spans="1:19">
      <c r="A53" s="2185"/>
      <c r="B53" s="3082" t="s">
        <v>6350</v>
      </c>
      <c r="C53" s="2049"/>
      <c r="D53" s="2171"/>
      <c r="E53" s="2051"/>
      <c r="F53" s="2052"/>
      <c r="G53" s="662">
        <f t="shared" si="0"/>
        <v>0</v>
      </c>
      <c r="H53" s="2183" t="s">
        <v>2931</v>
      </c>
      <c r="I53" s="3079"/>
      <c r="J53" s="2183"/>
      <c r="K53" s="3079"/>
      <c r="L53" s="2183"/>
      <c r="M53" s="3078"/>
      <c r="N53" s="2183"/>
      <c r="O53" s="3078"/>
      <c r="P53" s="2183"/>
      <c r="Q53" s="3078"/>
      <c r="R53" s="2183"/>
      <c r="S53" s="3078"/>
    </row>
    <row r="54" spans="1:19">
      <c r="A54" s="2185"/>
      <c r="B54" s="3082" t="s">
        <v>6366</v>
      </c>
      <c r="C54" s="2049"/>
      <c r="D54" s="2171"/>
      <c r="E54" s="2051"/>
      <c r="F54" s="2052"/>
      <c r="G54" s="662">
        <f t="shared" si="0"/>
        <v>0</v>
      </c>
      <c r="H54" s="2183" t="s">
        <v>2931</v>
      </c>
      <c r="I54" s="3079"/>
      <c r="J54" s="2183"/>
      <c r="K54" s="3079"/>
      <c r="L54" s="2183"/>
      <c r="M54" s="3078"/>
      <c r="N54" s="2183"/>
      <c r="O54" s="3078"/>
      <c r="P54" s="2183"/>
      <c r="Q54" s="3078"/>
      <c r="R54" s="2183"/>
      <c r="S54" s="3078"/>
    </row>
    <row r="55" spans="1:19">
      <c r="A55" s="2185"/>
      <c r="B55" s="3082" t="s">
        <v>6357</v>
      </c>
      <c r="C55" s="2049"/>
      <c r="D55" s="2171"/>
      <c r="E55" s="2051"/>
      <c r="F55" s="2052"/>
      <c r="G55" s="662">
        <f t="shared" si="0"/>
        <v>0</v>
      </c>
      <c r="H55" s="2183" t="s">
        <v>2931</v>
      </c>
      <c r="I55" s="3079"/>
      <c r="J55" s="2183"/>
      <c r="K55" s="3079"/>
      <c r="L55" s="2183"/>
      <c r="M55" s="3078"/>
      <c r="N55" s="2183"/>
      <c r="O55" s="3078"/>
      <c r="P55" s="2183"/>
      <c r="Q55" s="3078"/>
      <c r="R55" s="2183"/>
      <c r="S55" s="3078"/>
    </row>
    <row r="56" spans="1:19">
      <c r="A56" s="2185"/>
      <c r="B56" s="3082" t="s">
        <v>6353</v>
      </c>
      <c r="C56" s="2049"/>
      <c r="D56" s="2171"/>
      <c r="E56" s="2051"/>
      <c r="F56" s="2052"/>
      <c r="G56" s="662">
        <f t="shared" si="0"/>
        <v>0</v>
      </c>
      <c r="H56" s="2183" t="s">
        <v>2931</v>
      </c>
      <c r="I56" s="3079"/>
      <c r="J56" s="2183"/>
      <c r="K56" s="3079"/>
      <c r="L56" s="2183"/>
      <c r="M56" s="3078"/>
      <c r="N56" s="2183"/>
      <c r="O56" s="3078"/>
      <c r="P56" s="2183"/>
      <c r="Q56" s="3078"/>
      <c r="R56" s="2183"/>
      <c r="S56" s="3078"/>
    </row>
    <row r="57" spans="1:19">
      <c r="A57" s="2185"/>
      <c r="B57" s="3082" t="s">
        <v>6367</v>
      </c>
      <c r="C57" s="2049"/>
      <c r="D57" s="2171"/>
      <c r="E57" s="2051"/>
      <c r="F57" s="2052"/>
      <c r="G57" s="662">
        <f>ROUND(D57*F57,0)</f>
        <v>0</v>
      </c>
      <c r="H57" s="3093"/>
      <c r="I57" s="3087">
        <v>2500</v>
      </c>
      <c r="J57" s="2183"/>
      <c r="K57" s="3079"/>
      <c r="L57" s="2183"/>
      <c r="M57" s="3078"/>
      <c r="N57" s="2183"/>
      <c r="O57" s="3078"/>
      <c r="P57" s="2183"/>
      <c r="Q57" s="3078"/>
      <c r="R57" s="2183"/>
      <c r="S57" s="3078"/>
    </row>
    <row r="58" spans="1:19">
      <c r="A58" s="2185"/>
      <c r="B58" s="3081" t="s">
        <v>6368</v>
      </c>
      <c r="C58" s="2049"/>
      <c r="D58" s="2171">
        <v>3</v>
      </c>
      <c r="E58" s="2051" t="s">
        <v>6349</v>
      </c>
      <c r="F58" s="2052"/>
      <c r="G58" s="662">
        <f t="shared" si="0"/>
        <v>0</v>
      </c>
      <c r="H58" s="2183" t="s">
        <v>2931</v>
      </c>
      <c r="I58" s="3079"/>
      <c r="J58" s="2183"/>
      <c r="K58" s="3079"/>
      <c r="L58" s="2183"/>
      <c r="M58" s="3078"/>
      <c r="N58" s="2183"/>
      <c r="O58" s="3078"/>
      <c r="P58" s="2183"/>
      <c r="Q58" s="3078"/>
      <c r="R58" s="2183"/>
      <c r="S58" s="3078"/>
    </row>
    <row r="59" spans="1:19">
      <c r="A59" s="2185"/>
      <c r="B59" s="3082" t="s">
        <v>6350</v>
      </c>
      <c r="C59" s="2049"/>
      <c r="D59" s="2171"/>
      <c r="E59" s="2051"/>
      <c r="F59" s="2052"/>
      <c r="G59" s="662">
        <f t="shared" si="0"/>
        <v>0</v>
      </c>
      <c r="H59" s="2183" t="s">
        <v>2931</v>
      </c>
      <c r="I59" s="3079"/>
      <c r="J59" s="2183"/>
      <c r="K59" s="3079"/>
      <c r="L59" s="2183"/>
      <c r="M59" s="3078"/>
      <c r="N59" s="2183"/>
      <c r="O59" s="3078"/>
      <c r="P59" s="2183"/>
      <c r="Q59" s="3078"/>
      <c r="R59" s="2183"/>
      <c r="S59" s="3078"/>
    </row>
    <row r="60" spans="1:19">
      <c r="A60" s="2185"/>
      <c r="B60" s="3082" t="s">
        <v>6366</v>
      </c>
      <c r="C60" s="2049"/>
      <c r="D60" s="2171"/>
      <c r="E60" s="2051"/>
      <c r="F60" s="2052"/>
      <c r="G60" s="662">
        <f t="shared" si="0"/>
        <v>0</v>
      </c>
      <c r="H60" s="2183" t="s">
        <v>2931</v>
      </c>
      <c r="I60" s="3079"/>
      <c r="J60" s="2183"/>
      <c r="K60" s="3079"/>
      <c r="L60" s="2183"/>
      <c r="M60" s="3078"/>
      <c r="N60" s="2183"/>
      <c r="O60" s="3078"/>
      <c r="P60" s="2183"/>
      <c r="Q60" s="3078"/>
      <c r="R60" s="2183"/>
      <c r="S60" s="3078"/>
    </row>
    <row r="61" spans="1:19">
      <c r="A61" s="2185"/>
      <c r="B61" s="3082" t="s">
        <v>6352</v>
      </c>
      <c r="C61" s="2049"/>
      <c r="D61" s="2171"/>
      <c r="E61" s="2051"/>
      <c r="F61" s="2052"/>
      <c r="G61" s="662">
        <f t="shared" si="0"/>
        <v>0</v>
      </c>
      <c r="H61" s="2183" t="s">
        <v>2931</v>
      </c>
      <c r="I61" s="3079"/>
      <c r="J61" s="2183"/>
      <c r="K61" s="3079"/>
      <c r="L61" s="2183"/>
      <c r="M61" s="3078"/>
      <c r="N61" s="2183"/>
      <c r="O61" s="3078"/>
      <c r="P61" s="2183"/>
      <c r="Q61" s="3078"/>
      <c r="R61" s="2183"/>
      <c r="S61" s="3078"/>
    </row>
    <row r="62" spans="1:19">
      <c r="A62" s="2185"/>
      <c r="B62" s="3082" t="s">
        <v>6353</v>
      </c>
      <c r="C62" s="2049"/>
      <c r="D62" s="2171"/>
      <c r="E62" s="2051"/>
      <c r="F62" s="2052"/>
      <c r="G62" s="662">
        <f t="shared" si="0"/>
        <v>0</v>
      </c>
      <c r="H62" s="2183" t="s">
        <v>2931</v>
      </c>
      <c r="I62" s="3079"/>
      <c r="J62" s="2183"/>
      <c r="K62" s="3079"/>
      <c r="L62" s="2183"/>
      <c r="M62" s="3078"/>
      <c r="N62" s="2183"/>
      <c r="O62" s="3078"/>
      <c r="P62" s="2183"/>
      <c r="Q62" s="3078"/>
      <c r="R62" s="2183"/>
      <c r="S62" s="3078"/>
    </row>
    <row r="63" spans="1:19">
      <c r="A63" s="2185"/>
      <c r="B63" s="3082" t="s">
        <v>6354</v>
      </c>
      <c r="C63" s="2049"/>
      <c r="D63" s="2171"/>
      <c r="E63" s="2051"/>
      <c r="F63" s="2052"/>
      <c r="G63" s="662">
        <f>ROUND(D63*F63,0)</f>
        <v>0</v>
      </c>
      <c r="H63" s="3093"/>
      <c r="I63" s="3087">
        <v>2500</v>
      </c>
      <c r="J63" s="2183"/>
      <c r="K63" s="3079"/>
      <c r="L63" s="2183"/>
      <c r="M63" s="3078"/>
      <c r="N63" s="2183"/>
      <c r="O63" s="3078"/>
      <c r="P63" s="2183"/>
      <c r="Q63" s="3078"/>
      <c r="R63" s="2183"/>
      <c r="S63" s="3078"/>
    </row>
    <row r="64" spans="1:19">
      <c r="A64" s="2185"/>
      <c r="B64" s="3082"/>
      <c r="C64" s="2049"/>
      <c r="D64" s="2171"/>
      <c r="E64" s="2051"/>
      <c r="F64" s="2052"/>
      <c r="G64" s="662">
        <f t="shared" si="0"/>
        <v>0</v>
      </c>
      <c r="H64" s="2183"/>
      <c r="I64" s="3079"/>
      <c r="J64" s="2183"/>
      <c r="K64" s="3079"/>
      <c r="L64" s="2183"/>
      <c r="M64" s="3078"/>
      <c r="N64" s="2183"/>
      <c r="O64" s="3078"/>
      <c r="P64" s="2183"/>
      <c r="Q64" s="3078"/>
      <c r="R64" s="2183"/>
      <c r="S64" s="3078"/>
    </row>
    <row r="65" spans="1:19">
      <c r="A65" s="2185"/>
      <c r="B65" s="3081" t="s">
        <v>6358</v>
      </c>
      <c r="C65" s="2049"/>
      <c r="D65" s="2171">
        <v>3</v>
      </c>
      <c r="E65" s="2051" t="s">
        <v>2803</v>
      </c>
      <c r="F65" s="2052">
        <v>5000</v>
      </c>
      <c r="G65" s="662">
        <f t="shared" ref="G65" si="2">ROUND(D65*F65,0)</f>
        <v>15000</v>
      </c>
      <c r="H65" s="2183"/>
      <c r="I65" s="3087">
        <f>$G65</f>
        <v>15000</v>
      </c>
      <c r="J65" s="2183"/>
      <c r="K65" s="3079"/>
      <c r="L65" s="2183"/>
      <c r="M65" s="3078"/>
      <c r="N65" s="2183"/>
      <c r="O65" s="3078"/>
      <c r="P65" s="2183"/>
      <c r="Q65" s="3078"/>
      <c r="R65" s="2183"/>
      <c r="S65" s="3078"/>
    </row>
    <row r="66" spans="1:19">
      <c r="A66" s="2185"/>
      <c r="B66" s="3081" t="s">
        <v>6359</v>
      </c>
      <c r="C66" s="2049"/>
      <c r="D66" s="2171">
        <v>3</v>
      </c>
      <c r="E66" s="2051" t="s">
        <v>2803</v>
      </c>
      <c r="F66" s="2052">
        <v>2500</v>
      </c>
      <c r="G66" s="662">
        <f t="shared" ref="G66" si="3">ROUND(D66*F66,0)</f>
        <v>7500</v>
      </c>
      <c r="H66" s="2183"/>
      <c r="I66" s="3087">
        <f>$G66</f>
        <v>7500</v>
      </c>
      <c r="J66" s="2183"/>
      <c r="K66" s="3079"/>
      <c r="L66" s="2183"/>
      <c r="M66" s="3078"/>
      <c r="N66" s="2183"/>
      <c r="O66" s="3078"/>
      <c r="P66" s="2183"/>
      <c r="Q66" s="3078"/>
      <c r="R66" s="2183"/>
      <c r="S66" s="3078"/>
    </row>
    <row r="67" spans="1:19">
      <c r="A67" s="2185"/>
      <c r="B67" s="3081" t="s">
        <v>6360</v>
      </c>
      <c r="C67" s="2049"/>
      <c r="D67" s="2171">
        <v>2</v>
      </c>
      <c r="E67" s="2051" t="s">
        <v>2803</v>
      </c>
      <c r="F67" s="2052">
        <v>4500</v>
      </c>
      <c r="G67" s="662">
        <f t="shared" si="0"/>
        <v>9000</v>
      </c>
      <c r="H67" s="2183"/>
      <c r="I67" s="3087">
        <f>$G67</f>
        <v>9000</v>
      </c>
      <c r="J67" s="2183"/>
      <c r="K67" s="3079"/>
      <c r="L67" s="2183"/>
      <c r="M67" s="3078"/>
      <c r="N67" s="2183"/>
      <c r="O67" s="3078"/>
      <c r="P67" s="2183"/>
      <c r="Q67" s="3078"/>
      <c r="R67" s="2183"/>
      <c r="S67" s="3078"/>
    </row>
    <row r="68" spans="1:19">
      <c r="A68" s="2185"/>
      <c r="B68" s="3081" t="s">
        <v>6361</v>
      </c>
      <c r="C68" s="2049"/>
      <c r="D68" s="2171">
        <v>6</v>
      </c>
      <c r="E68" s="2051" t="s">
        <v>6362</v>
      </c>
      <c r="F68" s="2052">
        <v>3500</v>
      </c>
      <c r="G68" s="662">
        <f t="shared" si="0"/>
        <v>21000</v>
      </c>
      <c r="H68" s="2183"/>
      <c r="I68" s="3087">
        <f>$G68</f>
        <v>21000</v>
      </c>
      <c r="J68" s="2183"/>
      <c r="K68" s="3079"/>
      <c r="L68" s="2183"/>
      <c r="M68" s="3078"/>
      <c r="N68" s="2183"/>
      <c r="O68" s="3078"/>
      <c r="P68" s="2183"/>
      <c r="Q68" s="3078"/>
      <c r="R68" s="2183"/>
      <c r="S68" s="3078"/>
    </row>
    <row r="69" spans="1:19">
      <c r="A69" s="2185"/>
      <c r="B69" s="3081" t="s">
        <v>6363</v>
      </c>
      <c r="C69" s="2049"/>
      <c r="D69" s="2171">
        <v>3</v>
      </c>
      <c r="E69" s="2051" t="s">
        <v>2803</v>
      </c>
      <c r="F69" s="2052">
        <v>5000</v>
      </c>
      <c r="G69" s="662">
        <f t="shared" si="0"/>
        <v>15000</v>
      </c>
      <c r="H69" s="2183"/>
      <c r="I69" s="3087">
        <f>$G69</f>
        <v>15000</v>
      </c>
      <c r="J69" s="2183"/>
      <c r="K69" s="3079"/>
      <c r="L69" s="2183"/>
      <c r="M69" s="3078"/>
      <c r="N69" s="2183"/>
      <c r="O69" s="3078"/>
      <c r="P69" s="2183"/>
      <c r="Q69" s="3078"/>
      <c r="R69" s="2183"/>
      <c r="S69" s="3078"/>
    </row>
    <row r="70" spans="1:19" ht="15.75" customHeight="1">
      <c r="A70" s="2185"/>
      <c r="B70" s="3026"/>
      <c r="C70" s="2205"/>
      <c r="D70" s="2206"/>
      <c r="E70" s="2051"/>
      <c r="F70" s="2207"/>
      <c r="G70" s="662">
        <f t="shared" si="0"/>
        <v>0</v>
      </c>
      <c r="H70" s="2183"/>
      <c r="I70" s="3079"/>
      <c r="J70" s="2183"/>
      <c r="K70" s="3079"/>
      <c r="L70" s="2183"/>
      <c r="M70" s="3079"/>
      <c r="N70" s="2183"/>
      <c r="O70" s="3078"/>
      <c r="P70" s="2183"/>
      <c r="Q70" s="3078"/>
      <c r="R70" s="2183"/>
      <c r="S70" s="3078"/>
    </row>
    <row r="71" spans="1:19">
      <c r="A71" s="2185"/>
      <c r="B71" s="3077" t="s">
        <v>6369</v>
      </c>
      <c r="C71" s="2049"/>
      <c r="D71" s="2171">
        <v>5</v>
      </c>
      <c r="E71" s="2051" t="s">
        <v>2803</v>
      </c>
      <c r="F71" s="2052">
        <v>1500</v>
      </c>
      <c r="G71" s="662">
        <f t="shared" si="0"/>
        <v>7500</v>
      </c>
      <c r="H71" s="2183"/>
      <c r="I71" s="3087">
        <f>$G71</f>
        <v>7500</v>
      </c>
      <c r="J71" s="2183"/>
      <c r="K71" s="3079"/>
      <c r="L71" s="2183"/>
      <c r="M71" s="3078"/>
      <c r="N71" s="2183"/>
      <c r="O71" s="3078"/>
      <c r="P71" s="2183"/>
      <c r="Q71" s="3078"/>
      <c r="R71" s="2183"/>
      <c r="S71" s="3078"/>
    </row>
    <row r="72" spans="1:19">
      <c r="A72" s="2185"/>
      <c r="B72" s="3082"/>
      <c r="C72" s="2049"/>
      <c r="D72" s="2171"/>
      <c r="E72" s="2051"/>
      <c r="F72" s="2052"/>
      <c r="G72" s="662">
        <f t="shared" si="0"/>
        <v>0</v>
      </c>
      <c r="H72" s="2183"/>
      <c r="I72" s="3079"/>
      <c r="J72" s="2183"/>
      <c r="K72" s="3079"/>
      <c r="L72" s="2183"/>
      <c r="M72" s="3078"/>
      <c r="N72" s="2183"/>
      <c r="O72" s="3078"/>
      <c r="P72" s="2183"/>
      <c r="Q72" s="3078"/>
      <c r="R72" s="2183"/>
      <c r="S72" s="3078"/>
    </row>
    <row r="73" spans="1:19">
      <c r="A73" s="2054" t="s">
        <v>2587</v>
      </c>
      <c r="B73" s="3094" t="s">
        <v>6370</v>
      </c>
      <c r="C73" s="2049"/>
      <c r="D73" s="2171">
        <v>3</v>
      </c>
      <c r="E73" s="2051" t="s">
        <v>3041</v>
      </c>
      <c r="F73" s="2052">
        <v>25000</v>
      </c>
      <c r="G73" s="670">
        <f t="shared" si="0"/>
        <v>75000</v>
      </c>
      <c r="H73" s="2183"/>
      <c r="I73" s="3085">
        <f>$G73</f>
        <v>75000</v>
      </c>
      <c r="J73" s="2183"/>
      <c r="K73" s="3079"/>
      <c r="L73" s="2183"/>
      <c r="M73" s="3078"/>
      <c r="N73" s="2183"/>
      <c r="O73" s="3078"/>
      <c r="P73" s="2183"/>
      <c r="Q73" s="3078"/>
      <c r="R73" s="2183"/>
      <c r="S73" s="3078"/>
    </row>
    <row r="74" spans="1:19">
      <c r="A74" s="2185"/>
      <c r="B74" s="3082"/>
      <c r="C74" s="2049"/>
      <c r="D74" s="2171"/>
      <c r="E74" s="2051"/>
      <c r="F74" s="2052"/>
      <c r="G74" s="662">
        <f t="shared" si="0"/>
        <v>0</v>
      </c>
      <c r="H74" s="2183"/>
      <c r="I74" s="3079"/>
      <c r="J74" s="2183"/>
      <c r="K74" s="3079"/>
      <c r="L74" s="2183"/>
      <c r="M74" s="3078"/>
      <c r="N74" s="2183"/>
      <c r="O74" s="3078"/>
      <c r="P74" s="2183"/>
      <c r="Q74" s="3078"/>
      <c r="R74" s="2183"/>
      <c r="S74" s="3078"/>
    </row>
    <row r="75" spans="1:19">
      <c r="A75" s="2185"/>
      <c r="B75" s="3026" t="s">
        <v>6371</v>
      </c>
      <c r="C75" s="2049"/>
      <c r="D75" s="2171">
        <v>2</v>
      </c>
      <c r="E75" s="2051" t="s">
        <v>6362</v>
      </c>
      <c r="F75" s="2052">
        <v>5000</v>
      </c>
      <c r="G75" s="662">
        <f t="shared" si="0"/>
        <v>10000</v>
      </c>
      <c r="H75" s="2183"/>
      <c r="I75" s="3087">
        <f t="shared" ref="I75:I77" si="4">$G75</f>
        <v>10000</v>
      </c>
      <c r="J75" s="2183"/>
      <c r="K75" s="3079"/>
      <c r="L75" s="2183"/>
      <c r="M75" s="3078"/>
      <c r="N75" s="2183"/>
      <c r="O75" s="3078"/>
      <c r="P75" s="2183"/>
      <c r="Q75" s="3078"/>
      <c r="R75" s="2183"/>
      <c r="S75" s="3078"/>
    </row>
    <row r="76" spans="1:19">
      <c r="A76" s="2185"/>
      <c r="B76" s="3026" t="s">
        <v>6372</v>
      </c>
      <c r="C76" s="2049"/>
      <c r="D76" s="2171">
        <v>2</v>
      </c>
      <c r="E76" s="2051" t="s">
        <v>6362</v>
      </c>
      <c r="F76" s="2052">
        <v>500</v>
      </c>
      <c r="G76" s="662">
        <f t="shared" si="0"/>
        <v>1000</v>
      </c>
      <c r="H76" s="2183"/>
      <c r="I76" s="3087">
        <f t="shared" si="4"/>
        <v>1000</v>
      </c>
      <c r="J76" s="2183"/>
      <c r="K76" s="3079"/>
      <c r="L76" s="2183"/>
      <c r="M76" s="3078"/>
      <c r="N76" s="2183"/>
      <c r="O76" s="3078"/>
      <c r="P76" s="2183"/>
      <c r="Q76" s="3078"/>
      <c r="R76" s="2183"/>
      <c r="S76" s="3078"/>
    </row>
    <row r="77" spans="1:19">
      <c r="A77" s="2185"/>
      <c r="B77" s="3026" t="s">
        <v>6373</v>
      </c>
      <c r="C77" s="2049"/>
      <c r="D77" s="2171">
        <v>2</v>
      </c>
      <c r="E77" s="2051" t="s">
        <v>6362</v>
      </c>
      <c r="F77" s="2052">
        <v>4000</v>
      </c>
      <c r="G77" s="662">
        <f t="shared" si="0"/>
        <v>8000</v>
      </c>
      <c r="H77" s="2183"/>
      <c r="I77" s="3087">
        <f t="shared" si="4"/>
        <v>8000</v>
      </c>
      <c r="J77" s="2183"/>
      <c r="K77" s="3079"/>
      <c r="L77" s="2183"/>
      <c r="M77" s="3078"/>
      <c r="N77" s="2183"/>
      <c r="O77" s="3078"/>
      <c r="P77" s="2183"/>
      <c r="Q77" s="3078"/>
      <c r="R77" s="2183"/>
      <c r="S77" s="3078"/>
    </row>
    <row r="78" spans="1:19">
      <c r="A78" s="2185"/>
      <c r="B78" s="3026"/>
      <c r="C78" s="2049"/>
      <c r="D78" s="2171"/>
      <c r="E78" s="2051"/>
      <c r="F78" s="2052"/>
      <c r="G78" s="662">
        <f t="shared" si="0"/>
        <v>0</v>
      </c>
      <c r="H78" s="2183"/>
      <c r="I78" s="3079"/>
      <c r="J78" s="2183"/>
      <c r="K78" s="3079"/>
      <c r="L78" s="2183"/>
      <c r="M78" s="3078"/>
      <c r="N78" s="2183"/>
      <c r="O78" s="3078"/>
      <c r="P78" s="2183"/>
      <c r="Q78" s="3078"/>
      <c r="R78" s="2183"/>
      <c r="S78" s="3078"/>
    </row>
    <row r="79" spans="1:19" ht="15.75" thickBot="1">
      <c r="A79" s="2185"/>
      <c r="B79" s="2204"/>
      <c r="C79" s="2205"/>
      <c r="D79" s="2206"/>
      <c r="E79" s="2051"/>
      <c r="F79" s="2207"/>
      <c r="G79" s="662"/>
      <c r="H79" s="2183"/>
      <c r="I79" s="3079"/>
      <c r="J79" s="2183"/>
      <c r="K79" s="3079"/>
      <c r="L79" s="2183"/>
      <c r="M79" s="3079"/>
      <c r="N79" s="2183"/>
      <c r="O79" s="3078"/>
      <c r="P79" s="2183"/>
      <c r="Q79" s="3078"/>
      <c r="R79" s="2183"/>
      <c r="S79" s="3078"/>
    </row>
    <row r="80" spans="1:19" ht="15.75" thickTop="1">
      <c r="A80" s="13"/>
      <c r="B80" s="226" t="s">
        <v>3265</v>
      </c>
      <c r="C80" s="15"/>
      <c r="D80" s="168"/>
      <c r="E80" s="176"/>
      <c r="F80" s="17"/>
      <c r="G80" s="227">
        <f>SUBTOTAL(9,G23:G79)</f>
        <v>224000</v>
      </c>
      <c r="H80" s="19"/>
      <c r="I80" s="225">
        <f>SUBTOTAL(9,I23:I79)</f>
        <v>1230500</v>
      </c>
      <c r="J80" s="19"/>
      <c r="K80" s="225">
        <f>SUBTOTAL(9,K23:K79)</f>
        <v>0</v>
      </c>
      <c r="L80" s="19"/>
      <c r="M80" s="225">
        <f>SUBTOTAL(9,M23:M79)</f>
        <v>0</v>
      </c>
      <c r="N80" s="19"/>
      <c r="O80" s="164">
        <f>SUM(O19:O79)</f>
        <v>0</v>
      </c>
      <c r="P80" s="19"/>
      <c r="Q80" s="164">
        <f>SUM(Q19:Q79)</f>
        <v>0</v>
      </c>
      <c r="R80" s="19"/>
      <c r="S80" s="164">
        <f>SUM(S19:S79)</f>
        <v>0</v>
      </c>
    </row>
    <row r="81" spans="1:34">
      <c r="A81" s="2137"/>
      <c r="B81" s="2208" t="s">
        <v>2976</v>
      </c>
      <c r="C81" s="2138"/>
      <c r="D81" s="2209"/>
      <c r="E81" s="2210"/>
      <c r="F81" s="2140"/>
      <c r="G81" s="654"/>
      <c r="H81" s="2141"/>
      <c r="I81" s="645"/>
      <c r="J81" s="2141">
        <v>0</v>
      </c>
      <c r="K81" s="645"/>
      <c r="L81" s="2141">
        <v>0</v>
      </c>
      <c r="M81" s="645"/>
      <c r="N81" s="2141">
        <v>0</v>
      </c>
      <c r="O81" s="645"/>
      <c r="P81" s="2141">
        <v>0</v>
      </c>
      <c r="Q81" s="645"/>
      <c r="R81" s="2141">
        <v>0</v>
      </c>
      <c r="S81" s="645"/>
    </row>
    <row r="82" spans="1:34">
      <c r="A82" s="2137"/>
      <c r="B82" s="2208" t="s">
        <v>2977</v>
      </c>
      <c r="C82" s="2138"/>
      <c r="D82" s="2209"/>
      <c r="E82" s="2210"/>
      <c r="F82" s="2140"/>
      <c r="G82" s="654">
        <f>F81*G80</f>
        <v>0</v>
      </c>
      <c r="H82" s="2143"/>
      <c r="I82" s="2211">
        <f>H81*I80</f>
        <v>0</v>
      </c>
      <c r="J82" s="2143"/>
      <c r="K82" s="2211">
        <f>J81*K80</f>
        <v>0</v>
      </c>
      <c r="L82" s="2143"/>
      <c r="M82" s="2211">
        <f>L81*M80</f>
        <v>0</v>
      </c>
      <c r="N82" s="2143"/>
      <c r="O82" s="2211">
        <f>N81*O80</f>
        <v>0</v>
      </c>
      <c r="P82" s="2143"/>
      <c r="Q82" s="2211">
        <f>P81*Q80</f>
        <v>0</v>
      </c>
      <c r="R82" s="2143"/>
      <c r="S82" s="2211">
        <f>R81*S80</f>
        <v>0</v>
      </c>
    </row>
    <row r="83" spans="1:34">
      <c r="A83" s="2137"/>
      <c r="B83" s="2208"/>
      <c r="C83" s="2138"/>
      <c r="D83" s="2209"/>
      <c r="E83" s="2210"/>
      <c r="F83" s="2140"/>
      <c r="G83" s="654"/>
      <c r="H83" s="2143"/>
      <c r="I83" s="2211"/>
      <c r="J83" s="2143"/>
      <c r="K83" s="2211"/>
      <c r="L83" s="2143"/>
      <c r="M83" s="2211"/>
      <c r="N83" s="2143"/>
      <c r="O83" s="2211"/>
      <c r="P83" s="2143"/>
      <c r="Q83" s="2211"/>
      <c r="R83" s="2143"/>
      <c r="S83" s="2211"/>
    </row>
    <row r="84" spans="1:34">
      <c r="A84" s="2137"/>
      <c r="B84" s="2208" t="s">
        <v>2978</v>
      </c>
      <c r="C84" s="2138"/>
      <c r="D84" s="2209"/>
      <c r="E84" s="2210"/>
      <c r="F84" s="2140"/>
      <c r="G84" s="654">
        <f>SUM(G80:G82)</f>
        <v>224000</v>
      </c>
      <c r="H84" s="2145"/>
      <c r="I84" s="2211">
        <f>SUM(I80:I82)</f>
        <v>1230500</v>
      </c>
      <c r="J84" s="2145"/>
      <c r="K84" s="2211">
        <f>SUM(K80:K82)</f>
        <v>0</v>
      </c>
      <c r="L84" s="2145"/>
      <c r="M84" s="2211">
        <f>SUM(M80:M82)</f>
        <v>0</v>
      </c>
      <c r="N84" s="2145"/>
      <c r="O84" s="2211">
        <f>SUM(O80:O82)</f>
        <v>0</v>
      </c>
      <c r="P84" s="2145"/>
      <c r="Q84" s="2211">
        <f>SUM(Q80:Q82)</f>
        <v>0</v>
      </c>
      <c r="R84" s="2145"/>
      <c r="S84" s="2211">
        <f>SUM(S80:S82)</f>
        <v>0</v>
      </c>
    </row>
    <row r="85" spans="1:34">
      <c r="A85" s="2137"/>
      <c r="B85" s="2077" t="s">
        <v>2979</v>
      </c>
      <c r="C85" s="2138"/>
      <c r="D85" s="2209"/>
      <c r="E85" s="2210"/>
      <c r="F85" s="2077"/>
      <c r="G85" s="655">
        <v>0</v>
      </c>
      <c r="H85" s="2147"/>
      <c r="I85" s="2212">
        <v>0</v>
      </c>
      <c r="J85" s="2147"/>
      <c r="K85" s="2212">
        <v>0</v>
      </c>
      <c r="L85" s="2147"/>
      <c r="M85" s="2212">
        <v>0</v>
      </c>
      <c r="N85" s="2147"/>
      <c r="O85" s="2212">
        <v>0</v>
      </c>
      <c r="P85" s="2147"/>
      <c r="Q85" s="2212">
        <v>0</v>
      </c>
      <c r="R85" s="2148"/>
      <c r="S85" s="2212">
        <v>0</v>
      </c>
    </row>
    <row r="86" spans="1:34">
      <c r="A86" s="2137"/>
      <c r="B86" s="2081"/>
      <c r="C86" s="2138"/>
      <c r="D86" s="2209"/>
      <c r="E86" s="2210"/>
      <c r="F86" s="2140"/>
      <c r="G86" s="656"/>
      <c r="H86" s="2151"/>
      <c r="I86" s="2151"/>
      <c r="J86" s="2151"/>
      <c r="K86" s="2213"/>
      <c r="L86" s="2151"/>
      <c r="M86" s="2151"/>
      <c r="N86" s="2151"/>
      <c r="O86" s="2151"/>
      <c r="P86" s="2151"/>
      <c r="Q86" s="2151"/>
      <c r="R86" s="2151"/>
      <c r="S86" s="2151"/>
    </row>
    <row r="87" spans="1:34" ht="16.5" hidden="1" thickTop="1" thickBot="1">
      <c r="A87" s="253" t="s">
        <v>2980</v>
      </c>
      <c r="B87" s="254"/>
      <c r="C87" s="12"/>
      <c r="D87" s="169"/>
      <c r="E87" s="177"/>
      <c r="F87" s="12"/>
      <c r="G87" s="228"/>
      <c r="H87" s="20"/>
      <c r="I87" s="20"/>
      <c r="J87" s="20"/>
      <c r="K87" s="20"/>
      <c r="L87" s="20"/>
      <c r="M87" s="20"/>
      <c r="N87" s="20"/>
      <c r="O87" s="20"/>
      <c r="P87" s="20"/>
      <c r="Q87" s="20"/>
      <c r="R87" s="20"/>
      <c r="S87" s="20"/>
    </row>
    <row r="88" spans="1:34" ht="15.75" hidden="1" thickTop="1">
      <c r="A88" s="3049"/>
      <c r="B88" s="2106"/>
      <c r="C88" s="3050"/>
      <c r="D88" s="3051"/>
      <c r="E88" s="3052"/>
      <c r="F88" s="3050"/>
      <c r="G88" s="3088"/>
      <c r="H88" s="3056"/>
      <c r="I88" s="3056"/>
      <c r="J88" s="3056"/>
      <c r="K88" s="3056"/>
      <c r="L88" s="3056"/>
      <c r="M88" s="3056"/>
      <c r="N88" s="3056"/>
      <c r="O88" s="3056"/>
      <c r="P88" s="3056"/>
      <c r="Q88" s="3056"/>
      <c r="R88" s="3056"/>
      <c r="S88" s="3056"/>
    </row>
    <row r="89" spans="1:34" hidden="1">
      <c r="A89" s="3049"/>
      <c r="B89" s="2106"/>
      <c r="C89" s="3050"/>
      <c r="D89" s="3051"/>
      <c r="E89" s="3052"/>
      <c r="F89" s="3050"/>
      <c r="G89" s="3088"/>
      <c r="H89" s="3056"/>
      <c r="I89" s="3056"/>
      <c r="J89" s="3056"/>
      <c r="K89" s="3056"/>
      <c r="L89" s="3056"/>
      <c r="M89" s="3056"/>
      <c r="N89" s="3056"/>
      <c r="O89" s="3056"/>
      <c r="P89" s="3056"/>
      <c r="Q89" s="3056"/>
      <c r="R89" s="3056"/>
      <c r="S89" s="3056"/>
    </row>
    <row r="90" spans="1:34" ht="15.75" hidden="1" thickBot="1">
      <c r="A90" s="3049"/>
      <c r="B90" s="2106"/>
      <c r="C90" s="3050"/>
      <c r="D90" s="3051"/>
      <c r="E90" s="3052"/>
      <c r="F90" s="3050"/>
      <c r="G90" s="3088"/>
      <c r="H90" s="3056"/>
      <c r="I90" s="3056"/>
      <c r="J90" s="3056"/>
      <c r="K90" s="3056"/>
      <c r="L90" s="3056"/>
      <c r="M90" s="3056"/>
      <c r="N90" s="3056"/>
      <c r="O90" s="3056"/>
      <c r="P90" s="3056"/>
      <c r="Q90" s="3056"/>
      <c r="R90" s="3056"/>
      <c r="S90" s="3056"/>
    </row>
    <row r="91" spans="1:34" s="2" customFormat="1" ht="16.5" hidden="1" thickTop="1" thickBot="1">
      <c r="A91" s="830" t="s">
        <v>2981</v>
      </c>
      <c r="B91" s="831"/>
      <c r="C91" s="12"/>
      <c r="D91" s="169"/>
      <c r="E91" s="177"/>
      <c r="F91" s="12"/>
      <c r="G91" s="228"/>
      <c r="H91" s="20"/>
      <c r="I91" s="20"/>
      <c r="J91" s="20"/>
      <c r="K91" s="20"/>
      <c r="L91" s="20"/>
      <c r="M91" s="20"/>
      <c r="N91" s="20"/>
      <c r="O91" s="20"/>
      <c r="P91" s="20"/>
      <c r="Q91" s="20"/>
      <c r="R91" s="20"/>
      <c r="S91" s="20"/>
      <c r="T91"/>
      <c r="U91"/>
      <c r="V91"/>
      <c r="W91"/>
      <c r="X91"/>
      <c r="Y91"/>
      <c r="Z91"/>
      <c r="AA91"/>
      <c r="AB91"/>
      <c r="AC91"/>
      <c r="AD91"/>
      <c r="AE91"/>
      <c r="AF91"/>
      <c r="AG91"/>
      <c r="AH91"/>
    </row>
    <row r="92" spans="1:34" s="2" customFormat="1" ht="15.75" hidden="1" thickTop="1">
      <c r="A92" s="3049"/>
      <c r="B92" s="2106"/>
      <c r="C92" s="3050"/>
      <c r="D92" s="3051"/>
      <c r="E92" s="3052"/>
      <c r="F92" s="3050"/>
      <c r="G92" s="3088"/>
      <c r="H92" s="3056"/>
      <c r="I92" s="3056"/>
      <c r="J92" s="3056"/>
      <c r="K92" s="3056"/>
      <c r="L92" s="3056"/>
      <c r="M92" s="3056"/>
      <c r="N92" s="3056"/>
      <c r="O92" s="3056"/>
      <c r="P92" s="3056"/>
      <c r="Q92" s="3056"/>
      <c r="R92" s="3056"/>
      <c r="S92" s="3056"/>
      <c r="T92"/>
      <c r="U92"/>
      <c r="V92"/>
      <c r="W92"/>
      <c r="X92"/>
      <c r="Y92"/>
      <c r="Z92"/>
      <c r="AA92"/>
      <c r="AB92"/>
      <c r="AC92"/>
      <c r="AD92"/>
      <c r="AE92"/>
      <c r="AF92"/>
      <c r="AG92"/>
      <c r="AH92"/>
    </row>
    <row r="93" spans="1:34" s="2" customFormat="1" hidden="1">
      <c r="A93" s="3049"/>
      <c r="B93" s="2106"/>
      <c r="C93" s="3050"/>
      <c r="D93" s="3051"/>
      <c r="E93" s="3052"/>
      <c r="F93" s="3050"/>
      <c r="G93" s="3088"/>
      <c r="H93" s="3056"/>
      <c r="I93" s="3056"/>
      <c r="J93" s="3056"/>
      <c r="K93" s="3056"/>
      <c r="L93" s="3056"/>
      <c r="M93" s="3056"/>
      <c r="N93" s="3056"/>
      <c r="O93" s="3056"/>
      <c r="P93" s="3056"/>
      <c r="Q93" s="3056"/>
      <c r="R93" s="3056"/>
      <c r="S93" s="3056"/>
      <c r="T93"/>
      <c r="U93"/>
      <c r="V93"/>
      <c r="W93"/>
      <c r="X93"/>
      <c r="Y93"/>
      <c r="Z93"/>
      <c r="AA93"/>
      <c r="AB93"/>
      <c r="AC93"/>
      <c r="AD93"/>
      <c r="AE93"/>
      <c r="AF93"/>
      <c r="AG93"/>
      <c r="AH93"/>
    </row>
    <row r="94" spans="1:34" ht="15.75" hidden="1" thickBot="1">
      <c r="A94" s="3049"/>
      <c r="B94" s="2106"/>
      <c r="C94" s="3050"/>
      <c r="D94" s="3051"/>
      <c r="E94" s="3052"/>
      <c r="F94" s="3050"/>
      <c r="G94" s="3088"/>
      <c r="H94" s="3056"/>
      <c r="I94" s="3056"/>
      <c r="J94" s="3056"/>
      <c r="K94" s="3056"/>
      <c r="L94" s="3056"/>
      <c r="M94" s="3056"/>
      <c r="N94" s="3056"/>
      <c r="O94" s="3056"/>
      <c r="P94" s="3056"/>
      <c r="Q94" s="3056"/>
      <c r="R94" s="3056"/>
      <c r="S94" s="3056"/>
    </row>
    <row r="95" spans="1:34" s="2" customFormat="1" ht="16.5" hidden="1" thickTop="1" thickBot="1">
      <c r="A95" s="830" t="s">
        <v>2982</v>
      </c>
      <c r="B95" s="831"/>
      <c r="C95" s="12"/>
      <c r="D95" s="169"/>
      <c r="E95" s="177"/>
      <c r="F95" s="12"/>
      <c r="G95" s="228"/>
      <c r="H95" s="20"/>
      <c r="I95" s="20"/>
      <c r="J95" s="20"/>
      <c r="K95" s="20"/>
      <c r="L95" s="20"/>
      <c r="M95" s="20"/>
      <c r="N95" s="20"/>
      <c r="O95" s="20"/>
      <c r="P95" s="20"/>
      <c r="Q95" s="20"/>
      <c r="R95" s="20"/>
      <c r="S95" s="20"/>
      <c r="T95"/>
      <c r="U95"/>
      <c r="V95"/>
      <c r="W95"/>
      <c r="X95"/>
      <c r="Y95"/>
      <c r="Z95"/>
      <c r="AA95"/>
      <c r="AB95"/>
      <c r="AC95"/>
      <c r="AD95"/>
      <c r="AE95"/>
      <c r="AF95"/>
      <c r="AG95"/>
      <c r="AH95"/>
    </row>
    <row r="96" spans="1:34" s="2" customFormat="1" ht="15.75" hidden="1" thickTop="1">
      <c r="A96" s="3049"/>
      <c r="B96" s="2106"/>
      <c r="C96" s="3050"/>
      <c r="D96" s="3051"/>
      <c r="E96" s="3052"/>
      <c r="F96" s="3050"/>
      <c r="G96" s="3088"/>
      <c r="H96" s="3056"/>
      <c r="I96" s="3056"/>
      <c r="J96" s="3056"/>
      <c r="K96" s="3056"/>
      <c r="L96" s="3056"/>
      <c r="M96" s="3056"/>
      <c r="N96" s="3056"/>
      <c r="O96" s="3056"/>
      <c r="P96" s="3056"/>
      <c r="Q96" s="3056"/>
      <c r="R96" s="3056"/>
      <c r="S96" s="3056"/>
      <c r="T96"/>
      <c r="U96"/>
      <c r="V96"/>
      <c r="W96"/>
      <c r="X96"/>
      <c r="Y96"/>
      <c r="Z96"/>
      <c r="AA96"/>
      <c r="AB96"/>
      <c r="AC96"/>
      <c r="AD96"/>
      <c r="AE96"/>
      <c r="AF96"/>
      <c r="AG96"/>
      <c r="AH96"/>
    </row>
    <row r="97" spans="1:34" s="2" customFormat="1" hidden="1">
      <c r="A97" s="2085"/>
      <c r="B97" s="2106"/>
      <c r="C97" s="2049"/>
      <c r="D97" s="2171"/>
      <c r="E97" s="2051"/>
      <c r="F97" s="2049"/>
      <c r="G97" s="2086"/>
      <c r="H97" s="2158"/>
      <c r="I97" s="2158"/>
      <c r="J97" s="2158"/>
      <c r="K97" s="2158"/>
      <c r="L97" s="2158"/>
      <c r="M97" s="2158"/>
      <c r="N97" s="2158"/>
      <c r="O97" s="2158"/>
      <c r="P97" s="2158"/>
      <c r="Q97" s="2158"/>
      <c r="R97" s="2158"/>
      <c r="S97" s="2158"/>
      <c r="T97"/>
      <c r="U97"/>
      <c r="V97"/>
      <c r="W97"/>
      <c r="X97"/>
      <c r="Y97"/>
      <c r="Z97"/>
      <c r="AA97"/>
      <c r="AB97"/>
      <c r="AC97"/>
      <c r="AD97"/>
      <c r="AE97"/>
      <c r="AF97"/>
      <c r="AG97"/>
      <c r="AH97"/>
    </row>
    <row r="98" spans="1:34" s="2" customFormat="1" ht="15.75" hidden="1" thickBot="1">
      <c r="A98" s="2088"/>
      <c r="B98" s="2089"/>
      <c r="C98" s="2049"/>
      <c r="D98" s="2171"/>
      <c r="E98" s="2051"/>
      <c r="F98" s="2049"/>
      <c r="G98" s="2086"/>
      <c r="H98" s="2159"/>
      <c r="I98" s="2159"/>
      <c r="J98" s="2159"/>
      <c r="K98" s="2159"/>
      <c r="L98" s="2159"/>
      <c r="M98" s="2159"/>
      <c r="N98" s="2159"/>
      <c r="O98" s="2159"/>
      <c r="P98" s="2159"/>
      <c r="Q98" s="2159"/>
      <c r="R98" s="2159"/>
      <c r="S98" s="2159"/>
    </row>
    <row r="99" spans="1:34" s="2" customFormat="1" ht="16.5" hidden="1" thickTop="1" thickBot="1">
      <c r="A99" s="830" t="s">
        <v>2983</v>
      </c>
      <c r="B99" s="831"/>
      <c r="C99" s="12"/>
      <c r="D99" s="169"/>
      <c r="E99" s="177"/>
      <c r="F99" s="12"/>
      <c r="G99" s="228"/>
      <c r="H99" s="20"/>
      <c r="I99" s="20"/>
      <c r="J99" s="20"/>
      <c r="K99" s="20"/>
      <c r="L99" s="20"/>
      <c r="M99" s="20"/>
      <c r="N99" s="20"/>
      <c r="O99" s="20"/>
      <c r="P99" s="20"/>
      <c r="Q99" s="20"/>
      <c r="R99" s="20"/>
      <c r="S99" s="20"/>
      <c r="T99"/>
      <c r="U99"/>
      <c r="V99"/>
      <c r="W99"/>
      <c r="X99"/>
      <c r="Y99"/>
      <c r="Z99"/>
      <c r="AA99"/>
      <c r="AB99"/>
      <c r="AC99"/>
      <c r="AD99"/>
      <c r="AE99"/>
      <c r="AF99"/>
      <c r="AG99"/>
      <c r="AH99"/>
    </row>
    <row r="100" spans="1:34" ht="15.75" hidden="1" thickTop="1">
      <c r="A100" s="3059"/>
      <c r="B100" s="3060"/>
      <c r="C100" s="3050"/>
      <c r="D100" s="3051"/>
      <c r="E100" s="3052"/>
      <c r="F100" s="3050"/>
      <c r="G100" s="3088"/>
      <c r="H100" s="3056"/>
      <c r="I100" s="3056"/>
      <c r="J100" s="3056"/>
      <c r="K100" s="3056"/>
      <c r="L100" s="3056"/>
      <c r="M100" s="3056"/>
      <c r="N100" s="3056"/>
      <c r="O100" s="3056"/>
      <c r="P100" s="3056"/>
      <c r="Q100" s="3056"/>
      <c r="R100" s="3056"/>
      <c r="S100" s="3056"/>
      <c r="T100" s="2"/>
      <c r="U100" s="2"/>
      <c r="V100" s="2"/>
      <c r="W100" s="2"/>
      <c r="X100" s="2"/>
      <c r="Y100" s="2"/>
      <c r="Z100" s="2"/>
      <c r="AA100" s="2"/>
      <c r="AB100" s="2"/>
      <c r="AC100" s="2"/>
      <c r="AD100" s="2"/>
      <c r="AE100" s="2"/>
      <c r="AF100" s="2"/>
      <c r="AG100" s="2"/>
      <c r="AH100" s="2"/>
    </row>
    <row r="101" spans="1:34" hidden="1">
      <c r="A101" s="2088"/>
      <c r="B101" s="2089"/>
      <c r="C101" s="2049"/>
      <c r="D101" s="2171"/>
      <c r="E101" s="2051"/>
      <c r="F101" s="2049"/>
      <c r="G101" s="2086"/>
      <c r="H101" s="2162"/>
      <c r="I101" s="2162"/>
      <c r="J101" s="2162"/>
      <c r="K101" s="2162"/>
      <c r="L101" s="2162"/>
      <c r="M101" s="2162"/>
      <c r="N101" s="2162"/>
      <c r="O101" s="2162"/>
      <c r="P101" s="2162"/>
      <c r="Q101" s="2162"/>
      <c r="R101" s="2162"/>
      <c r="S101" s="2162"/>
      <c r="T101" s="2"/>
      <c r="U101" s="2"/>
      <c r="V101" s="2"/>
      <c r="W101" s="2"/>
      <c r="X101" s="2"/>
      <c r="Y101" s="2"/>
      <c r="Z101" s="2"/>
      <c r="AA101" s="2"/>
      <c r="AB101" s="2"/>
      <c r="AC101" s="2"/>
      <c r="AD101" s="2"/>
      <c r="AE101" s="2"/>
      <c r="AF101" s="2"/>
      <c r="AG101" s="2"/>
      <c r="AH101" s="2"/>
    </row>
    <row r="102" spans="1:34" ht="15.75" hidden="1" thickBot="1">
      <c r="A102" s="2088"/>
      <c r="B102" s="2089"/>
      <c r="C102" s="2049"/>
      <c r="D102" s="2171"/>
      <c r="E102" s="2051"/>
      <c r="F102" s="2049"/>
      <c r="G102" s="2086"/>
      <c r="H102" s="2162"/>
      <c r="I102" s="2162"/>
      <c r="J102" s="2162"/>
      <c r="K102" s="2162"/>
      <c r="L102" s="2162"/>
      <c r="M102" s="2162"/>
      <c r="N102" s="2162"/>
      <c r="O102" s="2162"/>
      <c r="P102" s="2162"/>
      <c r="Q102" s="2162"/>
      <c r="R102" s="2162"/>
      <c r="S102" s="2162"/>
      <c r="T102" s="2"/>
      <c r="U102" s="2"/>
      <c r="V102" s="2"/>
      <c r="W102" s="2"/>
      <c r="X102" s="2"/>
      <c r="Y102" s="2"/>
      <c r="Z102" s="2"/>
      <c r="AA102" s="2"/>
      <c r="AB102" s="2"/>
      <c r="AC102" s="2"/>
      <c r="AD102" s="2"/>
      <c r="AE102" s="2"/>
      <c r="AF102" s="2"/>
      <c r="AG102" s="2"/>
      <c r="AH102" s="2"/>
    </row>
    <row r="103" spans="1:34" ht="16.5" hidden="1" thickTop="1" thickBot="1">
      <c r="A103" s="830" t="s">
        <v>2984</v>
      </c>
      <c r="B103" s="831"/>
      <c r="C103" s="12"/>
      <c r="D103" s="169"/>
      <c r="E103" s="177"/>
      <c r="F103" s="12"/>
      <c r="G103" s="228"/>
      <c r="H103" s="20"/>
      <c r="I103" s="20"/>
      <c r="J103" s="20"/>
      <c r="K103" s="20"/>
      <c r="L103" s="20"/>
      <c r="M103" s="20"/>
      <c r="N103" s="20"/>
      <c r="O103" s="20"/>
      <c r="P103" s="20"/>
      <c r="Q103" s="20"/>
      <c r="R103" s="20"/>
      <c r="S103" s="20"/>
    </row>
    <row r="104" spans="1:34" ht="15.75" hidden="1" thickTop="1">
      <c r="A104" s="2085"/>
      <c r="B104" s="2106" t="s">
        <v>2985</v>
      </c>
      <c r="C104" s="2049"/>
      <c r="D104" s="2171"/>
      <c r="E104" s="2051"/>
      <c r="F104" s="2049"/>
      <c r="G104" s="2086"/>
      <c r="H104" s="2162"/>
      <c r="I104" s="2162"/>
      <c r="J104" s="2162"/>
      <c r="K104" s="2162"/>
      <c r="L104" s="2162"/>
      <c r="M104" s="2162"/>
      <c r="N104" s="2162"/>
      <c r="O104" s="2162"/>
      <c r="P104" s="2162"/>
      <c r="Q104" s="2162"/>
      <c r="R104" s="2162"/>
      <c r="S104" s="2162"/>
    </row>
    <row r="105" spans="1:34" hidden="1">
      <c r="A105" s="2085"/>
      <c r="B105" s="2106" t="s">
        <v>2986</v>
      </c>
      <c r="C105" s="2049"/>
      <c r="D105" s="2171"/>
      <c r="E105" s="2051"/>
      <c r="F105" s="2049"/>
      <c r="G105" s="2086"/>
      <c r="H105" s="2162"/>
      <c r="I105" s="2162"/>
      <c r="J105" s="2162"/>
      <c r="K105" s="2162"/>
      <c r="L105" s="2162"/>
      <c r="M105" s="2162"/>
      <c r="N105" s="2162"/>
      <c r="O105" s="2162"/>
      <c r="P105" s="2162"/>
      <c r="Q105" s="2162"/>
      <c r="R105" s="2162"/>
      <c r="S105" s="2162"/>
    </row>
    <row r="106" spans="1:34" hidden="1">
      <c r="A106" s="2085"/>
      <c r="B106" s="2106" t="s">
        <v>2987</v>
      </c>
      <c r="C106" s="2049"/>
      <c r="D106" s="2171"/>
      <c r="E106" s="2051"/>
      <c r="F106" s="2049"/>
      <c r="G106" s="2086"/>
      <c r="H106" s="2162"/>
      <c r="I106" s="2162"/>
      <c r="J106" s="2162"/>
      <c r="K106" s="2162"/>
      <c r="L106" s="2162"/>
      <c r="M106" s="2162"/>
      <c r="N106" s="2162"/>
      <c r="O106" s="2162"/>
      <c r="P106" s="2162"/>
      <c r="Q106" s="2162"/>
      <c r="R106" s="2162"/>
      <c r="S106" s="2162"/>
    </row>
    <row r="107" spans="1:34" hidden="1">
      <c r="A107" s="2085"/>
      <c r="B107" s="2106" t="s">
        <v>2988</v>
      </c>
      <c r="C107" s="2049"/>
      <c r="D107" s="2171"/>
      <c r="E107" s="2051"/>
      <c r="F107" s="2049"/>
      <c r="G107" s="2086"/>
      <c r="H107" s="2162"/>
      <c r="I107" s="2162"/>
      <c r="J107" s="2162"/>
      <c r="K107" s="2162"/>
      <c r="L107" s="2162"/>
      <c r="M107" s="2162"/>
      <c r="N107" s="2162"/>
      <c r="O107" s="2162"/>
      <c r="P107" s="2162"/>
      <c r="Q107" s="2162"/>
      <c r="R107" s="2162"/>
      <c r="S107" s="2162"/>
    </row>
    <row r="108" spans="1:34" ht="15.75" hidden="1" thickBot="1">
      <c r="A108" s="646"/>
      <c r="B108" s="619"/>
      <c r="C108" s="616"/>
      <c r="D108" s="621"/>
      <c r="E108" s="622"/>
      <c r="F108" s="616"/>
      <c r="G108" s="620"/>
      <c r="H108" s="647"/>
      <c r="I108" s="647"/>
      <c r="J108" s="647"/>
      <c r="K108" s="647"/>
      <c r="L108" s="647"/>
      <c r="M108" s="647"/>
      <c r="N108" s="647"/>
      <c r="O108" s="647"/>
      <c r="P108" s="647"/>
      <c r="Q108" s="647"/>
      <c r="R108" s="647"/>
      <c r="S108" s="647"/>
    </row>
    <row r="109" spans="1:34" ht="16.5" hidden="1" thickTop="1" thickBot="1">
      <c r="A109" s="7" t="s">
        <v>2989</v>
      </c>
      <c r="B109" s="8"/>
      <c r="C109" s="12"/>
      <c r="D109" s="169"/>
      <c r="E109" s="177"/>
      <c r="F109" s="12"/>
      <c r="G109" s="228"/>
      <c r="H109" s="20"/>
      <c r="I109" s="20"/>
      <c r="J109" s="20"/>
      <c r="K109" s="20"/>
      <c r="L109" s="20"/>
      <c r="M109" s="20"/>
      <c r="N109" s="20"/>
      <c r="O109" s="20"/>
      <c r="P109" s="20"/>
      <c r="Q109" s="20"/>
      <c r="R109" s="20"/>
      <c r="S109" s="20"/>
    </row>
    <row r="110" spans="1:34" ht="15.75" hidden="1" thickTop="1">
      <c r="A110" s="3049"/>
      <c r="B110" s="3061" t="s">
        <v>2990</v>
      </c>
      <c r="C110" s="3050"/>
      <c r="D110" s="3051"/>
      <c r="E110" s="3052"/>
      <c r="F110" s="3050"/>
      <c r="G110" s="3088"/>
      <c r="H110" s="3062"/>
      <c r="I110" s="3062"/>
      <c r="J110" s="3062"/>
      <c r="K110" s="3062"/>
      <c r="L110" s="3062"/>
      <c r="M110" s="3062"/>
      <c r="N110" s="3062"/>
      <c r="O110" s="3062"/>
      <c r="P110" s="3062"/>
      <c r="Q110" s="3062"/>
      <c r="R110" s="3062"/>
      <c r="S110" s="3062"/>
    </row>
    <row r="111" spans="1:34" hidden="1">
      <c r="A111" s="2085"/>
      <c r="B111" s="2106" t="s">
        <v>2991</v>
      </c>
      <c r="C111" s="2049"/>
      <c r="D111" s="2171"/>
      <c r="E111" s="2051"/>
      <c r="F111" s="2049"/>
      <c r="G111" s="2086"/>
      <c r="H111" s="2165"/>
      <c r="I111" s="2165"/>
      <c r="J111" s="2165"/>
      <c r="K111" s="2165"/>
      <c r="L111" s="2165"/>
      <c r="M111" s="2165"/>
      <c r="N111" s="2165"/>
      <c r="O111" s="2165"/>
      <c r="P111" s="2165"/>
      <c r="Q111" s="2165"/>
      <c r="R111" s="2165"/>
      <c r="S111" s="2165"/>
    </row>
    <row r="112" spans="1:34" ht="15.75" hidden="1" thickBot="1">
      <c r="A112" s="2093"/>
      <c r="B112" s="2166" t="s">
        <v>2992</v>
      </c>
      <c r="C112" s="2167"/>
      <c r="D112" s="2217"/>
      <c r="E112" s="2095"/>
      <c r="F112" s="2167"/>
      <c r="G112" s="2096"/>
      <c r="H112" s="2097"/>
      <c r="I112" s="2097"/>
      <c r="J112" s="2097"/>
      <c r="K112" s="2097"/>
      <c r="L112" s="2097"/>
      <c r="M112" s="2097"/>
      <c r="N112" s="2097"/>
      <c r="O112" s="2097"/>
      <c r="P112" s="2097"/>
      <c r="Q112" s="2097"/>
      <c r="R112" s="2097"/>
      <c r="S112" s="2097"/>
    </row>
    <row r="113" spans="1:2" ht="15.75" thickBot="1"/>
    <row r="114" spans="1:2" ht="16.5" thickTop="1" thickBot="1">
      <c r="A114" s="59" t="s">
        <v>2993</v>
      </c>
      <c r="B114" s="61"/>
    </row>
    <row r="115" spans="1:2" ht="15.75" thickTop="1">
      <c r="A115" s="60" t="s">
        <v>2936</v>
      </c>
      <c r="B115" s="2098"/>
    </row>
    <row r="116" spans="1:2">
      <c r="A116" s="2099" t="s">
        <v>2939</v>
      </c>
      <c r="B116" s="2098"/>
    </row>
    <row r="117" spans="1:2">
      <c r="A117" s="2100" t="s">
        <v>2941</v>
      </c>
      <c r="B117" s="2101"/>
    </row>
    <row r="118" spans="1:2">
      <c r="A118" s="2100" t="s">
        <v>2943</v>
      </c>
      <c r="B118" s="2102"/>
    </row>
    <row r="119" spans="1:2" ht="15.75" thickBot="1">
      <c r="A119" s="2103" t="s">
        <v>2994</v>
      </c>
      <c r="B119" s="2104">
        <f>$I$84</f>
        <v>1230500</v>
      </c>
    </row>
    <row r="120" spans="1:2" ht="15.75" thickTop="1"/>
    <row r="121" spans="1:2">
      <c r="A121" s="62"/>
      <c r="B121" s="1" t="s">
        <v>2995</v>
      </c>
    </row>
    <row r="122" spans="1:2">
      <c r="A122" s="63"/>
      <c r="B122" s="1" t="s">
        <v>2996</v>
      </c>
    </row>
  </sheetData>
  <mergeCells count="34">
    <mergeCell ref="H9:I9"/>
    <mergeCell ref="A91:B91"/>
    <mergeCell ref="A95:B95"/>
    <mergeCell ref="A99:B99"/>
    <mergeCell ref="A103:B103"/>
    <mergeCell ref="J9:K9"/>
    <mergeCell ref="L9:M9"/>
    <mergeCell ref="N9:O9"/>
    <mergeCell ref="P9:Q9"/>
    <mergeCell ref="R9:S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s>
  <conditionalFormatting sqref="H11:H18 L11:L18 N11:N18 P11:P18 R11:R18 H20:H79 J20:J79 L20:L79 N20:N79 P20:P79 R20:R79">
    <cfRule type="cellIs" dxfId="75" priority="3" operator="equal">
      <formula>"X"</formula>
    </cfRule>
    <cfRule type="cellIs" dxfId="74" priority="4" operator="equal">
      <formula>"I"</formula>
    </cfRule>
  </conditionalFormatting>
  <conditionalFormatting sqref="J11:J18">
    <cfRule type="cellIs" dxfId="73" priority="1" operator="equal">
      <formula>"X"</formula>
    </cfRule>
    <cfRule type="cellIs" dxfId="72" priority="2" operator="equal">
      <formula>"I"</formula>
    </cfRule>
  </conditionalFormatting>
  <hyperlinks>
    <hyperlink ref="B4" location="'Cost Summary'!A1" display="BACK TO SUMMARY SHEET" xr:uid="{D5786802-BFFC-46A0-9070-0C2972CED194}"/>
    <hyperlink ref="H8" r:id="rId1" xr:uid="{614E848E-8695-4D0C-8115-4313522E0C87}"/>
  </hyperlinks>
  <pageMargins left="0.2" right="0.2" top="0.5" bottom="0.75" header="0.3" footer="0.3"/>
  <pageSetup paperSize="3" scale="77" fitToHeight="0" orientation="landscape"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0A34-61D9-4BEE-981C-21AF5E7E0D77}">
  <sheetPr>
    <tabColor rgb="FF00B050"/>
    <pageSetUpPr fitToPage="1"/>
  </sheetPr>
  <dimension ref="A1:AH286"/>
  <sheetViews>
    <sheetView zoomScale="90" zoomScaleNormal="90" workbookViewId="0">
      <pane xSplit="2" ySplit="10" topLeftCell="C11" activePane="bottomRight" state="frozen"/>
      <selection pane="bottomRight" activeCell="H5" sqref="H5:I5"/>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166"/>
      <c r="E5" s="171"/>
      <c r="F5" s="5"/>
      <c r="G5" s="6" t="s">
        <v>2936</v>
      </c>
      <c r="H5" s="837" t="s">
        <v>6374</v>
      </c>
      <c r="I5" s="838"/>
      <c r="J5" s="837"/>
      <c r="K5" s="838"/>
      <c r="L5" s="837"/>
      <c r="M5" s="838"/>
      <c r="N5" s="841"/>
      <c r="O5" s="842"/>
      <c r="P5" s="841"/>
      <c r="Q5" s="842"/>
      <c r="R5" s="841"/>
      <c r="S5" s="842"/>
    </row>
    <row r="6" spans="1:19">
      <c r="A6" s="2105" t="s">
        <v>2938</v>
      </c>
      <c r="B6" s="2106" t="s">
        <v>2596</v>
      </c>
      <c r="C6" s="2049"/>
      <c r="D6" s="2171"/>
      <c r="E6" s="2051"/>
      <c r="F6" s="2049"/>
      <c r="G6" s="657" t="s">
        <v>2939</v>
      </c>
      <c r="H6" s="2172" t="s">
        <v>6375</v>
      </c>
      <c r="I6" s="839"/>
      <c r="J6" s="2172"/>
      <c r="K6" s="839"/>
      <c r="L6" s="2172"/>
      <c r="M6" s="839"/>
      <c r="N6" s="2107"/>
      <c r="O6" s="843"/>
      <c r="P6" s="2107"/>
      <c r="Q6" s="843"/>
      <c r="R6" s="2107"/>
      <c r="S6" s="843"/>
    </row>
    <row r="7" spans="1:19">
      <c r="A7" s="2105" t="s">
        <v>2940</v>
      </c>
      <c r="B7" s="2108" t="s">
        <v>2598</v>
      </c>
      <c r="C7" s="2049"/>
      <c r="D7" s="2171"/>
      <c r="E7" s="2051"/>
      <c r="F7" s="2049"/>
      <c r="G7" s="2109" t="s">
        <v>2941</v>
      </c>
      <c r="H7" s="2173" t="s">
        <v>6376</v>
      </c>
      <c r="I7" s="840"/>
      <c r="J7" s="2173"/>
      <c r="K7" s="840"/>
      <c r="L7" s="2173"/>
      <c r="M7" s="840"/>
      <c r="N7" s="2110"/>
      <c r="O7" s="844"/>
      <c r="P7" s="2110"/>
      <c r="Q7" s="844"/>
      <c r="R7" s="2110"/>
      <c r="S7" s="844"/>
    </row>
    <row r="8" spans="1:19">
      <c r="A8" s="2105" t="s">
        <v>2942</v>
      </c>
      <c r="B8" s="2111"/>
      <c r="C8" s="2049"/>
      <c r="D8" s="2171"/>
      <c r="E8" s="2051"/>
      <c r="F8" s="2049"/>
      <c r="G8" s="2109" t="s">
        <v>2943</v>
      </c>
      <c r="H8" s="2174" t="s">
        <v>6377</v>
      </c>
      <c r="I8" s="836"/>
      <c r="J8" s="2174"/>
      <c r="K8" s="836"/>
      <c r="L8" s="2174"/>
      <c r="M8" s="836"/>
      <c r="N8" s="2112"/>
      <c r="O8" s="845"/>
      <c r="P8" s="2112"/>
      <c r="Q8" s="845"/>
      <c r="R8" s="2112"/>
      <c r="S8" s="845"/>
    </row>
    <row r="9" spans="1:19" ht="15.75" thickBot="1">
      <c r="A9" s="2175"/>
      <c r="B9" s="2166"/>
      <c r="C9" s="616"/>
      <c r="D9" s="621"/>
      <c r="E9" s="622"/>
      <c r="F9" s="2167"/>
      <c r="G9" s="2176" t="s">
        <v>2944</v>
      </c>
      <c r="H9" s="2179">
        <f>I$55</f>
        <v>42026</v>
      </c>
      <c r="I9" s="2180"/>
      <c r="J9" s="2177">
        <f>K$55</f>
        <v>0</v>
      </c>
      <c r="K9" s="2178"/>
      <c r="L9" s="2179">
        <f>M$55</f>
        <v>0</v>
      </c>
      <c r="M9" s="2180"/>
      <c r="N9" s="2179">
        <f>O$55</f>
        <v>0</v>
      </c>
      <c r="O9" s="2180"/>
      <c r="P9" s="2179">
        <f>Q$55</f>
        <v>0</v>
      </c>
      <c r="Q9" s="2180"/>
      <c r="R9" s="2179">
        <f>S$55</f>
        <v>0</v>
      </c>
      <c r="S9" s="218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067"/>
      <c r="B11" s="2889" t="s">
        <v>2953</v>
      </c>
      <c r="C11" s="659"/>
      <c r="D11" s="2171"/>
      <c r="E11" s="2051"/>
      <c r="F11" s="2049"/>
      <c r="G11" s="660"/>
      <c r="H11" s="2183"/>
      <c r="I11" s="182"/>
      <c r="J11" s="2183"/>
      <c r="K11" s="3068"/>
      <c r="L11" s="2183"/>
      <c r="M11" s="3069"/>
      <c r="N11" s="2183"/>
      <c r="O11" s="3069"/>
      <c r="P11" s="2183"/>
      <c r="Q11" s="3069"/>
      <c r="R11" s="2183"/>
      <c r="S11" s="3069"/>
    </row>
    <row r="12" spans="1:19">
      <c r="A12" s="3070"/>
      <c r="B12" s="2963" t="s">
        <v>2954</v>
      </c>
      <c r="C12" s="2049"/>
      <c r="D12" s="2171"/>
      <c r="E12" s="2051"/>
      <c r="F12" s="2049"/>
      <c r="G12" s="660"/>
      <c r="H12" s="2183"/>
      <c r="I12" s="3069"/>
      <c r="J12" s="2183"/>
      <c r="K12" s="3068"/>
      <c r="L12" s="2183"/>
      <c r="M12" s="3069"/>
      <c r="N12" s="2183"/>
      <c r="O12" s="3069"/>
      <c r="P12" s="2183"/>
      <c r="Q12" s="3069"/>
      <c r="R12" s="2183"/>
      <c r="S12" s="3069"/>
    </row>
    <row r="13" spans="1:19">
      <c r="A13" s="2185"/>
      <c r="B13" s="3071" t="s">
        <v>2955</v>
      </c>
      <c r="C13" s="2049"/>
      <c r="D13" s="2171"/>
      <c r="E13" s="2051"/>
      <c r="F13" s="2049"/>
      <c r="G13" s="660"/>
      <c r="H13" s="2183"/>
      <c r="I13" s="3069"/>
      <c r="J13" s="2183"/>
      <c r="K13" s="3068"/>
      <c r="L13" s="2183"/>
      <c r="M13" s="3069"/>
      <c r="N13" s="2183"/>
      <c r="O13" s="3069"/>
      <c r="P13" s="2183"/>
      <c r="Q13" s="3069"/>
      <c r="R13" s="2183"/>
      <c r="S13" s="3069"/>
    </row>
    <row r="14" spans="1:19">
      <c r="A14" s="2185"/>
      <c r="B14" s="3072" t="s">
        <v>2956</v>
      </c>
      <c r="C14" s="2049"/>
      <c r="D14" s="2171"/>
      <c r="E14" s="2051"/>
      <c r="F14" s="2049"/>
      <c r="G14" s="660"/>
      <c r="H14" s="2183"/>
      <c r="I14" s="3069"/>
      <c r="J14" s="2183"/>
      <c r="K14" s="3068"/>
      <c r="L14" s="2183"/>
      <c r="M14" s="3069"/>
      <c r="N14" s="2183"/>
      <c r="O14" s="3069"/>
      <c r="P14" s="2183"/>
      <c r="Q14" s="3069"/>
      <c r="R14" s="2183"/>
      <c r="S14" s="3069"/>
    </row>
    <row r="15" spans="1:19">
      <c r="A15" s="2185"/>
      <c r="B15" s="3072" t="s">
        <v>2957</v>
      </c>
      <c r="C15" s="2049"/>
      <c r="D15" s="2171"/>
      <c r="E15" s="2051"/>
      <c r="F15" s="2049"/>
      <c r="G15" s="660"/>
      <c r="H15" s="2183"/>
      <c r="I15" s="3068"/>
      <c r="J15" s="2183"/>
      <c r="K15" s="3068"/>
      <c r="L15" s="2183"/>
      <c r="M15" s="3068"/>
      <c r="N15" s="2183"/>
      <c r="O15" s="3068"/>
      <c r="P15" s="2183"/>
      <c r="Q15" s="3068"/>
      <c r="R15" s="2183"/>
      <c r="S15" s="3068"/>
    </row>
    <row r="16" spans="1:19">
      <c r="A16" s="2185"/>
      <c r="B16" s="3072" t="s">
        <v>2958</v>
      </c>
      <c r="C16" s="2049"/>
      <c r="D16" s="2171"/>
      <c r="E16" s="2051"/>
      <c r="F16" s="2049"/>
      <c r="G16" s="660"/>
      <c r="H16" s="2183"/>
      <c r="I16" s="3069"/>
      <c r="J16" s="2183"/>
      <c r="K16" s="3068"/>
      <c r="L16" s="2183"/>
      <c r="M16" s="3069"/>
      <c r="N16" s="2183"/>
      <c r="O16" s="3069"/>
      <c r="P16" s="2183"/>
      <c r="Q16" s="3069"/>
      <c r="R16" s="2183"/>
      <c r="S16" s="3069"/>
    </row>
    <row r="17" spans="1:19">
      <c r="A17" s="2185"/>
      <c r="B17" s="3072" t="s">
        <v>2959</v>
      </c>
      <c r="C17" s="2049"/>
      <c r="D17" s="2171"/>
      <c r="E17" s="2051"/>
      <c r="F17" s="2049"/>
      <c r="G17" s="660"/>
      <c r="H17" s="2183"/>
      <c r="I17" s="3069"/>
      <c r="J17" s="2183"/>
      <c r="K17" s="3068"/>
      <c r="L17" s="2183"/>
      <c r="M17" s="3069"/>
      <c r="N17" s="2183"/>
      <c r="O17" s="3069"/>
      <c r="P17" s="2183"/>
      <c r="Q17" s="3069"/>
      <c r="R17" s="2183"/>
      <c r="S17" s="3069"/>
    </row>
    <row r="18" spans="1:19">
      <c r="A18" s="2185"/>
      <c r="B18" s="3073" t="s">
        <v>2960</v>
      </c>
      <c r="C18" s="2049"/>
      <c r="D18" s="2171"/>
      <c r="E18" s="2051"/>
      <c r="F18" s="2049"/>
      <c r="G18" s="660"/>
      <c r="H18" s="2183"/>
      <c r="I18" s="3069"/>
      <c r="J18" s="2183"/>
      <c r="K18" s="3068"/>
      <c r="L18" s="2183"/>
      <c r="M18" s="3069"/>
      <c r="N18" s="2183"/>
      <c r="O18" s="3069"/>
      <c r="P18" s="2183"/>
      <c r="Q18" s="3069"/>
      <c r="R18" s="2183"/>
      <c r="S18" s="3069"/>
    </row>
    <row r="19" spans="1:19">
      <c r="A19" s="2185"/>
      <c r="B19" s="3074" t="s">
        <v>2961</v>
      </c>
      <c r="C19" s="2127"/>
      <c r="D19" s="2190"/>
      <c r="E19" s="2191"/>
      <c r="F19" s="2192"/>
      <c r="G19" s="661"/>
      <c r="H19" s="2193"/>
      <c r="I19" s="3075"/>
      <c r="J19" s="2193"/>
      <c r="K19" s="3076"/>
      <c r="L19" s="2193"/>
      <c r="M19" s="3075"/>
      <c r="N19" s="2193"/>
      <c r="O19" s="3075"/>
      <c r="P19" s="2193"/>
      <c r="Q19" s="3075"/>
      <c r="R19" s="2193"/>
      <c r="S19" s="3075"/>
    </row>
    <row r="20" spans="1:19">
      <c r="A20" s="2185"/>
      <c r="B20" s="3077"/>
      <c r="C20" s="2049"/>
      <c r="D20" s="2171"/>
      <c r="E20" s="2051"/>
      <c r="F20" s="2052"/>
      <c r="G20" s="660"/>
      <c r="H20" s="2183"/>
      <c r="I20" s="3078"/>
      <c r="J20" s="2183"/>
      <c r="K20" s="3079"/>
      <c r="L20" s="2183"/>
      <c r="M20" s="3078"/>
      <c r="N20" s="2183"/>
      <c r="O20" s="3078"/>
      <c r="P20" s="2183"/>
      <c r="Q20" s="3078"/>
      <c r="R20" s="2183"/>
      <c r="S20" s="3078"/>
    </row>
    <row r="21" spans="1:19">
      <c r="A21" s="2185"/>
      <c r="B21" s="2196" t="s">
        <v>2695</v>
      </c>
      <c r="C21" s="2049"/>
      <c r="D21" s="2171"/>
      <c r="E21" s="2051"/>
      <c r="F21" s="2052"/>
      <c r="G21" s="662">
        <f t="shared" ref="G21:G49" si="0">ROUND(D21*F21,0)</f>
        <v>0</v>
      </c>
      <c r="H21" s="2183"/>
      <c r="I21" s="3080">
        <f>SUBTOTAL(9,I22:I49)</f>
        <v>42026</v>
      </c>
      <c r="J21" s="2183"/>
      <c r="K21" s="3080">
        <f>SUBTOTAL(9,K22:K49)</f>
        <v>0</v>
      </c>
      <c r="L21" s="2183"/>
      <c r="M21" s="3080">
        <f>SUBTOTAL(9,M22:M49)</f>
        <v>0</v>
      </c>
      <c r="N21" s="2183"/>
      <c r="O21" s="3080">
        <f>SUBTOTAL(9,O22:O49)</f>
        <v>0</v>
      </c>
      <c r="P21" s="2183"/>
      <c r="Q21" s="3080">
        <f>SUBTOTAL(9,Q22:Q49)</f>
        <v>0</v>
      </c>
      <c r="R21" s="2183"/>
      <c r="S21" s="3080">
        <f>SUBTOTAL(9,S22:S49)</f>
        <v>0</v>
      </c>
    </row>
    <row r="22" spans="1:19">
      <c r="A22" s="2185"/>
      <c r="B22" s="3077" t="s">
        <v>6378</v>
      </c>
      <c r="C22" s="2049"/>
      <c r="D22" s="2171"/>
      <c r="E22" s="2051"/>
      <c r="F22" s="2052"/>
      <c r="G22" s="662">
        <f t="shared" si="0"/>
        <v>0</v>
      </c>
      <c r="H22" s="2183"/>
      <c r="I22" s="3079">
        <v>12568</v>
      </c>
      <c r="J22" s="2183"/>
      <c r="K22" s="3079"/>
      <c r="L22" s="2183"/>
      <c r="M22" s="3078"/>
      <c r="N22" s="2183"/>
      <c r="O22" s="3078"/>
      <c r="P22" s="2183"/>
      <c r="Q22" s="3078"/>
      <c r="R22" s="2183"/>
      <c r="S22" s="3078"/>
    </row>
    <row r="23" spans="1:19">
      <c r="A23" s="2185"/>
      <c r="B23" s="3077" t="s">
        <v>6379</v>
      </c>
      <c r="C23" s="2049"/>
      <c r="D23" s="2171"/>
      <c r="E23" s="2051"/>
      <c r="F23" s="2052"/>
      <c r="G23" s="662">
        <f t="shared" si="0"/>
        <v>0</v>
      </c>
      <c r="H23" s="2183"/>
      <c r="I23" s="3079">
        <v>14729</v>
      </c>
      <c r="J23" s="2183"/>
      <c r="K23" s="3079"/>
      <c r="L23" s="2183"/>
      <c r="M23" s="3078"/>
      <c r="N23" s="2183"/>
      <c r="O23" s="3078"/>
      <c r="P23" s="2183"/>
      <c r="Q23" s="3078"/>
      <c r="R23" s="2183"/>
      <c r="S23" s="3078"/>
    </row>
    <row r="24" spans="1:19">
      <c r="A24" s="2185"/>
      <c r="B24" s="3077" t="s">
        <v>6380</v>
      </c>
      <c r="C24" s="2049"/>
      <c r="D24" s="2171"/>
      <c r="E24" s="2051"/>
      <c r="F24" s="2052"/>
      <c r="G24" s="662">
        <f t="shared" si="0"/>
        <v>0</v>
      </c>
      <c r="H24" s="2183"/>
      <c r="I24" s="3079">
        <v>14729</v>
      </c>
      <c r="J24" s="2183"/>
      <c r="K24" s="3079"/>
      <c r="L24" s="2183"/>
      <c r="M24" s="3078"/>
      <c r="N24" s="2183"/>
      <c r="O24" s="3078"/>
      <c r="P24" s="2183"/>
      <c r="Q24" s="3078"/>
      <c r="R24" s="2183"/>
      <c r="S24" s="3078"/>
    </row>
    <row r="25" spans="1:19">
      <c r="A25" s="2185"/>
      <c r="B25" s="3077"/>
      <c r="C25" s="2049"/>
      <c r="D25" s="2171"/>
      <c r="E25" s="2051"/>
      <c r="F25" s="2052"/>
      <c r="G25" s="662">
        <f t="shared" si="0"/>
        <v>0</v>
      </c>
      <c r="H25" s="2183"/>
      <c r="I25" s="3079">
        <f t="shared" ref="I25:I49" si="1">G25</f>
        <v>0</v>
      </c>
      <c r="J25" s="2183"/>
      <c r="K25" s="3079"/>
      <c r="L25" s="2183"/>
      <c r="M25" s="3078"/>
      <c r="N25" s="2183"/>
      <c r="O25" s="3078"/>
      <c r="P25" s="2183"/>
      <c r="Q25" s="3078"/>
      <c r="R25" s="2183"/>
      <c r="S25" s="3078"/>
    </row>
    <row r="26" spans="1:19">
      <c r="A26" s="2185"/>
      <c r="B26" s="3077" t="s">
        <v>6381</v>
      </c>
      <c r="C26" s="2049"/>
      <c r="D26" s="2171"/>
      <c r="E26" s="2051"/>
      <c r="F26" s="2052"/>
      <c r="G26" s="662">
        <f t="shared" si="0"/>
        <v>0</v>
      </c>
      <c r="H26" s="2183" t="s">
        <v>2931</v>
      </c>
      <c r="I26" s="3079">
        <f t="shared" si="1"/>
        <v>0</v>
      </c>
      <c r="J26" s="2183"/>
      <c r="K26" s="3079"/>
      <c r="L26" s="2183"/>
      <c r="M26" s="3078"/>
      <c r="N26" s="2183"/>
      <c r="O26" s="3078"/>
      <c r="P26" s="2183"/>
      <c r="Q26" s="3078"/>
      <c r="R26" s="2183"/>
      <c r="S26" s="3078"/>
    </row>
    <row r="27" spans="1:19" s="175" customFormat="1" ht="60">
      <c r="A27" s="2185"/>
      <c r="B27" s="3089" t="s">
        <v>6382</v>
      </c>
      <c r="C27" s="2056"/>
      <c r="D27" s="3013"/>
      <c r="E27" s="3014"/>
      <c r="F27" s="3023"/>
      <c r="G27" s="668">
        <f t="shared" si="0"/>
        <v>0</v>
      </c>
      <c r="H27" s="2183" t="s">
        <v>2931</v>
      </c>
      <c r="I27" s="3091">
        <f t="shared" si="1"/>
        <v>0</v>
      </c>
      <c r="J27" s="3090"/>
      <c r="K27" s="3091"/>
      <c r="L27" s="3090"/>
      <c r="M27" s="3092"/>
      <c r="N27" s="3090"/>
      <c r="O27" s="3092"/>
      <c r="P27" s="3090"/>
      <c r="Q27" s="3092"/>
      <c r="R27" s="3090"/>
      <c r="S27" s="3092"/>
    </row>
    <row r="28" spans="1:19" s="175" customFormat="1" ht="45">
      <c r="A28" s="2185"/>
      <c r="B28" s="3089" t="s">
        <v>6383</v>
      </c>
      <c r="C28" s="2056"/>
      <c r="D28" s="3013"/>
      <c r="E28" s="3014"/>
      <c r="F28" s="3023"/>
      <c r="G28" s="668">
        <f t="shared" si="0"/>
        <v>0</v>
      </c>
      <c r="H28" s="2183" t="s">
        <v>2931</v>
      </c>
      <c r="I28" s="3091">
        <f t="shared" si="1"/>
        <v>0</v>
      </c>
      <c r="J28" s="3090"/>
      <c r="K28" s="3091"/>
      <c r="L28" s="3090"/>
      <c r="M28" s="3092"/>
      <c r="N28" s="3090"/>
      <c r="O28" s="3092"/>
      <c r="P28" s="3090"/>
      <c r="Q28" s="3092"/>
      <c r="R28" s="3090"/>
      <c r="S28" s="3092"/>
    </row>
    <row r="29" spans="1:19" s="175" customFormat="1">
      <c r="A29" s="2185"/>
      <c r="B29" s="3089" t="s">
        <v>6384</v>
      </c>
      <c r="C29" s="2056"/>
      <c r="D29" s="3013"/>
      <c r="E29" s="3014"/>
      <c r="F29" s="3023"/>
      <c r="G29" s="668">
        <f t="shared" si="0"/>
        <v>0</v>
      </c>
      <c r="H29" s="2183" t="s">
        <v>2931</v>
      </c>
      <c r="I29" s="3091">
        <f t="shared" si="1"/>
        <v>0</v>
      </c>
      <c r="J29" s="3090"/>
      <c r="K29" s="3091"/>
      <c r="L29" s="3090"/>
      <c r="M29" s="3092"/>
      <c r="N29" s="3090"/>
      <c r="O29" s="3092"/>
      <c r="P29" s="3090"/>
      <c r="Q29" s="3092"/>
      <c r="R29" s="3090"/>
      <c r="S29" s="3092"/>
    </row>
    <row r="30" spans="1:19" s="175" customFormat="1" ht="45">
      <c r="A30" s="2185"/>
      <c r="B30" s="3089" t="s">
        <v>6385</v>
      </c>
      <c r="C30" s="2056"/>
      <c r="D30" s="3013"/>
      <c r="E30" s="3014"/>
      <c r="F30" s="3023"/>
      <c r="G30" s="668">
        <f t="shared" si="0"/>
        <v>0</v>
      </c>
      <c r="H30" s="2183" t="s">
        <v>2931</v>
      </c>
      <c r="I30" s="3091">
        <f t="shared" si="1"/>
        <v>0</v>
      </c>
      <c r="J30" s="3090"/>
      <c r="K30" s="3091"/>
      <c r="L30" s="3090"/>
      <c r="M30" s="3092"/>
      <c r="N30" s="3090"/>
      <c r="O30" s="3092"/>
      <c r="P30" s="3090"/>
      <c r="Q30" s="3092"/>
      <c r="R30" s="3090"/>
      <c r="S30" s="3092"/>
    </row>
    <row r="31" spans="1:19" s="175" customFormat="1" ht="30">
      <c r="A31" s="2185"/>
      <c r="B31" s="3089" t="s">
        <v>6386</v>
      </c>
      <c r="C31" s="2056"/>
      <c r="D31" s="3013"/>
      <c r="E31" s="3014"/>
      <c r="F31" s="3023"/>
      <c r="G31" s="668">
        <f t="shared" si="0"/>
        <v>0</v>
      </c>
      <c r="H31" s="2183" t="s">
        <v>2931</v>
      </c>
      <c r="I31" s="3091">
        <f t="shared" si="1"/>
        <v>0</v>
      </c>
      <c r="J31" s="3090"/>
      <c r="K31" s="3091"/>
      <c r="L31" s="3090"/>
      <c r="M31" s="3092"/>
      <c r="N31" s="3090"/>
      <c r="O31" s="3092"/>
      <c r="P31" s="3090"/>
      <c r="Q31" s="3092"/>
      <c r="R31" s="3090"/>
      <c r="S31" s="3092"/>
    </row>
    <row r="32" spans="1:19">
      <c r="A32" s="2185"/>
      <c r="B32" s="3077" t="s">
        <v>6387</v>
      </c>
      <c r="C32" s="2049"/>
      <c r="D32" s="2171"/>
      <c r="E32" s="2051"/>
      <c r="F32" s="2052"/>
      <c r="G32" s="662">
        <f t="shared" si="0"/>
        <v>0</v>
      </c>
      <c r="H32" s="2183" t="s">
        <v>2931</v>
      </c>
      <c r="I32" s="3079">
        <f t="shared" si="1"/>
        <v>0</v>
      </c>
      <c r="J32" s="2183"/>
      <c r="K32" s="3079"/>
      <c r="L32" s="2183"/>
      <c r="M32" s="3078"/>
      <c r="N32" s="2183"/>
      <c r="O32" s="3078"/>
      <c r="P32" s="2183"/>
      <c r="Q32" s="3078"/>
      <c r="R32" s="2183"/>
      <c r="S32" s="3078"/>
    </row>
    <row r="33" spans="1:19">
      <c r="A33" s="2185"/>
      <c r="B33" s="3077"/>
      <c r="C33" s="2049"/>
      <c r="D33" s="2171"/>
      <c r="E33" s="2051"/>
      <c r="F33" s="2052"/>
      <c r="G33" s="662">
        <f t="shared" si="0"/>
        <v>0</v>
      </c>
      <c r="H33" s="2183"/>
      <c r="I33" s="3079">
        <f t="shared" si="1"/>
        <v>0</v>
      </c>
      <c r="J33" s="2183"/>
      <c r="K33" s="3079"/>
      <c r="L33" s="2183"/>
      <c r="M33" s="3078"/>
      <c r="N33" s="2183"/>
      <c r="O33" s="3078"/>
      <c r="P33" s="2183"/>
      <c r="Q33" s="3078"/>
      <c r="R33" s="2183"/>
      <c r="S33" s="3078"/>
    </row>
    <row r="34" spans="1:19">
      <c r="A34" s="2185"/>
      <c r="B34" s="3077"/>
      <c r="C34" s="2049"/>
      <c r="D34" s="2171"/>
      <c r="E34" s="2051"/>
      <c r="F34" s="2052"/>
      <c r="G34" s="662">
        <f t="shared" si="0"/>
        <v>0</v>
      </c>
      <c r="H34" s="2183"/>
      <c r="I34" s="3079">
        <f t="shared" si="1"/>
        <v>0</v>
      </c>
      <c r="J34" s="2183"/>
      <c r="K34" s="3079"/>
      <c r="L34" s="2183"/>
      <c r="M34" s="3078"/>
      <c r="N34" s="2183"/>
      <c r="O34" s="3078"/>
      <c r="P34" s="2183"/>
      <c r="Q34" s="3078"/>
      <c r="R34" s="2183"/>
      <c r="S34" s="3078"/>
    </row>
    <row r="35" spans="1:19">
      <c r="A35" s="2185"/>
      <c r="B35" s="3077"/>
      <c r="C35" s="2049"/>
      <c r="D35" s="2171"/>
      <c r="E35" s="2051"/>
      <c r="F35" s="2052"/>
      <c r="G35" s="662">
        <f t="shared" si="0"/>
        <v>0</v>
      </c>
      <c r="H35" s="2183"/>
      <c r="I35" s="3079">
        <f t="shared" si="1"/>
        <v>0</v>
      </c>
      <c r="J35" s="2183"/>
      <c r="K35" s="3079"/>
      <c r="L35" s="2183"/>
      <c r="M35" s="3078"/>
      <c r="N35" s="2183"/>
      <c r="O35" s="3078"/>
      <c r="P35" s="2183"/>
      <c r="Q35" s="3078"/>
      <c r="R35" s="2183"/>
      <c r="S35" s="3078"/>
    </row>
    <row r="36" spans="1:19">
      <c r="A36" s="2185"/>
      <c r="B36" s="3077"/>
      <c r="C36" s="2049"/>
      <c r="D36" s="2171"/>
      <c r="E36" s="2051"/>
      <c r="F36" s="2052"/>
      <c r="G36" s="662">
        <f t="shared" si="0"/>
        <v>0</v>
      </c>
      <c r="H36" s="2183"/>
      <c r="I36" s="3079">
        <f t="shared" si="1"/>
        <v>0</v>
      </c>
      <c r="J36" s="2183"/>
      <c r="K36" s="3079"/>
      <c r="L36" s="2183"/>
      <c r="M36" s="3078"/>
      <c r="N36" s="2183"/>
      <c r="O36" s="3078"/>
      <c r="P36" s="2183"/>
      <c r="Q36" s="3078"/>
      <c r="R36" s="2183"/>
      <c r="S36" s="3078"/>
    </row>
    <row r="37" spans="1:19">
      <c r="A37" s="2185"/>
      <c r="B37" s="3077"/>
      <c r="C37" s="2049"/>
      <c r="D37" s="2171"/>
      <c r="E37" s="2051"/>
      <c r="F37" s="2052"/>
      <c r="G37" s="662">
        <f t="shared" si="0"/>
        <v>0</v>
      </c>
      <c r="H37" s="2183"/>
      <c r="I37" s="3079">
        <f t="shared" si="1"/>
        <v>0</v>
      </c>
      <c r="J37" s="2183"/>
      <c r="K37" s="3079"/>
      <c r="L37" s="2183"/>
      <c r="M37" s="3078"/>
      <c r="N37" s="2183"/>
      <c r="O37" s="3078"/>
      <c r="P37" s="2183"/>
      <c r="Q37" s="3078"/>
      <c r="R37" s="2183"/>
      <c r="S37" s="3078"/>
    </row>
    <row r="38" spans="1:19">
      <c r="A38" s="2185"/>
      <c r="B38" s="3077"/>
      <c r="C38" s="2049"/>
      <c r="D38" s="2171"/>
      <c r="E38" s="2051"/>
      <c r="F38" s="2052"/>
      <c r="G38" s="662">
        <f t="shared" si="0"/>
        <v>0</v>
      </c>
      <c r="H38" s="2183"/>
      <c r="I38" s="3079">
        <f t="shared" si="1"/>
        <v>0</v>
      </c>
      <c r="J38" s="2183"/>
      <c r="K38" s="3079"/>
      <c r="L38" s="2183"/>
      <c r="M38" s="3078"/>
      <c r="N38" s="2183"/>
      <c r="O38" s="3078"/>
      <c r="P38" s="2183"/>
      <c r="Q38" s="3078"/>
      <c r="R38" s="2183"/>
      <c r="S38" s="3078"/>
    </row>
    <row r="39" spans="1:19">
      <c r="A39" s="2185"/>
      <c r="B39" s="3077"/>
      <c r="C39" s="2049"/>
      <c r="D39" s="2171"/>
      <c r="E39" s="2051"/>
      <c r="F39" s="2052"/>
      <c r="G39" s="662">
        <f t="shared" si="0"/>
        <v>0</v>
      </c>
      <c r="H39" s="2183"/>
      <c r="I39" s="3079">
        <f t="shared" si="1"/>
        <v>0</v>
      </c>
      <c r="J39" s="2183"/>
      <c r="K39" s="3079"/>
      <c r="L39" s="2183"/>
      <c r="M39" s="3078"/>
      <c r="N39" s="2183"/>
      <c r="O39" s="3078"/>
      <c r="P39" s="2183"/>
      <c r="Q39" s="3078"/>
      <c r="R39" s="2183"/>
      <c r="S39" s="3078"/>
    </row>
    <row r="40" spans="1:19">
      <c r="A40" s="2185"/>
      <c r="B40" s="3077"/>
      <c r="C40" s="2049"/>
      <c r="D40" s="2171"/>
      <c r="E40" s="2051"/>
      <c r="F40" s="2052"/>
      <c r="G40" s="662">
        <f t="shared" si="0"/>
        <v>0</v>
      </c>
      <c r="H40" s="2183"/>
      <c r="I40" s="3079">
        <f t="shared" si="1"/>
        <v>0</v>
      </c>
      <c r="J40" s="2183"/>
      <c r="K40" s="3079"/>
      <c r="L40" s="2183"/>
      <c r="M40" s="3078"/>
      <c r="N40" s="2183"/>
      <c r="O40" s="3078"/>
      <c r="P40" s="2183"/>
      <c r="Q40" s="3078"/>
      <c r="R40" s="2183"/>
      <c r="S40" s="3078"/>
    </row>
    <row r="41" spans="1:19" ht="15.75" customHeight="1">
      <c r="A41" s="2185"/>
      <c r="B41" s="3026"/>
      <c r="C41" s="2205"/>
      <c r="D41" s="2206"/>
      <c r="E41" s="2051"/>
      <c r="F41" s="2207"/>
      <c r="G41" s="662">
        <f t="shared" si="0"/>
        <v>0</v>
      </c>
      <c r="H41" s="2183"/>
      <c r="I41" s="3079">
        <f t="shared" si="1"/>
        <v>0</v>
      </c>
      <c r="J41" s="2183"/>
      <c r="K41" s="3079"/>
      <c r="L41" s="2183"/>
      <c r="M41" s="3079"/>
      <c r="N41" s="2183"/>
      <c r="O41" s="3078"/>
      <c r="P41" s="2183"/>
      <c r="Q41" s="3078"/>
      <c r="R41" s="2183"/>
      <c r="S41" s="3078"/>
    </row>
    <row r="42" spans="1:19" ht="15.75" customHeight="1">
      <c r="A42" s="2185"/>
      <c r="B42" s="3026"/>
      <c r="C42" s="2205"/>
      <c r="D42" s="2206"/>
      <c r="E42" s="2051"/>
      <c r="F42" s="2207"/>
      <c r="G42" s="662">
        <f t="shared" si="0"/>
        <v>0</v>
      </c>
      <c r="H42" s="2183"/>
      <c r="I42" s="3079">
        <f t="shared" si="1"/>
        <v>0</v>
      </c>
      <c r="J42" s="2183"/>
      <c r="K42" s="3079"/>
      <c r="L42" s="2183"/>
      <c r="M42" s="3079"/>
      <c r="N42" s="2183"/>
      <c r="O42" s="3078"/>
      <c r="P42" s="2183"/>
      <c r="Q42" s="3078"/>
      <c r="R42" s="2183"/>
      <c r="S42" s="3078"/>
    </row>
    <row r="43" spans="1:19" ht="15.75" customHeight="1">
      <c r="A43" s="2185"/>
      <c r="B43" s="3026"/>
      <c r="C43" s="2205"/>
      <c r="D43" s="2206"/>
      <c r="E43" s="2051"/>
      <c r="F43" s="2207"/>
      <c r="G43" s="662">
        <f t="shared" si="0"/>
        <v>0</v>
      </c>
      <c r="H43" s="2183"/>
      <c r="I43" s="3079">
        <f t="shared" si="1"/>
        <v>0</v>
      </c>
      <c r="J43" s="2183"/>
      <c r="K43" s="3079"/>
      <c r="L43" s="2183"/>
      <c r="M43" s="3079"/>
      <c r="N43" s="2183"/>
      <c r="O43" s="3078"/>
      <c r="P43" s="2183"/>
      <c r="Q43" s="3078"/>
      <c r="R43" s="2183"/>
      <c r="S43" s="3078"/>
    </row>
    <row r="44" spans="1:19" ht="15.75" customHeight="1">
      <c r="A44" s="2185"/>
      <c r="B44" s="3026"/>
      <c r="C44" s="2205"/>
      <c r="D44" s="2206"/>
      <c r="E44" s="2051"/>
      <c r="F44" s="2207"/>
      <c r="G44" s="662">
        <f t="shared" si="0"/>
        <v>0</v>
      </c>
      <c r="H44" s="2183"/>
      <c r="I44" s="3079">
        <f t="shared" si="1"/>
        <v>0</v>
      </c>
      <c r="J44" s="2183"/>
      <c r="K44" s="3079"/>
      <c r="L44" s="2183"/>
      <c r="M44" s="3079"/>
      <c r="N44" s="2183"/>
      <c r="O44" s="3078"/>
      <c r="P44" s="2183"/>
      <c r="Q44" s="3078"/>
      <c r="R44" s="2183"/>
      <c r="S44" s="3078"/>
    </row>
    <row r="45" spans="1:19" ht="15.75" customHeight="1">
      <c r="A45" s="2185"/>
      <c r="B45" s="3026"/>
      <c r="C45" s="2205"/>
      <c r="D45" s="2206"/>
      <c r="E45" s="2051"/>
      <c r="F45" s="2207"/>
      <c r="G45" s="662">
        <f t="shared" si="0"/>
        <v>0</v>
      </c>
      <c r="H45" s="2183"/>
      <c r="I45" s="3079">
        <f t="shared" si="1"/>
        <v>0</v>
      </c>
      <c r="J45" s="2183"/>
      <c r="K45" s="3079"/>
      <c r="L45" s="2183"/>
      <c r="M45" s="3079"/>
      <c r="N45" s="2183"/>
      <c r="O45" s="3078"/>
      <c r="P45" s="2183"/>
      <c r="Q45" s="3078"/>
      <c r="R45" s="2183"/>
      <c r="S45" s="3078"/>
    </row>
    <row r="46" spans="1:19" ht="15.75" customHeight="1">
      <c r="A46" s="2185"/>
      <c r="B46" s="3026"/>
      <c r="C46" s="2205"/>
      <c r="D46" s="2206"/>
      <c r="E46" s="2051"/>
      <c r="F46" s="2207"/>
      <c r="G46" s="662">
        <f t="shared" si="0"/>
        <v>0</v>
      </c>
      <c r="H46" s="2183"/>
      <c r="I46" s="3079">
        <f t="shared" si="1"/>
        <v>0</v>
      </c>
      <c r="J46" s="2183"/>
      <c r="K46" s="3079"/>
      <c r="L46" s="2183"/>
      <c r="M46" s="3079"/>
      <c r="N46" s="2183"/>
      <c r="O46" s="3078"/>
      <c r="P46" s="2183"/>
      <c r="Q46" s="3078"/>
      <c r="R46" s="2183"/>
      <c r="S46" s="3078"/>
    </row>
    <row r="47" spans="1:19" ht="15.75" customHeight="1">
      <c r="A47" s="2185"/>
      <c r="B47" s="3026"/>
      <c r="C47" s="2205"/>
      <c r="D47" s="2206"/>
      <c r="E47" s="2051"/>
      <c r="F47" s="2207"/>
      <c r="G47" s="662">
        <f t="shared" si="0"/>
        <v>0</v>
      </c>
      <c r="H47" s="2183"/>
      <c r="I47" s="3079">
        <f t="shared" si="1"/>
        <v>0</v>
      </c>
      <c r="J47" s="2183"/>
      <c r="K47" s="3079"/>
      <c r="L47" s="2183"/>
      <c r="M47" s="3079"/>
      <c r="N47" s="2183"/>
      <c r="O47" s="3078"/>
      <c r="P47" s="2183"/>
      <c r="Q47" s="3078"/>
      <c r="R47" s="2183"/>
      <c r="S47" s="3078"/>
    </row>
    <row r="48" spans="1:19" ht="15.75" customHeight="1">
      <c r="A48" s="2185"/>
      <c r="B48" s="3026"/>
      <c r="C48" s="2205"/>
      <c r="D48" s="2206"/>
      <c r="E48" s="2051"/>
      <c r="F48" s="2207"/>
      <c r="G48" s="662">
        <f t="shared" si="0"/>
        <v>0</v>
      </c>
      <c r="H48" s="2183"/>
      <c r="I48" s="3079">
        <f t="shared" si="1"/>
        <v>0</v>
      </c>
      <c r="J48" s="2183"/>
      <c r="K48" s="3079"/>
      <c r="L48" s="2183"/>
      <c r="M48" s="3079"/>
      <c r="N48" s="2183"/>
      <c r="O48" s="3078"/>
      <c r="P48" s="2183"/>
      <c r="Q48" s="3078"/>
      <c r="R48" s="2183"/>
      <c r="S48" s="3078"/>
    </row>
    <row r="49" spans="1:34" ht="15.75" customHeight="1">
      <c r="A49" s="2185"/>
      <c r="B49" s="3026"/>
      <c r="C49" s="2205"/>
      <c r="D49" s="2206"/>
      <c r="E49" s="2051"/>
      <c r="F49" s="2207"/>
      <c r="G49" s="662">
        <f t="shared" si="0"/>
        <v>0</v>
      </c>
      <c r="H49" s="2183"/>
      <c r="I49" s="3079">
        <f t="shared" si="1"/>
        <v>0</v>
      </c>
      <c r="J49" s="2183"/>
      <c r="K49" s="3079"/>
      <c r="L49" s="2183"/>
      <c r="M49" s="3079"/>
      <c r="N49" s="2183"/>
      <c r="O49" s="3078"/>
      <c r="P49" s="2183"/>
      <c r="Q49" s="3078"/>
      <c r="R49" s="2183"/>
      <c r="S49" s="3078"/>
    </row>
    <row r="50" spans="1:34" ht="15.75" thickBot="1">
      <c r="A50" s="2185"/>
      <c r="B50" s="2204"/>
      <c r="C50" s="2205"/>
      <c r="D50" s="2206"/>
      <c r="E50" s="2051"/>
      <c r="F50" s="2207"/>
      <c r="G50" s="662"/>
      <c r="H50" s="2183"/>
      <c r="I50" s="3079"/>
      <c r="J50" s="2183"/>
      <c r="K50" s="3079"/>
      <c r="L50" s="2183"/>
      <c r="M50" s="3079"/>
      <c r="N50" s="2183"/>
      <c r="O50" s="3078"/>
      <c r="P50" s="2183"/>
      <c r="Q50" s="3078"/>
      <c r="R50" s="2183"/>
      <c r="S50" s="3078"/>
    </row>
    <row r="51" spans="1:34" ht="15.75" thickTop="1">
      <c r="A51" s="13"/>
      <c r="B51" s="226" t="s">
        <v>3265</v>
      </c>
      <c r="C51" s="15"/>
      <c r="D51" s="168"/>
      <c r="E51" s="176"/>
      <c r="F51" s="17"/>
      <c r="G51" s="227">
        <f>SUBTOTAL(9,G22:G50)</f>
        <v>0</v>
      </c>
      <c r="H51" s="19"/>
      <c r="I51" s="225">
        <f>SUBTOTAL(9,I22:I50)</f>
        <v>42026</v>
      </c>
      <c r="J51" s="19"/>
      <c r="K51" s="225">
        <f>SUBTOTAL(9,K22:K50)</f>
        <v>0</v>
      </c>
      <c r="L51" s="19"/>
      <c r="M51" s="225">
        <f>SUBTOTAL(9,M22:M50)</f>
        <v>0</v>
      </c>
      <c r="N51" s="19"/>
      <c r="O51" s="164">
        <f>SUM(O19:O50)</f>
        <v>0</v>
      </c>
      <c r="P51" s="19"/>
      <c r="Q51" s="164">
        <f>SUM(Q19:Q50)</f>
        <v>0</v>
      </c>
      <c r="R51" s="19"/>
      <c r="S51" s="164">
        <f>SUM(S19:S50)</f>
        <v>0</v>
      </c>
    </row>
    <row r="52" spans="1:34">
      <c r="A52" s="2137"/>
      <c r="B52" s="2208" t="s">
        <v>2976</v>
      </c>
      <c r="C52" s="2138"/>
      <c r="D52" s="2209"/>
      <c r="E52" s="2210"/>
      <c r="F52" s="2140"/>
      <c r="G52" s="654"/>
      <c r="H52" s="2141"/>
      <c r="I52" s="645"/>
      <c r="J52" s="2141">
        <v>0</v>
      </c>
      <c r="K52" s="645"/>
      <c r="L52" s="2141">
        <v>0</v>
      </c>
      <c r="M52" s="645"/>
      <c r="N52" s="2141">
        <v>0</v>
      </c>
      <c r="O52" s="645"/>
      <c r="P52" s="2141">
        <v>0</v>
      </c>
      <c r="Q52" s="645"/>
      <c r="R52" s="2141">
        <v>0</v>
      </c>
      <c r="S52" s="645"/>
    </row>
    <row r="53" spans="1:34">
      <c r="A53" s="2137"/>
      <c r="B53" s="2208" t="s">
        <v>2977</v>
      </c>
      <c r="C53" s="2138"/>
      <c r="D53" s="2209"/>
      <c r="E53" s="2210"/>
      <c r="F53" s="2140"/>
      <c r="G53" s="654">
        <f>F52*G51</f>
        <v>0</v>
      </c>
      <c r="H53" s="2143"/>
      <c r="I53" s="2211">
        <f>H52*I51</f>
        <v>0</v>
      </c>
      <c r="J53" s="2143"/>
      <c r="K53" s="2211">
        <f>J52*K51</f>
        <v>0</v>
      </c>
      <c r="L53" s="2143"/>
      <c r="M53" s="2211">
        <f>L52*M51</f>
        <v>0</v>
      </c>
      <c r="N53" s="2143"/>
      <c r="O53" s="2211">
        <f>N52*O51</f>
        <v>0</v>
      </c>
      <c r="P53" s="2143"/>
      <c r="Q53" s="2211">
        <f>P52*Q51</f>
        <v>0</v>
      </c>
      <c r="R53" s="2143"/>
      <c r="S53" s="2211">
        <f>R52*S51</f>
        <v>0</v>
      </c>
    </row>
    <row r="54" spans="1:34">
      <c r="A54" s="2137"/>
      <c r="B54" s="2208"/>
      <c r="C54" s="2138"/>
      <c r="D54" s="2209"/>
      <c r="E54" s="2210"/>
      <c r="F54" s="2140"/>
      <c r="G54" s="654"/>
      <c r="H54" s="2143"/>
      <c r="I54" s="2211"/>
      <c r="J54" s="2143"/>
      <c r="K54" s="2211"/>
      <c r="L54" s="2143"/>
      <c r="M54" s="2211"/>
      <c r="N54" s="2143"/>
      <c r="O54" s="2211"/>
      <c r="P54" s="2143"/>
      <c r="Q54" s="2211"/>
      <c r="R54" s="2143"/>
      <c r="S54" s="2211"/>
    </row>
    <row r="55" spans="1:34">
      <c r="A55" s="2137"/>
      <c r="B55" s="2208" t="s">
        <v>2978</v>
      </c>
      <c r="C55" s="2138"/>
      <c r="D55" s="2209"/>
      <c r="E55" s="2210"/>
      <c r="F55" s="2140"/>
      <c r="G55" s="654">
        <f>SUM(G51:G53)</f>
        <v>0</v>
      </c>
      <c r="H55" s="2145"/>
      <c r="I55" s="2211">
        <f>SUM(I51:I53)</f>
        <v>42026</v>
      </c>
      <c r="J55" s="2145"/>
      <c r="K55" s="2211">
        <f>SUM(K51:K53)</f>
        <v>0</v>
      </c>
      <c r="L55" s="2145"/>
      <c r="M55" s="2211">
        <f>SUM(M51:M53)</f>
        <v>0</v>
      </c>
      <c r="N55" s="2145"/>
      <c r="O55" s="2211">
        <f>SUM(O51:O53)</f>
        <v>0</v>
      </c>
      <c r="P55" s="2145"/>
      <c r="Q55" s="2211">
        <f>SUM(Q51:Q53)</f>
        <v>0</v>
      </c>
      <c r="R55" s="2145"/>
      <c r="S55" s="2211">
        <f>SUM(S51:S53)</f>
        <v>0</v>
      </c>
    </row>
    <row r="56" spans="1:34">
      <c r="A56" s="2137"/>
      <c r="B56" s="2077" t="s">
        <v>2979</v>
      </c>
      <c r="C56" s="2138"/>
      <c r="D56" s="2209"/>
      <c r="E56" s="2210"/>
      <c r="F56" s="2077"/>
      <c r="G56" s="655">
        <v>0</v>
      </c>
      <c r="H56" s="2147"/>
      <c r="I56" s="2212">
        <v>0.48785754086181277</v>
      </c>
      <c r="J56" s="2147"/>
      <c r="K56" s="2212">
        <v>0</v>
      </c>
      <c r="L56" s="2147"/>
      <c r="M56" s="2212">
        <v>0</v>
      </c>
      <c r="N56" s="2147"/>
      <c r="O56" s="2212">
        <v>0</v>
      </c>
      <c r="P56" s="2147"/>
      <c r="Q56" s="2212">
        <v>0</v>
      </c>
      <c r="R56" s="2148"/>
      <c r="S56" s="2212">
        <v>0</v>
      </c>
    </row>
    <row r="57" spans="1:34">
      <c r="A57" s="2137"/>
      <c r="B57" s="2081"/>
      <c r="C57" s="2138"/>
      <c r="D57" s="2209"/>
      <c r="E57" s="2210"/>
      <c r="F57" s="2140"/>
      <c r="G57" s="656"/>
      <c r="H57" s="2151"/>
      <c r="I57" s="2151"/>
      <c r="J57" s="2151"/>
      <c r="K57" s="2213"/>
      <c r="L57" s="2151"/>
      <c r="M57" s="2151"/>
      <c r="N57" s="2151"/>
      <c r="O57" s="2151"/>
      <c r="P57" s="2151"/>
      <c r="Q57" s="2151"/>
      <c r="R57" s="2151"/>
      <c r="S57" s="2151"/>
    </row>
    <row r="58" spans="1:34" ht="16.5" hidden="1" thickTop="1" thickBot="1">
      <c r="A58" s="253" t="s">
        <v>2980</v>
      </c>
      <c r="B58" s="254"/>
      <c r="C58" s="12"/>
      <c r="D58" s="169"/>
      <c r="E58" s="177"/>
      <c r="F58" s="12"/>
      <c r="G58" s="228"/>
      <c r="H58" s="20"/>
      <c r="I58" s="20"/>
      <c r="J58" s="20"/>
      <c r="K58" s="20"/>
      <c r="L58" s="20"/>
      <c r="M58" s="20"/>
      <c r="N58" s="20"/>
      <c r="O58" s="20"/>
      <c r="P58" s="20"/>
      <c r="Q58" s="20"/>
      <c r="R58" s="20"/>
      <c r="S58" s="20"/>
    </row>
    <row r="59" spans="1:34" ht="15.75" hidden="1" thickTop="1">
      <c r="A59" s="3049"/>
      <c r="B59" s="2106"/>
      <c r="C59" s="3050"/>
      <c r="D59" s="3051"/>
      <c r="E59" s="3052"/>
      <c r="F59" s="3050"/>
      <c r="G59" s="3088"/>
      <c r="H59" s="3056"/>
      <c r="I59" s="3056"/>
      <c r="J59" s="3056"/>
      <c r="K59" s="3056"/>
      <c r="L59" s="3056"/>
      <c r="M59" s="3056"/>
      <c r="N59" s="3056"/>
      <c r="O59" s="3056"/>
      <c r="P59" s="3056"/>
      <c r="Q59" s="3056"/>
      <c r="R59" s="3056"/>
      <c r="S59" s="3056"/>
    </row>
    <row r="60" spans="1:34" hidden="1">
      <c r="A60" s="3049"/>
      <c r="B60" s="2106"/>
      <c r="C60" s="3050"/>
      <c r="D60" s="3051"/>
      <c r="E60" s="3052"/>
      <c r="F60" s="3050"/>
      <c r="G60" s="3088"/>
      <c r="H60" s="3056"/>
      <c r="I60" s="3056"/>
      <c r="J60" s="3056"/>
      <c r="K60" s="3056"/>
      <c r="L60" s="3056"/>
      <c r="M60" s="3056"/>
      <c r="N60" s="3056"/>
      <c r="O60" s="3056"/>
      <c r="P60" s="3056"/>
      <c r="Q60" s="3056"/>
      <c r="R60" s="3056"/>
      <c r="S60" s="3056"/>
    </row>
    <row r="61" spans="1:34" ht="15.75" hidden="1" thickBot="1">
      <c r="A61" s="3049"/>
      <c r="B61" s="2106"/>
      <c r="C61" s="3050"/>
      <c r="D61" s="3051"/>
      <c r="E61" s="3052"/>
      <c r="F61" s="3050"/>
      <c r="G61" s="3088"/>
      <c r="H61" s="3056"/>
      <c r="I61" s="3056"/>
      <c r="J61" s="3056"/>
      <c r="K61" s="3056"/>
      <c r="L61" s="3056"/>
      <c r="M61" s="3056"/>
      <c r="N61" s="3056"/>
      <c r="O61" s="3056"/>
      <c r="P61" s="3056"/>
      <c r="Q61" s="3056"/>
      <c r="R61" s="3056"/>
      <c r="S61" s="3056"/>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3049"/>
      <c r="B63" s="2106"/>
      <c r="C63" s="3050"/>
      <c r="D63" s="3051"/>
      <c r="E63" s="3052"/>
      <c r="F63" s="3050"/>
      <c r="G63" s="3088"/>
      <c r="H63" s="3056"/>
      <c r="I63" s="3056"/>
      <c r="J63" s="3056"/>
      <c r="K63" s="3056"/>
      <c r="L63" s="3056"/>
      <c r="M63" s="3056"/>
      <c r="N63" s="3056"/>
      <c r="O63" s="3056"/>
      <c r="P63" s="3056"/>
      <c r="Q63" s="3056"/>
      <c r="R63" s="3056"/>
      <c r="S63" s="3056"/>
      <c r="T63"/>
      <c r="U63"/>
      <c r="V63"/>
      <c r="W63"/>
      <c r="X63"/>
      <c r="Y63"/>
      <c r="Z63"/>
      <c r="AA63"/>
      <c r="AB63"/>
      <c r="AC63"/>
      <c r="AD63"/>
      <c r="AE63"/>
      <c r="AF63"/>
      <c r="AG63"/>
      <c r="AH63"/>
    </row>
    <row r="64" spans="1:34" s="2" customFormat="1" hidden="1">
      <c r="A64" s="3049"/>
      <c r="B64" s="2106"/>
      <c r="C64" s="3050"/>
      <c r="D64" s="3051"/>
      <c r="E64" s="3052"/>
      <c r="F64" s="3050"/>
      <c r="G64" s="3088"/>
      <c r="H64" s="3056"/>
      <c r="I64" s="3056"/>
      <c r="J64" s="3056"/>
      <c r="K64" s="3056"/>
      <c r="L64" s="3056"/>
      <c r="M64" s="3056"/>
      <c r="N64" s="3056"/>
      <c r="O64" s="3056"/>
      <c r="P64" s="3056"/>
      <c r="Q64" s="3056"/>
      <c r="R64" s="3056"/>
      <c r="S64" s="3056"/>
      <c r="T64"/>
      <c r="U64"/>
      <c r="V64"/>
      <c r="W64"/>
      <c r="X64"/>
      <c r="Y64"/>
      <c r="Z64"/>
      <c r="AA64"/>
      <c r="AB64"/>
      <c r="AC64"/>
      <c r="AD64"/>
      <c r="AE64"/>
      <c r="AF64"/>
      <c r="AG64"/>
      <c r="AH64"/>
    </row>
    <row r="65" spans="1:34" ht="15.75" hidden="1" thickBot="1">
      <c r="A65" s="3049"/>
      <c r="B65" s="2106"/>
      <c r="C65" s="3050"/>
      <c r="D65" s="3051"/>
      <c r="E65" s="3052"/>
      <c r="F65" s="3050"/>
      <c r="G65" s="3088"/>
      <c r="H65" s="3056"/>
      <c r="I65" s="3056"/>
      <c r="J65" s="3056"/>
      <c r="K65" s="3056"/>
      <c r="L65" s="3056"/>
      <c r="M65" s="3056"/>
      <c r="N65" s="3056"/>
      <c r="O65" s="3056"/>
      <c r="P65" s="3056"/>
      <c r="Q65" s="3056"/>
      <c r="R65" s="3056"/>
      <c r="S65" s="3056"/>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3049"/>
      <c r="B67" s="2106"/>
      <c r="C67" s="3050"/>
      <c r="D67" s="3051"/>
      <c r="E67" s="3052"/>
      <c r="F67" s="3050"/>
      <c r="G67" s="3088"/>
      <c r="H67" s="3056"/>
      <c r="I67" s="3056"/>
      <c r="J67" s="3056"/>
      <c r="K67" s="3056"/>
      <c r="L67" s="3056"/>
      <c r="M67" s="3056"/>
      <c r="N67" s="3056"/>
      <c r="O67" s="3056"/>
      <c r="P67" s="3056"/>
      <c r="Q67" s="3056"/>
      <c r="R67" s="3056"/>
      <c r="S67" s="3056"/>
      <c r="T67"/>
      <c r="U67"/>
      <c r="V67"/>
      <c r="W67"/>
      <c r="X67"/>
      <c r="Y67"/>
      <c r="Z67"/>
      <c r="AA67"/>
      <c r="AB67"/>
      <c r="AC67"/>
      <c r="AD67"/>
      <c r="AE67"/>
      <c r="AF67"/>
      <c r="AG67"/>
      <c r="AH67"/>
    </row>
    <row r="68" spans="1:34" s="2" customFormat="1" hidden="1">
      <c r="A68" s="2085"/>
      <c r="B68" s="2106"/>
      <c r="C68" s="2049"/>
      <c r="D68" s="2171"/>
      <c r="E68" s="2051"/>
      <c r="F68" s="2049"/>
      <c r="G68" s="2086"/>
      <c r="H68" s="2158"/>
      <c r="I68" s="2158"/>
      <c r="J68" s="2158"/>
      <c r="K68" s="2158"/>
      <c r="L68" s="2158"/>
      <c r="M68" s="2158"/>
      <c r="N68" s="2158"/>
      <c r="O68" s="2158"/>
      <c r="P68" s="2158"/>
      <c r="Q68" s="2158"/>
      <c r="R68" s="2158"/>
      <c r="S68" s="2158"/>
      <c r="T68"/>
      <c r="U68"/>
      <c r="V68"/>
      <c r="W68"/>
      <c r="X68"/>
      <c r="Y68"/>
      <c r="Z68"/>
      <c r="AA68"/>
      <c r="AB68"/>
      <c r="AC68"/>
      <c r="AD68"/>
      <c r="AE68"/>
      <c r="AF68"/>
      <c r="AG68"/>
      <c r="AH68"/>
    </row>
    <row r="69" spans="1:34" s="2" customFormat="1" ht="15.75" hidden="1" thickBot="1">
      <c r="A69" s="2088"/>
      <c r="B69" s="2089"/>
      <c r="C69" s="2049"/>
      <c r="D69" s="2171"/>
      <c r="E69" s="2051"/>
      <c r="F69" s="2049"/>
      <c r="G69" s="2086"/>
      <c r="H69" s="2159"/>
      <c r="I69" s="2159"/>
      <c r="J69" s="2159"/>
      <c r="K69" s="2159"/>
      <c r="L69" s="2159"/>
      <c r="M69" s="2159"/>
      <c r="N69" s="2159"/>
      <c r="O69" s="2159"/>
      <c r="P69" s="2159"/>
      <c r="Q69" s="2159"/>
      <c r="R69" s="2159"/>
      <c r="S69" s="2159"/>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3059"/>
      <c r="B71" s="3060"/>
      <c r="C71" s="3050"/>
      <c r="D71" s="3051"/>
      <c r="E71" s="3052"/>
      <c r="F71" s="3050"/>
      <c r="G71" s="3088"/>
      <c r="H71" s="3056"/>
      <c r="I71" s="3056"/>
      <c r="J71" s="3056"/>
      <c r="K71" s="3056"/>
      <c r="L71" s="3056"/>
      <c r="M71" s="3056"/>
      <c r="N71" s="3056"/>
      <c r="O71" s="3056"/>
      <c r="P71" s="3056"/>
      <c r="Q71" s="3056"/>
      <c r="R71" s="3056"/>
      <c r="S71" s="3056"/>
      <c r="T71" s="2"/>
      <c r="U71" s="2"/>
      <c r="V71" s="2"/>
      <c r="W71" s="2"/>
      <c r="X71" s="2"/>
      <c r="Y71" s="2"/>
      <c r="Z71" s="2"/>
      <c r="AA71" s="2"/>
      <c r="AB71" s="2"/>
      <c r="AC71" s="2"/>
      <c r="AD71" s="2"/>
      <c r="AE71" s="2"/>
      <c r="AF71" s="2"/>
      <c r="AG71" s="2"/>
      <c r="AH71" s="2"/>
    </row>
    <row r="72" spans="1:34" hidden="1">
      <c r="A72" s="2088"/>
      <c r="B72" s="2089"/>
      <c r="C72" s="2049"/>
      <c r="D72" s="2171"/>
      <c r="E72" s="2051"/>
      <c r="F72" s="2049"/>
      <c r="G72" s="2086"/>
      <c r="H72" s="2162"/>
      <c r="I72" s="2162"/>
      <c r="J72" s="2162"/>
      <c r="K72" s="2162"/>
      <c r="L72" s="2162"/>
      <c r="M72" s="2162"/>
      <c r="N72" s="2162"/>
      <c r="O72" s="2162"/>
      <c r="P72" s="2162"/>
      <c r="Q72" s="2162"/>
      <c r="R72" s="2162"/>
      <c r="S72" s="2162"/>
      <c r="T72" s="2"/>
      <c r="U72" s="2"/>
      <c r="V72" s="2"/>
      <c r="W72" s="2"/>
      <c r="X72" s="2"/>
      <c r="Y72" s="2"/>
      <c r="Z72" s="2"/>
      <c r="AA72" s="2"/>
      <c r="AB72" s="2"/>
      <c r="AC72" s="2"/>
      <c r="AD72" s="2"/>
      <c r="AE72" s="2"/>
      <c r="AF72" s="2"/>
      <c r="AG72" s="2"/>
      <c r="AH72" s="2"/>
    </row>
    <row r="73" spans="1:34" ht="15.75" hidden="1" thickBot="1">
      <c r="A73" s="2088"/>
      <c r="B73" s="2089"/>
      <c r="C73" s="2049"/>
      <c r="D73" s="2171"/>
      <c r="E73" s="2051"/>
      <c r="F73" s="2049"/>
      <c r="G73" s="2086"/>
      <c r="H73" s="2162"/>
      <c r="I73" s="2162"/>
      <c r="J73" s="2162"/>
      <c r="K73" s="2162"/>
      <c r="L73" s="2162"/>
      <c r="M73" s="2162"/>
      <c r="N73" s="2162"/>
      <c r="O73" s="2162"/>
      <c r="P73" s="2162"/>
      <c r="Q73" s="2162"/>
      <c r="R73" s="2162"/>
      <c r="S73" s="2162"/>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2085"/>
      <c r="B75" s="2106" t="s">
        <v>2985</v>
      </c>
      <c r="C75" s="2049"/>
      <c r="D75" s="2171"/>
      <c r="E75" s="2051"/>
      <c r="F75" s="2049"/>
      <c r="G75" s="2086"/>
      <c r="H75" s="2162"/>
      <c r="I75" s="2162"/>
      <c r="J75" s="2162"/>
      <c r="K75" s="2162"/>
      <c r="L75" s="2162"/>
      <c r="M75" s="2162"/>
      <c r="N75" s="2162"/>
      <c r="O75" s="2162"/>
      <c r="P75" s="2162"/>
      <c r="Q75" s="2162"/>
      <c r="R75" s="2162"/>
      <c r="S75" s="2162"/>
    </row>
    <row r="76" spans="1:34" hidden="1">
      <c r="A76" s="2085"/>
      <c r="B76" s="2106" t="s">
        <v>2986</v>
      </c>
      <c r="C76" s="2049"/>
      <c r="D76" s="2171"/>
      <c r="E76" s="2051"/>
      <c r="F76" s="2049"/>
      <c r="G76" s="2086"/>
      <c r="H76" s="2162"/>
      <c r="I76" s="2162"/>
      <c r="J76" s="2162"/>
      <c r="K76" s="2162"/>
      <c r="L76" s="2162"/>
      <c r="M76" s="2162"/>
      <c r="N76" s="2162"/>
      <c r="O76" s="2162"/>
      <c r="P76" s="2162"/>
      <c r="Q76" s="2162"/>
      <c r="R76" s="2162"/>
      <c r="S76" s="2162"/>
    </row>
    <row r="77" spans="1:34" hidden="1">
      <c r="A77" s="2085"/>
      <c r="B77" s="2106" t="s">
        <v>2987</v>
      </c>
      <c r="C77" s="2049"/>
      <c r="D77" s="2171"/>
      <c r="E77" s="2051"/>
      <c r="F77" s="2049"/>
      <c r="G77" s="2086"/>
      <c r="H77" s="2162"/>
      <c r="I77" s="2162"/>
      <c r="J77" s="2162"/>
      <c r="K77" s="2162"/>
      <c r="L77" s="2162"/>
      <c r="M77" s="2162"/>
      <c r="N77" s="2162"/>
      <c r="O77" s="2162"/>
      <c r="P77" s="2162"/>
      <c r="Q77" s="2162"/>
      <c r="R77" s="2162"/>
      <c r="S77" s="2162"/>
    </row>
    <row r="78" spans="1:34" hidden="1">
      <c r="A78" s="2085"/>
      <c r="B78" s="2106" t="s">
        <v>2988</v>
      </c>
      <c r="C78" s="2049"/>
      <c r="D78" s="2171"/>
      <c r="E78" s="2051"/>
      <c r="F78" s="2049"/>
      <c r="G78" s="2086"/>
      <c r="H78" s="2162"/>
      <c r="I78" s="2162"/>
      <c r="J78" s="2162"/>
      <c r="K78" s="2162"/>
      <c r="L78" s="2162"/>
      <c r="M78" s="2162"/>
      <c r="N78" s="2162"/>
      <c r="O78" s="2162"/>
      <c r="P78" s="2162"/>
      <c r="Q78" s="2162"/>
      <c r="R78" s="2162"/>
      <c r="S78" s="2162"/>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3049"/>
      <c r="B81" s="3061" t="s">
        <v>2990</v>
      </c>
      <c r="C81" s="3050"/>
      <c r="D81" s="3051"/>
      <c r="E81" s="3052"/>
      <c r="F81" s="3050"/>
      <c r="G81" s="3088"/>
      <c r="H81" s="3062"/>
      <c r="I81" s="3062"/>
      <c r="J81" s="3062"/>
      <c r="K81" s="3062"/>
      <c r="L81" s="3062"/>
      <c r="M81" s="3062"/>
      <c r="N81" s="3062"/>
      <c r="O81" s="3062"/>
      <c r="P81" s="3062"/>
      <c r="Q81" s="3062"/>
      <c r="R81" s="3062"/>
      <c r="S81" s="3062"/>
    </row>
    <row r="82" spans="1:19" hidden="1">
      <c r="A82" s="2085"/>
      <c r="B82" s="2106" t="s">
        <v>2991</v>
      </c>
      <c r="C82" s="2049"/>
      <c r="D82" s="2171"/>
      <c r="E82" s="2051"/>
      <c r="F82" s="2049"/>
      <c r="G82" s="2086"/>
      <c r="H82" s="2165"/>
      <c r="I82" s="2165"/>
      <c r="J82" s="2165"/>
      <c r="K82" s="2165"/>
      <c r="L82" s="2165"/>
      <c r="M82" s="2165"/>
      <c r="N82" s="2165"/>
      <c r="O82" s="2165"/>
      <c r="P82" s="2165"/>
      <c r="Q82" s="2165"/>
      <c r="R82" s="2165"/>
      <c r="S82" s="2165"/>
    </row>
    <row r="83" spans="1:19" ht="15.75" hidden="1" thickBot="1">
      <c r="A83" s="2093"/>
      <c r="B83" s="2166" t="s">
        <v>2992</v>
      </c>
      <c r="C83" s="2167"/>
      <c r="D83" s="2217"/>
      <c r="E83" s="2095"/>
      <c r="F83" s="2167"/>
      <c r="G83" s="2096"/>
      <c r="H83" s="2097"/>
      <c r="I83" s="2097"/>
      <c r="J83" s="2097"/>
      <c r="K83" s="2097"/>
      <c r="L83" s="2097"/>
      <c r="M83" s="2097"/>
      <c r="N83" s="2097"/>
      <c r="O83" s="2097"/>
      <c r="P83" s="2097"/>
      <c r="Q83" s="2097"/>
      <c r="R83" s="2097"/>
      <c r="S83" s="2097"/>
    </row>
    <row r="84" spans="1:19" ht="15.75" thickBot="1"/>
    <row r="85" spans="1:19" ht="16.5" thickTop="1" thickBot="1">
      <c r="A85" s="59" t="s">
        <v>2993</v>
      </c>
      <c r="B85" s="61"/>
    </row>
    <row r="86" spans="1:19" ht="15.75" thickTop="1">
      <c r="A86" s="60" t="s">
        <v>2936</v>
      </c>
      <c r="B86" s="2098"/>
    </row>
    <row r="87" spans="1:19">
      <c r="A87" s="2099" t="s">
        <v>2939</v>
      </c>
      <c r="B87" s="2098"/>
    </row>
    <row r="88" spans="1:19">
      <c r="A88" s="2100" t="s">
        <v>2941</v>
      </c>
      <c r="B88" s="2101"/>
    </row>
    <row r="89" spans="1:19">
      <c r="A89" s="2100" t="s">
        <v>2943</v>
      </c>
      <c r="B89" s="2102"/>
    </row>
    <row r="90" spans="1:19" ht="15.75" thickBot="1">
      <c r="A90" s="2103" t="s">
        <v>2994</v>
      </c>
      <c r="B90" s="2104">
        <f>$I$55</f>
        <v>42026</v>
      </c>
    </row>
    <row r="91" spans="1:19" ht="15.75" thickTop="1"/>
    <row r="92" spans="1:19">
      <c r="A92" s="62"/>
      <c r="B92" s="1" t="s">
        <v>2995</v>
      </c>
    </row>
    <row r="93" spans="1:19">
      <c r="A93" s="63"/>
      <c r="B93" s="1" t="s">
        <v>2996</v>
      </c>
    </row>
    <row r="286" spans="6:6">
      <c r="F286" s="463"/>
    </row>
  </sheetData>
  <sortState xmlns:xlrd2="http://schemas.microsoft.com/office/spreadsheetml/2017/richdata2" ref="B29:D32">
    <sortCondition ref="B29:B32"/>
  </sortState>
  <mergeCells count="3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J9:K9"/>
    <mergeCell ref="L9:M9"/>
    <mergeCell ref="N9:O9"/>
    <mergeCell ref="P9:Q9"/>
    <mergeCell ref="R9:S9"/>
    <mergeCell ref="A62:B62"/>
    <mergeCell ref="A66:B66"/>
    <mergeCell ref="A70:B70"/>
    <mergeCell ref="A74:B74"/>
    <mergeCell ref="H9:I9"/>
  </mergeCells>
  <conditionalFormatting sqref="H11:H18 L11:L18 N11:N18 P11:P18 R11:R18">
    <cfRule type="cellIs" dxfId="71" priority="5" operator="equal">
      <formula>"X"</formula>
    </cfRule>
    <cfRule type="cellIs" dxfId="70" priority="6" operator="equal">
      <formula>"I"</formula>
    </cfRule>
  </conditionalFormatting>
  <conditionalFormatting sqref="H20:H50 J20:J50 L20:L50 N20:N50 P20:P50 R20:R50">
    <cfRule type="cellIs" dxfId="69" priority="1" operator="equal">
      <formula>"X"</formula>
    </cfRule>
    <cfRule type="cellIs" dxfId="68" priority="2" operator="equal">
      <formula>"I"</formula>
    </cfRule>
  </conditionalFormatting>
  <conditionalFormatting sqref="J11:J18">
    <cfRule type="cellIs" dxfId="67" priority="3" operator="equal">
      <formula>"X"</formula>
    </cfRule>
    <cfRule type="cellIs" dxfId="66" priority="4" operator="equal">
      <formula>"I"</formula>
    </cfRule>
  </conditionalFormatting>
  <hyperlinks>
    <hyperlink ref="B4" location="'Cost Summary'!A1" display="BACK TO SUMMARY SHEET" xr:uid="{875BC619-C0F9-47CE-9CF6-0659DDB1A22D}"/>
    <hyperlink ref="H8" r:id="rId1" xr:uid="{76B70A69-25BC-45E8-B909-76F7084E2DB1}"/>
  </hyperlinks>
  <pageMargins left="0.2" right="0.2" top="0.5" bottom="0.75" header="0.3" footer="0.3"/>
  <pageSetup paperSize="3" scale="77" fitToHeight="0" orientation="landscape"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rgb="FF00B050"/>
    <pageSetUpPr fitToPage="1"/>
  </sheetPr>
  <dimension ref="A1:AH98"/>
  <sheetViews>
    <sheetView zoomScale="90" zoomScaleNormal="90" workbookViewId="0">
      <pane xSplit="2" ySplit="19" topLeftCell="D42" activePane="bottomRight" state="frozen"/>
      <selection pane="bottomRight" activeCell="B52" sqref="B52"/>
      <selection pane="bottomLeft" activeCell="B4" sqref="B4"/>
      <selection pane="topRight" activeCell="B4" sqref="B4"/>
    </sheetView>
  </sheetViews>
  <sheetFormatPr defaultColWidth="8.85546875" defaultRowHeight="15"/>
  <cols>
    <col min="1" max="1" width="10.7109375" customWidth="1"/>
    <col min="2" max="2" width="70.7109375" style="1" customWidth="1"/>
    <col min="3" max="3" width="10.85546875" style="2" hidden="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166"/>
      <c r="E5" s="171"/>
      <c r="F5" s="5"/>
      <c r="G5" s="6" t="s">
        <v>2936</v>
      </c>
      <c r="H5" s="837" t="s">
        <v>6388</v>
      </c>
      <c r="I5" s="838"/>
      <c r="J5" s="837" t="s">
        <v>6389</v>
      </c>
      <c r="K5" s="838"/>
      <c r="L5" s="837" t="s">
        <v>6390</v>
      </c>
      <c r="M5" s="838"/>
      <c r="N5" s="837" t="s">
        <v>6391</v>
      </c>
      <c r="O5" s="838"/>
      <c r="P5" s="841"/>
      <c r="Q5" s="842"/>
      <c r="R5" s="841"/>
      <c r="S5" s="842"/>
    </row>
    <row r="6" spans="1:19">
      <c r="A6" s="2105" t="s">
        <v>2938</v>
      </c>
      <c r="B6" s="2106" t="s">
        <v>6392</v>
      </c>
      <c r="C6" s="2049"/>
      <c r="D6" s="2171"/>
      <c r="E6" s="2051"/>
      <c r="F6" s="2049"/>
      <c r="G6" s="657" t="s">
        <v>2939</v>
      </c>
      <c r="H6" s="2172" t="s">
        <v>6393</v>
      </c>
      <c r="I6" s="839"/>
      <c r="J6" s="2172" t="s">
        <v>6394</v>
      </c>
      <c r="K6" s="839"/>
      <c r="L6" s="2172" t="s">
        <v>6395</v>
      </c>
      <c r="M6" s="839"/>
      <c r="N6" s="2172" t="s">
        <v>6396</v>
      </c>
      <c r="O6" s="839"/>
      <c r="P6" s="2107"/>
      <c r="Q6" s="843"/>
      <c r="R6" s="2107"/>
      <c r="S6" s="843"/>
    </row>
    <row r="7" spans="1:19">
      <c r="A7" s="2105" t="s">
        <v>2940</v>
      </c>
      <c r="B7" s="2108" t="s">
        <v>2727</v>
      </c>
      <c r="C7" s="2049"/>
      <c r="D7" s="2171"/>
      <c r="E7" s="2051"/>
      <c r="F7" s="2049"/>
      <c r="G7" s="2109" t="s">
        <v>2941</v>
      </c>
      <c r="H7" s="2173" t="s">
        <v>6397</v>
      </c>
      <c r="I7" s="840"/>
      <c r="J7" s="2173" t="s">
        <v>6398</v>
      </c>
      <c r="K7" s="840"/>
      <c r="L7" s="2173" t="s">
        <v>6399</v>
      </c>
      <c r="M7" s="840"/>
      <c r="N7" s="2173" t="s">
        <v>6400</v>
      </c>
      <c r="O7" s="840"/>
      <c r="P7" s="2110"/>
      <c r="Q7" s="844"/>
      <c r="R7" s="2110"/>
      <c r="S7" s="844"/>
    </row>
    <row r="8" spans="1:19">
      <c r="A8" s="2105" t="s">
        <v>2942</v>
      </c>
      <c r="B8" s="2111"/>
      <c r="C8" s="2049"/>
      <c r="D8" s="2171"/>
      <c r="E8" s="2051"/>
      <c r="F8" s="2049"/>
      <c r="G8" s="2109" t="s">
        <v>2943</v>
      </c>
      <c r="H8" s="3095" t="s">
        <v>6401</v>
      </c>
      <c r="I8" s="658"/>
      <c r="J8" s="2174" t="s">
        <v>6402</v>
      </c>
      <c r="K8" s="836"/>
      <c r="L8" s="2174" t="s">
        <v>6403</v>
      </c>
      <c r="M8" s="836"/>
      <c r="N8" s="2174" t="s">
        <v>6404</v>
      </c>
      <c r="O8" s="836"/>
      <c r="P8" s="2112"/>
      <c r="Q8" s="845"/>
      <c r="R8" s="2112"/>
      <c r="S8" s="845"/>
    </row>
    <row r="9" spans="1:19" ht="15.75" thickBot="1">
      <c r="A9" s="2175"/>
      <c r="B9" s="2166"/>
      <c r="C9" s="616"/>
      <c r="D9" s="621"/>
      <c r="E9" s="622"/>
      <c r="F9" s="2167"/>
      <c r="G9" s="2176" t="s">
        <v>2944</v>
      </c>
      <c r="H9" s="2179">
        <f>I$60</f>
        <v>319000</v>
      </c>
      <c r="I9" s="2180"/>
      <c r="J9" s="2177">
        <f>K$60</f>
        <v>323173</v>
      </c>
      <c r="K9" s="2178"/>
      <c r="L9" s="2179">
        <f t="shared" ref="L9" si="0">M$60</f>
        <v>345000</v>
      </c>
      <c r="M9" s="2180"/>
      <c r="N9" s="2179">
        <f t="shared" ref="N9" si="1">O$60</f>
        <v>376500</v>
      </c>
      <c r="O9" s="2180"/>
      <c r="P9" s="2179">
        <f t="shared" ref="P9" si="2">Q$60</f>
        <v>0</v>
      </c>
      <c r="Q9" s="2180"/>
      <c r="R9" s="2179">
        <f t="shared" ref="R9" si="3">S$60</f>
        <v>0</v>
      </c>
      <c r="S9" s="2180"/>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067"/>
      <c r="B11" s="2889" t="s">
        <v>2953</v>
      </c>
      <c r="C11" s="659"/>
      <c r="D11" s="2171"/>
      <c r="E11" s="2051"/>
      <c r="F11" s="2049"/>
      <c r="G11" s="660"/>
      <c r="H11" s="2183"/>
      <c r="I11" s="3069"/>
      <c r="J11" s="2183"/>
      <c r="K11" s="3068"/>
      <c r="L11" s="2183"/>
      <c r="M11" s="182"/>
      <c r="N11" s="2183"/>
      <c r="O11" s="3069"/>
      <c r="P11" s="2183"/>
      <c r="Q11" s="3069"/>
      <c r="R11" s="2183"/>
      <c r="S11" s="3069"/>
    </row>
    <row r="12" spans="1:19">
      <c r="A12" s="3070"/>
      <c r="B12" s="2963" t="s">
        <v>2954</v>
      </c>
      <c r="C12" s="2049"/>
      <c r="D12" s="2171"/>
      <c r="E12" s="2051"/>
      <c r="F12" s="2049"/>
      <c r="G12" s="660"/>
      <c r="H12" s="2183"/>
      <c r="I12" s="3069"/>
      <c r="J12" s="2183"/>
      <c r="K12" s="3068"/>
      <c r="L12" s="2183"/>
      <c r="M12" s="3069"/>
      <c r="N12" s="2183"/>
      <c r="O12" s="3069"/>
      <c r="P12" s="2183"/>
      <c r="Q12" s="3069"/>
      <c r="R12" s="2183"/>
      <c r="S12" s="3069"/>
    </row>
    <row r="13" spans="1:19">
      <c r="A13" s="2185"/>
      <c r="B13" s="3071" t="s">
        <v>2955</v>
      </c>
      <c r="C13" s="2049"/>
      <c r="D13" s="2171"/>
      <c r="E13" s="2051"/>
      <c r="F13" s="2049"/>
      <c r="G13" s="660"/>
      <c r="H13" s="2183"/>
      <c r="I13" s="3069"/>
      <c r="J13" s="2183"/>
      <c r="K13" s="3068"/>
      <c r="L13" s="2183"/>
      <c r="M13" s="3069"/>
      <c r="N13" s="2183"/>
      <c r="O13" s="3069"/>
      <c r="P13" s="2183"/>
      <c r="Q13" s="3069"/>
      <c r="R13" s="2183"/>
      <c r="S13" s="3069"/>
    </row>
    <row r="14" spans="1:19">
      <c r="A14" s="2185"/>
      <c r="B14" s="3072" t="s">
        <v>2956</v>
      </c>
      <c r="C14" s="2049"/>
      <c r="D14" s="2171"/>
      <c r="E14" s="2051"/>
      <c r="F14" s="2049"/>
      <c r="G14" s="660"/>
      <c r="H14" s="2183"/>
      <c r="I14" s="3069"/>
      <c r="J14" s="2183"/>
      <c r="K14" s="3068"/>
      <c r="L14" s="2183"/>
      <c r="M14" s="3069"/>
      <c r="N14" s="2183"/>
      <c r="O14" s="3069"/>
      <c r="P14" s="2183"/>
      <c r="Q14" s="3069"/>
      <c r="R14" s="2183"/>
      <c r="S14" s="3069"/>
    </row>
    <row r="15" spans="1:19">
      <c r="A15" s="2185"/>
      <c r="B15" s="3072" t="s">
        <v>2957</v>
      </c>
      <c r="C15" s="2049"/>
      <c r="D15" s="2171"/>
      <c r="E15" s="2051"/>
      <c r="F15" s="2049"/>
      <c r="G15" s="660"/>
      <c r="H15" s="2183"/>
      <c r="I15" s="3068"/>
      <c r="J15" s="2183"/>
      <c r="K15" s="3068"/>
      <c r="L15" s="2183"/>
      <c r="M15" s="3068"/>
      <c r="N15" s="2183"/>
      <c r="O15" s="3068"/>
      <c r="P15" s="2183"/>
      <c r="Q15" s="3068"/>
      <c r="R15" s="2183"/>
      <c r="S15" s="3068"/>
    </row>
    <row r="16" spans="1:19">
      <c r="A16" s="2185"/>
      <c r="B16" s="3072" t="s">
        <v>2958</v>
      </c>
      <c r="C16" s="2049"/>
      <c r="D16" s="2171"/>
      <c r="E16" s="2051"/>
      <c r="F16" s="2049"/>
      <c r="G16" s="660"/>
      <c r="H16" s="2183"/>
      <c r="I16" s="3069"/>
      <c r="J16" s="2183"/>
      <c r="K16" s="3068"/>
      <c r="L16" s="2183"/>
      <c r="M16" s="3069"/>
      <c r="N16" s="2183"/>
      <c r="O16" s="3069"/>
      <c r="P16" s="2183"/>
      <c r="Q16" s="3069"/>
      <c r="R16" s="2183"/>
      <c r="S16" s="3069"/>
    </row>
    <row r="17" spans="1:19">
      <c r="A17" s="2185"/>
      <c r="B17" s="3072" t="s">
        <v>2959</v>
      </c>
      <c r="C17" s="2049"/>
      <c r="D17" s="2171"/>
      <c r="E17" s="2051"/>
      <c r="F17" s="2049"/>
      <c r="G17" s="660"/>
      <c r="H17" s="2183"/>
      <c r="I17" s="3069"/>
      <c r="J17" s="2183"/>
      <c r="K17" s="3068"/>
      <c r="L17" s="2183"/>
      <c r="M17" s="3069"/>
      <c r="N17" s="2183"/>
      <c r="O17" s="3069"/>
      <c r="P17" s="2183"/>
      <c r="Q17" s="3069"/>
      <c r="R17" s="2183"/>
      <c r="S17" s="3069"/>
    </row>
    <row r="18" spans="1:19">
      <c r="A18" s="2185"/>
      <c r="B18" s="3073" t="s">
        <v>2960</v>
      </c>
      <c r="C18" s="2049"/>
      <c r="D18" s="2171"/>
      <c r="E18" s="2051"/>
      <c r="F18" s="2049"/>
      <c r="G18" s="660"/>
      <c r="H18" s="2183"/>
      <c r="I18" s="3069"/>
      <c r="J18" s="2183"/>
      <c r="K18" s="3068"/>
      <c r="L18" s="2183"/>
      <c r="M18" s="3069"/>
      <c r="N18" s="2183"/>
      <c r="O18" s="3069"/>
      <c r="P18" s="2183"/>
      <c r="Q18" s="3069"/>
      <c r="R18" s="2183"/>
      <c r="S18" s="3069"/>
    </row>
    <row r="19" spans="1:19">
      <c r="A19" s="2185"/>
      <c r="B19" s="3074" t="s">
        <v>2961</v>
      </c>
      <c r="C19" s="2127"/>
      <c r="D19" s="2190"/>
      <c r="E19" s="2191"/>
      <c r="F19" s="2192"/>
      <c r="G19" s="661"/>
      <c r="H19" s="2193"/>
      <c r="I19" s="3075"/>
      <c r="J19" s="2193"/>
      <c r="K19" s="3076"/>
      <c r="L19" s="2193"/>
      <c r="M19" s="3075"/>
      <c r="N19" s="2193"/>
      <c r="O19" s="3075"/>
      <c r="P19" s="2193"/>
      <c r="Q19" s="3075"/>
      <c r="R19" s="2193"/>
      <c r="S19" s="3075"/>
    </row>
    <row r="20" spans="1:19">
      <c r="A20" s="2185"/>
      <c r="B20" s="3077"/>
      <c r="C20" s="2049"/>
      <c r="D20" s="2171"/>
      <c r="E20" s="2051"/>
      <c r="F20" s="2052"/>
      <c r="G20" s="660"/>
      <c r="H20" s="2183"/>
      <c r="I20" s="3078"/>
      <c r="J20" s="2183"/>
      <c r="K20" s="3078"/>
      <c r="L20" s="2183"/>
      <c r="M20" s="3079"/>
      <c r="N20" s="2183"/>
      <c r="O20" s="3078"/>
      <c r="P20" s="2183"/>
      <c r="Q20" s="3078"/>
      <c r="R20" s="2183"/>
      <c r="S20" s="3078"/>
    </row>
    <row r="21" spans="1:19">
      <c r="A21" s="2185"/>
      <c r="B21" s="2196" t="s">
        <v>2695</v>
      </c>
      <c r="C21" s="2049"/>
      <c r="D21" s="2171"/>
      <c r="E21" s="2051"/>
      <c r="F21" s="2052"/>
      <c r="G21" s="662">
        <f t="shared" ref="G21" si="4">ROUND(D21*F21,0)</f>
        <v>0</v>
      </c>
      <c r="H21" s="2183"/>
      <c r="I21" s="3080">
        <f>SUBTOTAL(9,I22:I54)</f>
        <v>319000</v>
      </c>
      <c r="J21" s="2183"/>
      <c r="K21" s="3080">
        <f>SUBTOTAL(9,K22:K54)</f>
        <v>323173</v>
      </c>
      <c r="L21" s="2183"/>
      <c r="M21" s="3080">
        <f>SUBTOTAL(9,M22:M54)</f>
        <v>345000</v>
      </c>
      <c r="N21" s="2183"/>
      <c r="O21" s="3080">
        <f>SUBTOTAL(9,O22:O54)</f>
        <v>376500</v>
      </c>
      <c r="P21" s="2183"/>
      <c r="Q21" s="3080">
        <f>SUBTOTAL(9,Q22:Q54)</f>
        <v>0</v>
      </c>
      <c r="R21" s="2183"/>
      <c r="S21" s="3080">
        <f>SUBTOTAL(9,S22:S54)</f>
        <v>0</v>
      </c>
    </row>
    <row r="22" spans="1:19">
      <c r="A22" s="2185"/>
      <c r="B22" s="459" t="s">
        <v>2994</v>
      </c>
      <c r="C22" s="2049"/>
      <c r="D22" s="2171"/>
      <c r="E22" s="2051"/>
      <c r="F22" s="2052"/>
      <c r="G22" s="662">
        <f>ROUND(D22*F22,0)</f>
        <v>0</v>
      </c>
      <c r="H22" s="2183"/>
      <c r="I22" s="3078">
        <v>304000</v>
      </c>
      <c r="J22" s="2183"/>
      <c r="K22" s="3078">
        <v>318173</v>
      </c>
      <c r="L22" s="2183"/>
      <c r="M22" s="3079">
        <v>340000</v>
      </c>
      <c r="N22" s="2183"/>
      <c r="O22" s="3078">
        <v>371500</v>
      </c>
      <c r="P22" s="2183"/>
      <c r="Q22" s="3078"/>
      <c r="R22" s="2183"/>
      <c r="S22" s="3078"/>
    </row>
    <row r="23" spans="1:19">
      <c r="A23" s="2185"/>
      <c r="B23" s="3077" t="s">
        <v>6405</v>
      </c>
      <c r="C23" s="2049"/>
      <c r="D23" s="2171"/>
      <c r="E23" s="2051"/>
      <c r="F23" s="2052"/>
      <c r="G23" s="662">
        <f t="shared" ref="G23:G30" si="5">ROUND(D23*F23,0)</f>
        <v>0</v>
      </c>
      <c r="H23" s="2183"/>
      <c r="I23" s="3078"/>
      <c r="J23" s="2183"/>
      <c r="K23" s="3078"/>
      <c r="L23" s="2183"/>
      <c r="M23" s="3079"/>
      <c r="N23" s="2183"/>
      <c r="O23" s="3078"/>
      <c r="P23" s="2183"/>
      <c r="Q23" s="3078"/>
      <c r="R23" s="2183"/>
      <c r="S23" s="3078"/>
    </row>
    <row r="24" spans="1:19">
      <c r="A24" s="2185"/>
      <c r="B24" s="3077" t="s">
        <v>6406</v>
      </c>
      <c r="C24" s="2049"/>
      <c r="D24" s="2171"/>
      <c r="E24" s="2051"/>
      <c r="F24" s="2052"/>
      <c r="G24" s="662">
        <f t="shared" si="5"/>
        <v>0</v>
      </c>
      <c r="H24" s="2183"/>
      <c r="I24" s="3078"/>
      <c r="J24" s="2183"/>
      <c r="K24" s="3078"/>
      <c r="L24" s="2183"/>
      <c r="M24" s="3079"/>
      <c r="N24" s="2183"/>
      <c r="O24" s="3078"/>
      <c r="P24" s="2183"/>
      <c r="Q24" s="3078"/>
      <c r="R24" s="2183"/>
      <c r="S24" s="3078"/>
    </row>
    <row r="25" spans="1:19">
      <c r="A25" s="2185"/>
      <c r="B25" s="3077" t="s">
        <v>6407</v>
      </c>
      <c r="C25" s="2049"/>
      <c r="D25" s="2171"/>
      <c r="E25" s="2051"/>
      <c r="F25" s="2052"/>
      <c r="G25" s="662">
        <f t="shared" si="5"/>
        <v>0</v>
      </c>
      <c r="H25" s="2183"/>
      <c r="I25" s="3078"/>
      <c r="J25" s="2183"/>
      <c r="K25" s="3078"/>
      <c r="L25" s="2183"/>
      <c r="M25" s="3079"/>
      <c r="N25" s="2183"/>
      <c r="O25" s="3078"/>
      <c r="P25" s="2183"/>
      <c r="Q25" s="3078"/>
      <c r="R25" s="2183"/>
      <c r="S25" s="3078"/>
    </row>
    <row r="26" spans="1:19">
      <c r="A26" s="2185"/>
      <c r="B26" s="3077" t="s">
        <v>6408</v>
      </c>
      <c r="C26" s="2049"/>
      <c r="D26" s="2171"/>
      <c r="E26" s="2051"/>
      <c r="F26" s="2052"/>
      <c r="G26" s="662">
        <f t="shared" si="5"/>
        <v>0</v>
      </c>
      <c r="H26" s="2183"/>
      <c r="I26" s="3078"/>
      <c r="J26" s="2183"/>
      <c r="K26" s="3078"/>
      <c r="L26" s="2183"/>
      <c r="M26" s="3079"/>
      <c r="N26" s="2183"/>
      <c r="O26" s="3078"/>
      <c r="P26" s="2183"/>
      <c r="Q26" s="3078"/>
      <c r="R26" s="2183"/>
      <c r="S26" s="3078"/>
    </row>
    <row r="27" spans="1:19">
      <c r="A27" s="2185"/>
      <c r="B27" s="3077" t="s">
        <v>6409</v>
      </c>
      <c r="C27" s="2049"/>
      <c r="D27" s="2171"/>
      <c r="E27" s="2051"/>
      <c r="F27" s="2052"/>
      <c r="G27" s="662">
        <f t="shared" si="5"/>
        <v>0</v>
      </c>
      <c r="H27" s="2183"/>
      <c r="I27" s="3078"/>
      <c r="J27" s="2183"/>
      <c r="K27" s="3078"/>
      <c r="L27" s="2183"/>
      <c r="M27" s="3079"/>
      <c r="N27" s="2183"/>
      <c r="O27" s="3078"/>
      <c r="P27" s="2183"/>
      <c r="Q27" s="3078"/>
      <c r="R27" s="2183"/>
      <c r="S27" s="3078"/>
    </row>
    <row r="28" spans="1:19">
      <c r="A28" s="2185"/>
      <c r="B28" s="3077" t="s">
        <v>6410</v>
      </c>
      <c r="C28" s="2049"/>
      <c r="D28" s="2171">
        <v>3</v>
      </c>
      <c r="E28" s="2051" t="s">
        <v>2803</v>
      </c>
      <c r="F28" s="2052"/>
      <c r="G28" s="662">
        <f t="shared" si="5"/>
        <v>0</v>
      </c>
      <c r="H28" s="2183" t="s">
        <v>2931</v>
      </c>
      <c r="I28" s="3078"/>
      <c r="J28" s="2183" t="s">
        <v>2931</v>
      </c>
      <c r="K28" s="3079"/>
      <c r="L28" s="2183" t="s">
        <v>2931</v>
      </c>
      <c r="M28" s="3079"/>
      <c r="N28" s="2183" t="s">
        <v>2931</v>
      </c>
      <c r="O28" s="3078"/>
      <c r="P28" s="2183"/>
      <c r="Q28" s="3078"/>
      <c r="R28" s="2183"/>
      <c r="S28" s="3078"/>
    </row>
    <row r="29" spans="1:19">
      <c r="A29" s="2185"/>
      <c r="B29" s="3077" t="s">
        <v>6411</v>
      </c>
      <c r="C29" s="2049"/>
      <c r="D29" s="2171"/>
      <c r="E29" s="2051"/>
      <c r="F29" s="2052"/>
      <c r="G29" s="662">
        <f t="shared" si="5"/>
        <v>0</v>
      </c>
      <c r="H29" s="2183"/>
      <c r="I29" s="3078"/>
      <c r="J29" s="2183"/>
      <c r="K29" s="3078"/>
      <c r="L29" s="2183"/>
      <c r="M29" s="3079"/>
      <c r="N29" s="2183"/>
      <c r="O29" s="3078"/>
      <c r="P29" s="2183"/>
      <c r="Q29" s="3078"/>
      <c r="R29" s="2183"/>
      <c r="S29" s="3078"/>
    </row>
    <row r="30" spans="1:19">
      <c r="A30" s="2185"/>
      <c r="B30" s="3077"/>
      <c r="C30" s="2049"/>
      <c r="D30" s="2171"/>
      <c r="E30" s="2051"/>
      <c r="F30" s="2052"/>
      <c r="G30" s="662">
        <f t="shared" si="5"/>
        <v>0</v>
      </c>
      <c r="H30" s="2183"/>
      <c r="I30" s="3078"/>
      <c r="J30" s="2183"/>
      <c r="K30" s="3078"/>
      <c r="L30" s="2183"/>
      <c r="M30" s="3079"/>
      <c r="N30" s="2183"/>
      <c r="O30" s="3078"/>
      <c r="P30" s="2183"/>
      <c r="Q30" s="3078"/>
      <c r="R30" s="2183"/>
      <c r="S30" s="3078"/>
    </row>
    <row r="31" spans="1:19">
      <c r="A31" s="2185"/>
      <c r="B31" s="3077" t="s">
        <v>4757</v>
      </c>
      <c r="C31" s="2049"/>
      <c r="D31" s="2171"/>
      <c r="E31" s="2051"/>
      <c r="F31" s="2052"/>
      <c r="G31" s="662">
        <f t="shared" ref="G31:G32" si="6">ROUND(D31*F31,0)</f>
        <v>0</v>
      </c>
      <c r="H31" s="2183"/>
      <c r="I31" s="3078"/>
      <c r="J31" s="2183"/>
      <c r="K31" s="3079"/>
      <c r="L31" s="2183"/>
      <c r="M31" s="3079"/>
      <c r="N31" s="2183"/>
      <c r="O31" s="3078"/>
      <c r="P31" s="2183"/>
      <c r="Q31" s="3078"/>
      <c r="R31" s="2183"/>
      <c r="S31" s="3078"/>
    </row>
    <row r="32" spans="1:19" ht="45">
      <c r="A32" s="2185"/>
      <c r="B32" s="3084" t="s">
        <v>6412</v>
      </c>
      <c r="C32" s="2049"/>
      <c r="D32" s="2171"/>
      <c r="E32" s="2051"/>
      <c r="F32" s="2052"/>
      <c r="G32" s="662">
        <f t="shared" si="6"/>
        <v>0</v>
      </c>
      <c r="H32" s="2183"/>
      <c r="I32" s="3078"/>
      <c r="J32" s="2183"/>
      <c r="K32" s="3079"/>
      <c r="L32" s="2183"/>
      <c r="M32" s="3079"/>
      <c r="N32" s="2183"/>
      <c r="O32" s="3078"/>
      <c r="P32" s="2183"/>
      <c r="Q32" s="3078"/>
      <c r="R32" s="2183"/>
      <c r="S32" s="3078"/>
    </row>
    <row r="33" spans="1:19">
      <c r="A33" s="2185"/>
      <c r="B33" s="3077"/>
      <c r="C33" s="2049"/>
      <c r="D33" s="2171"/>
      <c r="E33" s="2051"/>
      <c r="F33" s="2052"/>
      <c r="G33" s="662">
        <f t="shared" ref="G33:G34" si="7">ROUND(D33*F33,0)</f>
        <v>0</v>
      </c>
      <c r="H33" s="2183"/>
      <c r="I33" s="3078"/>
      <c r="J33" s="2183"/>
      <c r="K33" s="3079"/>
      <c r="L33" s="2183"/>
      <c r="M33" s="3079"/>
      <c r="N33" s="2183"/>
      <c r="O33" s="3078"/>
      <c r="P33" s="2183"/>
      <c r="Q33" s="3078"/>
      <c r="R33" s="2183"/>
      <c r="S33" s="3078"/>
    </row>
    <row r="34" spans="1:19">
      <c r="A34" s="2185"/>
      <c r="B34" s="3077" t="s">
        <v>6413</v>
      </c>
      <c r="C34" s="2049"/>
      <c r="D34" s="2171"/>
      <c r="E34" s="2051"/>
      <c r="F34" s="2052"/>
      <c r="G34" s="662">
        <f t="shared" si="7"/>
        <v>0</v>
      </c>
      <c r="H34" s="2183"/>
      <c r="I34" s="3078"/>
      <c r="J34" s="2183"/>
      <c r="K34" s="3079"/>
      <c r="L34" s="2183"/>
      <c r="M34" s="3079"/>
      <c r="N34" s="2183"/>
      <c r="O34" s="3078"/>
      <c r="P34" s="2183"/>
      <c r="Q34" s="3078"/>
      <c r="R34" s="2183"/>
      <c r="S34" s="3078"/>
    </row>
    <row r="35" spans="1:19">
      <c r="A35" s="2185"/>
      <c r="B35" s="3096" t="s">
        <v>6414</v>
      </c>
      <c r="C35" s="2049"/>
      <c r="D35" s="2171"/>
      <c r="E35" s="2051"/>
      <c r="F35" s="2052"/>
      <c r="G35" s="662">
        <f>ROUND(D35*F35,0)</f>
        <v>0</v>
      </c>
      <c r="H35" s="2183" t="s">
        <v>2931</v>
      </c>
      <c r="I35" s="3078"/>
      <c r="J35" s="2183"/>
      <c r="K35" s="3079"/>
      <c r="L35" s="2183"/>
      <c r="M35" s="3079"/>
      <c r="N35" s="2183"/>
      <c r="O35" s="3078"/>
      <c r="P35" s="2183"/>
      <c r="Q35" s="3078"/>
      <c r="R35" s="2183"/>
      <c r="S35" s="3078"/>
    </row>
    <row r="36" spans="1:19">
      <c r="A36" s="2185"/>
      <c r="B36" s="3096" t="s">
        <v>6415</v>
      </c>
      <c r="C36" s="2049"/>
      <c r="D36" s="2171"/>
      <c r="E36" s="2051"/>
      <c r="F36" s="2052"/>
      <c r="G36" s="662">
        <f>ROUND(D36*F36,0)</f>
        <v>0</v>
      </c>
      <c r="H36" s="2183" t="s">
        <v>2931</v>
      </c>
      <c r="I36" s="3078"/>
      <c r="J36" s="2183"/>
      <c r="K36" s="3079"/>
      <c r="L36" s="2183"/>
      <c r="M36" s="3079"/>
      <c r="N36" s="2183"/>
      <c r="O36" s="3078"/>
      <c r="P36" s="2183"/>
      <c r="Q36" s="3078"/>
      <c r="R36" s="2183"/>
      <c r="S36" s="3078"/>
    </row>
    <row r="37" spans="1:19">
      <c r="A37" s="2185"/>
      <c r="B37" s="3096" t="s">
        <v>6416</v>
      </c>
      <c r="C37" s="2049"/>
      <c r="D37" s="2171"/>
      <c r="E37" s="2051"/>
      <c r="F37" s="2052"/>
      <c r="G37" s="662">
        <f t="shared" ref="G37:G41" si="8">ROUND(D37*F37,0)</f>
        <v>0</v>
      </c>
      <c r="H37" s="2183"/>
      <c r="I37" s="3078"/>
      <c r="J37" s="2183"/>
      <c r="K37" s="3079"/>
      <c r="L37" s="2183"/>
      <c r="M37" s="3079"/>
      <c r="N37" s="2183"/>
      <c r="O37" s="3078"/>
      <c r="P37" s="2183"/>
      <c r="Q37" s="3078"/>
      <c r="R37" s="2183"/>
      <c r="S37" s="3078"/>
    </row>
    <row r="38" spans="1:19">
      <c r="A38" s="2185"/>
      <c r="B38" s="3096" t="s">
        <v>6417</v>
      </c>
      <c r="C38" s="2049"/>
      <c r="D38" s="2171"/>
      <c r="E38" s="2051"/>
      <c r="F38" s="2052"/>
      <c r="G38" s="662">
        <f t="shared" si="8"/>
        <v>0</v>
      </c>
      <c r="H38" s="2183"/>
      <c r="I38" s="3078"/>
      <c r="J38" s="2183"/>
      <c r="K38" s="3087"/>
      <c r="L38" s="2183"/>
      <c r="M38" s="3087"/>
      <c r="N38" s="2183"/>
      <c r="O38" s="3078"/>
      <c r="P38" s="2183"/>
      <c r="Q38" s="3078"/>
      <c r="R38" s="2183"/>
      <c r="S38" s="3078"/>
    </row>
    <row r="39" spans="1:19">
      <c r="A39" s="2185"/>
      <c r="B39" s="3097" t="s">
        <v>6418</v>
      </c>
      <c r="C39" s="2049"/>
      <c r="D39" s="2171"/>
      <c r="E39" s="2051"/>
      <c r="F39" s="2052"/>
      <c r="G39" s="662">
        <f t="shared" si="8"/>
        <v>0</v>
      </c>
      <c r="H39" s="2183" t="s">
        <v>2931</v>
      </c>
      <c r="I39" s="3078"/>
      <c r="J39" s="2183"/>
      <c r="K39" s="3079"/>
      <c r="L39" s="2183"/>
      <c r="M39" s="3079"/>
      <c r="N39" s="2183"/>
      <c r="O39" s="3078"/>
      <c r="P39" s="2183"/>
      <c r="Q39" s="3078"/>
      <c r="R39" s="2183"/>
      <c r="S39" s="3078"/>
    </row>
    <row r="40" spans="1:19">
      <c r="A40" s="2185"/>
      <c r="B40" s="3097" t="s">
        <v>6419</v>
      </c>
      <c r="C40" s="2049"/>
      <c r="D40" s="2171"/>
      <c r="E40" s="2051"/>
      <c r="F40" s="2052"/>
      <c r="G40" s="662">
        <f t="shared" si="8"/>
        <v>0</v>
      </c>
      <c r="H40" s="2183" t="s">
        <v>2931</v>
      </c>
      <c r="I40" s="3078"/>
      <c r="J40" s="2183"/>
      <c r="K40" s="3079"/>
      <c r="L40" s="2183"/>
      <c r="M40" s="3079"/>
      <c r="N40" s="2183"/>
      <c r="O40" s="3078"/>
      <c r="P40" s="2183"/>
      <c r="Q40" s="3078"/>
      <c r="R40" s="2183"/>
      <c r="S40" s="3078"/>
    </row>
    <row r="41" spans="1:19">
      <c r="A41" s="2185"/>
      <c r="B41" s="3097" t="s">
        <v>6420</v>
      </c>
      <c r="C41" s="2049"/>
      <c r="D41" s="2171"/>
      <c r="E41" s="2051"/>
      <c r="F41" s="2052"/>
      <c r="G41" s="662">
        <f t="shared" si="8"/>
        <v>0</v>
      </c>
      <c r="H41" s="2183" t="s">
        <v>2931</v>
      </c>
      <c r="I41" s="3078"/>
      <c r="J41" s="2183"/>
      <c r="K41" s="3079"/>
      <c r="L41" s="2183"/>
      <c r="M41" s="3079"/>
      <c r="N41" s="2183"/>
      <c r="O41" s="3078"/>
      <c r="P41" s="2183"/>
      <c r="Q41" s="3078"/>
      <c r="R41" s="2183"/>
      <c r="S41" s="3078"/>
    </row>
    <row r="42" spans="1:19">
      <c r="A42" s="2185"/>
      <c r="B42" s="3098" t="s">
        <v>6421</v>
      </c>
      <c r="C42" s="2049"/>
      <c r="D42" s="2171"/>
      <c r="E42" s="2051"/>
      <c r="F42" s="2052"/>
      <c r="G42" s="662">
        <f t="shared" ref="G42:G49" si="9">ROUND(D42*F42,0)</f>
        <v>0</v>
      </c>
      <c r="H42" s="2183" t="s">
        <v>2931</v>
      </c>
      <c r="I42" s="3099" t="s">
        <v>6422</v>
      </c>
      <c r="J42" s="2183"/>
      <c r="K42" s="3087"/>
      <c r="L42" s="2183"/>
      <c r="M42" s="3087"/>
      <c r="N42" s="2183"/>
      <c r="O42" s="3078"/>
      <c r="P42" s="2183"/>
      <c r="Q42" s="3078"/>
      <c r="R42" s="2183"/>
      <c r="S42" s="3078"/>
    </row>
    <row r="43" spans="1:19">
      <c r="A43" s="2185"/>
      <c r="B43" s="3098"/>
      <c r="C43" s="2049"/>
      <c r="D43" s="2171"/>
      <c r="E43" s="2051"/>
      <c r="F43" s="2052"/>
      <c r="G43" s="662">
        <f t="shared" si="9"/>
        <v>0</v>
      </c>
      <c r="H43" s="2183"/>
      <c r="I43" s="3099"/>
      <c r="J43" s="2183"/>
      <c r="K43" s="3087"/>
      <c r="L43" s="2183"/>
      <c r="M43" s="3087"/>
      <c r="N43" s="2183"/>
      <c r="O43" s="3078"/>
      <c r="P43" s="2183"/>
      <c r="Q43" s="3078"/>
      <c r="R43" s="2183"/>
      <c r="S43" s="3078"/>
    </row>
    <row r="44" spans="1:19">
      <c r="A44" s="2185"/>
      <c r="B44" s="3100" t="s">
        <v>6423</v>
      </c>
      <c r="C44" s="2049"/>
      <c r="D44" s="2171">
        <v>1</v>
      </c>
      <c r="E44" s="2051" t="s">
        <v>2818</v>
      </c>
      <c r="F44" s="2052">
        <v>5000</v>
      </c>
      <c r="G44" s="662">
        <f t="shared" si="9"/>
        <v>5000</v>
      </c>
      <c r="H44" s="2183" t="s">
        <v>2929</v>
      </c>
      <c r="I44" s="3101">
        <f>$G44</f>
        <v>5000</v>
      </c>
      <c r="J44" s="2183" t="s">
        <v>2929</v>
      </c>
      <c r="K44" s="3101">
        <f>$G44</f>
        <v>5000</v>
      </c>
      <c r="L44" s="2183" t="s">
        <v>2929</v>
      </c>
      <c r="M44" s="3101">
        <f>$G44</f>
        <v>5000</v>
      </c>
      <c r="N44" s="2183" t="s">
        <v>2929</v>
      </c>
      <c r="O44" s="3101">
        <f>$G44</f>
        <v>5000</v>
      </c>
      <c r="P44" s="2183"/>
      <c r="Q44" s="3078"/>
      <c r="R44" s="2183"/>
      <c r="S44" s="3078"/>
    </row>
    <row r="45" spans="1:19">
      <c r="A45" s="2185"/>
      <c r="B45" s="3102"/>
      <c r="C45" s="2049"/>
      <c r="D45" s="2171"/>
      <c r="E45" s="2051"/>
      <c r="F45" s="2052"/>
      <c r="G45" s="662">
        <f t="shared" si="9"/>
        <v>0</v>
      </c>
      <c r="H45" s="2183"/>
      <c r="I45" s="3078"/>
      <c r="J45" s="2183"/>
      <c r="K45" s="3079"/>
      <c r="L45" s="2183"/>
      <c r="M45" s="3079"/>
      <c r="N45" s="2183"/>
      <c r="O45" s="3078"/>
      <c r="P45" s="2183"/>
      <c r="Q45" s="3078"/>
      <c r="R45" s="2183"/>
      <c r="S45" s="3078"/>
    </row>
    <row r="46" spans="1:19">
      <c r="A46" s="2185"/>
      <c r="B46" s="3103" t="s">
        <v>5206</v>
      </c>
      <c r="C46" s="2049"/>
      <c r="D46" s="2171"/>
      <c r="E46" s="2051"/>
      <c r="F46" s="2052"/>
      <c r="G46" s="662">
        <f t="shared" si="9"/>
        <v>0</v>
      </c>
      <c r="H46" s="2183"/>
      <c r="I46" s="3101">
        <v>10000</v>
      </c>
      <c r="J46" s="2183"/>
      <c r="K46" s="3079"/>
      <c r="L46" s="2183"/>
      <c r="M46" s="3079"/>
      <c r="N46" s="2183"/>
      <c r="O46" s="3078"/>
      <c r="P46" s="2183"/>
      <c r="Q46" s="3078"/>
      <c r="R46" s="2183"/>
      <c r="S46" s="3078"/>
    </row>
    <row r="47" spans="1:19">
      <c r="A47" s="2185"/>
      <c r="B47" s="526"/>
      <c r="C47" s="2049"/>
      <c r="D47" s="2171"/>
      <c r="E47" s="2051"/>
      <c r="F47" s="2052"/>
      <c r="G47" s="662">
        <f t="shared" si="9"/>
        <v>0</v>
      </c>
      <c r="H47" s="2183"/>
      <c r="I47" s="3078"/>
      <c r="J47" s="2183"/>
      <c r="K47" s="3079"/>
      <c r="L47" s="2183"/>
      <c r="M47" s="3079"/>
      <c r="N47" s="2183"/>
      <c r="O47" s="3078"/>
      <c r="P47" s="2183"/>
      <c r="Q47" s="3078"/>
      <c r="R47" s="2183"/>
      <c r="S47" s="3078"/>
    </row>
    <row r="48" spans="1:19">
      <c r="A48" s="2185"/>
      <c r="B48" s="452" t="s">
        <v>6097</v>
      </c>
      <c r="C48" s="2049"/>
      <c r="D48" s="2171"/>
      <c r="E48" s="2051"/>
      <c r="F48" s="2052"/>
      <c r="G48" s="662">
        <f t="shared" si="9"/>
        <v>0</v>
      </c>
      <c r="H48" s="2183"/>
      <c r="I48" s="3078"/>
      <c r="J48" s="2183"/>
      <c r="K48" s="3079"/>
      <c r="L48" s="2183"/>
      <c r="M48" s="3079"/>
      <c r="N48" s="2183"/>
      <c r="O48" s="3078"/>
      <c r="P48" s="2183"/>
      <c r="Q48" s="3078"/>
      <c r="R48" s="2183"/>
      <c r="S48" s="3078"/>
    </row>
    <row r="49" spans="1:19">
      <c r="A49" s="2185"/>
      <c r="B49" s="3077" t="s">
        <v>6424</v>
      </c>
      <c r="C49" s="2049"/>
      <c r="D49" s="2171"/>
      <c r="E49" s="2051"/>
      <c r="F49" s="2052"/>
      <c r="G49" s="662">
        <f t="shared" si="9"/>
        <v>0</v>
      </c>
      <c r="H49" s="2183"/>
      <c r="I49" s="3078"/>
      <c r="J49" s="2183"/>
      <c r="K49" s="3079"/>
      <c r="L49" s="2183"/>
      <c r="M49" s="3079"/>
      <c r="N49" s="2183"/>
      <c r="O49" s="3078"/>
      <c r="P49" s="2183"/>
      <c r="Q49" s="3078"/>
      <c r="R49" s="2183"/>
      <c r="S49" s="3078"/>
    </row>
    <row r="50" spans="1:19">
      <c r="A50" s="2185"/>
      <c r="B50" s="3077"/>
      <c r="C50" s="2049"/>
      <c r="D50" s="2171"/>
      <c r="E50" s="2051"/>
      <c r="F50" s="2052"/>
      <c r="G50" s="662">
        <f t="shared" ref="G50:G54" si="10">ROUND(D50*F50,0)</f>
        <v>0</v>
      </c>
      <c r="H50" s="2183"/>
      <c r="I50" s="3078"/>
      <c r="J50" s="2183"/>
      <c r="K50" s="3079"/>
      <c r="L50" s="2183"/>
      <c r="M50" s="3079"/>
      <c r="N50" s="2183"/>
      <c r="O50" s="3078"/>
      <c r="P50" s="2183"/>
      <c r="Q50" s="3078"/>
      <c r="R50" s="2183"/>
      <c r="S50" s="3078"/>
    </row>
    <row r="51" spans="1:19">
      <c r="A51" s="2185"/>
      <c r="B51" s="452" t="s">
        <v>6425</v>
      </c>
      <c r="C51" s="2049"/>
      <c r="D51" s="2171"/>
      <c r="E51" s="2051"/>
      <c r="F51" s="2052"/>
      <c r="G51" s="662">
        <f t="shared" si="10"/>
        <v>0</v>
      </c>
      <c r="H51" s="2183"/>
      <c r="I51" s="3078"/>
      <c r="J51" s="2183"/>
      <c r="K51" s="3079"/>
      <c r="L51" s="2183"/>
      <c r="M51" s="3079"/>
      <c r="N51" s="2183"/>
      <c r="O51" s="3078"/>
      <c r="P51" s="2183"/>
      <c r="Q51" s="3078"/>
      <c r="R51" s="2183"/>
      <c r="S51" s="3078"/>
    </row>
    <row r="52" spans="1:19">
      <c r="A52" s="2185"/>
      <c r="B52" s="3077" t="s">
        <v>6424</v>
      </c>
      <c r="C52" s="2049"/>
      <c r="D52" s="2171"/>
      <c r="E52" s="2051"/>
      <c r="F52" s="2052"/>
      <c r="G52" s="662">
        <f t="shared" si="10"/>
        <v>0</v>
      </c>
      <c r="H52" s="2183"/>
      <c r="I52" s="3078"/>
      <c r="J52" s="2183"/>
      <c r="K52" s="3079"/>
      <c r="L52" s="2183"/>
      <c r="M52" s="3079"/>
      <c r="N52" s="2183"/>
      <c r="O52" s="3078"/>
      <c r="P52" s="2183"/>
      <c r="Q52" s="3078"/>
      <c r="R52" s="2183"/>
      <c r="S52" s="3078"/>
    </row>
    <row r="53" spans="1:19">
      <c r="A53" s="2185"/>
      <c r="B53" s="3077"/>
      <c r="C53" s="2049"/>
      <c r="D53" s="2171"/>
      <c r="E53" s="2051"/>
      <c r="F53" s="2052"/>
      <c r="G53" s="662">
        <f t="shared" si="10"/>
        <v>0</v>
      </c>
      <c r="H53" s="2183"/>
      <c r="I53" s="3078"/>
      <c r="J53" s="2183"/>
      <c r="K53" s="3079"/>
      <c r="L53" s="2183"/>
      <c r="M53" s="3079"/>
      <c r="N53" s="2183"/>
      <c r="O53" s="3078"/>
      <c r="P53" s="2183"/>
      <c r="Q53" s="3078"/>
      <c r="R53" s="2183"/>
      <c r="S53" s="3078"/>
    </row>
    <row r="54" spans="1:19">
      <c r="A54" s="2185"/>
      <c r="B54" s="3077"/>
      <c r="C54" s="2049"/>
      <c r="D54" s="2171"/>
      <c r="E54" s="2051"/>
      <c r="F54" s="2052"/>
      <c r="G54" s="662">
        <f t="shared" si="10"/>
        <v>0</v>
      </c>
      <c r="H54" s="2183"/>
      <c r="I54" s="3078"/>
      <c r="J54" s="2183"/>
      <c r="K54" s="3079"/>
      <c r="L54" s="2183"/>
      <c r="M54" s="3079"/>
      <c r="N54" s="2183"/>
      <c r="O54" s="3078"/>
      <c r="P54" s="2183"/>
      <c r="Q54" s="3078"/>
      <c r="R54" s="2183"/>
      <c r="S54" s="3078"/>
    </row>
    <row r="55" spans="1:19" ht="15.75" thickBot="1">
      <c r="A55" s="2185"/>
      <c r="B55" s="3077"/>
      <c r="C55" s="2049"/>
      <c r="D55" s="2171"/>
      <c r="E55" s="2051"/>
      <c r="F55" s="2052"/>
      <c r="G55" s="662"/>
      <c r="H55" s="2183"/>
      <c r="I55" s="3078"/>
      <c r="J55" s="2183"/>
      <c r="K55" s="3079"/>
      <c r="L55" s="2183"/>
      <c r="M55" s="3079"/>
      <c r="N55" s="2183"/>
      <c r="O55" s="3078"/>
      <c r="P55" s="2183"/>
      <c r="Q55" s="3078"/>
      <c r="R55" s="2183"/>
      <c r="S55" s="3078"/>
    </row>
    <row r="56" spans="1:19" ht="15.75" thickTop="1">
      <c r="A56" s="13"/>
      <c r="B56" s="226" t="s">
        <v>3265</v>
      </c>
      <c r="C56" s="15"/>
      <c r="D56" s="168"/>
      <c r="E56" s="176"/>
      <c r="F56" s="17"/>
      <c r="G56" s="227">
        <f>SUBTOTAL(9,G22:G55)</f>
        <v>5000</v>
      </c>
      <c r="H56" s="19"/>
      <c r="I56" s="225">
        <f>SUBTOTAL(9,I22:I55)</f>
        <v>319000</v>
      </c>
      <c r="J56" s="19"/>
      <c r="K56" s="225">
        <f>SUBTOTAL(9,K22:K55)</f>
        <v>323173</v>
      </c>
      <c r="L56" s="19"/>
      <c r="M56" s="225">
        <f>SUBTOTAL(9,M22:M55)</f>
        <v>345000</v>
      </c>
      <c r="N56" s="19"/>
      <c r="O56" s="225">
        <f>SUBTOTAL(9,O22:O55)</f>
        <v>376500</v>
      </c>
      <c r="P56" s="19"/>
      <c r="Q56" s="225">
        <f>SUBTOTAL(9,Q22:Q55)</f>
        <v>0</v>
      </c>
      <c r="R56" s="19"/>
      <c r="S56" s="225">
        <f>SUBTOTAL(9,S22:S55)</f>
        <v>0</v>
      </c>
    </row>
    <row r="57" spans="1:19">
      <c r="A57" s="2137"/>
      <c r="B57" s="2208" t="s">
        <v>2976</v>
      </c>
      <c r="C57" s="2138"/>
      <c r="D57" s="2209"/>
      <c r="E57" s="2210"/>
      <c r="F57" s="2140"/>
      <c r="G57" s="654"/>
      <c r="H57" s="2141">
        <v>0</v>
      </c>
      <c r="I57" s="645"/>
      <c r="J57" s="2141">
        <v>0</v>
      </c>
      <c r="K57" s="645"/>
      <c r="L57" s="2141">
        <v>0</v>
      </c>
      <c r="M57" s="645"/>
      <c r="N57" s="2141">
        <v>0</v>
      </c>
      <c r="O57" s="645"/>
      <c r="P57" s="2141">
        <v>0</v>
      </c>
      <c r="Q57" s="645"/>
      <c r="R57" s="2141">
        <v>0</v>
      </c>
      <c r="S57" s="645"/>
    </row>
    <row r="58" spans="1:19">
      <c r="A58" s="2137"/>
      <c r="B58" s="2208" t="s">
        <v>2977</v>
      </c>
      <c r="C58" s="2138"/>
      <c r="D58" s="2209"/>
      <c r="E58" s="2210"/>
      <c r="F58" s="2140"/>
      <c r="G58" s="654">
        <f>F57*G56</f>
        <v>0</v>
      </c>
      <c r="H58" s="2143"/>
      <c r="I58" s="2211">
        <f>H57*I56</f>
        <v>0</v>
      </c>
      <c r="J58" s="2143"/>
      <c r="K58" s="2211">
        <f>J57*K56</f>
        <v>0</v>
      </c>
      <c r="L58" s="2143"/>
      <c r="M58" s="2211">
        <f>L57*M56</f>
        <v>0</v>
      </c>
      <c r="N58" s="2143"/>
      <c r="O58" s="2211">
        <f>N57*O56</f>
        <v>0</v>
      </c>
      <c r="P58" s="2143"/>
      <c r="Q58" s="2211">
        <f>P57*Q56</f>
        <v>0</v>
      </c>
      <c r="R58" s="2143"/>
      <c r="S58" s="2211">
        <f>R57*S56</f>
        <v>0</v>
      </c>
    </row>
    <row r="59" spans="1:19">
      <c r="A59" s="2137"/>
      <c r="B59" s="2208"/>
      <c r="C59" s="2138"/>
      <c r="D59" s="2209"/>
      <c r="E59" s="2210"/>
      <c r="F59" s="2140"/>
      <c r="G59" s="654"/>
      <c r="H59" s="2143"/>
      <c r="I59" s="2211"/>
      <c r="J59" s="2143"/>
      <c r="K59" s="2211"/>
      <c r="L59" s="2143"/>
      <c r="M59" s="2211"/>
      <c r="N59" s="2143"/>
      <c r="O59" s="2211"/>
      <c r="P59" s="2143"/>
      <c r="Q59" s="2211"/>
      <c r="R59" s="2143"/>
      <c r="S59" s="2211"/>
    </row>
    <row r="60" spans="1:19">
      <c r="A60" s="2137"/>
      <c r="B60" s="2208" t="s">
        <v>2978</v>
      </c>
      <c r="C60" s="2138"/>
      <c r="D60" s="2209"/>
      <c r="E60" s="2210"/>
      <c r="F60" s="2140"/>
      <c r="G60" s="654">
        <f>SUM(G56:G58)</f>
        <v>5000</v>
      </c>
      <c r="H60" s="2145"/>
      <c r="I60" s="2211">
        <f>SUM(I56:I58)</f>
        <v>319000</v>
      </c>
      <c r="J60" s="2145"/>
      <c r="K60" s="2211">
        <f>SUM(K56:K58)</f>
        <v>323173</v>
      </c>
      <c r="L60" s="2145"/>
      <c r="M60" s="2211">
        <f>SUM(M56:M58)</f>
        <v>345000</v>
      </c>
      <c r="N60" s="2145"/>
      <c r="O60" s="2211">
        <f>SUM(O56:O58)</f>
        <v>376500</v>
      </c>
      <c r="P60" s="2145"/>
      <c r="Q60" s="2211">
        <f>SUM(Q56:Q58)</f>
        <v>0</v>
      </c>
      <c r="R60" s="2145"/>
      <c r="S60" s="2211">
        <f>SUM(S56:S58)</f>
        <v>0</v>
      </c>
    </row>
    <row r="61" spans="1:19">
      <c r="A61" s="2137"/>
      <c r="B61" s="2077" t="s">
        <v>2979</v>
      </c>
      <c r="C61" s="2138"/>
      <c r="D61" s="2209"/>
      <c r="E61" s="2210"/>
      <c r="F61" s="2077"/>
      <c r="G61" s="655">
        <v>0</v>
      </c>
      <c r="H61" s="2147"/>
      <c r="I61" s="2212">
        <v>0</v>
      </c>
      <c r="J61" s="2147"/>
      <c r="K61" s="2212">
        <v>0</v>
      </c>
      <c r="L61" s="2147"/>
      <c r="M61" s="2212">
        <v>0</v>
      </c>
      <c r="N61" s="2147"/>
      <c r="O61" s="2212">
        <v>0</v>
      </c>
      <c r="P61" s="2147"/>
      <c r="Q61" s="2212">
        <v>0</v>
      </c>
      <c r="R61" s="2148"/>
      <c r="S61" s="2212">
        <v>0</v>
      </c>
    </row>
    <row r="62" spans="1:19">
      <c r="A62" s="2137"/>
      <c r="B62" s="2081"/>
      <c r="C62" s="2138"/>
      <c r="D62" s="2209"/>
      <c r="E62" s="2210"/>
      <c r="F62" s="2140"/>
      <c r="G62" s="656"/>
      <c r="H62" s="2151"/>
      <c r="I62" s="2151"/>
      <c r="J62" s="2151"/>
      <c r="K62" s="2213"/>
      <c r="L62" s="2151"/>
      <c r="M62" s="2151"/>
      <c r="N62" s="2151"/>
      <c r="O62" s="2151"/>
      <c r="P62" s="2151"/>
      <c r="Q62" s="2151"/>
      <c r="R62" s="2151"/>
      <c r="S62" s="2151"/>
    </row>
    <row r="63" spans="1:19" ht="16.5" hidden="1" thickTop="1" thickBot="1">
      <c r="A63" s="830" t="s">
        <v>2980</v>
      </c>
      <c r="B63" s="831"/>
      <c r="C63" s="12"/>
      <c r="D63" s="169"/>
      <c r="E63" s="177"/>
      <c r="F63" s="12"/>
      <c r="G63" s="228"/>
      <c r="H63" s="20"/>
      <c r="I63" s="20"/>
      <c r="J63" s="20"/>
      <c r="K63" s="20"/>
      <c r="L63" s="20"/>
      <c r="M63" s="20"/>
      <c r="N63" s="20"/>
      <c r="O63" s="20"/>
      <c r="P63" s="20"/>
      <c r="Q63" s="20"/>
      <c r="R63" s="20"/>
      <c r="S63" s="20"/>
    </row>
    <row r="64" spans="1:19" ht="15.75" hidden="1" thickTop="1">
      <c r="A64" s="3049"/>
      <c r="B64" s="2106"/>
      <c r="C64" s="3050"/>
      <c r="D64" s="3051"/>
      <c r="E64" s="3052"/>
      <c r="F64" s="3050"/>
      <c r="G64" s="3088"/>
      <c r="H64" s="3056"/>
      <c r="I64" s="3056"/>
      <c r="J64" s="3056"/>
      <c r="K64" s="3056"/>
      <c r="L64" s="3056"/>
      <c r="M64" s="3056"/>
      <c r="N64" s="3056"/>
      <c r="O64" s="3056"/>
      <c r="P64" s="3056"/>
      <c r="Q64" s="3056"/>
      <c r="R64" s="3056"/>
      <c r="S64" s="3056"/>
    </row>
    <row r="65" spans="1:34" hidden="1">
      <c r="A65" s="3049"/>
      <c r="B65" s="2106"/>
      <c r="C65" s="3050"/>
      <c r="D65" s="3051"/>
      <c r="E65" s="3052"/>
      <c r="F65" s="3050"/>
      <c r="G65" s="3088"/>
      <c r="H65" s="3056"/>
      <c r="I65" s="3056"/>
      <c r="J65" s="3056"/>
      <c r="K65" s="3056"/>
      <c r="L65" s="3056"/>
      <c r="M65" s="3056"/>
      <c r="N65" s="3056"/>
      <c r="O65" s="3056"/>
      <c r="P65" s="3056"/>
      <c r="Q65" s="3056"/>
      <c r="R65" s="3056"/>
      <c r="S65" s="3056"/>
    </row>
    <row r="66" spans="1:34" ht="15.75" hidden="1" thickBot="1">
      <c r="A66" s="3049"/>
      <c r="B66" s="2106"/>
      <c r="C66" s="3050"/>
      <c r="D66" s="3051"/>
      <c r="E66" s="3052"/>
      <c r="F66" s="3050"/>
      <c r="G66" s="3088"/>
      <c r="H66" s="3056"/>
      <c r="I66" s="3056"/>
      <c r="J66" s="3056"/>
      <c r="K66" s="3056"/>
      <c r="L66" s="3056"/>
      <c r="M66" s="3056"/>
      <c r="N66" s="3056"/>
      <c r="O66" s="3056"/>
      <c r="P66" s="3056"/>
      <c r="Q66" s="3056"/>
      <c r="R66" s="3056"/>
      <c r="S66" s="3056"/>
    </row>
    <row r="67" spans="1:34" s="2" customFormat="1" ht="16.5" hidden="1" thickTop="1" thickBot="1">
      <c r="A67" s="830" t="s">
        <v>2981</v>
      </c>
      <c r="B67" s="831"/>
      <c r="C67" s="12"/>
      <c r="D67" s="169"/>
      <c r="E67" s="177"/>
      <c r="F67" s="12"/>
      <c r="G67" s="228"/>
      <c r="H67" s="20"/>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hidden="1" thickTop="1">
      <c r="A68" s="3049"/>
      <c r="B68" s="2106"/>
      <c r="C68" s="3050"/>
      <c r="D68" s="3051"/>
      <c r="E68" s="3052"/>
      <c r="F68" s="3050"/>
      <c r="G68" s="3088"/>
      <c r="H68" s="3056"/>
      <c r="I68" s="3056"/>
      <c r="J68" s="3056"/>
      <c r="K68" s="3056"/>
      <c r="L68" s="3056"/>
      <c r="M68" s="3056"/>
      <c r="N68" s="3056"/>
      <c r="O68" s="3056"/>
      <c r="P68" s="3056"/>
      <c r="Q68" s="3056"/>
      <c r="R68" s="3056"/>
      <c r="S68" s="3056"/>
      <c r="T68"/>
      <c r="U68"/>
      <c r="V68"/>
      <c r="W68"/>
      <c r="X68"/>
      <c r="Y68"/>
      <c r="Z68"/>
      <c r="AA68"/>
      <c r="AB68"/>
      <c r="AC68"/>
      <c r="AD68"/>
      <c r="AE68"/>
      <c r="AF68"/>
      <c r="AG68"/>
      <c r="AH68"/>
    </row>
    <row r="69" spans="1:34" s="2" customFormat="1" hidden="1">
      <c r="A69" s="3049"/>
      <c r="B69" s="2106"/>
      <c r="C69" s="3050"/>
      <c r="D69" s="3051"/>
      <c r="E69" s="3052"/>
      <c r="F69" s="3050"/>
      <c r="G69" s="3088"/>
      <c r="H69" s="3056"/>
      <c r="I69" s="3056"/>
      <c r="J69" s="3056"/>
      <c r="K69" s="3056"/>
      <c r="L69" s="3056"/>
      <c r="M69" s="3056"/>
      <c r="N69" s="3056"/>
      <c r="O69" s="3056"/>
      <c r="P69" s="3056"/>
      <c r="Q69" s="3056"/>
      <c r="R69" s="3056"/>
      <c r="S69" s="3056"/>
      <c r="T69"/>
      <c r="U69"/>
      <c r="V69"/>
      <c r="W69"/>
      <c r="X69"/>
      <c r="Y69"/>
      <c r="Z69"/>
      <c r="AA69"/>
      <c r="AB69"/>
      <c r="AC69"/>
      <c r="AD69"/>
      <c r="AE69"/>
      <c r="AF69"/>
      <c r="AG69"/>
      <c r="AH69"/>
    </row>
    <row r="70" spans="1:34" ht="15.75" hidden="1" thickBot="1">
      <c r="A70" s="3049"/>
      <c r="B70" s="2106"/>
      <c r="C70" s="3050"/>
      <c r="D70" s="3051"/>
      <c r="E70" s="3052"/>
      <c r="F70" s="3050"/>
      <c r="G70" s="3088"/>
      <c r="H70" s="3056"/>
      <c r="I70" s="3056"/>
      <c r="J70" s="3056"/>
      <c r="K70" s="3056"/>
      <c r="L70" s="3056"/>
      <c r="M70" s="3056"/>
      <c r="N70" s="3056"/>
      <c r="O70" s="3056"/>
      <c r="P70" s="3056"/>
      <c r="Q70" s="3056"/>
      <c r="R70" s="3056"/>
      <c r="S70" s="3056"/>
    </row>
    <row r="71" spans="1:34" s="2" customFormat="1" ht="16.5" hidden="1" thickTop="1" thickBot="1">
      <c r="A71" s="830" t="s">
        <v>2982</v>
      </c>
      <c r="B71" s="831"/>
      <c r="C71" s="12"/>
      <c r="D71" s="169"/>
      <c r="E71" s="177"/>
      <c r="F71" s="12"/>
      <c r="G71" s="228"/>
      <c r="H71" s="20"/>
      <c r="I71" s="20"/>
      <c r="J71" s="20"/>
      <c r="K71" s="20"/>
      <c r="L71" s="20"/>
      <c r="M71" s="20"/>
      <c r="N71" s="20"/>
      <c r="O71" s="20"/>
      <c r="P71" s="20"/>
      <c r="Q71" s="20"/>
      <c r="R71" s="20"/>
      <c r="S71" s="20"/>
      <c r="T71"/>
      <c r="U71"/>
      <c r="V71"/>
      <c r="W71"/>
      <c r="X71"/>
      <c r="Y71"/>
      <c r="Z71"/>
      <c r="AA71"/>
      <c r="AB71"/>
      <c r="AC71"/>
      <c r="AD71"/>
      <c r="AE71"/>
      <c r="AF71"/>
      <c r="AG71"/>
      <c r="AH71"/>
    </row>
    <row r="72" spans="1:34" s="2" customFormat="1" ht="15.75" hidden="1" thickTop="1">
      <c r="A72" s="3049"/>
      <c r="B72" s="2106"/>
      <c r="C72" s="3050"/>
      <c r="D72" s="3051"/>
      <c r="E72" s="3052"/>
      <c r="F72" s="3050"/>
      <c r="G72" s="3088"/>
      <c r="H72" s="3056"/>
      <c r="I72" s="3056"/>
      <c r="J72" s="3056"/>
      <c r="K72" s="3056"/>
      <c r="L72" s="3056"/>
      <c r="M72" s="3056"/>
      <c r="N72" s="3056"/>
      <c r="O72" s="3056"/>
      <c r="P72" s="3056"/>
      <c r="Q72" s="3056"/>
      <c r="R72" s="3056"/>
      <c r="S72" s="3056"/>
      <c r="T72"/>
      <c r="U72"/>
      <c r="V72"/>
      <c r="W72"/>
      <c r="X72"/>
      <c r="Y72"/>
      <c r="Z72"/>
      <c r="AA72"/>
      <c r="AB72"/>
      <c r="AC72"/>
      <c r="AD72"/>
      <c r="AE72"/>
      <c r="AF72"/>
      <c r="AG72"/>
      <c r="AH72"/>
    </row>
    <row r="73" spans="1:34" s="2" customFormat="1" hidden="1">
      <c r="A73" s="2085"/>
      <c r="B73" s="2106"/>
      <c r="C73" s="2049"/>
      <c r="D73" s="2171"/>
      <c r="E73" s="2051"/>
      <c r="F73" s="2049"/>
      <c r="G73" s="2086"/>
      <c r="H73" s="2158"/>
      <c r="I73" s="2158"/>
      <c r="J73" s="2158"/>
      <c r="K73" s="2158"/>
      <c r="L73" s="2158"/>
      <c r="M73" s="2158"/>
      <c r="N73" s="2158"/>
      <c r="O73" s="2158"/>
      <c r="P73" s="2158"/>
      <c r="Q73" s="2158"/>
      <c r="R73" s="2158"/>
      <c r="S73" s="2158"/>
      <c r="T73"/>
      <c r="U73"/>
      <c r="V73"/>
      <c r="W73"/>
      <c r="X73"/>
      <c r="Y73"/>
      <c r="Z73"/>
      <c r="AA73"/>
      <c r="AB73"/>
      <c r="AC73"/>
      <c r="AD73"/>
      <c r="AE73"/>
      <c r="AF73"/>
      <c r="AG73"/>
      <c r="AH73"/>
    </row>
    <row r="74" spans="1:34" s="2" customFormat="1" ht="15.75" hidden="1" thickBot="1">
      <c r="A74" s="2088"/>
      <c r="B74" s="2089"/>
      <c r="C74" s="2049"/>
      <c r="D74" s="2171"/>
      <c r="E74" s="2051"/>
      <c r="F74" s="2049"/>
      <c r="G74" s="2086"/>
      <c r="H74" s="2159"/>
      <c r="I74" s="2159"/>
      <c r="J74" s="2159"/>
      <c r="K74" s="2159"/>
      <c r="L74" s="2159"/>
      <c r="M74" s="2159"/>
      <c r="N74" s="2159"/>
      <c r="O74" s="2159"/>
      <c r="P74" s="2159"/>
      <c r="Q74" s="2159"/>
      <c r="R74" s="2159"/>
      <c r="S74" s="2159"/>
    </row>
    <row r="75" spans="1:34" s="2" customFormat="1" ht="16.5" hidden="1" thickTop="1" thickBot="1">
      <c r="A75" s="830" t="s">
        <v>2983</v>
      </c>
      <c r="B75" s="831"/>
      <c r="C75" s="12"/>
      <c r="D75" s="169"/>
      <c r="E75" s="177"/>
      <c r="F75" s="12"/>
      <c r="G75" s="228"/>
      <c r="H75" s="20"/>
      <c r="I75" s="20"/>
      <c r="J75" s="20"/>
      <c r="K75" s="20"/>
      <c r="L75" s="20"/>
      <c r="M75" s="20"/>
      <c r="N75" s="20"/>
      <c r="O75" s="20"/>
      <c r="P75" s="20"/>
      <c r="Q75" s="20"/>
      <c r="R75" s="20"/>
      <c r="S75" s="20"/>
      <c r="T75"/>
      <c r="U75"/>
      <c r="V75"/>
      <c r="W75"/>
      <c r="X75"/>
      <c r="Y75"/>
      <c r="Z75"/>
      <c r="AA75"/>
      <c r="AB75"/>
      <c r="AC75"/>
      <c r="AD75"/>
      <c r="AE75"/>
      <c r="AF75"/>
      <c r="AG75"/>
      <c r="AH75"/>
    </row>
    <row r="76" spans="1:34" ht="15.75" hidden="1" thickTop="1">
      <c r="A76" s="3059"/>
      <c r="B76" s="3060"/>
      <c r="C76" s="3050"/>
      <c r="D76" s="3051"/>
      <c r="E76" s="3052"/>
      <c r="F76" s="3050"/>
      <c r="G76" s="3088"/>
      <c r="H76" s="3056"/>
      <c r="I76" s="3056"/>
      <c r="J76" s="3056"/>
      <c r="K76" s="3056"/>
      <c r="L76" s="3056"/>
      <c r="M76" s="3056"/>
      <c r="N76" s="3056"/>
      <c r="O76" s="3056"/>
      <c r="P76" s="3056"/>
      <c r="Q76" s="3056"/>
      <c r="R76" s="3056"/>
      <c r="S76" s="3056"/>
      <c r="T76" s="2"/>
      <c r="U76" s="2"/>
      <c r="V76" s="2"/>
      <c r="W76" s="2"/>
      <c r="X76" s="2"/>
      <c r="Y76" s="2"/>
      <c r="Z76" s="2"/>
      <c r="AA76" s="2"/>
      <c r="AB76" s="2"/>
      <c r="AC76" s="2"/>
      <c r="AD76" s="2"/>
      <c r="AE76" s="2"/>
      <c r="AF76" s="2"/>
      <c r="AG76" s="2"/>
      <c r="AH76" s="2"/>
    </row>
    <row r="77" spans="1:34" hidden="1">
      <c r="A77" s="2088"/>
      <c r="B77" s="2089"/>
      <c r="C77" s="2049"/>
      <c r="D77" s="2171"/>
      <c r="E77" s="2051"/>
      <c r="F77" s="2049"/>
      <c r="G77" s="2086"/>
      <c r="H77" s="2162"/>
      <c r="I77" s="2162"/>
      <c r="J77" s="2162"/>
      <c r="K77" s="2162"/>
      <c r="L77" s="2162"/>
      <c r="M77" s="2162"/>
      <c r="N77" s="2162"/>
      <c r="O77" s="2162"/>
      <c r="P77" s="2162"/>
      <c r="Q77" s="2162"/>
      <c r="R77" s="2162"/>
      <c r="S77" s="2162"/>
      <c r="T77" s="2"/>
      <c r="U77" s="2"/>
      <c r="V77" s="2"/>
      <c r="W77" s="2"/>
      <c r="X77" s="2"/>
      <c r="Y77" s="2"/>
      <c r="Z77" s="2"/>
      <c r="AA77" s="2"/>
      <c r="AB77" s="2"/>
      <c r="AC77" s="2"/>
      <c r="AD77" s="2"/>
      <c r="AE77" s="2"/>
      <c r="AF77" s="2"/>
      <c r="AG77" s="2"/>
      <c r="AH77" s="2"/>
    </row>
    <row r="78" spans="1:34" ht="15.75" hidden="1" thickBot="1">
      <c r="A78" s="2088"/>
      <c r="B78" s="2089"/>
      <c r="C78" s="2049"/>
      <c r="D78" s="2171"/>
      <c r="E78" s="2051"/>
      <c r="F78" s="2049"/>
      <c r="G78" s="2086"/>
      <c r="H78" s="2162"/>
      <c r="I78" s="2162"/>
      <c r="J78" s="2162"/>
      <c r="K78" s="2162"/>
      <c r="L78" s="2162"/>
      <c r="M78" s="2162"/>
      <c r="N78" s="2162"/>
      <c r="O78" s="2162"/>
      <c r="P78" s="2162"/>
      <c r="Q78" s="2162"/>
      <c r="R78" s="2162"/>
      <c r="S78" s="2162"/>
      <c r="T78" s="2"/>
      <c r="U78" s="2"/>
      <c r="V78" s="2"/>
      <c r="W78" s="2"/>
      <c r="X78" s="2"/>
      <c r="Y78" s="2"/>
      <c r="Z78" s="2"/>
      <c r="AA78" s="2"/>
      <c r="AB78" s="2"/>
      <c r="AC78" s="2"/>
      <c r="AD78" s="2"/>
      <c r="AE78" s="2"/>
      <c r="AF78" s="2"/>
      <c r="AG78" s="2"/>
      <c r="AH78" s="2"/>
    </row>
    <row r="79" spans="1:34" ht="16.5" hidden="1" thickTop="1" thickBot="1">
      <c r="A79" s="830" t="s">
        <v>2984</v>
      </c>
      <c r="B79" s="831"/>
      <c r="C79" s="12"/>
      <c r="D79" s="169"/>
      <c r="E79" s="177"/>
      <c r="F79" s="12"/>
      <c r="G79" s="228"/>
      <c r="H79" s="20"/>
      <c r="I79" s="20"/>
      <c r="J79" s="20"/>
      <c r="K79" s="20"/>
      <c r="L79" s="20"/>
      <c r="M79" s="20"/>
      <c r="N79" s="20"/>
      <c r="O79" s="20"/>
      <c r="P79" s="20"/>
      <c r="Q79" s="20"/>
      <c r="R79" s="20"/>
      <c r="S79" s="20"/>
    </row>
    <row r="80" spans="1:34" ht="15.75" hidden="1" thickTop="1">
      <c r="A80" s="2085"/>
      <c r="B80" s="2106" t="s">
        <v>2985</v>
      </c>
      <c r="C80" s="2049"/>
      <c r="D80" s="2171"/>
      <c r="E80" s="2051"/>
      <c r="F80" s="2049"/>
      <c r="G80" s="2086"/>
      <c r="H80" s="2162"/>
      <c r="I80" s="2162"/>
      <c r="J80" s="2162"/>
      <c r="K80" s="2162"/>
      <c r="L80" s="2162"/>
      <c r="M80" s="2162"/>
      <c r="N80" s="2162"/>
      <c r="O80" s="2162"/>
      <c r="P80" s="2162"/>
      <c r="Q80" s="2162"/>
      <c r="R80" s="2162"/>
      <c r="S80" s="2162"/>
    </row>
    <row r="81" spans="1:19" hidden="1">
      <c r="A81" s="2085"/>
      <c r="B81" s="2106" t="s">
        <v>2986</v>
      </c>
      <c r="C81" s="2049"/>
      <c r="D81" s="2171"/>
      <c r="E81" s="2051"/>
      <c r="F81" s="2049"/>
      <c r="G81" s="2086"/>
      <c r="H81" s="2162"/>
      <c r="I81" s="2162"/>
      <c r="J81" s="2162"/>
      <c r="K81" s="2162"/>
      <c r="L81" s="2162"/>
      <c r="M81" s="2162"/>
      <c r="N81" s="2162"/>
      <c r="O81" s="2162"/>
      <c r="P81" s="2162"/>
      <c r="Q81" s="2162"/>
      <c r="R81" s="2162"/>
      <c r="S81" s="2162"/>
    </row>
    <row r="82" spans="1:19" hidden="1">
      <c r="A82" s="2085"/>
      <c r="B82" s="2106" t="s">
        <v>2987</v>
      </c>
      <c r="C82" s="2049"/>
      <c r="D82" s="2171"/>
      <c r="E82" s="2051"/>
      <c r="F82" s="2049"/>
      <c r="G82" s="2086"/>
      <c r="H82" s="2162"/>
      <c r="I82" s="2162"/>
      <c r="J82" s="2162"/>
      <c r="K82" s="2162"/>
      <c r="L82" s="2162"/>
      <c r="M82" s="2162"/>
      <c r="N82" s="2162"/>
      <c r="O82" s="2162"/>
      <c r="P82" s="2162"/>
      <c r="Q82" s="2162"/>
      <c r="R82" s="2162"/>
      <c r="S82" s="2162"/>
    </row>
    <row r="83" spans="1:19" hidden="1">
      <c r="A83" s="2085"/>
      <c r="B83" s="2106" t="s">
        <v>2988</v>
      </c>
      <c r="C83" s="2049"/>
      <c r="D83" s="2171"/>
      <c r="E83" s="2051"/>
      <c r="F83" s="2049"/>
      <c r="G83" s="2086"/>
      <c r="H83" s="2162"/>
      <c r="I83" s="2162"/>
      <c r="J83" s="2162"/>
      <c r="K83" s="2162"/>
      <c r="L83" s="2162"/>
      <c r="M83" s="2162"/>
      <c r="N83" s="2162"/>
      <c r="O83" s="2162"/>
      <c r="P83" s="2162"/>
      <c r="Q83" s="2162"/>
      <c r="R83" s="2162"/>
      <c r="S83" s="2162"/>
    </row>
    <row r="84" spans="1:19" ht="15.75" hidden="1" thickBot="1">
      <c r="A84" s="646"/>
      <c r="B84" s="619"/>
      <c r="C84" s="616"/>
      <c r="D84" s="621"/>
      <c r="E84" s="622"/>
      <c r="F84" s="616"/>
      <c r="G84" s="620"/>
      <c r="H84" s="647"/>
      <c r="I84" s="647"/>
      <c r="J84" s="647"/>
      <c r="K84" s="647"/>
      <c r="L84" s="647"/>
      <c r="M84" s="647"/>
      <c r="N84" s="647"/>
      <c r="O84" s="647"/>
      <c r="P84" s="647"/>
      <c r="Q84" s="647"/>
      <c r="R84" s="647"/>
      <c r="S84" s="647"/>
    </row>
    <row r="85" spans="1:19" ht="16.5" hidden="1" thickTop="1" thickBot="1">
      <c r="A85" s="7" t="s">
        <v>2989</v>
      </c>
      <c r="B85" s="8"/>
      <c r="C85" s="12"/>
      <c r="D85" s="169"/>
      <c r="E85" s="177"/>
      <c r="F85" s="12"/>
      <c r="G85" s="228"/>
      <c r="H85" s="20"/>
      <c r="I85" s="20"/>
      <c r="J85" s="20"/>
      <c r="K85" s="20"/>
      <c r="L85" s="20"/>
      <c r="M85" s="20"/>
      <c r="N85" s="20"/>
      <c r="O85" s="20"/>
      <c r="P85" s="20"/>
      <c r="Q85" s="20"/>
      <c r="R85" s="20"/>
      <c r="S85" s="20"/>
    </row>
    <row r="86" spans="1:19" ht="15.75" hidden="1" thickTop="1">
      <c r="A86" s="3049"/>
      <c r="B86" s="3061" t="s">
        <v>2990</v>
      </c>
      <c r="C86" s="3050"/>
      <c r="D86" s="3051"/>
      <c r="E86" s="3052"/>
      <c r="F86" s="3050"/>
      <c r="G86" s="3088"/>
      <c r="H86" s="3062"/>
      <c r="I86" s="3062"/>
      <c r="J86" s="3062"/>
      <c r="K86" s="3062"/>
      <c r="L86" s="3062"/>
      <c r="M86" s="3062"/>
      <c r="N86" s="3062"/>
      <c r="O86" s="3062"/>
      <c r="P86" s="3062"/>
      <c r="Q86" s="3062"/>
      <c r="R86" s="3062"/>
      <c r="S86" s="3062"/>
    </row>
    <row r="87" spans="1:19" hidden="1">
      <c r="A87" s="2085"/>
      <c r="B87" s="2106" t="s">
        <v>2991</v>
      </c>
      <c r="C87" s="2049"/>
      <c r="D87" s="2171"/>
      <c r="E87" s="2051"/>
      <c r="F87" s="2049"/>
      <c r="G87" s="2086"/>
      <c r="H87" s="2165"/>
      <c r="I87" s="2165"/>
      <c r="J87" s="2165"/>
      <c r="K87" s="2165"/>
      <c r="L87" s="2165"/>
      <c r="M87" s="2165"/>
      <c r="N87" s="2165"/>
      <c r="O87" s="2165"/>
      <c r="P87" s="2165"/>
      <c r="Q87" s="2165"/>
      <c r="R87" s="2165"/>
      <c r="S87" s="2165"/>
    </row>
    <row r="88" spans="1:19" ht="15.75" hidden="1" thickBot="1">
      <c r="A88" s="2093"/>
      <c r="B88" s="2166" t="s">
        <v>2992</v>
      </c>
      <c r="C88" s="2167"/>
      <c r="D88" s="2217"/>
      <c r="E88" s="2095"/>
      <c r="F88" s="2167"/>
      <c r="G88" s="2096"/>
      <c r="H88" s="2097"/>
      <c r="I88" s="2097"/>
      <c r="J88" s="2097"/>
      <c r="K88" s="2097"/>
      <c r="L88" s="2097"/>
      <c r="M88" s="2097"/>
      <c r="N88" s="2097"/>
      <c r="O88" s="2097"/>
      <c r="P88" s="2097"/>
      <c r="Q88" s="2097"/>
      <c r="R88" s="2097"/>
      <c r="S88" s="2097"/>
    </row>
    <row r="89" spans="1:19" ht="15.75" thickBot="1"/>
    <row r="90" spans="1:19" ht="16.5" thickTop="1" thickBot="1">
      <c r="A90" s="59" t="s">
        <v>2993</v>
      </c>
      <c r="B90" s="61"/>
    </row>
    <row r="91" spans="1:19" ht="15.75" thickTop="1">
      <c r="A91" s="60" t="s">
        <v>2936</v>
      </c>
      <c r="B91" s="2098"/>
    </row>
    <row r="92" spans="1:19">
      <c r="A92" s="2099" t="s">
        <v>2939</v>
      </c>
      <c r="B92" s="2098"/>
    </row>
    <row r="93" spans="1:19">
      <c r="A93" s="2100" t="s">
        <v>2941</v>
      </c>
      <c r="B93" s="2101"/>
    </row>
    <row r="94" spans="1:19">
      <c r="A94" s="2100" t="s">
        <v>2943</v>
      </c>
      <c r="B94" s="2102"/>
    </row>
    <row r="95" spans="1:19" ht="15.75" thickBot="1">
      <c r="A95" s="2103" t="s">
        <v>2994</v>
      </c>
      <c r="B95" s="2104">
        <f>I60</f>
        <v>319000</v>
      </c>
    </row>
    <row r="96" spans="1:19" ht="15.75" thickTop="1"/>
    <row r="97" spans="1:2">
      <c r="A97" s="62"/>
      <c r="B97" s="1" t="s">
        <v>2995</v>
      </c>
    </row>
    <row r="98" spans="1:2">
      <c r="A98" s="63"/>
      <c r="B98" s="1" t="s">
        <v>2996</v>
      </c>
    </row>
  </sheetData>
  <mergeCells count="34">
    <mergeCell ref="R5:S5"/>
    <mergeCell ref="R6:S6"/>
    <mergeCell ref="P7:Q7"/>
    <mergeCell ref="P6:Q6"/>
    <mergeCell ref="P5:Q5"/>
    <mergeCell ref="L8:M8"/>
    <mergeCell ref="N8:O8"/>
    <mergeCell ref="P8:Q8"/>
    <mergeCell ref="J8:K8"/>
    <mergeCell ref="R7:S7"/>
    <mergeCell ref="R8:S8"/>
    <mergeCell ref="J5:K5"/>
    <mergeCell ref="L5:M5"/>
    <mergeCell ref="H5:I5"/>
    <mergeCell ref="N5:O5"/>
    <mergeCell ref="J7:K7"/>
    <mergeCell ref="L7:M7"/>
    <mergeCell ref="H7:I7"/>
    <mergeCell ref="N7:O7"/>
    <mergeCell ref="J6:K6"/>
    <mergeCell ref="L6:M6"/>
    <mergeCell ref="H6:I6"/>
    <mergeCell ref="N6:O6"/>
    <mergeCell ref="A63:B63"/>
    <mergeCell ref="A67:B67"/>
    <mergeCell ref="A71:B71"/>
    <mergeCell ref="A75:B75"/>
    <mergeCell ref="A79:B79"/>
    <mergeCell ref="R9:S9"/>
    <mergeCell ref="J9:K9"/>
    <mergeCell ref="L9:M9"/>
    <mergeCell ref="H9:I9"/>
    <mergeCell ref="N9:O9"/>
    <mergeCell ref="P9:Q9"/>
  </mergeCells>
  <conditionalFormatting sqref="H11:H18 J11:J18 L11:L18 N11:N18 P11:P18 R11:R18 H20:H55 J20:J55 L20:L55 N20:N55 P20:P55 R20:R55">
    <cfRule type="cellIs" dxfId="65" priority="3" operator="equal">
      <formula>"X"</formula>
    </cfRule>
    <cfRule type="cellIs" dxfId="64" priority="4" operator="equal">
      <formula>"I"</formula>
    </cfRule>
  </conditionalFormatting>
  <hyperlinks>
    <hyperlink ref="B4" location="'Cost Summary'!A1" display="BACK TO SUMMARY SHEET" xr:uid="{7CBE0BEB-C5BE-462A-9D2A-023238C757B9}"/>
    <hyperlink ref="J8" r:id="rId1" xr:uid="{0AC1B7BD-3B20-4833-8A70-ADA5A813152F}"/>
    <hyperlink ref="L8" r:id="rId2" xr:uid="{97A13FA9-C5CC-4320-902E-F51DAE511CCF}"/>
    <hyperlink ref="H8" r:id="rId3" xr:uid="{14CA8BE7-3073-477C-820D-F72760C2A7BA}"/>
    <hyperlink ref="N8" r:id="rId4" xr:uid="{713C2FAB-7A8F-4487-945C-A2FFEBF90594}"/>
  </hyperlinks>
  <pageMargins left="0.2" right="0.2" top="0.5" bottom="0.75" header="0.3" footer="0.3"/>
  <pageSetup paperSize="3" scale="77" fitToHeight="0" orientation="landscape" r:id="rId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FFFF00"/>
    <pageSetUpPr fitToPage="1"/>
  </sheetPr>
  <dimension ref="A1:AH276"/>
  <sheetViews>
    <sheetView zoomScale="90" zoomScaleNormal="90" workbookViewId="0">
      <pane ySplit="10" topLeftCell="A141" activePane="bottomLeft" state="frozen"/>
      <selection pane="bottomLeft" activeCell="B135" sqref="B135"/>
      <selection activeCell="B4" sqref="B4"/>
    </sheetView>
  </sheetViews>
  <sheetFormatPr defaultColWidth="8.85546875" defaultRowHeight="15" outlineLevelRow="1"/>
  <cols>
    <col min="1" max="1" width="10.7109375" customWidth="1"/>
    <col min="2" max="2" width="70.7109375" style="1" customWidth="1"/>
    <col min="3" max="3" width="10.85546875" style="2" hidden="1" customWidth="1"/>
    <col min="4" max="4" width="15.7109375" style="379"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customHeight="1" thickTop="1">
      <c r="A5" s="3" t="s">
        <v>2935</v>
      </c>
      <c r="B5" s="4" t="s">
        <v>84</v>
      </c>
      <c r="C5" s="5"/>
      <c r="D5" s="380"/>
      <c r="E5" s="171"/>
      <c r="F5" s="5"/>
      <c r="G5" s="6" t="s">
        <v>2936</v>
      </c>
      <c r="H5" s="837" t="s">
        <v>6426</v>
      </c>
      <c r="I5" s="838"/>
      <c r="J5" s="837" t="s">
        <v>6427</v>
      </c>
      <c r="K5" s="838"/>
      <c r="L5" s="837" t="s">
        <v>6428</v>
      </c>
      <c r="M5" s="838"/>
      <c r="N5" s="837" t="s">
        <v>6429</v>
      </c>
      <c r="O5" s="838"/>
      <c r="P5" s="837" t="s">
        <v>6430</v>
      </c>
      <c r="Q5" s="838"/>
      <c r="R5" s="841"/>
      <c r="S5" s="842"/>
    </row>
    <row r="6" spans="1:19">
      <c r="A6" s="2105" t="s">
        <v>2938</v>
      </c>
      <c r="B6" s="2106" t="s">
        <v>557</v>
      </c>
      <c r="C6" s="2049"/>
      <c r="D6" s="2050"/>
      <c r="E6" s="2051"/>
      <c r="F6" s="2049"/>
      <c r="G6" s="657" t="s">
        <v>2939</v>
      </c>
      <c r="H6" s="2172" t="s">
        <v>6431</v>
      </c>
      <c r="I6" s="839"/>
      <c r="J6" s="2172" t="s">
        <v>6432</v>
      </c>
      <c r="K6" s="839"/>
      <c r="L6" s="2172" t="s">
        <v>6433</v>
      </c>
      <c r="M6" s="839"/>
      <c r="N6" s="2172" t="s">
        <v>6434</v>
      </c>
      <c r="O6" s="839"/>
      <c r="P6" s="2172" t="s">
        <v>6435</v>
      </c>
      <c r="Q6" s="839"/>
      <c r="R6" s="2107"/>
      <c r="S6" s="843"/>
    </row>
    <row r="7" spans="1:19">
      <c r="A7" s="2105" t="s">
        <v>2940</v>
      </c>
      <c r="B7" s="2108" t="s">
        <v>2672</v>
      </c>
      <c r="C7" s="2049"/>
      <c r="D7" s="2050"/>
      <c r="E7" s="2051"/>
      <c r="F7" s="2049"/>
      <c r="G7" s="2109" t="s">
        <v>2941</v>
      </c>
      <c r="H7" s="2173" t="s">
        <v>6436</v>
      </c>
      <c r="I7" s="840"/>
      <c r="J7" s="2173" t="s">
        <v>6437</v>
      </c>
      <c r="K7" s="840"/>
      <c r="L7" s="2173" t="s">
        <v>6438</v>
      </c>
      <c r="M7" s="840"/>
      <c r="N7" s="2173" t="s">
        <v>6439</v>
      </c>
      <c r="O7" s="840"/>
      <c r="P7" s="2173" t="s">
        <v>6440</v>
      </c>
      <c r="Q7" s="840"/>
      <c r="R7" s="2110"/>
      <c r="S7" s="844"/>
    </row>
    <row r="8" spans="1:19">
      <c r="A8" s="2105" t="s">
        <v>2942</v>
      </c>
      <c r="B8" s="2111"/>
      <c r="C8" s="2049"/>
      <c r="D8" s="2050"/>
      <c r="E8" s="2051"/>
      <c r="F8" s="2049"/>
      <c r="G8" s="2109" t="s">
        <v>2943</v>
      </c>
      <c r="H8" s="2174" t="s">
        <v>6441</v>
      </c>
      <c r="I8" s="836"/>
      <c r="J8" s="2174" t="s">
        <v>6442</v>
      </c>
      <c r="K8" s="836"/>
      <c r="L8" s="2174" t="s">
        <v>6443</v>
      </c>
      <c r="M8" s="836"/>
      <c r="N8" s="2174" t="s">
        <v>6444</v>
      </c>
      <c r="O8" s="836"/>
      <c r="P8" s="2174" t="s">
        <v>6445</v>
      </c>
      <c r="Q8" s="836"/>
      <c r="R8" s="2112"/>
      <c r="S8" s="845"/>
    </row>
    <row r="9" spans="1:19" ht="15.75" thickBot="1">
      <c r="A9" s="2175"/>
      <c r="B9" s="2166"/>
      <c r="C9" s="616"/>
      <c r="D9" s="628"/>
      <c r="E9" s="622"/>
      <c r="F9" s="2167"/>
      <c r="G9" s="2176" t="s">
        <v>2944</v>
      </c>
      <c r="H9" s="2177">
        <f>I$233</f>
        <v>3987100</v>
      </c>
      <c r="I9" s="2178"/>
      <c r="J9" s="2179">
        <f t="shared" ref="J9" si="0">K$233</f>
        <v>4049025</v>
      </c>
      <c r="K9" s="2180"/>
      <c r="L9" s="2179">
        <f t="shared" ref="L9" si="1">M$233</f>
        <v>4251235</v>
      </c>
      <c r="M9" s="2180"/>
      <c r="N9" s="2179">
        <f t="shared" ref="N9" si="2">O$233</f>
        <v>66000</v>
      </c>
      <c r="O9" s="2180"/>
      <c r="P9" s="2179">
        <f>Q$233</f>
        <v>3727607</v>
      </c>
      <c r="Q9" s="2180"/>
      <c r="R9" s="2179">
        <f t="shared" ref="R9" si="3">S$233</f>
        <v>66000</v>
      </c>
      <c r="S9" s="2180"/>
    </row>
    <row r="10" spans="1:19" s="175" customFormat="1" ht="31.5" thickTop="1" thickBot="1">
      <c r="A10" s="160" t="s">
        <v>2945</v>
      </c>
      <c r="B10" s="172"/>
      <c r="C10" s="173" t="s">
        <v>2946</v>
      </c>
      <c r="D10" s="381"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067"/>
      <c r="B11" s="2889" t="s">
        <v>2953</v>
      </c>
      <c r="C11" s="659"/>
      <c r="D11" s="2050"/>
      <c r="E11" s="2051"/>
      <c r="F11" s="2049"/>
      <c r="G11" s="660"/>
      <c r="H11" s="2183"/>
      <c r="I11" s="3068"/>
      <c r="J11" s="2183"/>
      <c r="K11" s="182"/>
      <c r="L11" s="2183"/>
      <c r="M11" s="3069"/>
      <c r="N11" s="2183"/>
      <c r="O11" s="3069"/>
      <c r="P11" s="2183"/>
      <c r="Q11" s="3069"/>
      <c r="R11" s="2183"/>
      <c r="S11" s="3069"/>
    </row>
    <row r="12" spans="1:19">
      <c r="A12" s="3070"/>
      <c r="B12" s="2963" t="s">
        <v>2954</v>
      </c>
      <c r="C12" s="2049"/>
      <c r="D12" s="2050"/>
      <c r="E12" s="2051"/>
      <c r="F12" s="2049"/>
      <c r="G12" s="660"/>
      <c r="H12" s="2183"/>
      <c r="I12" s="3068"/>
      <c r="J12" s="2183"/>
      <c r="K12" s="3069"/>
      <c r="L12" s="2183"/>
      <c r="M12" s="3069"/>
      <c r="N12" s="2183"/>
      <c r="O12" s="3069"/>
      <c r="P12" s="2183"/>
      <c r="Q12" s="3069"/>
      <c r="R12" s="2183"/>
      <c r="S12" s="3069"/>
    </row>
    <row r="13" spans="1:19">
      <c r="A13" s="2185"/>
      <c r="B13" s="3071" t="s">
        <v>2955</v>
      </c>
      <c r="C13" s="2049"/>
      <c r="D13" s="2050"/>
      <c r="E13" s="2051"/>
      <c r="F13" s="2049"/>
      <c r="G13" s="660"/>
      <c r="H13" s="2183"/>
      <c r="I13" s="3068"/>
      <c r="J13" s="2183"/>
      <c r="K13" s="3069"/>
      <c r="L13" s="2183"/>
      <c r="M13" s="3069"/>
      <c r="N13" s="2183"/>
      <c r="O13" s="3069"/>
      <c r="P13" s="2183"/>
      <c r="Q13" s="3069"/>
      <c r="R13" s="2183"/>
      <c r="S13" s="3069"/>
    </row>
    <row r="14" spans="1:19">
      <c r="A14" s="2185"/>
      <c r="B14" s="3072" t="s">
        <v>2956</v>
      </c>
      <c r="C14" s="2049"/>
      <c r="D14" s="2050"/>
      <c r="E14" s="2051"/>
      <c r="F14" s="2049"/>
      <c r="G14" s="660"/>
      <c r="H14" s="2183"/>
      <c r="I14" s="3068"/>
      <c r="J14" s="2183"/>
      <c r="K14" s="3069"/>
      <c r="L14" s="2183"/>
      <c r="M14" s="3069"/>
      <c r="N14" s="2183"/>
      <c r="O14" s="3069"/>
      <c r="P14" s="2183"/>
      <c r="Q14" s="3069"/>
      <c r="R14" s="2183"/>
      <c r="S14" s="3069"/>
    </row>
    <row r="15" spans="1:19">
      <c r="A15" s="2185"/>
      <c r="B15" s="3072" t="s">
        <v>2957</v>
      </c>
      <c r="C15" s="2049"/>
      <c r="D15" s="2050"/>
      <c r="E15" s="2051"/>
      <c r="F15" s="2049"/>
      <c r="G15" s="660"/>
      <c r="H15" s="2183"/>
      <c r="I15" s="3068" t="s">
        <v>2795</v>
      </c>
      <c r="J15" s="2183"/>
      <c r="K15" s="3068"/>
      <c r="L15" s="2183"/>
      <c r="M15" s="3104"/>
      <c r="N15" s="2183"/>
      <c r="O15" s="3068"/>
      <c r="P15" s="2183"/>
      <c r="Q15" s="3068"/>
      <c r="R15" s="2183"/>
      <c r="S15" s="3068"/>
    </row>
    <row r="16" spans="1:19">
      <c r="A16" s="2185"/>
      <c r="B16" s="3072" t="s">
        <v>2958</v>
      </c>
      <c r="C16" s="2049"/>
      <c r="D16" s="2050"/>
      <c r="E16" s="2051"/>
      <c r="F16" s="2049"/>
      <c r="G16" s="660"/>
      <c r="H16" s="2183"/>
      <c r="I16" s="3068"/>
      <c r="J16" s="2183"/>
      <c r="K16" s="3069"/>
      <c r="L16" s="2183"/>
      <c r="M16" s="3105"/>
      <c r="N16" s="2183"/>
      <c r="O16" s="3069"/>
      <c r="P16" s="2183"/>
      <c r="Q16" s="3069"/>
      <c r="R16" s="2183"/>
      <c r="S16" s="3069"/>
    </row>
    <row r="17" spans="1:19">
      <c r="A17" s="2185"/>
      <c r="B17" s="3072" t="s">
        <v>2959</v>
      </c>
      <c r="C17" s="2049"/>
      <c r="D17" s="2050"/>
      <c r="E17" s="2051"/>
      <c r="F17" s="2049"/>
      <c r="G17" s="660"/>
      <c r="H17" s="2183"/>
      <c r="I17" s="3068"/>
      <c r="J17" s="2183"/>
      <c r="K17" s="3069"/>
      <c r="L17" s="2183"/>
      <c r="M17" s="3106"/>
      <c r="N17" s="2183"/>
      <c r="O17" s="3069"/>
      <c r="P17" s="2183"/>
      <c r="Q17" s="3069"/>
      <c r="R17" s="2183"/>
      <c r="S17" s="3069"/>
    </row>
    <row r="18" spans="1:19">
      <c r="A18" s="2185"/>
      <c r="B18" s="3073" t="s">
        <v>2960</v>
      </c>
      <c r="C18" s="2049"/>
      <c r="D18" s="2050"/>
      <c r="E18" s="2051"/>
      <c r="F18" s="2049"/>
      <c r="G18" s="660"/>
      <c r="H18" s="2183"/>
      <c r="I18" s="3068"/>
      <c r="J18" s="2183"/>
      <c r="K18" s="3069"/>
      <c r="L18" s="2183"/>
      <c r="M18" s="3069"/>
      <c r="N18" s="2183"/>
      <c r="O18" s="3069"/>
      <c r="P18" s="2183"/>
      <c r="Q18" s="3069"/>
      <c r="R18" s="2183"/>
      <c r="S18" s="3069"/>
    </row>
    <row r="19" spans="1:19">
      <c r="A19" s="2185"/>
      <c r="B19" s="3074" t="s">
        <v>2961</v>
      </c>
      <c r="C19" s="2127"/>
      <c r="D19" s="3107"/>
      <c r="E19" s="2191"/>
      <c r="F19" s="2192"/>
      <c r="G19" s="661"/>
      <c r="H19" s="2193"/>
      <c r="I19" s="3076"/>
      <c r="J19" s="2193"/>
      <c r="K19" s="3075"/>
      <c r="L19" s="2193"/>
      <c r="M19" s="3075"/>
      <c r="N19" s="2193"/>
      <c r="O19" s="3075"/>
      <c r="P19" s="2193"/>
      <c r="Q19" s="3075"/>
      <c r="R19" s="2193"/>
      <c r="S19" s="3075"/>
    </row>
    <row r="20" spans="1:19">
      <c r="A20" s="2185"/>
      <c r="B20" s="3077"/>
      <c r="C20" s="2049"/>
      <c r="D20" s="2050"/>
      <c r="E20" s="2051"/>
      <c r="F20" s="2052"/>
      <c r="G20" s="660"/>
      <c r="H20" s="2183"/>
      <c r="I20" s="3078"/>
      <c r="J20" s="2183"/>
      <c r="K20" s="3079"/>
      <c r="L20" s="2183"/>
      <c r="M20" s="3078"/>
      <c r="N20" s="2183"/>
      <c r="O20" s="3078"/>
      <c r="P20" s="2183"/>
      <c r="Q20" s="3108" t="s">
        <v>6446</v>
      </c>
      <c r="R20" s="2183"/>
      <c r="S20" s="3078"/>
    </row>
    <row r="21" spans="1:19">
      <c r="A21" s="2185"/>
      <c r="B21" s="2196" t="s">
        <v>2695</v>
      </c>
      <c r="C21" s="2049"/>
      <c r="D21" s="2171"/>
      <c r="E21" s="2051"/>
      <c r="F21" s="2052"/>
      <c r="G21" s="662">
        <f t="shared" ref="G21" si="4">ROUND(D21*F21,0)</f>
        <v>0</v>
      </c>
      <c r="H21" s="2183"/>
      <c r="I21" s="3080">
        <f>SUBTOTAL(9,I22:I171)</f>
        <v>3758478</v>
      </c>
      <c r="J21" s="2183"/>
      <c r="K21" s="3080">
        <f>SUBTOTAL(9,K22:K171)</f>
        <v>3506940</v>
      </c>
      <c r="L21" s="2183"/>
      <c r="M21" s="3080">
        <f>SUBTOTAL(9,M22:M171)</f>
        <v>3995534.92</v>
      </c>
      <c r="N21" s="2183"/>
      <c r="O21" s="3080">
        <f>SUBTOTAL(9,O22:O171)</f>
        <v>66000</v>
      </c>
      <c r="P21" s="2183"/>
      <c r="Q21" s="3080">
        <f>SUBTOTAL(9,Q22:Q171)</f>
        <v>2519276</v>
      </c>
      <c r="R21" s="2183"/>
      <c r="S21" s="3080">
        <f>SUBTOTAL(9,S22:S171)</f>
        <v>66000</v>
      </c>
    </row>
    <row r="22" spans="1:19">
      <c r="A22" s="3109"/>
      <c r="B22" s="459" t="s">
        <v>2994</v>
      </c>
      <c r="C22" s="659"/>
      <c r="D22" s="2050"/>
      <c r="E22" s="2051"/>
      <c r="F22" s="2052"/>
      <c r="G22" s="662">
        <f t="shared" ref="G22:G23" si="5">ROUND(D22*F22,0)</f>
        <v>0</v>
      </c>
      <c r="H22" s="2183"/>
      <c r="I22" s="3079">
        <f>1769556+22100+822</f>
        <v>1792478</v>
      </c>
      <c r="J22" s="2183"/>
      <c r="K22" s="3079">
        <f>1682450+1299700+458790</f>
        <v>3440940</v>
      </c>
      <c r="L22" s="2183"/>
      <c r="M22" s="3078">
        <v>3929534.92</v>
      </c>
      <c r="N22" s="2183"/>
      <c r="O22" s="3078"/>
      <c r="P22" s="2183"/>
      <c r="Q22" s="3078">
        <v>2453276</v>
      </c>
      <c r="R22" s="2183"/>
      <c r="S22" s="3078"/>
    </row>
    <row r="23" spans="1:19">
      <c r="A23" s="3109"/>
      <c r="B23" s="459" t="s">
        <v>6447</v>
      </c>
      <c r="C23" s="659"/>
      <c r="D23" s="2050"/>
      <c r="E23" s="2051"/>
      <c r="F23" s="2052"/>
      <c r="G23" s="662">
        <f t="shared" si="5"/>
        <v>0</v>
      </c>
      <c r="H23" s="2183"/>
      <c r="I23" s="3079"/>
      <c r="J23" s="2183" t="s">
        <v>2931</v>
      </c>
      <c r="K23" s="3079"/>
      <c r="L23" s="2183"/>
      <c r="M23" s="3078"/>
      <c r="N23" s="2183"/>
      <c r="O23" s="3078"/>
      <c r="P23" s="2183"/>
      <c r="Q23" s="3078"/>
      <c r="R23" s="2183"/>
      <c r="S23" s="3078"/>
    </row>
    <row r="24" spans="1:19" hidden="1" outlineLevel="1">
      <c r="A24" s="3109"/>
      <c r="B24" s="460" t="s">
        <v>6448</v>
      </c>
      <c r="C24" s="659"/>
      <c r="D24" s="2050">
        <v>3</v>
      </c>
      <c r="E24" s="2051" t="s">
        <v>2803</v>
      </c>
      <c r="F24" s="2052"/>
      <c r="G24" s="662">
        <f t="shared" ref="G24:G85" si="6">ROUND(D24*F24,0)</f>
        <v>0</v>
      </c>
      <c r="H24" s="2183"/>
      <c r="I24" s="3079"/>
      <c r="J24" s="2183"/>
      <c r="K24" s="3079"/>
      <c r="L24" s="2183"/>
      <c r="M24" s="3078"/>
      <c r="N24" s="2183"/>
      <c r="O24" s="3078"/>
      <c r="P24" s="2183"/>
      <c r="Q24" s="3078"/>
      <c r="R24" s="2183"/>
      <c r="S24" s="3078"/>
    </row>
    <row r="25" spans="1:19" hidden="1" outlineLevel="1">
      <c r="A25" s="3109"/>
      <c r="B25" s="460" t="s">
        <v>6449</v>
      </c>
      <c r="C25" s="659"/>
      <c r="D25" s="2050">
        <v>17</v>
      </c>
      <c r="E25" s="2051" t="s">
        <v>2803</v>
      </c>
      <c r="F25" s="2052"/>
      <c r="G25" s="662">
        <f t="shared" si="6"/>
        <v>0</v>
      </c>
      <c r="H25" s="2183"/>
      <c r="I25" s="3079"/>
      <c r="J25" s="2183"/>
      <c r="K25" s="3079"/>
      <c r="L25" s="2183"/>
      <c r="M25" s="3078"/>
      <c r="N25" s="2183"/>
      <c r="O25" s="3078"/>
      <c r="P25" s="2183"/>
      <c r="Q25" s="3078"/>
      <c r="R25" s="2183"/>
      <c r="S25" s="3078"/>
    </row>
    <row r="26" spans="1:19" hidden="1" outlineLevel="1">
      <c r="A26" s="3109"/>
      <c r="B26" s="460" t="s">
        <v>6450</v>
      </c>
      <c r="C26" s="659"/>
      <c r="D26" s="2050">
        <v>3</v>
      </c>
      <c r="E26" s="2051" t="s">
        <v>2803</v>
      </c>
      <c r="F26" s="2052"/>
      <c r="G26" s="662">
        <f t="shared" si="6"/>
        <v>0</v>
      </c>
      <c r="H26" s="2183"/>
      <c r="I26" s="3079"/>
      <c r="J26" s="2183"/>
      <c r="K26" s="3079"/>
      <c r="L26" s="2183"/>
      <c r="M26" s="3078"/>
      <c r="N26" s="2183"/>
      <c r="O26" s="3078"/>
      <c r="P26" s="2183"/>
      <c r="Q26" s="3078"/>
      <c r="R26" s="2183"/>
      <c r="S26" s="3078"/>
    </row>
    <row r="27" spans="1:19" hidden="1" outlineLevel="1">
      <c r="A27" s="3109"/>
      <c r="B27" s="460" t="s">
        <v>6451</v>
      </c>
      <c r="C27" s="659"/>
      <c r="D27" s="2050">
        <v>1</v>
      </c>
      <c r="E27" s="2051" t="s">
        <v>2803</v>
      </c>
      <c r="F27" s="2052"/>
      <c r="G27" s="662">
        <f t="shared" si="6"/>
        <v>0</v>
      </c>
      <c r="H27" s="2183"/>
      <c r="I27" s="3079"/>
      <c r="J27" s="2183"/>
      <c r="K27" s="3079"/>
      <c r="L27" s="2183"/>
      <c r="M27" s="3078"/>
      <c r="N27" s="2183"/>
      <c r="O27" s="3078"/>
      <c r="P27" s="2183"/>
      <c r="Q27" s="3078"/>
      <c r="R27" s="2183"/>
      <c r="S27" s="3078"/>
    </row>
    <row r="28" spans="1:19" hidden="1" outlineLevel="1">
      <c r="A28" s="3109"/>
      <c r="B28" s="460" t="s">
        <v>6452</v>
      </c>
      <c r="C28" s="659"/>
      <c r="D28" s="2050">
        <v>40</v>
      </c>
      <c r="E28" s="2051" t="s">
        <v>2803</v>
      </c>
      <c r="F28" s="2052"/>
      <c r="G28" s="662">
        <f t="shared" si="6"/>
        <v>0</v>
      </c>
      <c r="H28" s="2183"/>
      <c r="I28" s="3079"/>
      <c r="J28" s="2183"/>
      <c r="K28" s="3079"/>
      <c r="L28" s="2183"/>
      <c r="M28" s="3078"/>
      <c r="N28" s="2183"/>
      <c r="O28" s="3078"/>
      <c r="P28" s="2183"/>
      <c r="Q28" s="3078"/>
      <c r="R28" s="2183"/>
      <c r="S28" s="3078"/>
    </row>
    <row r="29" spans="1:19" hidden="1" outlineLevel="1">
      <c r="A29" s="3109"/>
      <c r="B29" s="460" t="s">
        <v>6453</v>
      </c>
      <c r="C29" s="659"/>
      <c r="D29" s="2050">
        <v>39</v>
      </c>
      <c r="E29" s="2051" t="s">
        <v>2803</v>
      </c>
      <c r="F29" s="2052"/>
      <c r="G29" s="662">
        <f t="shared" si="6"/>
        <v>0</v>
      </c>
      <c r="H29" s="2183"/>
      <c r="I29" s="3079"/>
      <c r="J29" s="2183"/>
      <c r="K29" s="3079"/>
      <c r="L29" s="2183"/>
      <c r="M29" s="3078"/>
      <c r="N29" s="2183"/>
      <c r="O29" s="3078"/>
      <c r="P29" s="2183"/>
      <c r="Q29" s="3078"/>
      <c r="R29" s="2183"/>
      <c r="S29" s="3078"/>
    </row>
    <row r="30" spans="1:19" hidden="1" outlineLevel="1">
      <c r="A30" s="3109"/>
      <c r="B30" s="460" t="s">
        <v>6454</v>
      </c>
      <c r="C30" s="659"/>
      <c r="D30" s="2050">
        <v>1</v>
      </c>
      <c r="E30" s="2051" t="s">
        <v>2803</v>
      </c>
      <c r="F30" s="2052"/>
      <c r="G30" s="662">
        <f t="shared" si="6"/>
        <v>0</v>
      </c>
      <c r="H30" s="2183"/>
      <c r="I30" s="3079"/>
      <c r="J30" s="2183"/>
      <c r="K30" s="3079"/>
      <c r="L30" s="2183"/>
      <c r="M30" s="3078"/>
      <c r="N30" s="2183"/>
      <c r="O30" s="3078"/>
      <c r="P30" s="2183"/>
      <c r="Q30" s="3078"/>
      <c r="R30" s="2183"/>
      <c r="S30" s="3078"/>
    </row>
    <row r="31" spans="1:19" hidden="1" outlineLevel="1">
      <c r="A31" s="3109"/>
      <c r="B31" s="460" t="s">
        <v>6455</v>
      </c>
      <c r="C31" s="659"/>
      <c r="D31" s="2050">
        <v>14</v>
      </c>
      <c r="E31" s="2051" t="s">
        <v>2803</v>
      </c>
      <c r="F31" s="2052"/>
      <c r="G31" s="662">
        <f t="shared" si="6"/>
        <v>0</v>
      </c>
      <c r="H31" s="2183"/>
      <c r="I31" s="3079"/>
      <c r="J31" s="2183"/>
      <c r="K31" s="3079"/>
      <c r="L31" s="2183"/>
      <c r="M31" s="3078"/>
      <c r="N31" s="2183"/>
      <c r="O31" s="3078"/>
      <c r="P31" s="2183"/>
      <c r="Q31" s="3078"/>
      <c r="R31" s="2183"/>
      <c r="S31" s="3078"/>
    </row>
    <row r="32" spans="1:19" hidden="1" outlineLevel="1">
      <c r="A32" s="3109"/>
      <c r="B32" s="460" t="s">
        <v>6456</v>
      </c>
      <c r="C32" s="659"/>
      <c r="D32" s="2050">
        <v>33</v>
      </c>
      <c r="E32" s="2051" t="s">
        <v>2803</v>
      </c>
      <c r="F32" s="2052"/>
      <c r="G32" s="662">
        <f t="shared" si="6"/>
        <v>0</v>
      </c>
      <c r="H32" s="2183"/>
      <c r="I32" s="3079"/>
      <c r="J32" s="2183"/>
      <c r="K32" s="3079"/>
      <c r="L32" s="2183"/>
      <c r="M32" s="3078"/>
      <c r="N32" s="2183"/>
      <c r="O32" s="3078"/>
      <c r="P32" s="2183"/>
      <c r="Q32" s="3078"/>
      <c r="R32" s="2183"/>
      <c r="S32" s="3078"/>
    </row>
    <row r="33" spans="1:19" hidden="1" outlineLevel="1">
      <c r="A33" s="3109"/>
      <c r="B33" s="460" t="s">
        <v>6457</v>
      </c>
      <c r="C33" s="659"/>
      <c r="D33" s="2050">
        <v>4</v>
      </c>
      <c r="E33" s="2051" t="s">
        <v>2803</v>
      </c>
      <c r="F33" s="2052"/>
      <c r="G33" s="662">
        <f t="shared" si="6"/>
        <v>0</v>
      </c>
      <c r="H33" s="2183"/>
      <c r="I33" s="3079"/>
      <c r="J33" s="2183"/>
      <c r="K33" s="3079"/>
      <c r="L33" s="2183"/>
      <c r="M33" s="3078"/>
      <c r="N33" s="2183"/>
      <c r="O33" s="3078"/>
      <c r="P33" s="2183"/>
      <c r="Q33" s="3078"/>
      <c r="R33" s="2183"/>
      <c r="S33" s="3078"/>
    </row>
    <row r="34" spans="1:19" hidden="1" outlineLevel="1">
      <c r="A34" s="3109"/>
      <c r="B34" s="460" t="s">
        <v>6458</v>
      </c>
      <c r="C34" s="659"/>
      <c r="D34" s="2050">
        <v>2</v>
      </c>
      <c r="E34" s="2051" t="s">
        <v>2803</v>
      </c>
      <c r="F34" s="2052"/>
      <c r="G34" s="662">
        <f t="shared" si="6"/>
        <v>0</v>
      </c>
      <c r="H34" s="2183"/>
      <c r="I34" s="3079"/>
      <c r="J34" s="2183"/>
      <c r="K34" s="3079"/>
      <c r="L34" s="2183"/>
      <c r="M34" s="3078"/>
      <c r="N34" s="2183"/>
      <c r="O34" s="3078"/>
      <c r="P34" s="2183"/>
      <c r="Q34" s="3078"/>
      <c r="R34" s="2183"/>
      <c r="S34" s="3078"/>
    </row>
    <row r="35" spans="1:19" hidden="1" outlineLevel="1">
      <c r="A35" s="3109"/>
      <c r="B35" s="460" t="s">
        <v>6459</v>
      </c>
      <c r="C35" s="659"/>
      <c r="D35" s="2050">
        <v>1</v>
      </c>
      <c r="E35" s="2051" t="s">
        <v>2803</v>
      </c>
      <c r="F35" s="2052"/>
      <c r="G35" s="662">
        <f t="shared" si="6"/>
        <v>0</v>
      </c>
      <c r="H35" s="2183"/>
      <c r="I35" s="3079"/>
      <c r="J35" s="2183"/>
      <c r="K35" s="3079"/>
      <c r="L35" s="2183"/>
      <c r="M35" s="3078"/>
      <c r="N35" s="2183"/>
      <c r="O35" s="3078"/>
      <c r="P35" s="2183"/>
      <c r="Q35" s="3078"/>
      <c r="R35" s="2183"/>
      <c r="S35" s="3078"/>
    </row>
    <row r="36" spans="1:19" hidden="1" outlineLevel="1">
      <c r="A36" s="3109"/>
      <c r="B36" s="460" t="s">
        <v>6460</v>
      </c>
      <c r="C36" s="659"/>
      <c r="D36" s="2050">
        <v>1</v>
      </c>
      <c r="E36" s="2051" t="s">
        <v>2803</v>
      </c>
      <c r="F36" s="2052"/>
      <c r="G36" s="662">
        <f t="shared" si="6"/>
        <v>0</v>
      </c>
      <c r="H36" s="2183"/>
      <c r="I36" s="3079"/>
      <c r="J36" s="2183"/>
      <c r="K36" s="3079"/>
      <c r="L36" s="2183"/>
      <c r="M36" s="3078"/>
      <c r="N36" s="2183"/>
      <c r="O36" s="3078"/>
      <c r="P36" s="2183"/>
      <c r="Q36" s="3078"/>
      <c r="R36" s="2183"/>
      <c r="S36" s="3078"/>
    </row>
    <row r="37" spans="1:19" hidden="1" outlineLevel="1">
      <c r="A37" s="3109"/>
      <c r="B37" s="460" t="s">
        <v>6461</v>
      </c>
      <c r="C37" s="659"/>
      <c r="D37" s="2050">
        <v>4</v>
      </c>
      <c r="E37" s="2051" t="s">
        <v>2803</v>
      </c>
      <c r="F37" s="2052"/>
      <c r="G37" s="662">
        <f t="shared" si="6"/>
        <v>0</v>
      </c>
      <c r="H37" s="2183"/>
      <c r="I37" s="3079"/>
      <c r="J37" s="2183"/>
      <c r="K37" s="3079"/>
      <c r="L37" s="2183"/>
      <c r="M37" s="3078"/>
      <c r="N37" s="2183"/>
      <c r="O37" s="3078"/>
      <c r="P37" s="2183"/>
      <c r="Q37" s="3078"/>
      <c r="R37" s="2183"/>
      <c r="S37" s="3078"/>
    </row>
    <row r="38" spans="1:19" hidden="1" outlineLevel="1">
      <c r="A38" s="3109"/>
      <c r="B38" s="460" t="s">
        <v>6462</v>
      </c>
      <c r="C38" s="659"/>
      <c r="D38" s="2050">
        <v>14</v>
      </c>
      <c r="E38" s="2051" t="s">
        <v>2803</v>
      </c>
      <c r="F38" s="2052"/>
      <c r="G38" s="662">
        <f t="shared" si="6"/>
        <v>0</v>
      </c>
      <c r="H38" s="2183"/>
      <c r="I38" s="3079"/>
      <c r="J38" s="2183"/>
      <c r="K38" s="3079"/>
      <c r="L38" s="2183"/>
      <c r="M38" s="3078"/>
      <c r="N38" s="2183"/>
      <c r="O38" s="3078"/>
      <c r="P38" s="2183"/>
      <c r="Q38" s="3078"/>
      <c r="R38" s="2183"/>
      <c r="S38" s="3078"/>
    </row>
    <row r="39" spans="1:19" hidden="1" outlineLevel="1">
      <c r="A39" s="3109"/>
      <c r="B39" s="460" t="s">
        <v>6463</v>
      </c>
      <c r="C39" s="659"/>
      <c r="D39" s="2050">
        <v>34</v>
      </c>
      <c r="E39" s="2051" t="s">
        <v>2803</v>
      </c>
      <c r="F39" s="2052"/>
      <c r="G39" s="662">
        <f t="shared" si="6"/>
        <v>0</v>
      </c>
      <c r="H39" s="2183"/>
      <c r="I39" s="3079"/>
      <c r="J39" s="2183"/>
      <c r="K39" s="3079"/>
      <c r="L39" s="2183"/>
      <c r="M39" s="3078"/>
      <c r="N39" s="2183"/>
      <c r="O39" s="3078"/>
      <c r="P39" s="2183"/>
      <c r="Q39" s="3078"/>
      <c r="R39" s="2183"/>
      <c r="S39" s="3078"/>
    </row>
    <row r="40" spans="1:19" hidden="1" outlineLevel="1">
      <c r="A40" s="3109"/>
      <c r="B40" s="460" t="s">
        <v>6464</v>
      </c>
      <c r="C40" s="659"/>
      <c r="D40" s="2050">
        <v>2</v>
      </c>
      <c r="E40" s="2051" t="s">
        <v>2803</v>
      </c>
      <c r="F40" s="2052"/>
      <c r="G40" s="662">
        <f t="shared" si="6"/>
        <v>0</v>
      </c>
      <c r="H40" s="2183"/>
      <c r="I40" s="3079"/>
      <c r="J40" s="2183"/>
      <c r="K40" s="3079"/>
      <c r="L40" s="2183"/>
      <c r="M40" s="3078"/>
      <c r="N40" s="2183"/>
      <c r="O40" s="3078"/>
      <c r="P40" s="2183"/>
      <c r="Q40" s="3078"/>
      <c r="R40" s="2183"/>
      <c r="S40" s="3078"/>
    </row>
    <row r="41" spans="1:19" hidden="1" outlineLevel="1">
      <c r="A41" s="3109"/>
      <c r="B41" s="460" t="s">
        <v>6465</v>
      </c>
      <c r="C41" s="659"/>
      <c r="D41" s="2050">
        <v>7</v>
      </c>
      <c r="E41" s="2051" t="s">
        <v>2803</v>
      </c>
      <c r="F41" s="2052"/>
      <c r="G41" s="662">
        <f t="shared" si="6"/>
        <v>0</v>
      </c>
      <c r="H41" s="2183"/>
      <c r="I41" s="3079"/>
      <c r="J41" s="2183"/>
      <c r="K41" s="3079"/>
      <c r="L41" s="2183"/>
      <c r="M41" s="3078"/>
      <c r="N41" s="2183"/>
      <c r="O41" s="3078"/>
      <c r="P41" s="2183"/>
      <c r="Q41" s="3078"/>
      <c r="R41" s="2183"/>
      <c r="S41" s="3078"/>
    </row>
    <row r="42" spans="1:19" hidden="1" outlineLevel="1">
      <c r="A42" s="3109"/>
      <c r="B42" s="460" t="s">
        <v>6466</v>
      </c>
      <c r="C42" s="659"/>
      <c r="D42" s="2050">
        <v>4</v>
      </c>
      <c r="E42" s="2051" t="s">
        <v>2803</v>
      </c>
      <c r="F42" s="2052"/>
      <c r="G42" s="662">
        <f t="shared" si="6"/>
        <v>0</v>
      </c>
      <c r="H42" s="2183"/>
      <c r="I42" s="3079"/>
      <c r="J42" s="2183"/>
      <c r="K42" s="3079"/>
      <c r="L42" s="2183"/>
      <c r="M42" s="3078"/>
      <c r="N42" s="2183"/>
      <c r="O42" s="3078"/>
      <c r="P42" s="2183"/>
      <c r="Q42" s="3078"/>
      <c r="R42" s="2183"/>
      <c r="S42" s="3078"/>
    </row>
    <row r="43" spans="1:19" hidden="1" outlineLevel="1">
      <c r="A43" s="3109"/>
      <c r="B43" s="460" t="s">
        <v>6467</v>
      </c>
      <c r="C43" s="659"/>
      <c r="D43" s="2050">
        <v>10</v>
      </c>
      <c r="E43" s="2051" t="s">
        <v>2803</v>
      </c>
      <c r="F43" s="2052"/>
      <c r="G43" s="662">
        <f t="shared" si="6"/>
        <v>0</v>
      </c>
      <c r="H43" s="2183"/>
      <c r="I43" s="3079"/>
      <c r="J43" s="2183"/>
      <c r="K43" s="3079"/>
      <c r="L43" s="2183"/>
      <c r="M43" s="3078"/>
      <c r="N43" s="2183"/>
      <c r="O43" s="3078"/>
      <c r="P43" s="2183"/>
      <c r="Q43" s="3078"/>
      <c r="R43" s="2183"/>
      <c r="S43" s="3078"/>
    </row>
    <row r="44" spans="1:19" hidden="1" outlineLevel="1">
      <c r="A44" s="3109"/>
      <c r="B44" s="460" t="s">
        <v>6468</v>
      </c>
      <c r="C44" s="659"/>
      <c r="D44" s="2050">
        <v>10</v>
      </c>
      <c r="E44" s="2051" t="s">
        <v>2803</v>
      </c>
      <c r="F44" s="2052"/>
      <c r="G44" s="662">
        <f t="shared" si="6"/>
        <v>0</v>
      </c>
      <c r="H44" s="2183"/>
      <c r="I44" s="3079"/>
      <c r="J44" s="2183"/>
      <c r="K44" s="3079"/>
      <c r="L44" s="2183"/>
      <c r="M44" s="3078"/>
      <c r="N44" s="2183"/>
      <c r="O44" s="3078"/>
      <c r="P44" s="2183"/>
      <c r="Q44" s="3078"/>
      <c r="R44" s="2183"/>
      <c r="S44" s="3078"/>
    </row>
    <row r="45" spans="1:19" hidden="1" outlineLevel="1">
      <c r="A45" s="3109"/>
      <c r="B45" s="460" t="s">
        <v>6469</v>
      </c>
      <c r="C45" s="659"/>
      <c r="D45" s="2050">
        <v>1</v>
      </c>
      <c r="E45" s="2051" t="s">
        <v>2803</v>
      </c>
      <c r="F45" s="2052"/>
      <c r="G45" s="662">
        <f t="shared" si="6"/>
        <v>0</v>
      </c>
      <c r="H45" s="2183"/>
      <c r="I45" s="3079"/>
      <c r="J45" s="2183"/>
      <c r="K45" s="3079"/>
      <c r="L45" s="2183"/>
      <c r="M45" s="3078"/>
      <c r="N45" s="2183"/>
      <c r="O45" s="3078"/>
      <c r="P45" s="2183"/>
      <c r="Q45" s="3078"/>
      <c r="R45" s="2183"/>
      <c r="S45" s="3078"/>
    </row>
    <row r="46" spans="1:19" hidden="1" outlineLevel="1">
      <c r="A46" s="3109"/>
      <c r="B46" s="460" t="s">
        <v>6470</v>
      </c>
      <c r="C46" s="659"/>
      <c r="D46" s="2050">
        <v>1</v>
      </c>
      <c r="E46" s="2051" t="s">
        <v>2803</v>
      </c>
      <c r="F46" s="2052"/>
      <c r="G46" s="662">
        <f t="shared" si="6"/>
        <v>0</v>
      </c>
      <c r="H46" s="2183"/>
      <c r="I46" s="3079"/>
      <c r="J46" s="2183"/>
      <c r="K46" s="3079"/>
      <c r="L46" s="2183"/>
      <c r="M46" s="3078"/>
      <c r="N46" s="2183"/>
      <c r="O46" s="3078"/>
      <c r="P46" s="2183"/>
      <c r="Q46" s="3078"/>
      <c r="R46" s="2183"/>
      <c r="S46" s="3078"/>
    </row>
    <row r="47" spans="1:19" hidden="1" outlineLevel="1">
      <c r="A47" s="3109"/>
      <c r="B47" s="460" t="s">
        <v>6471</v>
      </c>
      <c r="C47" s="659"/>
      <c r="D47" s="2050">
        <v>3</v>
      </c>
      <c r="E47" s="2051" t="s">
        <v>2803</v>
      </c>
      <c r="F47" s="2052"/>
      <c r="G47" s="662">
        <f t="shared" si="6"/>
        <v>0</v>
      </c>
      <c r="H47" s="2183"/>
      <c r="I47" s="3079"/>
      <c r="J47" s="2183"/>
      <c r="K47" s="3079"/>
      <c r="L47" s="2183"/>
      <c r="M47" s="3078"/>
      <c r="N47" s="2183"/>
      <c r="O47" s="3078"/>
      <c r="P47" s="2183"/>
      <c r="Q47" s="3078"/>
      <c r="R47" s="2183"/>
      <c r="S47" s="3078"/>
    </row>
    <row r="48" spans="1:19" hidden="1" outlineLevel="1">
      <c r="A48" s="3109"/>
      <c r="B48" s="460" t="s">
        <v>6472</v>
      </c>
      <c r="C48" s="659"/>
      <c r="D48" s="2050">
        <v>5</v>
      </c>
      <c r="E48" s="2051" t="s">
        <v>2803</v>
      </c>
      <c r="F48" s="2052"/>
      <c r="G48" s="662">
        <f t="shared" si="6"/>
        <v>0</v>
      </c>
      <c r="H48" s="2183"/>
      <c r="I48" s="3079"/>
      <c r="J48" s="2183"/>
      <c r="K48" s="3079"/>
      <c r="L48" s="2183"/>
      <c r="M48" s="3078"/>
      <c r="N48" s="2183"/>
      <c r="O48" s="3078"/>
      <c r="P48" s="2183"/>
      <c r="Q48" s="3078"/>
      <c r="R48" s="2183"/>
      <c r="S48" s="3078"/>
    </row>
    <row r="49" spans="1:19" hidden="1" outlineLevel="1">
      <c r="A49" s="3109"/>
      <c r="B49" s="460" t="s">
        <v>6473</v>
      </c>
      <c r="C49" s="659"/>
      <c r="D49" s="2050">
        <v>32</v>
      </c>
      <c r="E49" s="2051" t="s">
        <v>2803</v>
      </c>
      <c r="F49" s="2052"/>
      <c r="G49" s="662">
        <f t="shared" si="6"/>
        <v>0</v>
      </c>
      <c r="H49" s="2183"/>
      <c r="I49" s="3079"/>
      <c r="J49" s="2183"/>
      <c r="K49" s="3079"/>
      <c r="L49" s="2183"/>
      <c r="M49" s="3078"/>
      <c r="N49" s="2183"/>
      <c r="O49" s="3078"/>
      <c r="P49" s="2183"/>
      <c r="Q49" s="3078"/>
      <c r="R49" s="2183"/>
      <c r="S49" s="3078"/>
    </row>
    <row r="50" spans="1:19" hidden="1" outlineLevel="1">
      <c r="A50" s="3109"/>
      <c r="B50" s="460" t="s">
        <v>6474</v>
      </c>
      <c r="C50" s="659"/>
      <c r="D50" s="2050">
        <v>4</v>
      </c>
      <c r="E50" s="2051" t="s">
        <v>2803</v>
      </c>
      <c r="F50" s="2052"/>
      <c r="G50" s="662">
        <f t="shared" si="6"/>
        <v>0</v>
      </c>
      <c r="H50" s="2183"/>
      <c r="I50" s="3079"/>
      <c r="J50" s="2183"/>
      <c r="K50" s="3079"/>
      <c r="L50" s="2183"/>
      <c r="M50" s="3078"/>
      <c r="N50" s="2183"/>
      <c r="O50" s="3078"/>
      <c r="P50" s="2183"/>
      <c r="Q50" s="3078"/>
      <c r="R50" s="2183"/>
      <c r="S50" s="3078"/>
    </row>
    <row r="51" spans="1:19" hidden="1" outlineLevel="1">
      <c r="A51" s="3109"/>
      <c r="B51" s="460" t="s">
        <v>6475</v>
      </c>
      <c r="C51" s="659"/>
      <c r="D51" s="2050">
        <v>1</v>
      </c>
      <c r="E51" s="2051" t="s">
        <v>2803</v>
      </c>
      <c r="F51" s="2052"/>
      <c r="G51" s="662">
        <f t="shared" si="6"/>
        <v>0</v>
      </c>
      <c r="H51" s="2183"/>
      <c r="I51" s="3079"/>
      <c r="J51" s="2183"/>
      <c r="K51" s="3079"/>
      <c r="L51" s="2183"/>
      <c r="M51" s="3078"/>
      <c r="N51" s="2183"/>
      <c r="O51" s="3078"/>
      <c r="P51" s="2183"/>
      <c r="Q51" s="3078"/>
      <c r="R51" s="2183"/>
      <c r="S51" s="3078"/>
    </row>
    <row r="52" spans="1:19" hidden="1" outlineLevel="1">
      <c r="A52" s="3109"/>
      <c r="B52" s="460" t="s">
        <v>6476</v>
      </c>
      <c r="C52" s="659"/>
      <c r="D52" s="2050">
        <v>11</v>
      </c>
      <c r="E52" s="2051" t="s">
        <v>2803</v>
      </c>
      <c r="F52" s="2052"/>
      <c r="G52" s="662">
        <f t="shared" si="6"/>
        <v>0</v>
      </c>
      <c r="H52" s="2183"/>
      <c r="I52" s="3079"/>
      <c r="J52" s="2183"/>
      <c r="K52" s="3079"/>
      <c r="L52" s="2183"/>
      <c r="M52" s="3078"/>
      <c r="N52" s="2183"/>
      <c r="O52" s="3078"/>
      <c r="P52" s="2183"/>
      <c r="Q52" s="3078"/>
      <c r="R52" s="2183"/>
      <c r="S52" s="3078"/>
    </row>
    <row r="53" spans="1:19" collapsed="1">
      <c r="A53" s="3109"/>
      <c r="B53" s="459" t="s">
        <v>6477</v>
      </c>
      <c r="C53" s="659"/>
      <c r="D53" s="2050"/>
      <c r="E53" s="2051"/>
      <c r="F53" s="2052"/>
      <c r="G53" s="662">
        <f t="shared" si="6"/>
        <v>0</v>
      </c>
      <c r="H53" s="2183"/>
      <c r="I53" s="3079"/>
      <c r="J53" s="2183" t="s">
        <v>2931</v>
      </c>
      <c r="K53" s="3079"/>
      <c r="L53" s="2183"/>
      <c r="M53" s="3078"/>
      <c r="N53" s="2183"/>
      <c r="O53" s="3078"/>
      <c r="P53" s="2183"/>
      <c r="Q53" s="3078"/>
      <c r="R53" s="2183"/>
      <c r="S53" s="3078"/>
    </row>
    <row r="54" spans="1:19" hidden="1" outlineLevel="1">
      <c r="A54" s="3109"/>
      <c r="B54" s="460" t="s">
        <v>6478</v>
      </c>
      <c r="C54" s="659"/>
      <c r="D54" s="2050"/>
      <c r="E54" s="2051"/>
      <c r="F54" s="2052"/>
      <c r="G54" s="662">
        <f t="shared" si="6"/>
        <v>0</v>
      </c>
      <c r="H54" s="2183"/>
      <c r="I54" s="3079"/>
      <c r="J54" s="2183"/>
      <c r="K54" s="3079"/>
      <c r="L54" s="2183"/>
      <c r="M54" s="3078"/>
      <c r="N54" s="2183"/>
      <c r="O54" s="3078"/>
      <c r="P54" s="2183"/>
      <c r="Q54" s="3078"/>
      <c r="R54" s="2183"/>
      <c r="S54" s="3078"/>
    </row>
    <row r="55" spans="1:19" hidden="1" outlineLevel="1">
      <c r="A55" s="3109"/>
      <c r="B55" s="461" t="s">
        <v>6479</v>
      </c>
      <c r="C55" s="659"/>
      <c r="D55" s="2050">
        <v>1</v>
      </c>
      <c r="E55" s="2051" t="s">
        <v>2803</v>
      </c>
      <c r="F55" s="2052"/>
      <c r="G55" s="662">
        <f t="shared" si="6"/>
        <v>0</v>
      </c>
      <c r="H55" s="2183"/>
      <c r="I55" s="3079"/>
      <c r="J55" s="2183"/>
      <c r="K55" s="3079"/>
      <c r="L55" s="2183"/>
      <c r="M55" s="3078"/>
      <c r="N55" s="2183"/>
      <c r="O55" s="3078"/>
      <c r="P55" s="2183"/>
      <c r="Q55" s="3078"/>
      <c r="R55" s="2183"/>
      <c r="S55" s="3078"/>
    </row>
    <row r="56" spans="1:19" hidden="1" outlineLevel="1">
      <c r="A56" s="3109"/>
      <c r="B56" s="461" t="s">
        <v>6480</v>
      </c>
      <c r="C56" s="659"/>
      <c r="D56" s="2050">
        <v>1</v>
      </c>
      <c r="E56" s="2051" t="s">
        <v>2803</v>
      </c>
      <c r="F56" s="2052"/>
      <c r="G56" s="662">
        <f t="shared" si="6"/>
        <v>0</v>
      </c>
      <c r="H56" s="2183"/>
      <c r="I56" s="3079"/>
      <c r="J56" s="2183"/>
      <c r="K56" s="3079"/>
      <c r="L56" s="2183"/>
      <c r="M56" s="3078"/>
      <c r="N56" s="2183"/>
      <c r="O56" s="3078"/>
      <c r="P56" s="2183"/>
      <c r="Q56" s="3078"/>
      <c r="R56" s="2183"/>
      <c r="S56" s="3078"/>
    </row>
    <row r="57" spans="1:19" hidden="1" outlineLevel="1">
      <c r="A57" s="3109"/>
      <c r="B57" s="461" t="s">
        <v>6481</v>
      </c>
      <c r="C57" s="659"/>
      <c r="D57" s="2050">
        <v>1</v>
      </c>
      <c r="E57" s="2051" t="s">
        <v>2803</v>
      </c>
      <c r="F57" s="2052"/>
      <c r="G57" s="662">
        <f t="shared" si="6"/>
        <v>0</v>
      </c>
      <c r="H57" s="2183"/>
      <c r="I57" s="3079"/>
      <c r="J57" s="2183"/>
      <c r="K57" s="3079"/>
      <c r="L57" s="2183"/>
      <c r="M57" s="3078"/>
      <c r="N57" s="2183"/>
      <c r="O57" s="3078"/>
      <c r="P57" s="2183"/>
      <c r="Q57" s="3078"/>
      <c r="R57" s="2183"/>
      <c r="S57" s="3078"/>
    </row>
    <row r="58" spans="1:19" hidden="1" outlineLevel="1">
      <c r="A58" s="3109"/>
      <c r="B58" s="460" t="s">
        <v>6482</v>
      </c>
      <c r="C58" s="659"/>
      <c r="D58" s="2050"/>
      <c r="E58" s="2051"/>
      <c r="F58" s="2052"/>
      <c r="G58" s="662">
        <f t="shared" si="6"/>
        <v>0</v>
      </c>
      <c r="H58" s="2183"/>
      <c r="I58" s="3079"/>
      <c r="J58" s="2183"/>
      <c r="K58" s="3079"/>
      <c r="L58" s="2183"/>
      <c r="M58" s="3078"/>
      <c r="N58" s="2183"/>
      <c r="O58" s="3078"/>
      <c r="P58" s="2183"/>
      <c r="Q58" s="3078"/>
      <c r="R58" s="2183"/>
      <c r="S58" s="3078"/>
    </row>
    <row r="59" spans="1:19" hidden="1" outlineLevel="1">
      <c r="A59" s="3109"/>
      <c r="B59" s="461" t="s">
        <v>6483</v>
      </c>
      <c r="C59" s="659"/>
      <c r="D59" s="2050">
        <v>1</v>
      </c>
      <c r="E59" s="2051" t="s">
        <v>2803</v>
      </c>
      <c r="F59" s="2052"/>
      <c r="G59" s="662">
        <f t="shared" si="6"/>
        <v>0</v>
      </c>
      <c r="H59" s="2183"/>
      <c r="I59" s="3079"/>
      <c r="J59" s="2183"/>
      <c r="K59" s="3079"/>
      <c r="L59" s="2183"/>
      <c r="M59" s="3078"/>
      <c r="N59" s="2183"/>
      <c r="O59" s="3078"/>
      <c r="P59" s="2183"/>
      <c r="Q59" s="3078"/>
      <c r="R59" s="2183"/>
      <c r="S59" s="3078"/>
    </row>
    <row r="60" spans="1:19" hidden="1" outlineLevel="1">
      <c r="A60" s="3109"/>
      <c r="B60" s="461" t="s">
        <v>6484</v>
      </c>
      <c r="C60" s="659"/>
      <c r="D60" s="2050">
        <v>1</v>
      </c>
      <c r="E60" s="2051" t="s">
        <v>2803</v>
      </c>
      <c r="F60" s="2052"/>
      <c r="G60" s="662">
        <f t="shared" si="6"/>
        <v>0</v>
      </c>
      <c r="H60" s="2183"/>
      <c r="I60" s="3079"/>
      <c r="J60" s="2183"/>
      <c r="K60" s="3079"/>
      <c r="L60" s="2183"/>
      <c r="M60" s="3078"/>
      <c r="N60" s="2183"/>
      <c r="O60" s="3078"/>
      <c r="P60" s="2183"/>
      <c r="Q60" s="3078"/>
      <c r="R60" s="2183"/>
      <c r="S60" s="3078"/>
    </row>
    <row r="61" spans="1:19" hidden="1" outlineLevel="1">
      <c r="A61" s="3109"/>
      <c r="B61" s="461" t="s">
        <v>6485</v>
      </c>
      <c r="C61" s="659"/>
      <c r="D61" s="2050">
        <v>1</v>
      </c>
      <c r="E61" s="2051" t="s">
        <v>2803</v>
      </c>
      <c r="F61" s="2052"/>
      <c r="G61" s="662">
        <f t="shared" si="6"/>
        <v>0</v>
      </c>
      <c r="H61" s="2183"/>
      <c r="I61" s="3079"/>
      <c r="J61" s="2183"/>
      <c r="K61" s="3079"/>
      <c r="L61" s="2183"/>
      <c r="M61" s="3078"/>
      <c r="N61" s="2183"/>
      <c r="O61" s="3078"/>
      <c r="P61" s="2183"/>
      <c r="Q61" s="3078"/>
      <c r="R61" s="2183"/>
      <c r="S61" s="3078"/>
    </row>
    <row r="62" spans="1:19" hidden="1" outlineLevel="1">
      <c r="A62" s="3109"/>
      <c r="B62" s="461" t="s">
        <v>6486</v>
      </c>
      <c r="C62" s="659"/>
      <c r="D62" s="2050">
        <v>1</v>
      </c>
      <c r="E62" s="2051" t="s">
        <v>2803</v>
      </c>
      <c r="F62" s="2052"/>
      <c r="G62" s="662">
        <f t="shared" si="6"/>
        <v>0</v>
      </c>
      <c r="H62" s="2183"/>
      <c r="I62" s="3079"/>
      <c r="J62" s="2183"/>
      <c r="K62" s="3079"/>
      <c r="L62" s="2183"/>
      <c r="M62" s="3078"/>
      <c r="N62" s="2183"/>
      <c r="O62" s="3078"/>
      <c r="P62" s="2183"/>
      <c r="Q62" s="3078"/>
      <c r="R62" s="2183"/>
      <c r="S62" s="3078"/>
    </row>
    <row r="63" spans="1:19" hidden="1" outlineLevel="1">
      <c r="A63" s="3109"/>
      <c r="B63" s="461" t="s">
        <v>6487</v>
      </c>
      <c r="C63" s="659"/>
      <c r="D63" s="2050">
        <v>1</v>
      </c>
      <c r="E63" s="2051" t="s">
        <v>2803</v>
      </c>
      <c r="F63" s="2052"/>
      <c r="G63" s="662">
        <f t="shared" si="6"/>
        <v>0</v>
      </c>
      <c r="H63" s="2183"/>
      <c r="I63" s="3079"/>
      <c r="J63" s="2183"/>
      <c r="K63" s="3079"/>
      <c r="L63" s="2183"/>
      <c r="M63" s="3078"/>
      <c r="N63" s="2183"/>
      <c r="O63" s="3078"/>
      <c r="P63" s="2183"/>
      <c r="Q63" s="3078"/>
      <c r="R63" s="2183"/>
      <c r="S63" s="3078"/>
    </row>
    <row r="64" spans="1:19" hidden="1" outlineLevel="1">
      <c r="A64" s="3109"/>
      <c r="B64" s="461" t="s">
        <v>6488</v>
      </c>
      <c r="C64" s="659"/>
      <c r="D64" s="2050">
        <v>1</v>
      </c>
      <c r="E64" s="2051" t="s">
        <v>2803</v>
      </c>
      <c r="F64" s="2052"/>
      <c r="G64" s="662">
        <f t="shared" si="6"/>
        <v>0</v>
      </c>
      <c r="H64" s="2183"/>
      <c r="I64" s="3079"/>
      <c r="J64" s="2183"/>
      <c r="K64" s="3079"/>
      <c r="L64" s="2183"/>
      <c r="M64" s="3078"/>
      <c r="N64" s="2183"/>
      <c r="O64" s="3078"/>
      <c r="P64" s="2183"/>
      <c r="Q64" s="3078"/>
      <c r="R64" s="2183"/>
      <c r="S64" s="3078"/>
    </row>
    <row r="65" spans="1:19" hidden="1" outlineLevel="1">
      <c r="A65" s="3109"/>
      <c r="B65" s="460" t="s">
        <v>6489</v>
      </c>
      <c r="C65" s="659"/>
      <c r="D65" s="2050"/>
      <c r="E65" s="2051"/>
      <c r="F65" s="2052"/>
      <c r="G65" s="662">
        <f t="shared" si="6"/>
        <v>0</v>
      </c>
      <c r="H65" s="2183"/>
      <c r="I65" s="3079"/>
      <c r="J65" s="2183"/>
      <c r="K65" s="3079"/>
      <c r="L65" s="2183"/>
      <c r="M65" s="3078"/>
      <c r="N65" s="2183"/>
      <c r="O65" s="3078"/>
      <c r="P65" s="2183"/>
      <c r="Q65" s="3078"/>
      <c r="R65" s="2183"/>
      <c r="S65" s="3078"/>
    </row>
    <row r="66" spans="1:19" hidden="1" outlineLevel="1">
      <c r="A66" s="3109"/>
      <c r="B66" s="461" t="s">
        <v>6490</v>
      </c>
      <c r="C66" s="659"/>
      <c r="D66" s="2050">
        <v>1</v>
      </c>
      <c r="E66" s="2051" t="s">
        <v>2803</v>
      </c>
      <c r="F66" s="2052"/>
      <c r="G66" s="662">
        <f t="shared" si="6"/>
        <v>0</v>
      </c>
      <c r="H66" s="2183"/>
      <c r="I66" s="3079"/>
      <c r="J66" s="2183"/>
      <c r="K66" s="3079"/>
      <c r="L66" s="2183"/>
      <c r="M66" s="3078"/>
      <c r="N66" s="2183"/>
      <c r="O66" s="3078"/>
      <c r="P66" s="2183"/>
      <c r="Q66" s="3078"/>
      <c r="R66" s="2183"/>
      <c r="S66" s="3078"/>
    </row>
    <row r="67" spans="1:19" hidden="1" outlineLevel="1">
      <c r="A67" s="3109"/>
      <c r="B67" s="461" t="s">
        <v>6491</v>
      </c>
      <c r="C67" s="659"/>
      <c r="D67" s="2050">
        <v>1</v>
      </c>
      <c r="E67" s="2051" t="s">
        <v>2803</v>
      </c>
      <c r="F67" s="2052"/>
      <c r="G67" s="662">
        <f t="shared" si="6"/>
        <v>0</v>
      </c>
      <c r="H67" s="2183"/>
      <c r="I67" s="3079"/>
      <c r="J67" s="2183"/>
      <c r="K67" s="3079"/>
      <c r="L67" s="2183"/>
      <c r="M67" s="3078"/>
      <c r="N67" s="2183"/>
      <c r="O67" s="3078"/>
      <c r="P67" s="2183"/>
      <c r="Q67" s="3078"/>
      <c r="R67" s="2183"/>
      <c r="S67" s="3078"/>
    </row>
    <row r="68" spans="1:19" hidden="1" outlineLevel="1">
      <c r="A68" s="3109"/>
      <c r="B68" s="461" t="s">
        <v>6492</v>
      </c>
      <c r="C68" s="659"/>
      <c r="D68" s="2050">
        <v>1</v>
      </c>
      <c r="E68" s="2051" t="s">
        <v>2803</v>
      </c>
      <c r="F68" s="2052"/>
      <c r="G68" s="662">
        <f t="shared" si="6"/>
        <v>0</v>
      </c>
      <c r="H68" s="2183"/>
      <c r="I68" s="3079"/>
      <c r="J68" s="2183"/>
      <c r="K68" s="3079"/>
      <c r="L68" s="2183"/>
      <c r="M68" s="3078"/>
      <c r="N68" s="2183"/>
      <c r="O68" s="3078"/>
      <c r="P68" s="2183"/>
      <c r="Q68" s="3078"/>
      <c r="R68" s="2183"/>
      <c r="S68" s="3078"/>
    </row>
    <row r="69" spans="1:19" hidden="1" outlineLevel="1">
      <c r="A69" s="3109"/>
      <c r="B69" s="461" t="s">
        <v>6493</v>
      </c>
      <c r="C69" s="659"/>
      <c r="D69" s="2050">
        <v>1</v>
      </c>
      <c r="E69" s="2051" t="s">
        <v>2803</v>
      </c>
      <c r="F69" s="2052"/>
      <c r="G69" s="662">
        <f t="shared" si="6"/>
        <v>0</v>
      </c>
      <c r="H69" s="2183"/>
      <c r="I69" s="3079"/>
      <c r="J69" s="2183"/>
      <c r="K69" s="3079"/>
      <c r="L69" s="2183"/>
      <c r="M69" s="3078"/>
      <c r="N69" s="2183"/>
      <c r="O69" s="3078"/>
      <c r="P69" s="2183"/>
      <c r="Q69" s="3078"/>
      <c r="R69" s="2183"/>
      <c r="S69" s="3078"/>
    </row>
    <row r="70" spans="1:19" hidden="1" outlineLevel="1">
      <c r="A70" s="3109"/>
      <c r="B70" s="461" t="s">
        <v>6494</v>
      </c>
      <c r="C70" s="659"/>
      <c r="D70" s="2050">
        <v>1</v>
      </c>
      <c r="E70" s="2051" t="s">
        <v>2803</v>
      </c>
      <c r="F70" s="2052"/>
      <c r="G70" s="662">
        <f t="shared" si="6"/>
        <v>0</v>
      </c>
      <c r="H70" s="2183"/>
      <c r="I70" s="3079"/>
      <c r="J70" s="2183"/>
      <c r="K70" s="3079"/>
      <c r="L70" s="2183"/>
      <c r="M70" s="3078"/>
      <c r="N70" s="2183"/>
      <c r="O70" s="3078"/>
      <c r="P70" s="2183"/>
      <c r="Q70" s="3078"/>
      <c r="R70" s="2183"/>
      <c r="S70" s="3078"/>
    </row>
    <row r="71" spans="1:19" hidden="1" outlineLevel="1">
      <c r="A71" s="3109"/>
      <c r="B71" s="461" t="s">
        <v>6495</v>
      </c>
      <c r="C71" s="659"/>
      <c r="D71" s="2050">
        <v>1</v>
      </c>
      <c r="E71" s="2051" t="s">
        <v>2803</v>
      </c>
      <c r="F71" s="2052"/>
      <c r="G71" s="662">
        <f t="shared" si="6"/>
        <v>0</v>
      </c>
      <c r="H71" s="2183"/>
      <c r="I71" s="3079"/>
      <c r="J71" s="2183"/>
      <c r="K71" s="3079"/>
      <c r="L71" s="2183"/>
      <c r="M71" s="3078"/>
      <c r="N71" s="2183"/>
      <c r="O71" s="3078"/>
      <c r="P71" s="2183"/>
      <c r="Q71" s="3078"/>
      <c r="R71" s="2183"/>
      <c r="S71" s="3078"/>
    </row>
    <row r="72" spans="1:19" hidden="1" outlineLevel="1">
      <c r="A72" s="3109"/>
      <c r="B72" s="461" t="s">
        <v>6496</v>
      </c>
      <c r="C72" s="659"/>
      <c r="D72" s="2050">
        <v>1</v>
      </c>
      <c r="E72" s="2051" t="s">
        <v>2803</v>
      </c>
      <c r="F72" s="2052"/>
      <c r="G72" s="662">
        <f t="shared" si="6"/>
        <v>0</v>
      </c>
      <c r="H72" s="2183"/>
      <c r="I72" s="3079"/>
      <c r="J72" s="2183"/>
      <c r="K72" s="3079"/>
      <c r="L72" s="2183"/>
      <c r="M72" s="3078"/>
      <c r="N72" s="2183"/>
      <c r="O72" s="3078"/>
      <c r="P72" s="2183"/>
      <c r="Q72" s="3078"/>
      <c r="R72" s="2183"/>
      <c r="S72" s="3078"/>
    </row>
    <row r="73" spans="1:19" hidden="1" outlineLevel="1">
      <c r="A73" s="3109"/>
      <c r="B73" s="461" t="s">
        <v>6497</v>
      </c>
      <c r="C73" s="659"/>
      <c r="D73" s="2050">
        <v>3</v>
      </c>
      <c r="E73" s="2051" t="s">
        <v>2803</v>
      </c>
      <c r="F73" s="2052"/>
      <c r="G73" s="662">
        <f t="shared" si="6"/>
        <v>0</v>
      </c>
      <c r="H73" s="2183"/>
      <c r="I73" s="3079"/>
      <c r="J73" s="2183"/>
      <c r="K73" s="3079"/>
      <c r="L73" s="2183"/>
      <c r="M73" s="3078"/>
      <c r="N73" s="2183"/>
      <c r="O73" s="3078"/>
      <c r="P73" s="2183"/>
      <c r="Q73" s="3078"/>
      <c r="R73" s="2183"/>
      <c r="S73" s="3078"/>
    </row>
    <row r="74" spans="1:19" hidden="1" outlineLevel="1">
      <c r="A74" s="3109"/>
      <c r="B74" s="461" t="s">
        <v>6498</v>
      </c>
      <c r="C74" s="659"/>
      <c r="D74" s="2050">
        <v>1</v>
      </c>
      <c r="E74" s="2051" t="s">
        <v>2803</v>
      </c>
      <c r="F74" s="2052"/>
      <c r="G74" s="662">
        <f t="shared" si="6"/>
        <v>0</v>
      </c>
      <c r="H74" s="2183"/>
      <c r="I74" s="3079"/>
      <c r="J74" s="2183"/>
      <c r="K74" s="3079"/>
      <c r="L74" s="2183"/>
      <c r="M74" s="3078"/>
      <c r="N74" s="2183"/>
      <c r="O74" s="3078"/>
      <c r="P74" s="2183"/>
      <c r="Q74" s="3078"/>
      <c r="R74" s="2183"/>
      <c r="S74" s="3078"/>
    </row>
    <row r="75" spans="1:19" hidden="1" outlineLevel="1">
      <c r="A75" s="3109"/>
      <c r="B75" s="461" t="s">
        <v>6499</v>
      </c>
      <c r="C75" s="659"/>
      <c r="D75" s="2050">
        <v>1</v>
      </c>
      <c r="E75" s="2051" t="s">
        <v>2803</v>
      </c>
      <c r="F75" s="2052"/>
      <c r="G75" s="662">
        <f t="shared" si="6"/>
        <v>0</v>
      </c>
      <c r="H75" s="2183"/>
      <c r="I75" s="3079"/>
      <c r="J75" s="2183"/>
      <c r="K75" s="3079"/>
      <c r="L75" s="2183"/>
      <c r="M75" s="3078"/>
      <c r="N75" s="2183"/>
      <c r="O75" s="3078"/>
      <c r="P75" s="2183"/>
      <c r="Q75" s="3078"/>
      <c r="R75" s="2183"/>
      <c r="S75" s="3078"/>
    </row>
    <row r="76" spans="1:19" hidden="1" outlineLevel="1">
      <c r="A76" s="3109"/>
      <c r="B76" s="461" t="s">
        <v>6500</v>
      </c>
      <c r="C76" s="659"/>
      <c r="D76" s="2050">
        <v>1</v>
      </c>
      <c r="E76" s="2051" t="s">
        <v>2803</v>
      </c>
      <c r="F76" s="2052"/>
      <c r="G76" s="662">
        <f t="shared" si="6"/>
        <v>0</v>
      </c>
      <c r="H76" s="2183"/>
      <c r="I76" s="3079"/>
      <c r="J76" s="2183"/>
      <c r="K76" s="3079"/>
      <c r="L76" s="2183"/>
      <c r="M76" s="3078"/>
      <c r="N76" s="2183"/>
      <c r="O76" s="3078"/>
      <c r="P76" s="2183"/>
      <c r="Q76" s="3078"/>
      <c r="R76" s="2183"/>
      <c r="S76" s="3078"/>
    </row>
    <row r="77" spans="1:19" hidden="1" outlineLevel="1">
      <c r="A77" s="3109"/>
      <c r="B77" s="461" t="s">
        <v>6501</v>
      </c>
      <c r="C77" s="659"/>
      <c r="D77" s="2050">
        <v>1</v>
      </c>
      <c r="E77" s="2051" t="s">
        <v>2803</v>
      </c>
      <c r="F77" s="2052"/>
      <c r="G77" s="662">
        <f t="shared" si="6"/>
        <v>0</v>
      </c>
      <c r="H77" s="2183"/>
      <c r="I77" s="3079"/>
      <c r="J77" s="2183"/>
      <c r="K77" s="3079"/>
      <c r="L77" s="2183"/>
      <c r="M77" s="3078"/>
      <c r="N77" s="2183"/>
      <c r="O77" s="3078"/>
      <c r="P77" s="2183"/>
      <c r="Q77" s="3078"/>
      <c r="R77" s="2183"/>
      <c r="S77" s="3078"/>
    </row>
    <row r="78" spans="1:19" hidden="1" outlineLevel="1">
      <c r="A78" s="3109"/>
      <c r="B78" s="461" t="s">
        <v>6502</v>
      </c>
      <c r="C78" s="659"/>
      <c r="D78" s="2050">
        <v>2</v>
      </c>
      <c r="E78" s="2051" t="s">
        <v>2803</v>
      </c>
      <c r="F78" s="2052"/>
      <c r="G78" s="662">
        <f t="shared" si="6"/>
        <v>0</v>
      </c>
      <c r="H78" s="2183"/>
      <c r="I78" s="3079"/>
      <c r="J78" s="2183"/>
      <c r="K78" s="3079"/>
      <c r="L78" s="2183"/>
      <c r="M78" s="3078"/>
      <c r="N78" s="2183"/>
      <c r="O78" s="3078"/>
      <c r="P78" s="2183"/>
      <c r="Q78" s="3078"/>
      <c r="R78" s="2183"/>
      <c r="S78" s="3078"/>
    </row>
    <row r="79" spans="1:19" hidden="1" outlineLevel="1">
      <c r="A79" s="3109"/>
      <c r="B79" s="461" t="s">
        <v>6503</v>
      </c>
      <c r="C79" s="659"/>
      <c r="D79" s="2050">
        <v>1</v>
      </c>
      <c r="E79" s="2051" t="s">
        <v>2803</v>
      </c>
      <c r="F79" s="2052"/>
      <c r="G79" s="662">
        <f t="shared" si="6"/>
        <v>0</v>
      </c>
      <c r="H79" s="2183"/>
      <c r="I79" s="3079"/>
      <c r="J79" s="2183"/>
      <c r="K79" s="3079"/>
      <c r="L79" s="2183"/>
      <c r="M79" s="3078"/>
      <c r="N79" s="2183"/>
      <c r="O79" s="3078"/>
      <c r="P79" s="2183"/>
      <c r="Q79" s="3078"/>
      <c r="R79" s="2183"/>
      <c r="S79" s="3078"/>
    </row>
    <row r="80" spans="1:19" hidden="1" outlineLevel="1">
      <c r="A80" s="3109"/>
      <c r="B80" s="461" t="s">
        <v>6504</v>
      </c>
      <c r="C80" s="659"/>
      <c r="D80" s="2050">
        <v>1</v>
      </c>
      <c r="E80" s="2051" t="s">
        <v>2803</v>
      </c>
      <c r="F80" s="2052"/>
      <c r="G80" s="662">
        <f t="shared" si="6"/>
        <v>0</v>
      </c>
      <c r="H80" s="2183"/>
      <c r="I80" s="3079"/>
      <c r="J80" s="2183"/>
      <c r="K80" s="3079"/>
      <c r="L80" s="2183"/>
      <c r="M80" s="3078"/>
      <c r="N80" s="2183"/>
      <c r="O80" s="3078"/>
      <c r="P80" s="2183"/>
      <c r="Q80" s="3078"/>
      <c r="R80" s="2183"/>
      <c r="S80" s="3078"/>
    </row>
    <row r="81" spans="1:19" hidden="1" outlineLevel="1">
      <c r="A81" s="3109"/>
      <c r="B81" s="461" t="s">
        <v>6505</v>
      </c>
      <c r="C81" s="659"/>
      <c r="D81" s="2050">
        <v>1</v>
      </c>
      <c r="E81" s="2051" t="s">
        <v>2803</v>
      </c>
      <c r="F81" s="2052"/>
      <c r="G81" s="662">
        <f t="shared" si="6"/>
        <v>0</v>
      </c>
      <c r="H81" s="2183"/>
      <c r="I81" s="3079"/>
      <c r="J81" s="2183"/>
      <c r="K81" s="3079"/>
      <c r="L81" s="2183"/>
      <c r="M81" s="3078"/>
      <c r="N81" s="2183"/>
      <c r="O81" s="3078"/>
      <c r="P81" s="2183"/>
      <c r="Q81" s="3078"/>
      <c r="R81" s="2183"/>
      <c r="S81" s="3078"/>
    </row>
    <row r="82" spans="1:19" hidden="1" outlineLevel="1">
      <c r="A82" s="3109"/>
      <c r="B82" s="461" t="s">
        <v>6506</v>
      </c>
      <c r="C82" s="659"/>
      <c r="D82" s="2050">
        <v>1</v>
      </c>
      <c r="E82" s="2051" t="s">
        <v>2803</v>
      </c>
      <c r="F82" s="2052"/>
      <c r="G82" s="662">
        <f t="shared" si="6"/>
        <v>0</v>
      </c>
      <c r="H82" s="2183"/>
      <c r="I82" s="3079"/>
      <c r="J82" s="2183"/>
      <c r="K82" s="3079"/>
      <c r="L82" s="2183"/>
      <c r="M82" s="3078"/>
      <c r="N82" s="2183"/>
      <c r="O82" s="3078"/>
      <c r="P82" s="2183"/>
      <c r="Q82" s="3078"/>
      <c r="R82" s="2183"/>
      <c r="S82" s="3078"/>
    </row>
    <row r="83" spans="1:19" hidden="1" outlineLevel="1">
      <c r="A83" s="3109"/>
      <c r="B83" s="461" t="s">
        <v>6507</v>
      </c>
      <c r="C83" s="659"/>
      <c r="D83" s="2050">
        <v>1</v>
      </c>
      <c r="E83" s="2051" t="s">
        <v>2803</v>
      </c>
      <c r="F83" s="2052"/>
      <c r="G83" s="662">
        <f t="shared" si="6"/>
        <v>0</v>
      </c>
      <c r="H83" s="2183"/>
      <c r="I83" s="3079"/>
      <c r="J83" s="2183"/>
      <c r="K83" s="3079"/>
      <c r="L83" s="2183"/>
      <c r="M83" s="3078"/>
      <c r="N83" s="2183"/>
      <c r="O83" s="3078"/>
      <c r="P83" s="2183"/>
      <c r="Q83" s="3078"/>
      <c r="R83" s="2183"/>
      <c r="S83" s="3078"/>
    </row>
    <row r="84" spans="1:19" hidden="1" outlineLevel="1">
      <c r="A84" s="3109"/>
      <c r="B84" s="461" t="s">
        <v>6508</v>
      </c>
      <c r="C84" s="659"/>
      <c r="D84" s="2050">
        <v>1</v>
      </c>
      <c r="E84" s="2051" t="s">
        <v>2803</v>
      </c>
      <c r="F84" s="2052"/>
      <c r="G84" s="662">
        <f t="shared" si="6"/>
        <v>0</v>
      </c>
      <c r="H84" s="2183"/>
      <c r="I84" s="3079"/>
      <c r="J84" s="2183"/>
      <c r="K84" s="3079"/>
      <c r="L84" s="2183"/>
      <c r="M84" s="3078"/>
      <c r="N84" s="2183"/>
      <c r="O84" s="3078"/>
      <c r="P84" s="2183"/>
      <c r="Q84" s="3078"/>
      <c r="R84" s="2183"/>
      <c r="S84" s="3078"/>
    </row>
    <row r="85" spans="1:19" hidden="1" outlineLevel="1">
      <c r="A85" s="3109"/>
      <c r="B85" s="461" t="s">
        <v>6509</v>
      </c>
      <c r="C85" s="659"/>
      <c r="D85" s="2050">
        <v>1</v>
      </c>
      <c r="E85" s="2051" t="s">
        <v>2803</v>
      </c>
      <c r="F85" s="2052"/>
      <c r="G85" s="662">
        <f t="shared" si="6"/>
        <v>0</v>
      </c>
      <c r="H85" s="2183"/>
      <c r="I85" s="3079"/>
      <c r="J85" s="2183"/>
      <c r="K85" s="3079"/>
      <c r="L85" s="2183"/>
      <c r="M85" s="3078"/>
      <c r="N85" s="2183"/>
      <c r="O85" s="3078"/>
      <c r="P85" s="2183"/>
      <c r="Q85" s="3078"/>
      <c r="R85" s="2183"/>
      <c r="S85" s="3078"/>
    </row>
    <row r="86" spans="1:19" hidden="1" outlineLevel="1">
      <c r="A86" s="3109"/>
      <c r="B86" s="461" t="s">
        <v>6510</v>
      </c>
      <c r="C86" s="659"/>
      <c r="D86" s="2050">
        <v>1</v>
      </c>
      <c r="E86" s="2051" t="s">
        <v>2803</v>
      </c>
      <c r="F86" s="2052"/>
      <c r="G86" s="662">
        <f t="shared" ref="G86:G156" si="7">ROUND(D86*F86,0)</f>
        <v>0</v>
      </c>
      <c r="H86" s="2183"/>
      <c r="I86" s="3079"/>
      <c r="J86" s="2183"/>
      <c r="K86" s="3079"/>
      <c r="L86" s="2183"/>
      <c r="M86" s="3078"/>
      <c r="N86" s="2183"/>
      <c r="O86" s="3078"/>
      <c r="P86" s="2183"/>
      <c r="Q86" s="3078"/>
      <c r="R86" s="2183"/>
      <c r="S86" s="3078"/>
    </row>
    <row r="87" spans="1:19" hidden="1" outlineLevel="1">
      <c r="A87" s="3109"/>
      <c r="B87" s="461" t="s">
        <v>6511</v>
      </c>
      <c r="C87" s="659"/>
      <c r="D87" s="2050">
        <v>1</v>
      </c>
      <c r="E87" s="2051" t="s">
        <v>2803</v>
      </c>
      <c r="F87" s="2052"/>
      <c r="G87" s="662">
        <f t="shared" si="7"/>
        <v>0</v>
      </c>
      <c r="H87" s="2183"/>
      <c r="I87" s="3079"/>
      <c r="J87" s="2183"/>
      <c r="K87" s="3079"/>
      <c r="L87" s="2183"/>
      <c r="M87" s="3078"/>
      <c r="N87" s="2183"/>
      <c r="O87" s="3078"/>
      <c r="P87" s="2183"/>
      <c r="Q87" s="3078"/>
      <c r="R87" s="2183"/>
      <c r="S87" s="3078"/>
    </row>
    <row r="88" spans="1:19" hidden="1" outlineLevel="1">
      <c r="A88" s="3109"/>
      <c r="B88" s="461" t="s">
        <v>6512</v>
      </c>
      <c r="C88" s="659"/>
      <c r="D88" s="2050">
        <v>1</v>
      </c>
      <c r="E88" s="2051" t="s">
        <v>2803</v>
      </c>
      <c r="F88" s="2052"/>
      <c r="G88" s="662">
        <f t="shared" si="7"/>
        <v>0</v>
      </c>
      <c r="H88" s="2183"/>
      <c r="I88" s="3079"/>
      <c r="J88" s="2183"/>
      <c r="K88" s="3079"/>
      <c r="L88" s="2183"/>
      <c r="M88" s="3078"/>
      <c r="N88" s="2183"/>
      <c r="O88" s="3078"/>
      <c r="P88" s="2183"/>
      <c r="Q88" s="3078"/>
      <c r="R88" s="2183"/>
      <c r="S88" s="3078"/>
    </row>
    <row r="89" spans="1:19" hidden="1" outlineLevel="1">
      <c r="A89" s="3109"/>
      <c r="B89" s="460" t="s">
        <v>6513</v>
      </c>
      <c r="C89" s="659"/>
      <c r="D89" s="2050"/>
      <c r="E89" s="2051"/>
      <c r="F89" s="2052"/>
      <c r="G89" s="662">
        <f t="shared" si="7"/>
        <v>0</v>
      </c>
      <c r="H89" s="2183"/>
      <c r="I89" s="3079"/>
      <c r="J89" s="2183"/>
      <c r="K89" s="3079"/>
      <c r="L89" s="2183"/>
      <c r="M89" s="3078"/>
      <c r="N89" s="2183"/>
      <c r="O89" s="3078"/>
      <c r="P89" s="2183"/>
      <c r="Q89" s="3078"/>
      <c r="R89" s="2183"/>
      <c r="S89" s="3078"/>
    </row>
    <row r="90" spans="1:19" hidden="1" outlineLevel="1">
      <c r="A90" s="3109"/>
      <c r="B90" s="461" t="s">
        <v>6514</v>
      </c>
      <c r="C90" s="659"/>
      <c r="D90" s="2050">
        <v>1</v>
      </c>
      <c r="E90" s="2051" t="s">
        <v>2803</v>
      </c>
      <c r="F90" s="2052"/>
      <c r="G90" s="662">
        <f t="shared" si="7"/>
        <v>0</v>
      </c>
      <c r="H90" s="2183"/>
      <c r="I90" s="3079"/>
      <c r="J90" s="2183"/>
      <c r="K90" s="3079"/>
      <c r="L90" s="2183"/>
      <c r="M90" s="3078"/>
      <c r="N90" s="2183"/>
      <c r="O90" s="3078"/>
      <c r="P90" s="2183"/>
      <c r="Q90" s="3078"/>
      <c r="R90" s="2183"/>
      <c r="S90" s="3078"/>
    </row>
    <row r="91" spans="1:19" hidden="1" outlineLevel="1">
      <c r="A91" s="3109"/>
      <c r="B91" s="460" t="s">
        <v>6515</v>
      </c>
      <c r="C91" s="659"/>
      <c r="D91" s="2050"/>
      <c r="E91" s="2051"/>
      <c r="F91" s="2052"/>
      <c r="G91" s="662">
        <f t="shared" si="7"/>
        <v>0</v>
      </c>
      <c r="H91" s="2183"/>
      <c r="I91" s="3079"/>
      <c r="J91" s="2183"/>
      <c r="K91" s="3079"/>
      <c r="L91" s="2183"/>
      <c r="M91" s="3078"/>
      <c r="N91" s="2183"/>
      <c r="O91" s="3078"/>
      <c r="P91" s="2183"/>
      <c r="Q91" s="3078"/>
      <c r="R91" s="2183"/>
      <c r="S91" s="3078"/>
    </row>
    <row r="92" spans="1:19" hidden="1" outlineLevel="1">
      <c r="A92" s="3109"/>
      <c r="B92" s="461" t="s">
        <v>6516</v>
      </c>
      <c r="C92" s="659"/>
      <c r="D92" s="2050">
        <v>1</v>
      </c>
      <c r="E92" s="2051" t="s">
        <v>2803</v>
      </c>
      <c r="F92" s="2052"/>
      <c r="G92" s="662">
        <f t="shared" si="7"/>
        <v>0</v>
      </c>
      <c r="H92" s="2183"/>
      <c r="I92" s="3079"/>
      <c r="J92" s="2183"/>
      <c r="K92" s="3079"/>
      <c r="L92" s="2183"/>
      <c r="M92" s="3078"/>
      <c r="N92" s="2183"/>
      <c r="O92" s="3078"/>
      <c r="P92" s="2183"/>
      <c r="Q92" s="3078"/>
      <c r="R92" s="2183"/>
      <c r="S92" s="3078"/>
    </row>
    <row r="93" spans="1:19" hidden="1" outlineLevel="1">
      <c r="A93" s="3109"/>
      <c r="B93" s="461" t="s">
        <v>6517</v>
      </c>
      <c r="C93" s="659"/>
      <c r="D93" s="2050">
        <v>1</v>
      </c>
      <c r="E93" s="2051" t="s">
        <v>2803</v>
      </c>
      <c r="F93" s="2052"/>
      <c r="G93" s="662">
        <f t="shared" si="7"/>
        <v>0</v>
      </c>
      <c r="H93" s="2183"/>
      <c r="I93" s="3079"/>
      <c r="J93" s="2183"/>
      <c r="K93" s="3079"/>
      <c r="L93" s="2183"/>
      <c r="M93" s="3078"/>
      <c r="N93" s="2183"/>
      <c r="O93" s="3078"/>
      <c r="P93" s="2183"/>
      <c r="Q93" s="3078"/>
      <c r="R93" s="2183"/>
      <c r="S93" s="3078"/>
    </row>
    <row r="94" spans="1:19" hidden="1" outlineLevel="1">
      <c r="A94" s="3109"/>
      <c r="B94" s="461" t="s">
        <v>6518</v>
      </c>
      <c r="C94" s="659"/>
      <c r="D94" s="2050">
        <v>1</v>
      </c>
      <c r="E94" s="2051" t="s">
        <v>2803</v>
      </c>
      <c r="F94" s="2052"/>
      <c r="G94" s="662">
        <f t="shared" si="7"/>
        <v>0</v>
      </c>
      <c r="H94" s="2183"/>
      <c r="I94" s="3079"/>
      <c r="J94" s="2183"/>
      <c r="K94" s="3079"/>
      <c r="L94" s="2183"/>
      <c r="M94" s="3078"/>
      <c r="N94" s="2183"/>
      <c r="O94" s="3078"/>
      <c r="P94" s="2183"/>
      <c r="Q94" s="3078"/>
      <c r="R94" s="2183"/>
      <c r="S94" s="3078"/>
    </row>
    <row r="95" spans="1:19" hidden="1" outlineLevel="1">
      <c r="A95" s="3109"/>
      <c r="B95" s="461" t="s">
        <v>6519</v>
      </c>
      <c r="C95" s="659"/>
      <c r="D95" s="2050">
        <v>1</v>
      </c>
      <c r="E95" s="2051" t="s">
        <v>2803</v>
      </c>
      <c r="F95" s="2052"/>
      <c r="G95" s="662">
        <f t="shared" si="7"/>
        <v>0</v>
      </c>
      <c r="H95" s="2183"/>
      <c r="I95" s="3079"/>
      <c r="J95" s="2183"/>
      <c r="K95" s="3079"/>
      <c r="L95" s="2183"/>
      <c r="M95" s="3078"/>
      <c r="N95" s="2183"/>
      <c r="O95" s="3078"/>
      <c r="P95" s="2183"/>
      <c r="Q95" s="3078"/>
      <c r="R95" s="2183"/>
      <c r="S95" s="3078"/>
    </row>
    <row r="96" spans="1:19" hidden="1" outlineLevel="1">
      <c r="A96" s="3109"/>
      <c r="B96" s="461" t="s">
        <v>6520</v>
      </c>
      <c r="C96" s="659"/>
      <c r="D96" s="2050">
        <v>1</v>
      </c>
      <c r="E96" s="2051" t="s">
        <v>2803</v>
      </c>
      <c r="F96" s="2052"/>
      <c r="G96" s="662">
        <f t="shared" si="7"/>
        <v>0</v>
      </c>
      <c r="H96" s="2183"/>
      <c r="I96" s="3079"/>
      <c r="J96" s="2183"/>
      <c r="K96" s="3079"/>
      <c r="L96" s="2183"/>
      <c r="M96" s="3078"/>
      <c r="N96" s="2183"/>
      <c r="O96" s="3078"/>
      <c r="P96" s="2183"/>
      <c r="Q96" s="3078"/>
      <c r="R96" s="2183"/>
      <c r="S96" s="3078"/>
    </row>
    <row r="97" spans="1:19" hidden="1" outlineLevel="1">
      <c r="A97" s="3109"/>
      <c r="B97" s="460" t="s">
        <v>6521</v>
      </c>
      <c r="C97" s="659"/>
      <c r="D97" s="2050"/>
      <c r="E97" s="2051"/>
      <c r="F97" s="2052"/>
      <c r="G97" s="662">
        <f t="shared" si="7"/>
        <v>0</v>
      </c>
      <c r="H97" s="2183"/>
      <c r="I97" s="3079"/>
      <c r="J97" s="2183"/>
      <c r="K97" s="3079"/>
      <c r="L97" s="2183"/>
      <c r="M97" s="3078"/>
      <c r="N97" s="2183"/>
      <c r="O97" s="3078"/>
      <c r="P97" s="2183"/>
      <c r="Q97" s="3078"/>
      <c r="R97" s="2183"/>
      <c r="S97" s="3078"/>
    </row>
    <row r="98" spans="1:19" hidden="1" outlineLevel="1">
      <c r="A98" s="3109"/>
      <c r="B98" s="461" t="s">
        <v>6522</v>
      </c>
      <c r="C98" s="659"/>
      <c r="D98" s="2050">
        <v>1</v>
      </c>
      <c r="E98" s="2051" t="s">
        <v>2803</v>
      </c>
      <c r="F98" s="2052"/>
      <c r="G98" s="662">
        <f t="shared" si="7"/>
        <v>0</v>
      </c>
      <c r="H98" s="2183"/>
      <c r="I98" s="3079"/>
      <c r="J98" s="2183"/>
      <c r="K98" s="3079"/>
      <c r="L98" s="2183"/>
      <c r="M98" s="3078"/>
      <c r="N98" s="2183"/>
      <c r="O98" s="3078"/>
      <c r="P98" s="2183"/>
      <c r="Q98" s="3078"/>
      <c r="R98" s="2183"/>
      <c r="S98" s="3078"/>
    </row>
    <row r="99" spans="1:19" hidden="1" outlineLevel="1">
      <c r="A99" s="3109"/>
      <c r="B99" s="461" t="s">
        <v>6523</v>
      </c>
      <c r="C99" s="659"/>
      <c r="D99" s="2050">
        <v>1</v>
      </c>
      <c r="E99" s="2051" t="s">
        <v>2803</v>
      </c>
      <c r="F99" s="2052"/>
      <c r="G99" s="662">
        <f t="shared" si="7"/>
        <v>0</v>
      </c>
      <c r="H99" s="2183"/>
      <c r="I99" s="3079"/>
      <c r="J99" s="2183"/>
      <c r="K99" s="3079"/>
      <c r="L99" s="2183"/>
      <c r="M99" s="3078"/>
      <c r="N99" s="2183"/>
      <c r="O99" s="3078"/>
      <c r="P99" s="2183"/>
      <c r="Q99" s="3078"/>
      <c r="R99" s="2183"/>
      <c r="S99" s="3078"/>
    </row>
    <row r="100" spans="1:19" hidden="1" outlineLevel="1">
      <c r="A100" s="3109"/>
      <c r="B100" s="461" t="s">
        <v>6524</v>
      </c>
      <c r="C100" s="659"/>
      <c r="D100" s="2050">
        <v>1</v>
      </c>
      <c r="E100" s="2051" t="s">
        <v>2803</v>
      </c>
      <c r="F100" s="2052"/>
      <c r="G100" s="662">
        <f t="shared" si="7"/>
        <v>0</v>
      </c>
      <c r="H100" s="2183"/>
      <c r="I100" s="3079"/>
      <c r="J100" s="2183"/>
      <c r="K100" s="3079"/>
      <c r="L100" s="2183"/>
      <c r="M100" s="3078"/>
      <c r="N100" s="2183"/>
      <c r="O100" s="3078"/>
      <c r="P100" s="2183"/>
      <c r="Q100" s="3078"/>
      <c r="R100" s="2183"/>
      <c r="S100" s="3078"/>
    </row>
    <row r="101" spans="1:19" hidden="1" outlineLevel="1">
      <c r="A101" s="3109"/>
      <c r="B101" s="461" t="s">
        <v>6525</v>
      </c>
      <c r="C101" s="659"/>
      <c r="D101" s="2050">
        <v>1</v>
      </c>
      <c r="E101" s="2051" t="s">
        <v>2803</v>
      </c>
      <c r="F101" s="2052"/>
      <c r="G101" s="662">
        <f t="shared" si="7"/>
        <v>0</v>
      </c>
      <c r="H101" s="2183"/>
      <c r="I101" s="3079"/>
      <c r="J101" s="2183"/>
      <c r="K101" s="3079"/>
      <c r="L101" s="2183"/>
      <c r="M101" s="3078"/>
      <c r="N101" s="2183"/>
      <c r="O101" s="3078"/>
      <c r="P101" s="2183"/>
      <c r="Q101" s="3078"/>
      <c r="R101" s="2183"/>
      <c r="S101" s="3078"/>
    </row>
    <row r="102" spans="1:19" hidden="1" outlineLevel="1">
      <c r="A102" s="3109"/>
      <c r="B102" s="461" t="s">
        <v>6526</v>
      </c>
      <c r="C102" s="659"/>
      <c r="D102" s="2050">
        <v>1</v>
      </c>
      <c r="E102" s="2051" t="s">
        <v>2803</v>
      </c>
      <c r="F102" s="2052"/>
      <c r="G102" s="662">
        <f t="shared" si="7"/>
        <v>0</v>
      </c>
      <c r="H102" s="2183"/>
      <c r="I102" s="3079"/>
      <c r="J102" s="2183"/>
      <c r="K102" s="3079"/>
      <c r="L102" s="2183"/>
      <c r="M102" s="3078"/>
      <c r="N102" s="2183"/>
      <c r="O102" s="3078"/>
      <c r="P102" s="2183"/>
      <c r="Q102" s="3078"/>
      <c r="R102" s="2183"/>
      <c r="S102" s="3078"/>
    </row>
    <row r="103" spans="1:19" hidden="1" outlineLevel="1">
      <c r="A103" s="3109"/>
      <c r="B103" s="461" t="s">
        <v>6527</v>
      </c>
      <c r="C103" s="659"/>
      <c r="D103" s="2050">
        <v>1</v>
      </c>
      <c r="E103" s="2051" t="s">
        <v>2803</v>
      </c>
      <c r="F103" s="2052"/>
      <c r="G103" s="662">
        <f t="shared" si="7"/>
        <v>0</v>
      </c>
      <c r="H103" s="2183"/>
      <c r="I103" s="3079"/>
      <c r="J103" s="2183"/>
      <c r="K103" s="3079"/>
      <c r="L103" s="2183"/>
      <c r="M103" s="3078"/>
      <c r="N103" s="2183"/>
      <c r="O103" s="3078"/>
      <c r="P103" s="2183"/>
      <c r="Q103" s="3078"/>
      <c r="R103" s="2183"/>
      <c r="S103" s="3078"/>
    </row>
    <row r="104" spans="1:19" hidden="1" outlineLevel="1">
      <c r="A104" s="3109"/>
      <c r="B104" s="461" t="s">
        <v>6528</v>
      </c>
      <c r="C104" s="659"/>
      <c r="D104" s="2050">
        <v>1</v>
      </c>
      <c r="E104" s="2051" t="s">
        <v>2803</v>
      </c>
      <c r="F104" s="2052"/>
      <c r="G104" s="662">
        <f t="shared" si="7"/>
        <v>0</v>
      </c>
      <c r="H104" s="2183"/>
      <c r="I104" s="3079"/>
      <c r="J104" s="2183"/>
      <c r="K104" s="3079"/>
      <c r="L104" s="2183"/>
      <c r="M104" s="3078"/>
      <c r="N104" s="2183"/>
      <c r="O104" s="3078"/>
      <c r="P104" s="2183"/>
      <c r="Q104" s="3078"/>
      <c r="R104" s="2183"/>
      <c r="S104" s="3078"/>
    </row>
    <row r="105" spans="1:19" hidden="1" outlineLevel="1">
      <c r="A105" s="3109"/>
      <c r="B105" s="461" t="s">
        <v>6529</v>
      </c>
      <c r="C105" s="659"/>
      <c r="D105" s="2050">
        <v>1</v>
      </c>
      <c r="E105" s="2051" t="s">
        <v>2803</v>
      </c>
      <c r="F105" s="2052"/>
      <c r="G105" s="662">
        <f t="shared" si="7"/>
        <v>0</v>
      </c>
      <c r="H105" s="2183"/>
      <c r="I105" s="3079"/>
      <c r="J105" s="2183"/>
      <c r="K105" s="3079"/>
      <c r="L105" s="2183"/>
      <c r="M105" s="3078"/>
      <c r="N105" s="2183"/>
      <c r="O105" s="3078"/>
      <c r="P105" s="2183"/>
      <c r="Q105" s="3078"/>
      <c r="R105" s="2183"/>
      <c r="S105" s="3078"/>
    </row>
    <row r="106" spans="1:19" hidden="1" outlineLevel="1">
      <c r="A106" s="3109"/>
      <c r="B106" s="460" t="s">
        <v>6530</v>
      </c>
      <c r="C106" s="659"/>
      <c r="D106" s="2050"/>
      <c r="E106" s="2051"/>
      <c r="F106" s="2052"/>
      <c r="G106" s="662">
        <f t="shared" si="7"/>
        <v>0</v>
      </c>
      <c r="H106" s="2183"/>
      <c r="I106" s="3079"/>
      <c r="J106" s="2183"/>
      <c r="K106" s="3079"/>
      <c r="L106" s="2183"/>
      <c r="M106" s="3078"/>
      <c r="N106" s="2183"/>
      <c r="O106" s="3078"/>
      <c r="P106" s="2183"/>
      <c r="Q106" s="3078"/>
      <c r="R106" s="2183"/>
      <c r="S106" s="3078"/>
    </row>
    <row r="107" spans="1:19" hidden="1" outlineLevel="1">
      <c r="A107" s="3109"/>
      <c r="B107" s="461" t="s">
        <v>6531</v>
      </c>
      <c r="C107" s="659"/>
      <c r="D107" s="2050">
        <v>1</v>
      </c>
      <c r="E107" s="2051" t="s">
        <v>2803</v>
      </c>
      <c r="F107" s="2052"/>
      <c r="G107" s="662">
        <f t="shared" si="7"/>
        <v>0</v>
      </c>
      <c r="H107" s="2183"/>
      <c r="I107" s="3079"/>
      <c r="J107" s="2183"/>
      <c r="K107" s="3079"/>
      <c r="L107" s="2183"/>
      <c r="M107" s="3078"/>
      <c r="N107" s="2183"/>
      <c r="O107" s="3078"/>
      <c r="P107" s="2183"/>
      <c r="Q107" s="3078"/>
      <c r="R107" s="2183"/>
      <c r="S107" s="3078"/>
    </row>
    <row r="108" spans="1:19" hidden="1" outlineLevel="1">
      <c r="A108" s="3109"/>
      <c r="B108" s="461" t="s">
        <v>6532</v>
      </c>
      <c r="C108" s="659"/>
      <c r="D108" s="2050">
        <v>1</v>
      </c>
      <c r="E108" s="2051" t="s">
        <v>2803</v>
      </c>
      <c r="F108" s="2052"/>
      <c r="G108" s="662">
        <f t="shared" si="7"/>
        <v>0</v>
      </c>
      <c r="H108" s="2183"/>
      <c r="I108" s="3079"/>
      <c r="J108" s="2183"/>
      <c r="K108" s="3079"/>
      <c r="L108" s="2183"/>
      <c r="M108" s="3078"/>
      <c r="N108" s="2183"/>
      <c r="O108" s="3078"/>
      <c r="P108" s="2183"/>
      <c r="Q108" s="3078"/>
      <c r="R108" s="2183"/>
      <c r="S108" s="3078"/>
    </row>
    <row r="109" spans="1:19" hidden="1" outlineLevel="1">
      <c r="A109" s="3109"/>
      <c r="B109" s="461" t="s">
        <v>6533</v>
      </c>
      <c r="C109" s="659"/>
      <c r="D109" s="2050">
        <v>1</v>
      </c>
      <c r="E109" s="2051" t="s">
        <v>2803</v>
      </c>
      <c r="F109" s="2052"/>
      <c r="G109" s="662">
        <f t="shared" si="7"/>
        <v>0</v>
      </c>
      <c r="H109" s="2183"/>
      <c r="I109" s="3079"/>
      <c r="J109" s="2183"/>
      <c r="K109" s="3079"/>
      <c r="L109" s="2183"/>
      <c r="M109" s="3078"/>
      <c r="N109" s="2183"/>
      <c r="O109" s="3078"/>
      <c r="P109" s="2183"/>
      <c r="Q109" s="3078"/>
      <c r="R109" s="2183"/>
      <c r="S109" s="3078"/>
    </row>
    <row r="110" spans="1:19" hidden="1" outlineLevel="1">
      <c r="A110" s="3109"/>
      <c r="B110" s="461" t="s">
        <v>6534</v>
      </c>
      <c r="C110" s="659"/>
      <c r="D110" s="2050">
        <v>1</v>
      </c>
      <c r="E110" s="2051" t="s">
        <v>2803</v>
      </c>
      <c r="F110" s="2052"/>
      <c r="G110" s="662">
        <f t="shared" si="7"/>
        <v>0</v>
      </c>
      <c r="H110" s="2183"/>
      <c r="I110" s="3079"/>
      <c r="J110" s="2183"/>
      <c r="K110" s="3079"/>
      <c r="L110" s="2183"/>
      <c r="M110" s="3078"/>
      <c r="N110" s="2183"/>
      <c r="O110" s="3078"/>
      <c r="P110" s="2183"/>
      <c r="Q110" s="3078"/>
      <c r="R110" s="2183"/>
      <c r="S110" s="3078"/>
    </row>
    <row r="111" spans="1:19" hidden="1" outlineLevel="1">
      <c r="A111" s="3109"/>
      <c r="B111" s="461" t="s">
        <v>6535</v>
      </c>
      <c r="C111" s="659"/>
      <c r="D111" s="2050">
        <v>1</v>
      </c>
      <c r="E111" s="2051" t="s">
        <v>2803</v>
      </c>
      <c r="F111" s="2052"/>
      <c r="G111" s="662">
        <f t="shared" si="7"/>
        <v>0</v>
      </c>
      <c r="H111" s="2183"/>
      <c r="I111" s="3079"/>
      <c r="J111" s="2183"/>
      <c r="K111" s="3079"/>
      <c r="L111" s="2183"/>
      <c r="M111" s="3078"/>
      <c r="N111" s="2183"/>
      <c r="O111" s="3078"/>
      <c r="P111" s="2183"/>
      <c r="Q111" s="3078"/>
      <c r="R111" s="2183"/>
      <c r="S111" s="3078"/>
    </row>
    <row r="112" spans="1:19" hidden="1" outlineLevel="1">
      <c r="A112" s="3109"/>
      <c r="B112" s="461" t="s">
        <v>6536</v>
      </c>
      <c r="C112" s="659"/>
      <c r="D112" s="2050">
        <v>2</v>
      </c>
      <c r="E112" s="2051" t="s">
        <v>2803</v>
      </c>
      <c r="F112" s="2052"/>
      <c r="G112" s="662">
        <f t="shared" si="7"/>
        <v>0</v>
      </c>
      <c r="H112" s="2183"/>
      <c r="I112" s="3079"/>
      <c r="J112" s="2183"/>
      <c r="K112" s="3079"/>
      <c r="L112" s="2183"/>
      <c r="M112" s="3078"/>
      <c r="N112" s="2183"/>
      <c r="O112" s="3078"/>
      <c r="P112" s="2183"/>
      <c r="Q112" s="3078"/>
      <c r="R112" s="2183"/>
      <c r="S112" s="3078"/>
    </row>
    <row r="113" spans="1:19" hidden="1" outlineLevel="1">
      <c r="A113" s="3109"/>
      <c r="B113" s="461" t="s">
        <v>6537</v>
      </c>
      <c r="C113" s="659"/>
      <c r="D113" s="2050">
        <v>2</v>
      </c>
      <c r="E113" s="2051" t="s">
        <v>2803</v>
      </c>
      <c r="F113" s="2052"/>
      <c r="G113" s="662">
        <f t="shared" si="7"/>
        <v>0</v>
      </c>
      <c r="H113" s="2183"/>
      <c r="I113" s="3079"/>
      <c r="J113" s="2183"/>
      <c r="K113" s="3079"/>
      <c r="L113" s="2183"/>
      <c r="M113" s="3078"/>
      <c r="N113" s="2183"/>
      <c r="O113" s="3078"/>
      <c r="P113" s="2183"/>
      <c r="Q113" s="3078"/>
      <c r="R113" s="2183"/>
      <c r="S113" s="3078"/>
    </row>
    <row r="114" spans="1:19" hidden="1" outlineLevel="1">
      <c r="A114" s="3109"/>
      <c r="B114" s="461" t="s">
        <v>6538</v>
      </c>
      <c r="C114" s="659"/>
      <c r="D114" s="2050">
        <v>2</v>
      </c>
      <c r="E114" s="2051" t="s">
        <v>2803</v>
      </c>
      <c r="F114" s="2052"/>
      <c r="G114" s="662">
        <f t="shared" si="7"/>
        <v>0</v>
      </c>
      <c r="H114" s="2183"/>
      <c r="I114" s="3079"/>
      <c r="J114" s="2183"/>
      <c r="K114" s="3079"/>
      <c r="L114" s="2183"/>
      <c r="M114" s="3078"/>
      <c r="N114" s="2183"/>
      <c r="O114" s="3078"/>
      <c r="P114" s="2183"/>
      <c r="Q114" s="3078"/>
      <c r="R114" s="2183"/>
      <c r="S114" s="3078"/>
    </row>
    <row r="115" spans="1:19" hidden="1" outlineLevel="1">
      <c r="A115" s="3109"/>
      <c r="B115" s="460" t="s">
        <v>6539</v>
      </c>
      <c r="C115" s="659"/>
      <c r="D115" s="2050"/>
      <c r="E115" s="2051"/>
      <c r="F115" s="2052"/>
      <c r="G115" s="662">
        <f t="shared" si="7"/>
        <v>0</v>
      </c>
      <c r="H115" s="2183"/>
      <c r="I115" s="3079"/>
      <c r="J115" s="2183"/>
      <c r="K115" s="3079"/>
      <c r="L115" s="2183"/>
      <c r="M115" s="3078"/>
      <c r="N115" s="2183"/>
      <c r="O115" s="3078"/>
      <c r="P115" s="2183"/>
      <c r="Q115" s="3078"/>
      <c r="R115" s="2183"/>
      <c r="S115" s="3078"/>
    </row>
    <row r="116" spans="1:19" hidden="1" outlineLevel="1">
      <c r="A116" s="3109"/>
      <c r="B116" s="461" t="s">
        <v>6540</v>
      </c>
      <c r="C116" s="659"/>
      <c r="D116" s="2050">
        <v>1</v>
      </c>
      <c r="E116" s="2051" t="s">
        <v>2803</v>
      </c>
      <c r="F116" s="2052"/>
      <c r="G116" s="662">
        <f t="shared" si="7"/>
        <v>0</v>
      </c>
      <c r="H116" s="2183"/>
      <c r="I116" s="3079"/>
      <c r="J116" s="2183"/>
      <c r="K116" s="3079"/>
      <c r="L116" s="2183"/>
      <c r="M116" s="3078"/>
      <c r="N116" s="2183"/>
      <c r="O116" s="3078"/>
      <c r="P116" s="2183"/>
      <c r="Q116" s="3078"/>
      <c r="R116" s="2183"/>
      <c r="S116" s="3078"/>
    </row>
    <row r="117" spans="1:19" hidden="1" outlineLevel="1">
      <c r="A117" s="3109"/>
      <c r="B117" s="461" t="s">
        <v>6541</v>
      </c>
      <c r="C117" s="659"/>
      <c r="D117" s="2050">
        <v>1</v>
      </c>
      <c r="E117" s="2051" t="s">
        <v>2803</v>
      </c>
      <c r="F117" s="2052"/>
      <c r="G117" s="662">
        <f t="shared" si="7"/>
        <v>0</v>
      </c>
      <c r="H117" s="2183"/>
      <c r="I117" s="3079"/>
      <c r="J117" s="2183"/>
      <c r="K117" s="3079"/>
      <c r="L117" s="2183"/>
      <c r="M117" s="3078"/>
      <c r="N117" s="2183"/>
      <c r="O117" s="3078"/>
      <c r="P117" s="2183"/>
      <c r="Q117" s="3078"/>
      <c r="R117" s="2183"/>
      <c r="S117" s="3078"/>
    </row>
    <row r="118" spans="1:19" hidden="1" outlineLevel="1">
      <c r="A118" s="3109"/>
      <c r="B118" s="461" t="s">
        <v>6542</v>
      </c>
      <c r="C118" s="659"/>
      <c r="D118" s="2050">
        <v>1</v>
      </c>
      <c r="E118" s="2051" t="s">
        <v>2803</v>
      </c>
      <c r="F118" s="2052"/>
      <c r="G118" s="662">
        <f t="shared" si="7"/>
        <v>0</v>
      </c>
      <c r="H118" s="2183"/>
      <c r="I118" s="3079"/>
      <c r="J118" s="2183"/>
      <c r="K118" s="3079"/>
      <c r="L118" s="2183"/>
      <c r="M118" s="3078"/>
      <c r="N118" s="2183"/>
      <c r="O118" s="3078"/>
      <c r="P118" s="2183"/>
      <c r="Q118" s="3078"/>
      <c r="R118" s="2183"/>
      <c r="S118" s="3078"/>
    </row>
    <row r="119" spans="1:19" hidden="1" outlineLevel="1">
      <c r="A119" s="3109"/>
      <c r="B119" s="461" t="s">
        <v>6543</v>
      </c>
      <c r="C119" s="659"/>
      <c r="D119" s="2050">
        <v>1</v>
      </c>
      <c r="E119" s="2051" t="s">
        <v>2803</v>
      </c>
      <c r="F119" s="2052"/>
      <c r="G119" s="662">
        <f t="shared" si="7"/>
        <v>0</v>
      </c>
      <c r="H119" s="2183"/>
      <c r="I119" s="3079"/>
      <c r="J119" s="2183"/>
      <c r="K119" s="3079"/>
      <c r="L119" s="2183"/>
      <c r="M119" s="3078"/>
      <c r="N119" s="2183"/>
      <c r="O119" s="3078"/>
      <c r="P119" s="2183"/>
      <c r="Q119" s="3078"/>
      <c r="R119" s="2183"/>
      <c r="S119" s="3078"/>
    </row>
    <row r="120" spans="1:19" hidden="1" outlineLevel="1">
      <c r="A120" s="3109"/>
      <c r="B120" s="461" t="s">
        <v>6544</v>
      </c>
      <c r="C120" s="659"/>
      <c r="D120" s="2050">
        <v>1</v>
      </c>
      <c r="E120" s="2051" t="s">
        <v>2803</v>
      </c>
      <c r="F120" s="2052"/>
      <c r="G120" s="662">
        <f t="shared" si="7"/>
        <v>0</v>
      </c>
      <c r="H120" s="2183"/>
      <c r="I120" s="3079"/>
      <c r="J120" s="2183"/>
      <c r="K120" s="3079"/>
      <c r="L120" s="2183"/>
      <c r="M120" s="3078"/>
      <c r="N120" s="2183"/>
      <c r="O120" s="3078"/>
      <c r="P120" s="2183"/>
      <c r="Q120" s="3078"/>
      <c r="R120" s="2183"/>
      <c r="S120" s="3078"/>
    </row>
    <row r="121" spans="1:19" hidden="1" outlineLevel="1">
      <c r="A121" s="3109"/>
      <c r="B121" s="461" t="s">
        <v>6545</v>
      </c>
      <c r="C121" s="659"/>
      <c r="D121" s="2050">
        <v>1</v>
      </c>
      <c r="E121" s="2051" t="s">
        <v>2803</v>
      </c>
      <c r="F121" s="2052"/>
      <c r="G121" s="662">
        <f t="shared" si="7"/>
        <v>0</v>
      </c>
      <c r="H121" s="2183"/>
      <c r="I121" s="3079"/>
      <c r="J121" s="2183"/>
      <c r="K121" s="3079"/>
      <c r="L121" s="2183"/>
      <c r="M121" s="3078"/>
      <c r="N121" s="2183"/>
      <c r="O121" s="3078"/>
      <c r="P121" s="2183"/>
      <c r="Q121" s="3078"/>
      <c r="R121" s="2183"/>
      <c r="S121" s="3078"/>
    </row>
    <row r="122" spans="1:19" collapsed="1">
      <c r="A122" s="3109"/>
      <c r="B122" s="462"/>
      <c r="C122" s="659"/>
      <c r="D122" s="2050"/>
      <c r="E122" s="2051"/>
      <c r="F122" s="2052"/>
      <c r="G122" s="662">
        <f t="shared" si="7"/>
        <v>0</v>
      </c>
      <c r="H122" s="2183"/>
      <c r="I122" s="3079"/>
      <c r="J122" s="2183"/>
      <c r="K122" s="3079"/>
      <c r="L122" s="2183"/>
      <c r="M122" s="3078"/>
      <c r="N122" s="2183"/>
      <c r="O122" s="3078"/>
      <c r="P122" s="2183"/>
      <c r="Q122" s="3078"/>
      <c r="R122" s="2183"/>
      <c r="S122" s="3078"/>
    </row>
    <row r="123" spans="1:19">
      <c r="A123" s="3109"/>
      <c r="B123" s="459" t="s">
        <v>6546</v>
      </c>
      <c r="C123" s="659"/>
      <c r="D123" s="2050"/>
      <c r="E123" s="2051"/>
      <c r="F123" s="2052"/>
      <c r="G123" s="662">
        <f t="shared" si="7"/>
        <v>0</v>
      </c>
      <c r="H123" s="2183"/>
      <c r="I123" s="3079"/>
      <c r="J123" s="2183" t="s">
        <v>2931</v>
      </c>
      <c r="K123" s="3079"/>
      <c r="L123" s="2183"/>
      <c r="M123" s="3078"/>
      <c r="N123" s="2183"/>
      <c r="O123" s="3078"/>
      <c r="P123" s="2183"/>
      <c r="Q123" s="3078"/>
      <c r="R123" s="2183"/>
      <c r="S123" s="3078"/>
    </row>
    <row r="124" spans="1:19" hidden="1" outlineLevel="1">
      <c r="A124" s="3109"/>
      <c r="B124" s="460" t="s">
        <v>6489</v>
      </c>
      <c r="C124" s="659"/>
      <c r="D124" s="2050"/>
      <c r="E124" s="2051"/>
      <c r="F124" s="2052"/>
      <c r="G124" s="662">
        <f t="shared" si="7"/>
        <v>0</v>
      </c>
      <c r="H124" s="2183"/>
      <c r="I124" s="3079"/>
      <c r="J124" s="2183"/>
      <c r="K124" s="3079"/>
      <c r="L124" s="2183"/>
      <c r="M124" s="3078"/>
      <c r="N124" s="2183"/>
      <c r="O124" s="3078"/>
      <c r="P124" s="2183"/>
      <c r="Q124" s="3078"/>
      <c r="R124" s="2183"/>
      <c r="S124" s="3078"/>
    </row>
    <row r="125" spans="1:19" hidden="1" outlineLevel="1">
      <c r="A125" s="3109"/>
      <c r="B125" s="461" t="s">
        <v>6547</v>
      </c>
      <c r="C125" s="659"/>
      <c r="D125" s="2050">
        <v>1</v>
      </c>
      <c r="E125" s="2051" t="s">
        <v>2803</v>
      </c>
      <c r="F125" s="2052"/>
      <c r="G125" s="662">
        <f t="shared" si="7"/>
        <v>0</v>
      </c>
      <c r="H125" s="2183"/>
      <c r="I125" s="3079"/>
      <c r="J125" s="2183"/>
      <c r="K125" s="3079"/>
      <c r="L125" s="2183"/>
      <c r="M125" s="3078"/>
      <c r="N125" s="2183"/>
      <c r="O125" s="3078"/>
      <c r="P125" s="2183"/>
      <c r="Q125" s="3078"/>
      <c r="R125" s="2183"/>
      <c r="S125" s="3078"/>
    </row>
    <row r="126" spans="1:19" hidden="1" outlineLevel="1">
      <c r="A126" s="3109"/>
      <c r="B126" s="461" t="s">
        <v>6548</v>
      </c>
      <c r="C126" s="659"/>
      <c r="D126" s="2050">
        <v>1</v>
      </c>
      <c r="E126" s="2051" t="s">
        <v>2803</v>
      </c>
      <c r="F126" s="2052"/>
      <c r="G126" s="662">
        <f t="shared" si="7"/>
        <v>0</v>
      </c>
      <c r="H126" s="2183"/>
      <c r="I126" s="3079"/>
      <c r="J126" s="2183"/>
      <c r="K126" s="3079"/>
      <c r="L126" s="2183"/>
      <c r="M126" s="3078"/>
      <c r="N126" s="2183"/>
      <c r="O126" s="3078"/>
      <c r="P126" s="2183"/>
      <c r="Q126" s="3078"/>
      <c r="R126" s="2183"/>
      <c r="S126" s="3078"/>
    </row>
    <row r="127" spans="1:19" hidden="1" outlineLevel="1">
      <c r="A127" s="3109"/>
      <c r="B127" s="461" t="s">
        <v>6549</v>
      </c>
      <c r="C127" s="659"/>
      <c r="D127" s="2050">
        <v>1</v>
      </c>
      <c r="E127" s="2051" t="s">
        <v>2803</v>
      </c>
      <c r="F127" s="2052"/>
      <c r="G127" s="662">
        <f t="shared" si="7"/>
        <v>0</v>
      </c>
      <c r="H127" s="2183"/>
      <c r="I127" s="3079"/>
      <c r="J127" s="2183"/>
      <c r="K127" s="3079"/>
      <c r="L127" s="2183"/>
      <c r="M127" s="3078"/>
      <c r="N127" s="2183"/>
      <c r="O127" s="3078"/>
      <c r="P127" s="2183"/>
      <c r="Q127" s="3078"/>
      <c r="R127" s="2183"/>
      <c r="S127" s="3078"/>
    </row>
    <row r="128" spans="1:19" hidden="1" outlineLevel="1">
      <c r="A128" s="3109"/>
      <c r="B128" s="461" t="s">
        <v>6550</v>
      </c>
      <c r="C128" s="659"/>
      <c r="D128" s="2050">
        <v>1</v>
      </c>
      <c r="E128" s="2051" t="s">
        <v>2803</v>
      </c>
      <c r="F128" s="2052"/>
      <c r="G128" s="662">
        <f t="shared" si="7"/>
        <v>0</v>
      </c>
      <c r="H128" s="2183"/>
      <c r="I128" s="3079"/>
      <c r="J128" s="2183"/>
      <c r="K128" s="3079"/>
      <c r="L128" s="2183"/>
      <c r="M128" s="3078"/>
      <c r="N128" s="2183"/>
      <c r="O128" s="3078"/>
      <c r="P128" s="2183"/>
      <c r="Q128" s="3078"/>
      <c r="R128" s="2183"/>
      <c r="S128" s="3078"/>
    </row>
    <row r="129" spans="1:19" hidden="1" outlineLevel="1">
      <c r="A129" s="3109"/>
      <c r="B129" s="461" t="s">
        <v>6551</v>
      </c>
      <c r="C129" s="659"/>
      <c r="D129" s="2050">
        <v>1</v>
      </c>
      <c r="E129" s="2051" t="s">
        <v>2803</v>
      </c>
      <c r="F129" s="2052"/>
      <c r="G129" s="662">
        <f t="shared" si="7"/>
        <v>0</v>
      </c>
      <c r="H129" s="2183"/>
      <c r="I129" s="3079"/>
      <c r="J129" s="2183"/>
      <c r="K129" s="3079"/>
      <c r="L129" s="2183"/>
      <c r="M129" s="3078"/>
      <c r="N129" s="2183"/>
      <c r="O129" s="3078"/>
      <c r="P129" s="2183"/>
      <c r="Q129" s="3078"/>
      <c r="R129" s="2183"/>
      <c r="S129" s="3078"/>
    </row>
    <row r="130" spans="1:19" hidden="1" outlineLevel="1">
      <c r="A130" s="3109"/>
      <c r="B130" s="461" t="s">
        <v>6552</v>
      </c>
      <c r="C130" s="659"/>
      <c r="D130" s="2050">
        <v>1</v>
      </c>
      <c r="E130" s="2051" t="s">
        <v>2803</v>
      </c>
      <c r="F130" s="2052"/>
      <c r="G130" s="662">
        <f t="shared" si="7"/>
        <v>0</v>
      </c>
      <c r="H130" s="2183"/>
      <c r="I130" s="3079"/>
      <c r="J130" s="2183"/>
      <c r="K130" s="3079"/>
      <c r="L130" s="2183"/>
      <c r="M130" s="3078"/>
      <c r="N130" s="2183"/>
      <c r="O130" s="3078"/>
      <c r="P130" s="2183"/>
      <c r="Q130" s="3078"/>
      <c r="R130" s="2183"/>
      <c r="S130" s="3078"/>
    </row>
    <row r="131" spans="1:19" hidden="1" outlineLevel="1">
      <c r="A131" s="3109"/>
      <c r="B131" s="461" t="s">
        <v>6553</v>
      </c>
      <c r="C131" s="659"/>
      <c r="D131" s="2050">
        <v>1</v>
      </c>
      <c r="E131" s="2051" t="s">
        <v>2803</v>
      </c>
      <c r="F131" s="2052"/>
      <c r="G131" s="662">
        <f t="shared" si="7"/>
        <v>0</v>
      </c>
      <c r="H131" s="2183"/>
      <c r="I131" s="3079"/>
      <c r="J131" s="2183"/>
      <c r="K131" s="3079"/>
      <c r="L131" s="2183"/>
      <c r="M131" s="3078"/>
      <c r="N131" s="2183"/>
      <c r="O131" s="3078"/>
      <c r="P131" s="2183"/>
      <c r="Q131" s="3078"/>
      <c r="R131" s="2183"/>
      <c r="S131" s="3078"/>
    </row>
    <row r="132" spans="1:19" hidden="1" outlineLevel="1">
      <c r="A132" s="3109"/>
      <c r="B132" s="461" t="s">
        <v>6554</v>
      </c>
      <c r="C132" s="659"/>
      <c r="D132" s="2050">
        <v>1</v>
      </c>
      <c r="E132" s="2051" t="s">
        <v>2803</v>
      </c>
      <c r="F132" s="2052"/>
      <c r="G132" s="662">
        <f t="shared" si="7"/>
        <v>0</v>
      </c>
      <c r="H132" s="2183"/>
      <c r="I132" s="3079"/>
      <c r="J132" s="2183"/>
      <c r="K132" s="3079"/>
      <c r="L132" s="2183"/>
      <c r="M132" s="3078"/>
      <c r="N132" s="2183"/>
      <c r="O132" s="3078"/>
      <c r="P132" s="2183"/>
      <c r="Q132" s="3078"/>
      <c r="R132" s="2183"/>
      <c r="S132" s="3078"/>
    </row>
    <row r="133" spans="1:19" hidden="1" outlineLevel="1">
      <c r="A133" s="3109"/>
      <c r="B133" s="461" t="s">
        <v>6555</v>
      </c>
      <c r="C133" s="659"/>
      <c r="D133" s="2050">
        <v>1</v>
      </c>
      <c r="E133" s="2051" t="s">
        <v>2803</v>
      </c>
      <c r="F133" s="2052"/>
      <c r="G133" s="662">
        <f t="shared" si="7"/>
        <v>0</v>
      </c>
      <c r="H133" s="2183"/>
      <c r="I133" s="3079"/>
      <c r="J133" s="2183"/>
      <c r="K133" s="3079"/>
      <c r="L133" s="2183"/>
      <c r="M133" s="3078"/>
      <c r="N133" s="2183"/>
      <c r="O133" s="3078"/>
      <c r="P133" s="2183"/>
      <c r="Q133" s="3078"/>
      <c r="R133" s="2183"/>
      <c r="S133" s="3078"/>
    </row>
    <row r="134" spans="1:19" collapsed="1">
      <c r="A134" s="3109"/>
      <c r="B134" s="461"/>
      <c r="C134" s="659"/>
      <c r="D134" s="2050"/>
      <c r="E134" s="2051"/>
      <c r="F134" s="2052"/>
      <c r="G134" s="662">
        <f t="shared" si="7"/>
        <v>0</v>
      </c>
      <c r="H134" s="2183"/>
      <c r="I134" s="3079"/>
      <c r="J134" s="2183"/>
      <c r="K134" s="3079"/>
      <c r="L134" s="2183"/>
      <c r="M134" s="3078"/>
      <c r="N134" s="2183"/>
      <c r="O134" s="3078"/>
      <c r="P134" s="2183"/>
      <c r="Q134" s="3078"/>
      <c r="R134" s="2183"/>
      <c r="S134" s="3078"/>
    </row>
    <row r="135" spans="1:19">
      <c r="A135" s="3109"/>
      <c r="B135" s="459" t="s">
        <v>6556</v>
      </c>
      <c r="C135" s="659"/>
      <c r="D135" s="2050">
        <v>2</v>
      </c>
      <c r="E135" s="2051" t="s">
        <v>2803</v>
      </c>
      <c r="F135" s="2052"/>
      <c r="G135" s="662">
        <f t="shared" si="7"/>
        <v>0</v>
      </c>
      <c r="H135" s="2183"/>
      <c r="I135" s="3079"/>
      <c r="J135" s="2183" t="s">
        <v>2931</v>
      </c>
      <c r="K135" s="3079"/>
      <c r="L135" s="2183"/>
      <c r="M135" s="3078"/>
      <c r="N135" s="2183"/>
      <c r="O135" s="3078"/>
      <c r="P135" s="2183"/>
      <c r="Q135" s="3078"/>
      <c r="R135" s="2183"/>
      <c r="S135" s="3078"/>
    </row>
    <row r="136" spans="1:19">
      <c r="A136" s="3109"/>
      <c r="B136" s="459" t="s">
        <v>6557</v>
      </c>
      <c r="C136" s="659"/>
      <c r="D136" s="2050">
        <v>3</v>
      </c>
      <c r="E136" s="2051" t="s">
        <v>2803</v>
      </c>
      <c r="F136" s="2052"/>
      <c r="G136" s="662">
        <f t="shared" si="7"/>
        <v>0</v>
      </c>
      <c r="H136" s="2183"/>
      <c r="I136" s="3079"/>
      <c r="J136" s="2183" t="s">
        <v>2931</v>
      </c>
      <c r="K136" s="3079"/>
      <c r="L136" s="2183"/>
      <c r="M136" s="3078"/>
      <c r="N136" s="2183"/>
      <c r="O136" s="3078"/>
      <c r="P136" s="2183"/>
      <c r="Q136" s="3078"/>
      <c r="R136" s="2183"/>
      <c r="S136" s="3078"/>
    </row>
    <row r="137" spans="1:19">
      <c r="A137" s="3109"/>
      <c r="B137" s="459"/>
      <c r="C137" s="659"/>
      <c r="D137" s="2050"/>
      <c r="E137" s="2051"/>
      <c r="F137" s="2052"/>
      <c r="G137" s="662">
        <f t="shared" ref="G137:G143" si="8">ROUND(D137*F137,0)</f>
        <v>0</v>
      </c>
      <c r="H137" s="2183"/>
      <c r="I137" s="3079"/>
      <c r="J137" s="2183"/>
      <c r="K137" s="3079"/>
      <c r="L137" s="2183"/>
      <c r="M137" s="3078"/>
      <c r="N137" s="2183"/>
      <c r="O137" s="3078"/>
      <c r="P137" s="2183"/>
      <c r="Q137" s="3078"/>
      <c r="R137" s="2183"/>
      <c r="S137" s="3078"/>
    </row>
    <row r="138" spans="1:19" s="175" customFormat="1" ht="30">
      <c r="A138" s="3110" t="s">
        <v>2587</v>
      </c>
      <c r="B138" s="459" t="s">
        <v>6558</v>
      </c>
      <c r="C138" s="711"/>
      <c r="D138" s="3111">
        <v>1</v>
      </c>
      <c r="E138" s="3014" t="s">
        <v>2818</v>
      </c>
      <c r="F138" s="3023">
        <v>25000</v>
      </c>
      <c r="G138" s="653">
        <f>ROUND(D138*F138,0)</f>
        <v>25000</v>
      </c>
      <c r="H138" s="3112"/>
      <c r="I138" s="3113">
        <f>$G138</f>
        <v>25000</v>
      </c>
      <c r="J138" s="3112"/>
      <c r="K138" s="3113">
        <f>$G138</f>
        <v>25000</v>
      </c>
      <c r="L138" s="3112"/>
      <c r="M138" s="3113">
        <f>$G138</f>
        <v>25000</v>
      </c>
      <c r="N138" s="3112"/>
      <c r="O138" s="3113">
        <f>$G138</f>
        <v>25000</v>
      </c>
      <c r="P138" s="3112"/>
      <c r="Q138" s="3113">
        <f>$G138</f>
        <v>25000</v>
      </c>
      <c r="R138" s="3112"/>
      <c r="S138" s="3113">
        <f>$G138</f>
        <v>25000</v>
      </c>
    </row>
    <row r="139" spans="1:19">
      <c r="A139" s="3109"/>
      <c r="B139" s="459"/>
      <c r="C139" s="659"/>
      <c r="D139" s="2050"/>
      <c r="E139" s="2051"/>
      <c r="F139" s="2052"/>
      <c r="G139" s="662">
        <f t="shared" si="8"/>
        <v>0</v>
      </c>
      <c r="H139" s="2183"/>
      <c r="I139" s="3079"/>
      <c r="J139" s="2183"/>
      <c r="K139" s="3079"/>
      <c r="L139" s="2183"/>
      <c r="M139" s="3078"/>
      <c r="N139" s="2183"/>
      <c r="O139" s="3078"/>
      <c r="P139" s="2183"/>
      <c r="Q139" s="3078"/>
      <c r="R139" s="2183"/>
      <c r="S139" s="3078"/>
    </row>
    <row r="140" spans="1:19">
      <c r="A140" s="3109"/>
      <c r="B140" s="459" t="s">
        <v>6559</v>
      </c>
      <c r="C140" s="659"/>
      <c r="D140" s="2050"/>
      <c r="E140" s="2051"/>
      <c r="F140" s="2052"/>
      <c r="G140" s="662">
        <f t="shared" si="8"/>
        <v>0</v>
      </c>
      <c r="H140" s="2183"/>
      <c r="I140" s="3079"/>
      <c r="J140" s="2183"/>
      <c r="K140" s="3079"/>
      <c r="L140" s="2183"/>
      <c r="M140" s="3078"/>
      <c r="N140" s="2183"/>
      <c r="O140" s="3078"/>
      <c r="P140" s="2183"/>
      <c r="Q140" s="3078"/>
      <c r="R140" s="2183"/>
      <c r="S140" s="3078"/>
    </row>
    <row r="141" spans="1:19" s="175" customFormat="1" ht="45">
      <c r="A141" s="3109"/>
      <c r="B141" s="459" t="s">
        <v>6560</v>
      </c>
      <c r="C141" s="711"/>
      <c r="D141" s="3111"/>
      <c r="E141" s="3014"/>
      <c r="F141" s="3023"/>
      <c r="G141" s="668">
        <f t="shared" si="8"/>
        <v>0</v>
      </c>
      <c r="H141" s="3112"/>
      <c r="I141" s="3091"/>
      <c r="J141" s="3112"/>
      <c r="K141" s="3091"/>
      <c r="L141" s="3112"/>
      <c r="M141" s="3092"/>
      <c r="N141" s="3112"/>
      <c r="O141" s="3092"/>
      <c r="P141" s="3112"/>
      <c r="Q141" s="3092"/>
      <c r="R141" s="3112"/>
      <c r="S141" s="3092"/>
    </row>
    <row r="142" spans="1:19" s="175" customFormat="1" ht="45">
      <c r="A142" s="3109"/>
      <c r="B142" s="459" t="s">
        <v>6561</v>
      </c>
      <c r="C142" s="711"/>
      <c r="D142" s="3111"/>
      <c r="E142" s="3014"/>
      <c r="F142" s="3023"/>
      <c r="G142" s="668">
        <f t="shared" si="8"/>
        <v>0</v>
      </c>
      <c r="H142" s="3112"/>
      <c r="I142" s="3091"/>
      <c r="J142" s="3112"/>
      <c r="K142" s="3091"/>
      <c r="L142" s="3112"/>
      <c r="M142" s="3092"/>
      <c r="N142" s="3112"/>
      <c r="O142" s="3092"/>
      <c r="P142" s="3112"/>
      <c r="Q142" s="3092"/>
      <c r="R142" s="3112"/>
      <c r="S142" s="3092"/>
    </row>
    <row r="143" spans="1:19" s="175" customFormat="1" ht="45">
      <c r="A143" s="3109"/>
      <c r="B143" s="459" t="s">
        <v>6562</v>
      </c>
      <c r="C143" s="711"/>
      <c r="D143" s="3111"/>
      <c r="E143" s="3014"/>
      <c r="F143" s="3023"/>
      <c r="G143" s="668">
        <f t="shared" si="8"/>
        <v>0</v>
      </c>
      <c r="H143" s="3112"/>
      <c r="I143" s="3091"/>
      <c r="J143" s="3112"/>
      <c r="K143" s="3091"/>
      <c r="L143" s="3112"/>
      <c r="M143" s="3092"/>
      <c r="N143" s="3112"/>
      <c r="O143" s="3092"/>
      <c r="P143" s="3112"/>
      <c r="Q143" s="3092"/>
      <c r="R143" s="3112"/>
      <c r="S143" s="3092"/>
    </row>
    <row r="144" spans="1:19">
      <c r="A144" s="3109"/>
      <c r="B144" s="459"/>
      <c r="C144" s="659"/>
      <c r="D144" s="2050"/>
      <c r="E144" s="2051"/>
      <c r="F144" s="2052"/>
      <c r="G144" s="662">
        <f t="shared" si="7"/>
        <v>0</v>
      </c>
      <c r="H144" s="2183"/>
      <c r="I144" s="3079"/>
      <c r="J144" s="2183"/>
      <c r="K144" s="3079"/>
      <c r="L144" s="2183"/>
      <c r="M144" s="3078"/>
      <c r="N144" s="2183"/>
      <c r="O144" s="3078"/>
      <c r="P144" s="2183"/>
      <c r="Q144" s="3078"/>
      <c r="R144" s="2183"/>
      <c r="S144" s="3078"/>
    </row>
    <row r="145" spans="1:19">
      <c r="A145" s="3114" t="s">
        <v>6563</v>
      </c>
      <c r="B145" s="459" t="s">
        <v>2674</v>
      </c>
      <c r="C145" s="659"/>
      <c r="D145" s="2050"/>
      <c r="E145" s="2051"/>
      <c r="F145" s="2052"/>
      <c r="G145" s="653">
        <f>SUM(G146:G162)</f>
        <v>31000</v>
      </c>
      <c r="H145" s="3112"/>
      <c r="I145" s="3113">
        <f>$G145</f>
        <v>31000</v>
      </c>
      <c r="J145" s="3112"/>
      <c r="K145" s="3113">
        <f>$G145</f>
        <v>31000</v>
      </c>
      <c r="L145" s="3112"/>
      <c r="M145" s="3113">
        <f>$G145</f>
        <v>31000</v>
      </c>
      <c r="N145" s="3112"/>
      <c r="O145" s="3113">
        <f>$G145</f>
        <v>31000</v>
      </c>
      <c r="P145" s="3112"/>
      <c r="Q145" s="3113">
        <f>$G145</f>
        <v>31000</v>
      </c>
      <c r="R145" s="3112"/>
      <c r="S145" s="3113">
        <f>$G145</f>
        <v>31000</v>
      </c>
    </row>
    <row r="146" spans="1:19">
      <c r="A146" s="3109"/>
      <c r="B146" s="460" t="s">
        <v>6564</v>
      </c>
      <c r="C146" s="659"/>
      <c r="D146" s="2050"/>
      <c r="E146" s="2051"/>
      <c r="F146" s="2052"/>
      <c r="G146" s="668">
        <f t="shared" si="7"/>
        <v>0</v>
      </c>
      <c r="H146" s="2183"/>
      <c r="I146" s="3079"/>
      <c r="J146" s="2183"/>
      <c r="K146" s="3079"/>
      <c r="L146" s="2183"/>
      <c r="M146" s="3078"/>
      <c r="N146" s="2183"/>
      <c r="O146" s="3078"/>
      <c r="P146" s="2183"/>
      <c r="Q146" s="3078"/>
      <c r="R146" s="2183"/>
      <c r="S146" s="3078"/>
    </row>
    <row r="147" spans="1:19">
      <c r="A147" s="3109"/>
      <c r="B147" s="461" t="s">
        <v>6565</v>
      </c>
      <c r="C147" s="659"/>
      <c r="D147" s="2050">
        <v>1</v>
      </c>
      <c r="E147" s="2051" t="s">
        <v>2803</v>
      </c>
      <c r="F147" s="2052">
        <v>1500</v>
      </c>
      <c r="G147" s="662">
        <f t="shared" si="7"/>
        <v>1500</v>
      </c>
      <c r="H147" s="2183"/>
      <c r="I147" s="3079"/>
      <c r="J147" s="2183"/>
      <c r="K147" s="3079"/>
      <c r="L147" s="2183"/>
      <c r="M147" s="3078"/>
      <c r="N147" s="2183"/>
      <c r="O147" s="3078"/>
      <c r="P147" s="2183"/>
      <c r="Q147" s="3078"/>
      <c r="R147" s="2183"/>
      <c r="S147" s="3078"/>
    </row>
    <row r="148" spans="1:19">
      <c r="A148" s="3109"/>
      <c r="B148" s="461" t="s">
        <v>6566</v>
      </c>
      <c r="C148" s="659"/>
      <c r="D148" s="2050">
        <v>1</v>
      </c>
      <c r="E148" s="2051" t="s">
        <v>2803</v>
      </c>
      <c r="F148" s="2052">
        <v>1500</v>
      </c>
      <c r="G148" s="662">
        <f t="shared" si="7"/>
        <v>1500</v>
      </c>
      <c r="H148" s="2183"/>
      <c r="I148" s="3079"/>
      <c r="J148" s="2183"/>
      <c r="K148" s="3079"/>
      <c r="L148" s="2183"/>
      <c r="M148" s="3078"/>
      <c r="N148" s="2183"/>
      <c r="O148" s="3078"/>
      <c r="P148" s="2183"/>
      <c r="Q148" s="3078"/>
      <c r="R148" s="2183"/>
      <c r="S148" s="3078"/>
    </row>
    <row r="149" spans="1:19">
      <c r="A149" s="3109"/>
      <c r="B149" s="461" t="s">
        <v>6567</v>
      </c>
      <c r="C149" s="659"/>
      <c r="D149" s="2050">
        <v>1</v>
      </c>
      <c r="E149" s="2051" t="s">
        <v>2803</v>
      </c>
      <c r="F149" s="2052">
        <v>3500</v>
      </c>
      <c r="G149" s="662">
        <f t="shared" si="7"/>
        <v>3500</v>
      </c>
      <c r="H149" s="2183"/>
      <c r="I149" s="3079"/>
      <c r="J149" s="2183"/>
      <c r="K149" s="3079"/>
      <c r="L149" s="2183"/>
      <c r="M149" s="3078"/>
      <c r="N149" s="2183"/>
      <c r="O149" s="3078"/>
      <c r="P149" s="2183"/>
      <c r="Q149" s="3078"/>
      <c r="R149" s="2183"/>
      <c r="S149" s="3078"/>
    </row>
    <row r="150" spans="1:19">
      <c r="A150" s="3109"/>
      <c r="B150" s="461" t="s">
        <v>6568</v>
      </c>
      <c r="C150" s="659"/>
      <c r="D150" s="2050">
        <v>1</v>
      </c>
      <c r="E150" s="2051" t="s">
        <v>2803</v>
      </c>
      <c r="F150" s="2052">
        <v>2500</v>
      </c>
      <c r="G150" s="662">
        <f t="shared" si="7"/>
        <v>2500</v>
      </c>
      <c r="H150" s="2183"/>
      <c r="I150" s="3079"/>
      <c r="J150" s="2183"/>
      <c r="K150" s="3079"/>
      <c r="L150" s="2183"/>
      <c r="M150" s="3078"/>
      <c r="N150" s="2183"/>
      <c r="O150" s="3078"/>
      <c r="P150" s="2183"/>
      <c r="Q150" s="3078"/>
      <c r="R150" s="2183"/>
      <c r="S150" s="3078"/>
    </row>
    <row r="151" spans="1:19">
      <c r="A151" s="3109"/>
      <c r="B151" s="461" t="s">
        <v>6569</v>
      </c>
      <c r="C151" s="659"/>
      <c r="D151" s="2050">
        <v>1</v>
      </c>
      <c r="E151" s="2051" t="s">
        <v>2803</v>
      </c>
      <c r="F151" s="2052">
        <v>3500</v>
      </c>
      <c r="G151" s="662">
        <f t="shared" si="7"/>
        <v>3500</v>
      </c>
      <c r="H151" s="2183"/>
      <c r="I151" s="3079"/>
      <c r="J151" s="2183"/>
      <c r="K151" s="3079"/>
      <c r="L151" s="2183"/>
      <c r="M151" s="3078"/>
      <c r="N151" s="2183"/>
      <c r="O151" s="3078"/>
      <c r="P151" s="2183"/>
      <c r="Q151" s="3078"/>
      <c r="R151" s="2183"/>
      <c r="S151" s="3078"/>
    </row>
    <row r="152" spans="1:19">
      <c r="A152" s="3109"/>
      <c r="B152" s="460" t="s">
        <v>6570</v>
      </c>
      <c r="C152" s="659"/>
      <c r="D152" s="2050"/>
      <c r="E152" s="2051"/>
      <c r="F152" s="2052"/>
      <c r="G152" s="662">
        <f t="shared" si="7"/>
        <v>0</v>
      </c>
      <c r="H152" s="2183"/>
      <c r="I152" s="3079"/>
      <c r="J152" s="2183"/>
      <c r="K152" s="3079"/>
      <c r="L152" s="2183"/>
      <c r="M152" s="3078"/>
      <c r="N152" s="2183"/>
      <c r="O152" s="3078"/>
      <c r="P152" s="2183"/>
      <c r="Q152" s="3078"/>
      <c r="R152" s="2183"/>
      <c r="S152" s="3078"/>
    </row>
    <row r="153" spans="1:19">
      <c r="A153" s="3109"/>
      <c r="B153" s="461" t="s">
        <v>6565</v>
      </c>
      <c r="C153" s="659"/>
      <c r="D153" s="2050">
        <v>1</v>
      </c>
      <c r="E153" s="2051" t="s">
        <v>2803</v>
      </c>
      <c r="F153" s="2052">
        <v>1500</v>
      </c>
      <c r="G153" s="662">
        <f t="shared" si="7"/>
        <v>1500</v>
      </c>
      <c r="H153" s="2183"/>
      <c r="I153" s="3079"/>
      <c r="J153" s="2183"/>
      <c r="K153" s="3079"/>
      <c r="L153" s="2183"/>
      <c r="M153" s="3078"/>
      <c r="N153" s="2183"/>
      <c r="O153" s="3078"/>
      <c r="P153" s="2183"/>
      <c r="Q153" s="3078"/>
      <c r="R153" s="2183"/>
      <c r="S153" s="3078"/>
    </row>
    <row r="154" spans="1:19">
      <c r="A154" s="3109"/>
      <c r="B154" s="461" t="s">
        <v>6566</v>
      </c>
      <c r="C154" s="659"/>
      <c r="D154" s="2050">
        <v>1</v>
      </c>
      <c r="E154" s="2051" t="s">
        <v>2803</v>
      </c>
      <c r="F154" s="2052">
        <v>1500</v>
      </c>
      <c r="G154" s="662">
        <f t="shared" si="7"/>
        <v>1500</v>
      </c>
      <c r="H154" s="2183"/>
      <c r="I154" s="3079"/>
      <c r="J154" s="2183"/>
      <c r="K154" s="3079"/>
      <c r="L154" s="2183"/>
      <c r="M154" s="3078"/>
      <c r="N154" s="2183"/>
      <c r="O154" s="3078"/>
      <c r="P154" s="2183"/>
      <c r="Q154" s="3078"/>
      <c r="R154" s="2183"/>
      <c r="S154" s="3078"/>
    </row>
    <row r="155" spans="1:19">
      <c r="A155" s="3109"/>
      <c r="B155" s="461" t="s">
        <v>6571</v>
      </c>
      <c r="C155" s="659"/>
      <c r="D155" s="2050">
        <v>1</v>
      </c>
      <c r="E155" s="2051" t="s">
        <v>2803</v>
      </c>
      <c r="F155" s="2052">
        <v>3500</v>
      </c>
      <c r="G155" s="662">
        <f t="shared" si="7"/>
        <v>3500</v>
      </c>
      <c r="H155" s="2183"/>
      <c r="I155" s="3079"/>
      <c r="J155" s="2183"/>
      <c r="K155" s="3079"/>
      <c r="L155" s="2183"/>
      <c r="M155" s="3078"/>
      <c r="N155" s="2183"/>
      <c r="O155" s="3078"/>
      <c r="P155" s="2183"/>
      <c r="Q155" s="3078"/>
      <c r="R155" s="2183"/>
      <c r="S155" s="3078"/>
    </row>
    <row r="156" spans="1:19">
      <c r="A156" s="3109"/>
      <c r="B156" s="461" t="s">
        <v>6572</v>
      </c>
      <c r="C156" s="659"/>
      <c r="D156" s="2050">
        <v>1</v>
      </c>
      <c r="E156" s="2051" t="s">
        <v>2803</v>
      </c>
      <c r="F156" s="2052">
        <v>2500</v>
      </c>
      <c r="G156" s="662">
        <f t="shared" si="7"/>
        <v>2500</v>
      </c>
      <c r="H156" s="2183"/>
      <c r="I156" s="3079"/>
      <c r="J156" s="2183"/>
      <c r="K156" s="3079"/>
      <c r="L156" s="2183"/>
      <c r="M156" s="3078"/>
      <c r="N156" s="2183"/>
      <c r="O156" s="3078"/>
      <c r="P156" s="2183"/>
      <c r="Q156" s="3078"/>
      <c r="R156" s="2183"/>
      <c r="S156" s="3078"/>
    </row>
    <row r="157" spans="1:19">
      <c r="A157" s="3109"/>
      <c r="B157" s="461" t="s">
        <v>6573</v>
      </c>
      <c r="C157" s="659"/>
      <c r="D157" s="2050">
        <v>1</v>
      </c>
      <c r="E157" s="2051" t="s">
        <v>2803</v>
      </c>
      <c r="F157" s="2052">
        <v>3500</v>
      </c>
      <c r="G157" s="662">
        <f t="shared" ref="G157:G227" si="9">ROUND(D157*F157,0)</f>
        <v>3500</v>
      </c>
      <c r="H157" s="2183"/>
      <c r="I157" s="3079"/>
      <c r="J157" s="2183"/>
      <c r="K157" s="3079"/>
      <c r="L157" s="2183"/>
      <c r="M157" s="3078"/>
      <c r="N157" s="2183"/>
      <c r="O157" s="3078"/>
      <c r="P157" s="2183"/>
      <c r="Q157" s="3078"/>
      <c r="R157" s="2183"/>
      <c r="S157" s="3078"/>
    </row>
    <row r="158" spans="1:19">
      <c r="A158" s="3109"/>
      <c r="B158" s="460" t="s">
        <v>6574</v>
      </c>
      <c r="C158" s="659"/>
      <c r="D158" s="2050"/>
      <c r="E158" s="2051"/>
      <c r="F158" s="2052"/>
      <c r="G158" s="662">
        <f t="shared" si="9"/>
        <v>0</v>
      </c>
      <c r="H158" s="2183"/>
      <c r="I158" s="3079"/>
      <c r="J158" s="2183"/>
      <c r="K158" s="3079"/>
      <c r="L158" s="2183"/>
      <c r="M158" s="3078"/>
      <c r="N158" s="2183"/>
      <c r="O158" s="3078"/>
      <c r="P158" s="2183"/>
      <c r="Q158" s="3078"/>
      <c r="R158" s="2183"/>
      <c r="S158" s="3078"/>
    </row>
    <row r="159" spans="1:19">
      <c r="A159" s="3109"/>
      <c r="B159" s="461" t="s">
        <v>6565</v>
      </c>
      <c r="C159" s="659"/>
      <c r="D159" s="2050">
        <v>1</v>
      </c>
      <c r="E159" s="2051" t="s">
        <v>2803</v>
      </c>
      <c r="F159" s="2052">
        <v>1500</v>
      </c>
      <c r="G159" s="662">
        <f t="shared" si="9"/>
        <v>1500</v>
      </c>
      <c r="H159" s="2183"/>
      <c r="I159" s="3079"/>
      <c r="J159" s="2183"/>
      <c r="K159" s="3079"/>
      <c r="L159" s="2183"/>
      <c r="M159" s="3078"/>
      <c r="N159" s="2183"/>
      <c r="O159" s="3078"/>
      <c r="P159" s="2183"/>
      <c r="Q159" s="3078"/>
      <c r="R159" s="2183"/>
      <c r="S159" s="3078"/>
    </row>
    <row r="160" spans="1:19">
      <c r="A160" s="3109"/>
      <c r="B160" s="460" t="s">
        <v>6575</v>
      </c>
      <c r="C160" s="659"/>
      <c r="F160" s="2052"/>
      <c r="G160" s="662">
        <f>ROUND(D159*F160,0)</f>
        <v>0</v>
      </c>
      <c r="H160" s="2183"/>
      <c r="I160" s="3079"/>
      <c r="J160" s="2183"/>
      <c r="K160" s="3079"/>
      <c r="L160" s="2183"/>
      <c r="M160" s="3078"/>
      <c r="N160" s="2183"/>
      <c r="O160" s="3078"/>
      <c r="P160" s="2183"/>
      <c r="Q160" s="3078"/>
      <c r="R160" s="2183"/>
      <c r="S160" s="3078"/>
    </row>
    <row r="161" spans="1:19">
      <c r="A161" s="3109"/>
      <c r="B161" s="461" t="s">
        <v>6565</v>
      </c>
      <c r="C161" s="659"/>
      <c r="D161" s="2050">
        <v>2</v>
      </c>
      <c r="E161" s="2051" t="s">
        <v>2803</v>
      </c>
      <c r="F161" s="2052">
        <v>1500</v>
      </c>
      <c r="G161" s="662">
        <f t="shared" si="9"/>
        <v>3000</v>
      </c>
      <c r="H161" s="2183"/>
      <c r="I161" s="3079"/>
      <c r="J161" s="2183"/>
      <c r="K161" s="3079"/>
      <c r="L161" s="2183"/>
      <c r="M161" s="3078"/>
      <c r="N161" s="2183"/>
      <c r="O161" s="3078"/>
      <c r="P161" s="2183"/>
      <c r="Q161" s="3078"/>
      <c r="R161" s="2183"/>
      <c r="S161" s="3078"/>
    </row>
    <row r="162" spans="1:19">
      <c r="A162" s="3109"/>
      <c r="B162" s="461" t="s">
        <v>6576</v>
      </c>
      <c r="C162" s="659"/>
      <c r="D162" s="2050">
        <v>1</v>
      </c>
      <c r="E162" s="2051" t="s">
        <v>2803</v>
      </c>
      <c r="F162" s="2052">
        <v>1500</v>
      </c>
      <c r="G162" s="662">
        <f t="shared" si="9"/>
        <v>1500</v>
      </c>
      <c r="H162" s="2183"/>
      <c r="I162" s="3079"/>
      <c r="J162" s="2183"/>
      <c r="K162" s="3079"/>
      <c r="L162" s="2183"/>
      <c r="M162" s="3078"/>
      <c r="N162" s="2183"/>
      <c r="O162" s="3078"/>
      <c r="P162" s="2183"/>
      <c r="Q162" s="3078"/>
      <c r="R162" s="2183"/>
      <c r="S162" s="3078"/>
    </row>
    <row r="163" spans="1:19">
      <c r="A163" s="3109"/>
      <c r="B163" s="459"/>
      <c r="C163" s="659"/>
      <c r="D163" s="2050"/>
      <c r="E163" s="2051"/>
      <c r="F163" s="2052"/>
      <c r="G163" s="662">
        <f>ROUND(D163*F163,0)</f>
        <v>0</v>
      </c>
      <c r="H163" s="2183"/>
      <c r="I163" s="3079"/>
      <c r="J163" s="2183"/>
      <c r="K163" s="3079"/>
      <c r="L163" s="2183"/>
      <c r="M163" s="3078"/>
      <c r="N163" s="2183"/>
      <c r="O163" s="3078"/>
      <c r="P163" s="2183"/>
      <c r="Q163" s="3078"/>
      <c r="R163" s="2183"/>
      <c r="S163" s="3078"/>
    </row>
    <row r="164" spans="1:19">
      <c r="A164" s="3110" t="s">
        <v>2587</v>
      </c>
      <c r="B164" s="459" t="s">
        <v>2675</v>
      </c>
      <c r="C164" s="659"/>
      <c r="D164" s="2050">
        <v>1</v>
      </c>
      <c r="E164" s="2051" t="s">
        <v>2818</v>
      </c>
      <c r="F164" s="2052">
        <v>5000</v>
      </c>
      <c r="G164" s="670">
        <f>ROUND(D164*F164,0)</f>
        <v>5000</v>
      </c>
      <c r="H164" s="2183"/>
      <c r="I164" s="3085">
        <f>$G164</f>
        <v>5000</v>
      </c>
      <c r="J164" s="2183"/>
      <c r="K164" s="3085">
        <f>$G164</f>
        <v>5000</v>
      </c>
      <c r="L164" s="2183"/>
      <c r="M164" s="3085">
        <f>$G164</f>
        <v>5000</v>
      </c>
      <c r="N164" s="2183"/>
      <c r="O164" s="3085">
        <f>$G164</f>
        <v>5000</v>
      </c>
      <c r="P164" s="2183"/>
      <c r="Q164" s="3085">
        <f>$G164</f>
        <v>5000</v>
      </c>
      <c r="R164" s="2183"/>
      <c r="S164" s="3085">
        <f>$G164</f>
        <v>5000</v>
      </c>
    </row>
    <row r="165" spans="1:19">
      <c r="A165" s="3109"/>
      <c r="B165" s="459"/>
      <c r="C165" s="659"/>
      <c r="D165" s="2050"/>
      <c r="E165" s="2051"/>
      <c r="F165" s="2052"/>
      <c r="G165" s="662">
        <f>ROUND(D165*F165,0)</f>
        <v>0</v>
      </c>
      <c r="H165" s="2183"/>
      <c r="I165" s="3079"/>
      <c r="J165" s="2183"/>
      <c r="K165" s="3079"/>
      <c r="L165" s="2183"/>
      <c r="M165" s="3078"/>
      <c r="N165" s="2183"/>
      <c r="O165" s="3078"/>
      <c r="P165" s="2183"/>
      <c r="Q165" s="3078"/>
      <c r="R165" s="2183"/>
      <c r="S165" s="3078"/>
    </row>
    <row r="166" spans="1:19">
      <c r="A166" s="3109"/>
      <c r="B166" s="573" t="s">
        <v>6423</v>
      </c>
      <c r="C166" s="659"/>
      <c r="D166" s="2050">
        <v>1</v>
      </c>
      <c r="E166" s="2051" t="s">
        <v>2818</v>
      </c>
      <c r="F166" s="2052">
        <v>5000</v>
      </c>
      <c r="G166" s="662">
        <f>ROUND(D166*F166,0)</f>
        <v>5000</v>
      </c>
      <c r="H166" s="2183"/>
      <c r="I166" s="3087">
        <f>$G166</f>
        <v>5000</v>
      </c>
      <c r="J166" s="2183"/>
      <c r="K166" s="3087">
        <f>$G166</f>
        <v>5000</v>
      </c>
      <c r="L166" s="2183"/>
      <c r="M166" s="3087">
        <f>$G166</f>
        <v>5000</v>
      </c>
      <c r="N166" s="2183"/>
      <c r="O166" s="3087">
        <f>$G166</f>
        <v>5000</v>
      </c>
      <c r="P166" s="2183"/>
      <c r="Q166" s="3087">
        <f>$G166</f>
        <v>5000</v>
      </c>
      <c r="R166" s="2183"/>
      <c r="S166" s="3087">
        <f>$G166</f>
        <v>5000</v>
      </c>
    </row>
    <row r="167" spans="1:19">
      <c r="A167" s="3109"/>
      <c r="B167" s="506"/>
      <c r="C167" s="659"/>
      <c r="D167" s="2050"/>
      <c r="E167" s="2051"/>
      <c r="F167" s="2052"/>
      <c r="G167" s="662"/>
      <c r="H167" s="2183"/>
      <c r="I167" s="3079"/>
      <c r="J167" s="2183"/>
      <c r="K167" s="3079"/>
      <c r="L167" s="2183"/>
      <c r="M167" s="3078"/>
      <c r="N167" s="2183"/>
      <c r="O167" s="3078"/>
      <c r="P167" s="2183"/>
      <c r="Q167" s="3078"/>
      <c r="R167" s="2183"/>
      <c r="S167" s="3078"/>
    </row>
    <row r="168" spans="1:19">
      <c r="A168" s="2185"/>
      <c r="B168" s="3077" t="s">
        <v>3581</v>
      </c>
      <c r="C168" s="2049"/>
      <c r="D168" s="2050"/>
      <c r="E168" s="2051"/>
      <c r="F168" s="2052"/>
      <c r="G168" s="662">
        <f t="shared" ref="G168:G170" si="10">ROUND(D168*F168,0)</f>
        <v>0</v>
      </c>
      <c r="H168" s="2183"/>
      <c r="I168" s="3079"/>
      <c r="J168" s="2183" t="s">
        <v>2931</v>
      </c>
      <c r="K168" s="3079"/>
      <c r="L168" s="2183"/>
      <c r="M168" s="3078"/>
      <c r="N168" s="2183"/>
      <c r="O168" s="3078"/>
      <c r="P168" s="2183"/>
      <c r="Q168" s="3078"/>
      <c r="R168" s="2183"/>
      <c r="S168" s="3078"/>
    </row>
    <row r="169" spans="1:19">
      <c r="A169" s="2185"/>
      <c r="B169" s="3077" t="s">
        <v>3582</v>
      </c>
      <c r="C169" s="2049"/>
      <c r="D169" s="2050"/>
      <c r="E169" s="2051"/>
      <c r="F169" s="2052"/>
      <c r="G169" s="662">
        <f t="shared" si="10"/>
        <v>0</v>
      </c>
      <c r="H169" s="2183"/>
      <c r="I169" s="3079"/>
      <c r="J169" s="2183" t="s">
        <v>2931</v>
      </c>
      <c r="K169" s="3079"/>
      <c r="L169" s="2183"/>
      <c r="M169" s="3078"/>
      <c r="N169" s="2183"/>
      <c r="O169" s="3078"/>
      <c r="P169" s="2183"/>
      <c r="Q169" s="3078"/>
      <c r="R169" s="2183"/>
      <c r="S169" s="3078"/>
    </row>
    <row r="170" spans="1:19">
      <c r="A170" s="2185"/>
      <c r="B170" s="3077" t="s">
        <v>3583</v>
      </c>
      <c r="C170" s="2049"/>
      <c r="D170" s="2050"/>
      <c r="E170" s="2051"/>
      <c r="F170" s="2052"/>
      <c r="G170" s="662">
        <f t="shared" si="10"/>
        <v>0</v>
      </c>
      <c r="H170" s="2183"/>
      <c r="I170" s="3087">
        <v>1900000</v>
      </c>
      <c r="J170" s="2183" t="s">
        <v>2931</v>
      </c>
      <c r="K170" s="3079"/>
      <c r="L170" s="2183"/>
      <c r="M170" s="3078"/>
      <c r="N170" s="2183"/>
      <c r="O170" s="3078"/>
      <c r="P170" s="2183"/>
      <c r="Q170" s="3078"/>
      <c r="R170" s="2183"/>
      <c r="S170" s="3078"/>
    </row>
    <row r="171" spans="1:19">
      <c r="A171" s="3109"/>
      <c r="B171" s="459"/>
      <c r="C171" s="659"/>
      <c r="D171" s="2050"/>
      <c r="E171" s="2051"/>
      <c r="F171" s="2052"/>
      <c r="G171" s="662">
        <f>ROUND(D171*F171,0)</f>
        <v>0</v>
      </c>
      <c r="H171" s="2183"/>
      <c r="I171" s="3079"/>
      <c r="J171" s="2183"/>
      <c r="K171" s="3079"/>
      <c r="L171" s="2183"/>
      <c r="M171" s="3078"/>
      <c r="N171" s="2183"/>
      <c r="O171" s="3078"/>
      <c r="P171" s="2183"/>
      <c r="Q171" s="3078"/>
      <c r="R171" s="2183"/>
      <c r="S171" s="3078"/>
    </row>
    <row r="172" spans="1:19">
      <c r="A172" s="3109"/>
      <c r="B172" s="507" t="s">
        <v>6097</v>
      </c>
      <c r="C172" s="659"/>
      <c r="D172" s="2050"/>
      <c r="E172" s="2051"/>
      <c r="F172" s="2052"/>
      <c r="G172" s="668">
        <f t="shared" ref="G172" si="11">ROUND(D172*F172,0)</f>
        <v>0</v>
      </c>
      <c r="H172" s="2183"/>
      <c r="I172" s="3080">
        <f>SUBTOTAL(9,I173:I196)</f>
        <v>140000</v>
      </c>
      <c r="J172" s="2183"/>
      <c r="K172" s="3080">
        <f>SUBTOTAL(9,K173:K196)</f>
        <v>263500</v>
      </c>
      <c r="L172" s="2183"/>
      <c r="M172" s="3080">
        <f>SUBTOTAL(9,M173:M196)</f>
        <v>144567.81</v>
      </c>
      <c r="N172" s="2183"/>
      <c r="O172" s="3080">
        <f>SUBTOTAL(9,O173:O196)</f>
        <v>0</v>
      </c>
      <c r="P172" s="2183"/>
      <c r="Q172" s="3080">
        <f>SUBTOTAL(9,Q173:Q196)</f>
        <v>704165</v>
      </c>
      <c r="R172" s="2183"/>
      <c r="S172" s="3080">
        <f>SUBTOTAL(9,S173:S196)</f>
        <v>0</v>
      </c>
    </row>
    <row r="173" spans="1:19">
      <c r="A173" s="3109"/>
      <c r="B173" s="459" t="s">
        <v>2994</v>
      </c>
      <c r="C173" s="659"/>
      <c r="D173" s="2050"/>
      <c r="E173" s="2051"/>
      <c r="F173" s="2052"/>
      <c r="G173" s="662">
        <f>ROUND(D173*F173,0)</f>
        <v>0</v>
      </c>
      <c r="H173" s="2183"/>
      <c r="I173" s="3079">
        <v>140000</v>
      </c>
      <c r="J173" s="2183"/>
      <c r="K173" s="3079">
        <v>263500</v>
      </c>
      <c r="L173" s="2183"/>
      <c r="M173" s="3078">
        <v>144567.81</v>
      </c>
      <c r="N173" s="2183"/>
      <c r="O173" s="3078"/>
      <c r="P173" s="2183"/>
      <c r="Q173" s="3078">
        <v>704165</v>
      </c>
      <c r="R173" s="2183"/>
      <c r="S173" s="3078"/>
    </row>
    <row r="174" spans="1:19">
      <c r="A174" s="3109"/>
      <c r="B174" s="459" t="s">
        <v>6447</v>
      </c>
      <c r="C174" s="659"/>
      <c r="D174" s="2050"/>
      <c r="E174" s="2051"/>
      <c r="F174" s="2052"/>
      <c r="G174" s="662">
        <f t="shared" si="9"/>
        <v>0</v>
      </c>
      <c r="H174" s="2183"/>
      <c r="I174" s="3079"/>
      <c r="J174" s="2183" t="s">
        <v>2931</v>
      </c>
      <c r="K174" s="3079"/>
      <c r="L174" s="2183"/>
      <c r="M174" s="3078"/>
      <c r="N174" s="2183"/>
      <c r="O174" s="3078"/>
      <c r="P174" s="2183"/>
      <c r="Q174" s="3078"/>
      <c r="R174" s="2183"/>
      <c r="S174" s="3078"/>
    </row>
    <row r="175" spans="1:19" hidden="1" outlineLevel="1">
      <c r="A175" s="3109"/>
      <c r="B175" s="460" t="s">
        <v>6577</v>
      </c>
      <c r="C175" s="659"/>
      <c r="D175" s="2050">
        <v>1</v>
      </c>
      <c r="E175" s="2051" t="s">
        <v>2803</v>
      </c>
      <c r="F175" s="2052"/>
      <c r="G175" s="662">
        <f t="shared" si="9"/>
        <v>0</v>
      </c>
      <c r="H175" s="2183"/>
      <c r="I175" s="3079"/>
      <c r="J175" s="2183"/>
      <c r="K175" s="3079"/>
      <c r="L175" s="2183"/>
      <c r="M175" s="3078"/>
      <c r="N175" s="2183"/>
      <c r="O175" s="3078"/>
      <c r="P175" s="2183"/>
      <c r="Q175" s="3078"/>
      <c r="R175" s="2183"/>
      <c r="S175" s="3078"/>
    </row>
    <row r="176" spans="1:19" hidden="1" outlineLevel="1">
      <c r="A176" s="3109"/>
      <c r="B176" s="460" t="s">
        <v>6452</v>
      </c>
      <c r="C176" s="659"/>
      <c r="D176" s="2050">
        <v>6</v>
      </c>
      <c r="E176" s="2051" t="s">
        <v>2803</v>
      </c>
      <c r="F176" s="2052"/>
      <c r="G176" s="662">
        <f t="shared" si="9"/>
        <v>0</v>
      </c>
      <c r="H176" s="2183"/>
      <c r="I176" s="3079"/>
      <c r="J176" s="2183"/>
      <c r="K176" s="3079"/>
      <c r="L176" s="2183"/>
      <c r="M176" s="3078"/>
      <c r="N176" s="2183"/>
      <c r="O176" s="3078"/>
      <c r="P176" s="2183"/>
      <c r="Q176" s="3078"/>
      <c r="R176" s="2183"/>
      <c r="S176" s="3078"/>
    </row>
    <row r="177" spans="1:19" hidden="1" outlineLevel="1">
      <c r="A177" s="3109"/>
      <c r="B177" s="460" t="s">
        <v>6453</v>
      </c>
      <c r="C177" s="659"/>
      <c r="D177" s="2050">
        <v>7</v>
      </c>
      <c r="E177" s="2051" t="s">
        <v>2803</v>
      </c>
      <c r="F177" s="2052"/>
      <c r="G177" s="662">
        <f t="shared" si="9"/>
        <v>0</v>
      </c>
      <c r="H177" s="2183"/>
      <c r="I177" s="3079"/>
      <c r="J177" s="2183"/>
      <c r="K177" s="3079"/>
      <c r="L177" s="2183"/>
      <c r="M177" s="3078"/>
      <c r="N177" s="2183"/>
      <c r="O177" s="3078"/>
      <c r="P177" s="2183"/>
      <c r="Q177" s="3078"/>
      <c r="R177" s="2183"/>
      <c r="S177" s="3078"/>
    </row>
    <row r="178" spans="1:19" hidden="1" outlineLevel="1">
      <c r="A178" s="3109"/>
      <c r="B178" s="460" t="s">
        <v>6454</v>
      </c>
      <c r="C178" s="659"/>
      <c r="D178" s="2050">
        <v>1</v>
      </c>
      <c r="E178" s="2051" t="s">
        <v>2803</v>
      </c>
      <c r="F178" s="2052"/>
      <c r="G178" s="662">
        <f t="shared" si="9"/>
        <v>0</v>
      </c>
      <c r="H178" s="2183"/>
      <c r="I178" s="3079"/>
      <c r="J178" s="2183"/>
      <c r="K178" s="3079"/>
      <c r="L178" s="2183"/>
      <c r="M178" s="3078"/>
      <c r="N178" s="2183"/>
      <c r="O178" s="3078"/>
      <c r="P178" s="2183"/>
      <c r="Q178" s="3078"/>
      <c r="R178" s="2183"/>
      <c r="S178" s="3078"/>
    </row>
    <row r="179" spans="1:19" hidden="1" outlineLevel="1">
      <c r="A179" s="3109"/>
      <c r="B179" s="460" t="s">
        <v>6456</v>
      </c>
      <c r="C179" s="659"/>
      <c r="D179" s="2050">
        <v>4</v>
      </c>
      <c r="E179" s="2051" t="s">
        <v>2803</v>
      </c>
      <c r="F179" s="2052"/>
      <c r="G179" s="662">
        <f t="shared" si="9"/>
        <v>0</v>
      </c>
      <c r="H179" s="2183"/>
      <c r="I179" s="3079"/>
      <c r="J179" s="2183"/>
      <c r="K179" s="3079"/>
      <c r="L179" s="2183"/>
      <c r="M179" s="3078"/>
      <c r="N179" s="2183"/>
      <c r="O179" s="3078"/>
      <c r="P179" s="2183"/>
      <c r="Q179" s="3078"/>
      <c r="R179" s="2183"/>
      <c r="S179" s="3078"/>
    </row>
    <row r="180" spans="1:19" hidden="1" outlineLevel="1">
      <c r="A180" s="3109"/>
      <c r="B180" s="460" t="s">
        <v>6461</v>
      </c>
      <c r="C180" s="659"/>
      <c r="D180" s="2050">
        <v>1</v>
      </c>
      <c r="E180" s="2051" t="s">
        <v>2803</v>
      </c>
      <c r="F180" s="2052"/>
      <c r="G180" s="662">
        <f t="shared" si="9"/>
        <v>0</v>
      </c>
      <c r="H180" s="2183"/>
      <c r="I180" s="3079"/>
      <c r="J180" s="2183"/>
      <c r="K180" s="3079"/>
      <c r="L180" s="2183"/>
      <c r="M180" s="3078"/>
      <c r="N180" s="2183"/>
      <c r="O180" s="3078"/>
      <c r="P180" s="2183"/>
      <c r="Q180" s="3078"/>
      <c r="R180" s="2183"/>
      <c r="S180" s="3078"/>
    </row>
    <row r="181" spans="1:19" hidden="1" outlineLevel="1">
      <c r="A181" s="3109"/>
      <c r="B181" s="460" t="s">
        <v>6472</v>
      </c>
      <c r="C181" s="659"/>
      <c r="D181" s="2050">
        <v>1</v>
      </c>
      <c r="E181" s="2051" t="s">
        <v>2803</v>
      </c>
      <c r="F181" s="2052"/>
      <c r="G181" s="662">
        <f t="shared" si="9"/>
        <v>0</v>
      </c>
      <c r="H181" s="2183"/>
      <c r="I181" s="3079"/>
      <c r="J181" s="2183"/>
      <c r="K181" s="3079"/>
      <c r="L181" s="2183"/>
      <c r="M181" s="3078"/>
      <c r="N181" s="2183"/>
      <c r="O181" s="3078"/>
      <c r="P181" s="2183"/>
      <c r="Q181" s="3078"/>
      <c r="R181" s="2183"/>
      <c r="S181" s="3078"/>
    </row>
    <row r="182" spans="1:19" hidden="1" outlineLevel="1">
      <c r="A182" s="3109"/>
      <c r="B182" s="460" t="s">
        <v>6473</v>
      </c>
      <c r="C182" s="659"/>
      <c r="D182" s="2050">
        <v>3</v>
      </c>
      <c r="E182" s="2051" t="s">
        <v>2803</v>
      </c>
      <c r="F182" s="2052"/>
      <c r="G182" s="662">
        <f t="shared" si="9"/>
        <v>0</v>
      </c>
      <c r="H182" s="2183"/>
      <c r="I182" s="3079"/>
      <c r="J182" s="2183"/>
      <c r="K182" s="3079"/>
      <c r="L182" s="2183"/>
      <c r="M182" s="3078"/>
      <c r="N182" s="2183"/>
      <c r="O182" s="3078"/>
      <c r="P182" s="2183"/>
      <c r="Q182" s="3078"/>
      <c r="R182" s="2183"/>
      <c r="S182" s="3078"/>
    </row>
    <row r="183" spans="1:19" hidden="1" outlineLevel="1">
      <c r="A183" s="3109"/>
      <c r="B183" s="460" t="s">
        <v>6578</v>
      </c>
      <c r="C183" s="659"/>
      <c r="D183" s="2050">
        <v>1</v>
      </c>
      <c r="E183" s="2051" t="s">
        <v>2803</v>
      </c>
      <c r="F183" s="2052"/>
      <c r="G183" s="662">
        <f t="shared" si="9"/>
        <v>0</v>
      </c>
      <c r="H183" s="2183"/>
      <c r="I183" s="3079"/>
      <c r="J183" s="2183"/>
      <c r="K183" s="3079"/>
      <c r="L183" s="2183"/>
      <c r="M183" s="3078"/>
      <c r="N183" s="2183"/>
      <c r="O183" s="3078"/>
      <c r="P183" s="2183"/>
      <c r="Q183" s="3078"/>
      <c r="R183" s="2183"/>
      <c r="S183" s="3078"/>
    </row>
    <row r="184" spans="1:19" collapsed="1">
      <c r="A184" s="3109"/>
      <c r="B184" s="459" t="s">
        <v>6477</v>
      </c>
      <c r="C184" s="659"/>
      <c r="D184" s="2050"/>
      <c r="E184" s="2051"/>
      <c r="F184" s="2052"/>
      <c r="G184" s="662">
        <f t="shared" si="9"/>
        <v>0</v>
      </c>
      <c r="H184" s="2183"/>
      <c r="I184" s="3079"/>
      <c r="J184" s="2183" t="s">
        <v>2931</v>
      </c>
      <c r="K184" s="3079"/>
      <c r="L184" s="2183"/>
      <c r="M184" s="3078"/>
      <c r="N184" s="2183"/>
      <c r="O184" s="3078"/>
      <c r="P184" s="2183"/>
      <c r="Q184" s="3078"/>
      <c r="R184" s="2183"/>
      <c r="S184" s="3078"/>
    </row>
    <row r="185" spans="1:19">
      <c r="A185" s="3109"/>
      <c r="B185" s="460" t="s">
        <v>6579</v>
      </c>
      <c r="C185" s="659"/>
      <c r="D185" s="2050"/>
      <c r="E185" s="2051"/>
      <c r="F185" s="2052"/>
      <c r="G185" s="662">
        <f t="shared" si="9"/>
        <v>0</v>
      </c>
      <c r="H185" s="2183"/>
      <c r="I185" s="3079"/>
      <c r="J185" s="2183"/>
      <c r="K185" s="3079"/>
      <c r="L185" s="2183"/>
      <c r="M185" s="3078"/>
      <c r="N185" s="2183"/>
      <c r="O185" s="3078"/>
      <c r="P185" s="2183"/>
      <c r="Q185" s="3078"/>
      <c r="R185" s="2183"/>
      <c r="S185" s="3078"/>
    </row>
    <row r="186" spans="1:19" hidden="1" outlineLevel="1">
      <c r="A186" s="3109"/>
      <c r="B186" s="461" t="s">
        <v>6580</v>
      </c>
      <c r="C186" s="659"/>
      <c r="D186" s="2050">
        <v>1</v>
      </c>
      <c r="E186" s="2051" t="s">
        <v>2803</v>
      </c>
      <c r="F186" s="2052"/>
      <c r="G186" s="662">
        <f t="shared" si="9"/>
        <v>0</v>
      </c>
      <c r="H186" s="2183"/>
      <c r="I186" s="3079"/>
      <c r="J186" s="2183"/>
      <c r="K186" s="3079"/>
      <c r="L186" s="2183"/>
      <c r="M186" s="3078"/>
      <c r="N186" s="2183"/>
      <c r="O186" s="3078"/>
      <c r="P186" s="2183"/>
      <c r="Q186" s="3078"/>
      <c r="R186" s="2183"/>
      <c r="S186" s="3078"/>
    </row>
    <row r="187" spans="1:19" hidden="1" outlineLevel="1">
      <c r="A187" s="3109"/>
      <c r="B187" s="461" t="s">
        <v>6581</v>
      </c>
      <c r="C187" s="659"/>
      <c r="D187" s="2050">
        <v>1</v>
      </c>
      <c r="E187" s="2051" t="s">
        <v>2803</v>
      </c>
      <c r="F187" s="2052"/>
      <c r="G187" s="662">
        <f t="shared" si="9"/>
        <v>0</v>
      </c>
      <c r="H187" s="2183"/>
      <c r="I187" s="3079"/>
      <c r="J187" s="2183"/>
      <c r="K187" s="3079"/>
      <c r="L187" s="2183"/>
      <c r="M187" s="3078"/>
      <c r="N187" s="2183"/>
      <c r="O187" s="3078"/>
      <c r="P187" s="2183"/>
      <c r="Q187" s="3078"/>
      <c r="R187" s="2183"/>
      <c r="S187" s="3078"/>
    </row>
    <row r="188" spans="1:19" hidden="1" outlineLevel="1">
      <c r="A188" s="3109"/>
      <c r="B188" s="461" t="s">
        <v>6582</v>
      </c>
      <c r="C188" s="659"/>
      <c r="D188" s="2050">
        <v>1</v>
      </c>
      <c r="E188" s="2051" t="s">
        <v>2803</v>
      </c>
      <c r="F188" s="2052"/>
      <c r="G188" s="662">
        <f t="shared" si="9"/>
        <v>0</v>
      </c>
      <c r="H188" s="2183"/>
      <c r="I188" s="3079"/>
      <c r="J188" s="2183"/>
      <c r="K188" s="3079"/>
      <c r="L188" s="2183"/>
      <c r="M188" s="3078"/>
      <c r="N188" s="2183"/>
      <c r="O188" s="3078"/>
      <c r="P188" s="2183"/>
      <c r="Q188" s="3078"/>
      <c r="R188" s="2183"/>
      <c r="S188" s="3078"/>
    </row>
    <row r="189" spans="1:19" hidden="1" outlineLevel="1">
      <c r="A189" s="3109"/>
      <c r="B189" s="461" t="s">
        <v>6583</v>
      </c>
      <c r="C189" s="659"/>
      <c r="D189" s="2050">
        <v>1</v>
      </c>
      <c r="E189" s="2051" t="s">
        <v>2803</v>
      </c>
      <c r="F189" s="2052"/>
      <c r="G189" s="662">
        <f t="shared" si="9"/>
        <v>0</v>
      </c>
      <c r="H189" s="2183"/>
      <c r="I189" s="3079"/>
      <c r="J189" s="2183"/>
      <c r="K189" s="3079"/>
      <c r="L189" s="2183"/>
      <c r="M189" s="3078"/>
      <c r="N189" s="2183"/>
      <c r="O189" s="3078"/>
      <c r="P189" s="2183"/>
      <c r="Q189" s="3078"/>
      <c r="R189" s="2183"/>
      <c r="S189" s="3078"/>
    </row>
    <row r="190" spans="1:19" hidden="1" outlineLevel="1">
      <c r="A190" s="3109"/>
      <c r="B190" s="461" t="s">
        <v>6584</v>
      </c>
      <c r="C190" s="659"/>
      <c r="D190" s="2050">
        <v>1</v>
      </c>
      <c r="E190" s="2051" t="s">
        <v>2803</v>
      </c>
      <c r="F190" s="2052"/>
      <c r="G190" s="662">
        <f t="shared" si="9"/>
        <v>0</v>
      </c>
      <c r="H190" s="2183"/>
      <c r="I190" s="3079"/>
      <c r="J190" s="2183"/>
      <c r="K190" s="3079"/>
      <c r="L190" s="2183"/>
      <c r="M190" s="3078"/>
      <c r="N190" s="2183"/>
      <c r="O190" s="3078"/>
      <c r="P190" s="2183"/>
      <c r="Q190" s="3078"/>
      <c r="R190" s="2183"/>
      <c r="S190" s="3078"/>
    </row>
    <row r="191" spans="1:19" hidden="1" outlineLevel="1">
      <c r="A191" s="3109"/>
      <c r="B191" s="461" t="s">
        <v>6585</v>
      </c>
      <c r="C191" s="659"/>
      <c r="D191" s="2050">
        <v>1</v>
      </c>
      <c r="E191" s="2051" t="s">
        <v>2803</v>
      </c>
      <c r="F191" s="2052"/>
      <c r="G191" s="662">
        <f t="shared" si="9"/>
        <v>0</v>
      </c>
      <c r="H191" s="2183"/>
      <c r="I191" s="3079"/>
      <c r="J191" s="2183"/>
      <c r="K191" s="3079"/>
      <c r="L191" s="2183"/>
      <c r="M191" s="3078"/>
      <c r="N191" s="2183"/>
      <c r="O191" s="3078"/>
      <c r="P191" s="2183"/>
      <c r="Q191" s="3078"/>
      <c r="R191" s="2183"/>
      <c r="S191" s="3078"/>
    </row>
    <row r="192" spans="1:19" hidden="1" outlineLevel="1">
      <c r="A192" s="3109"/>
      <c r="B192" s="461" t="s">
        <v>6586</v>
      </c>
      <c r="C192" s="659"/>
      <c r="D192" s="2050">
        <v>1</v>
      </c>
      <c r="E192" s="2051" t="s">
        <v>2803</v>
      </c>
      <c r="F192" s="2052"/>
      <c r="G192" s="662">
        <f t="shared" si="9"/>
        <v>0</v>
      </c>
      <c r="H192" s="2183"/>
      <c r="I192" s="3079"/>
      <c r="J192" s="2183"/>
      <c r="K192" s="3079"/>
      <c r="L192" s="2183"/>
      <c r="M192" s="3078"/>
      <c r="N192" s="2183"/>
      <c r="O192" s="3078"/>
      <c r="P192" s="2183"/>
      <c r="Q192" s="3078"/>
      <c r="R192" s="2183"/>
      <c r="S192" s="3078"/>
    </row>
    <row r="193" spans="1:19" hidden="1" outlineLevel="1">
      <c r="A193" s="3109"/>
      <c r="B193" s="461" t="s">
        <v>6587</v>
      </c>
      <c r="C193" s="659"/>
      <c r="D193" s="2050">
        <v>1</v>
      </c>
      <c r="E193" s="2051" t="s">
        <v>2803</v>
      </c>
      <c r="F193" s="2052"/>
      <c r="G193" s="662">
        <f t="shared" si="9"/>
        <v>0</v>
      </c>
      <c r="H193" s="2183"/>
      <c r="I193" s="3079"/>
      <c r="J193" s="2183"/>
      <c r="K193" s="3079"/>
      <c r="L193" s="2183"/>
      <c r="M193" s="3078"/>
      <c r="N193" s="2183"/>
      <c r="O193" s="3078"/>
      <c r="P193" s="2183"/>
      <c r="Q193" s="3078"/>
      <c r="R193" s="2183"/>
      <c r="S193" s="3078"/>
    </row>
    <row r="194" spans="1:19" hidden="1" outlineLevel="1">
      <c r="A194" s="3109"/>
      <c r="B194" s="461" t="s">
        <v>6588</v>
      </c>
      <c r="C194" s="659"/>
      <c r="D194" s="2050">
        <v>1</v>
      </c>
      <c r="E194" s="2051" t="s">
        <v>2803</v>
      </c>
      <c r="F194" s="2052"/>
      <c r="G194" s="662">
        <f t="shared" si="9"/>
        <v>0</v>
      </c>
      <c r="H194" s="2183"/>
      <c r="I194" s="3079"/>
      <c r="J194" s="2183"/>
      <c r="K194" s="3079"/>
      <c r="L194" s="2183"/>
      <c r="M194" s="3078"/>
      <c r="N194" s="2183"/>
      <c r="O194" s="3078"/>
      <c r="P194" s="2183"/>
      <c r="Q194" s="3078"/>
      <c r="R194" s="2183"/>
      <c r="S194" s="3078"/>
    </row>
    <row r="195" spans="1:19" hidden="1" outlineLevel="1">
      <c r="A195" s="3109"/>
      <c r="B195" s="461" t="s">
        <v>6589</v>
      </c>
      <c r="C195" s="659"/>
      <c r="D195" s="2050">
        <v>1</v>
      </c>
      <c r="E195" s="2051" t="s">
        <v>2803</v>
      </c>
      <c r="F195" s="2052"/>
      <c r="G195" s="662">
        <f t="shared" si="9"/>
        <v>0</v>
      </c>
      <c r="H195" s="2183"/>
      <c r="I195" s="3079"/>
      <c r="J195" s="2183"/>
      <c r="K195" s="3079"/>
      <c r="L195" s="2183"/>
      <c r="M195" s="3078"/>
      <c r="N195" s="2183"/>
      <c r="O195" s="3078"/>
      <c r="P195" s="2183"/>
      <c r="Q195" s="3078"/>
      <c r="R195" s="2183"/>
      <c r="S195" s="3078"/>
    </row>
    <row r="196" spans="1:19" collapsed="1">
      <c r="A196" s="3109"/>
      <c r="B196" s="462"/>
      <c r="C196" s="659"/>
      <c r="D196" s="2050"/>
      <c r="E196" s="2051"/>
      <c r="F196" s="2052"/>
      <c r="G196" s="662">
        <f t="shared" si="9"/>
        <v>0</v>
      </c>
      <c r="H196" s="2183"/>
      <c r="I196" s="3079"/>
      <c r="J196" s="2183"/>
      <c r="K196" s="3079"/>
      <c r="L196" s="2183"/>
      <c r="M196" s="3078"/>
      <c r="N196" s="2183"/>
      <c r="O196" s="3078"/>
      <c r="P196" s="2183"/>
      <c r="Q196" s="3078"/>
      <c r="R196" s="2183"/>
      <c r="S196" s="3078"/>
    </row>
    <row r="197" spans="1:19">
      <c r="A197" s="3109"/>
      <c r="B197" s="452" t="s">
        <v>6425</v>
      </c>
      <c r="C197" s="659"/>
      <c r="D197" s="2050"/>
      <c r="E197" s="2051"/>
      <c r="F197" s="2052"/>
      <c r="G197" s="668">
        <f t="shared" si="9"/>
        <v>0</v>
      </c>
      <c r="H197" s="2183"/>
      <c r="I197" s="3080">
        <f>SUBTOTAL(9,I198:I228)</f>
        <v>88622</v>
      </c>
      <c r="J197" s="2183"/>
      <c r="K197" s="3080">
        <f>SUBTOTAL(9,K198:K228)</f>
        <v>278585</v>
      </c>
      <c r="L197" s="2183"/>
      <c r="M197" s="3080">
        <f>SUBTOTAL(9,M198:M228)</f>
        <v>111132.27</v>
      </c>
      <c r="N197" s="2183"/>
      <c r="O197" s="3080">
        <f>SUBTOTAL(9,O198:O228)</f>
        <v>0</v>
      </c>
      <c r="P197" s="2183"/>
      <c r="Q197" s="3080">
        <f>SUBTOTAL(9,Q198:Q228)</f>
        <v>504166</v>
      </c>
      <c r="R197" s="2183"/>
      <c r="S197" s="3080">
        <f>SUBTOTAL(9,S198:S228)</f>
        <v>0</v>
      </c>
    </row>
    <row r="198" spans="1:19">
      <c r="A198" s="3109"/>
      <c r="B198" s="459" t="s">
        <v>2994</v>
      </c>
      <c r="C198" s="659"/>
      <c r="D198" s="2050"/>
      <c r="E198" s="2051"/>
      <c r="F198" s="2052"/>
      <c r="G198" s="662">
        <f>ROUND(D198*F198,0)</f>
        <v>0</v>
      </c>
      <c r="H198" s="2183"/>
      <c r="I198" s="3079">
        <v>88622</v>
      </c>
      <c r="J198" s="2183"/>
      <c r="K198" s="3079">
        <v>278585</v>
      </c>
      <c r="L198" s="2183"/>
      <c r="M198" s="3078">
        <v>111132.27</v>
      </c>
      <c r="N198" s="2183"/>
      <c r="O198" s="3078"/>
      <c r="P198" s="2183"/>
      <c r="Q198" s="3078">
        <v>504165</v>
      </c>
      <c r="R198" s="2183"/>
      <c r="S198" s="3078"/>
    </row>
    <row r="199" spans="1:19">
      <c r="A199" s="3109"/>
      <c r="B199" s="459" t="s">
        <v>6447</v>
      </c>
      <c r="C199" s="659"/>
      <c r="D199" s="2050"/>
      <c r="E199" s="2051"/>
      <c r="F199" s="2052"/>
      <c r="G199" s="662">
        <f t="shared" si="9"/>
        <v>0</v>
      </c>
      <c r="H199" s="2183"/>
      <c r="I199" s="3079"/>
      <c r="J199" s="2183" t="s">
        <v>2931</v>
      </c>
      <c r="K199" s="3079"/>
      <c r="L199" s="2183"/>
      <c r="M199" s="3078"/>
      <c r="N199" s="2183"/>
      <c r="O199" s="3078"/>
      <c r="P199" s="2183"/>
      <c r="Q199" s="3078"/>
      <c r="R199" s="2183"/>
      <c r="S199" s="3078"/>
    </row>
    <row r="200" spans="1:19" hidden="1" outlineLevel="1">
      <c r="A200" s="3109"/>
      <c r="B200" s="460" t="s">
        <v>6590</v>
      </c>
      <c r="C200" s="659"/>
      <c r="D200" s="2050">
        <v>5</v>
      </c>
      <c r="E200" s="2051" t="s">
        <v>2803</v>
      </c>
      <c r="F200" s="2052">
        <v>3500</v>
      </c>
      <c r="G200" s="662">
        <f t="shared" si="9"/>
        <v>17500</v>
      </c>
      <c r="H200" s="2183"/>
      <c r="I200" s="3079"/>
      <c r="J200" s="2183"/>
      <c r="K200" s="3079"/>
      <c r="L200" s="2183"/>
      <c r="M200" s="3078"/>
      <c r="N200" s="2183"/>
      <c r="O200" s="3078"/>
      <c r="P200" s="2183"/>
      <c r="Q200" s="3078"/>
      <c r="R200" s="2183"/>
      <c r="S200" s="3078"/>
    </row>
    <row r="201" spans="1:19" hidden="1" outlineLevel="1">
      <c r="A201" s="3109"/>
      <c r="B201" s="460" t="s">
        <v>6591</v>
      </c>
      <c r="C201" s="659"/>
      <c r="D201" s="2050">
        <v>8</v>
      </c>
      <c r="E201" s="2051" t="s">
        <v>2803</v>
      </c>
      <c r="F201" s="2052">
        <v>3500</v>
      </c>
      <c r="G201" s="662">
        <f t="shared" si="9"/>
        <v>28000</v>
      </c>
      <c r="H201" s="2183"/>
      <c r="I201" s="3079"/>
      <c r="J201" s="2183"/>
      <c r="K201" s="3079"/>
      <c r="L201" s="2183"/>
      <c r="M201" s="3078"/>
      <c r="N201" s="2183"/>
      <c r="O201" s="3078"/>
      <c r="P201" s="2183"/>
      <c r="Q201" s="3078"/>
      <c r="R201" s="2183"/>
      <c r="S201" s="3078"/>
    </row>
    <row r="202" spans="1:19" hidden="1" outlineLevel="1">
      <c r="A202" s="3109"/>
      <c r="B202" s="460" t="s">
        <v>6592</v>
      </c>
      <c r="C202" s="659"/>
      <c r="D202" s="2050">
        <v>2</v>
      </c>
      <c r="E202" s="2051" t="s">
        <v>2803</v>
      </c>
      <c r="F202" s="2052">
        <v>3500</v>
      </c>
      <c r="G202" s="662">
        <f t="shared" si="9"/>
        <v>7000</v>
      </c>
      <c r="H202" s="2183"/>
      <c r="I202" s="3079"/>
      <c r="J202" s="2183"/>
      <c r="K202" s="3079"/>
      <c r="L202" s="2183"/>
      <c r="M202" s="3078"/>
      <c r="N202" s="2183"/>
      <c r="O202" s="3078"/>
      <c r="P202" s="2183"/>
      <c r="Q202" s="3078"/>
      <c r="R202" s="2183"/>
      <c r="S202" s="3078"/>
    </row>
    <row r="203" spans="1:19" hidden="1" outlineLevel="1">
      <c r="A203" s="3109"/>
      <c r="B203" s="460" t="s">
        <v>6473</v>
      </c>
      <c r="C203" s="659"/>
      <c r="D203" s="2050">
        <v>7</v>
      </c>
      <c r="E203" s="2051" t="s">
        <v>2803</v>
      </c>
      <c r="F203" s="2052">
        <v>3500</v>
      </c>
      <c r="G203" s="662">
        <f t="shared" si="9"/>
        <v>24500</v>
      </c>
      <c r="H203" s="2183"/>
      <c r="I203" s="3079"/>
      <c r="J203" s="2183"/>
      <c r="K203" s="3079"/>
      <c r="L203" s="2183"/>
      <c r="M203" s="3078"/>
      <c r="N203" s="2183"/>
      <c r="O203" s="3078"/>
      <c r="P203" s="2183"/>
      <c r="Q203" s="3078"/>
      <c r="R203" s="2183"/>
      <c r="S203" s="3078"/>
    </row>
    <row r="204" spans="1:19" hidden="1" outlineLevel="1">
      <c r="A204" s="3109"/>
      <c r="B204" s="460" t="s">
        <v>6474</v>
      </c>
      <c r="C204" s="659"/>
      <c r="D204" s="2050">
        <v>13</v>
      </c>
      <c r="E204" s="2051" t="s">
        <v>2803</v>
      </c>
      <c r="F204" s="2052">
        <v>2000</v>
      </c>
      <c r="G204" s="662">
        <f t="shared" si="9"/>
        <v>26000</v>
      </c>
      <c r="H204" s="2183"/>
      <c r="I204" s="3079"/>
      <c r="J204" s="2183"/>
      <c r="K204" s="3079"/>
      <c r="L204" s="2183"/>
      <c r="M204" s="3078"/>
      <c r="N204" s="2183"/>
      <c r="O204" s="3078"/>
      <c r="P204" s="2183"/>
      <c r="Q204" s="3078"/>
      <c r="R204" s="2183"/>
      <c r="S204" s="3078"/>
    </row>
    <row r="205" spans="1:19" hidden="1" outlineLevel="1">
      <c r="A205" s="3109"/>
      <c r="B205" s="460" t="s">
        <v>6593</v>
      </c>
      <c r="C205" s="659"/>
      <c r="D205" s="2050">
        <v>2</v>
      </c>
      <c r="E205" s="2051" t="s">
        <v>2803</v>
      </c>
      <c r="F205" s="2052">
        <v>2000</v>
      </c>
      <c r="G205" s="662">
        <f t="shared" ref="G205:G208" si="12">ROUND(D205*F205,0)</f>
        <v>4000</v>
      </c>
      <c r="H205" s="2183"/>
      <c r="I205" s="3079"/>
      <c r="J205" s="2183"/>
      <c r="K205" s="3079"/>
      <c r="L205" s="2183"/>
      <c r="M205" s="3078"/>
      <c r="N205" s="2183"/>
      <c r="O205" s="3078"/>
      <c r="P205" s="2183"/>
      <c r="Q205" s="3078"/>
      <c r="R205" s="2183"/>
      <c r="S205" s="3078"/>
    </row>
    <row r="206" spans="1:19" collapsed="1">
      <c r="A206" s="3109"/>
      <c r="B206" s="462"/>
      <c r="C206" s="659"/>
      <c r="D206" s="2050"/>
      <c r="E206" s="2051"/>
      <c r="F206" s="2052"/>
      <c r="G206" s="662">
        <f t="shared" si="12"/>
        <v>0</v>
      </c>
      <c r="H206" s="2183"/>
      <c r="I206" s="3079"/>
      <c r="J206" s="2183"/>
      <c r="K206" s="3079"/>
      <c r="L206" s="2183"/>
      <c r="M206" s="3078"/>
      <c r="N206" s="2183"/>
      <c r="O206" s="3078"/>
      <c r="P206" s="2183"/>
      <c r="Q206" s="3078"/>
      <c r="R206" s="2183"/>
      <c r="S206" s="3078"/>
    </row>
    <row r="207" spans="1:19">
      <c r="A207" s="3109"/>
      <c r="B207" s="3077" t="s">
        <v>6413</v>
      </c>
      <c r="C207" s="659"/>
      <c r="D207" s="2050"/>
      <c r="E207" s="2051"/>
      <c r="F207" s="2052"/>
      <c r="G207" s="662">
        <f t="shared" si="12"/>
        <v>0</v>
      </c>
      <c r="H207" s="2183"/>
      <c r="I207" s="3079"/>
      <c r="J207" s="2183"/>
      <c r="K207" s="3079"/>
      <c r="L207" s="2183"/>
      <c r="M207" s="3078"/>
      <c r="N207" s="2183"/>
      <c r="O207" s="3078"/>
      <c r="P207" s="2183"/>
      <c r="Q207" s="3078"/>
      <c r="R207" s="2183"/>
      <c r="S207" s="3078"/>
    </row>
    <row r="208" spans="1:19">
      <c r="A208" s="3109"/>
      <c r="B208" s="3115" t="s">
        <v>6594</v>
      </c>
      <c r="C208" s="659"/>
      <c r="D208" s="2050"/>
      <c r="E208" s="2051"/>
      <c r="F208" s="2052"/>
      <c r="G208" s="662">
        <f t="shared" si="12"/>
        <v>0</v>
      </c>
      <c r="H208" s="2183"/>
      <c r="I208" s="3079"/>
      <c r="J208" s="2183"/>
      <c r="K208" s="3079"/>
      <c r="L208" s="2183"/>
      <c r="M208" s="3078"/>
      <c r="N208" s="2183"/>
      <c r="O208" s="3078"/>
      <c r="P208" s="2183"/>
      <c r="Q208" s="3078"/>
      <c r="R208" s="2183"/>
      <c r="S208" s="3078"/>
    </row>
    <row r="209" spans="1:19">
      <c r="A209" s="3109"/>
      <c r="B209" s="460" t="s">
        <v>6595</v>
      </c>
      <c r="C209" s="659"/>
      <c r="D209" s="2050"/>
      <c r="E209" s="2051"/>
      <c r="F209" s="2052"/>
      <c r="G209" s="662">
        <f t="shared" ref="G209:G223" si="13">ROUND(D209*F209,0)</f>
        <v>0</v>
      </c>
      <c r="H209" s="2183"/>
      <c r="I209" s="3079"/>
      <c r="J209" s="2183"/>
      <c r="K209" s="3079"/>
      <c r="L209" s="2183"/>
      <c r="M209" s="3078"/>
      <c r="N209" s="2183"/>
      <c r="O209" s="3078"/>
      <c r="P209" s="2183"/>
      <c r="Q209" s="3078"/>
      <c r="R209" s="2183"/>
      <c r="S209" s="3078"/>
    </row>
    <row r="210" spans="1:19">
      <c r="A210" s="3109"/>
      <c r="B210" s="460" t="s">
        <v>6596</v>
      </c>
      <c r="C210" s="659"/>
      <c r="D210" s="2050"/>
      <c r="E210" s="2051"/>
      <c r="F210" s="2052"/>
      <c r="G210" s="662">
        <f t="shared" si="13"/>
        <v>0</v>
      </c>
      <c r="H210" s="2183"/>
      <c r="I210" s="3079"/>
      <c r="J210" s="2183"/>
      <c r="K210" s="3079"/>
      <c r="L210" s="2183"/>
      <c r="M210" s="3078"/>
      <c r="N210" s="2183"/>
      <c r="O210" s="3078"/>
      <c r="P210" s="2183"/>
      <c r="Q210" s="3078"/>
      <c r="R210" s="2183"/>
      <c r="S210" s="3078"/>
    </row>
    <row r="211" spans="1:19">
      <c r="A211" s="3109"/>
      <c r="B211" s="460" t="s">
        <v>6597</v>
      </c>
      <c r="C211" s="659"/>
      <c r="D211" s="2050"/>
      <c r="E211" s="2051"/>
      <c r="F211" s="2052"/>
      <c r="G211" s="662">
        <f t="shared" si="13"/>
        <v>0</v>
      </c>
      <c r="H211" s="2183"/>
      <c r="I211" s="3079"/>
      <c r="J211" s="2183"/>
      <c r="K211" s="3079"/>
      <c r="L211" s="2183"/>
      <c r="M211" s="3078"/>
      <c r="N211" s="2183"/>
      <c r="O211" s="3078"/>
      <c r="P211" s="2183"/>
      <c r="Q211" s="3078"/>
      <c r="R211" s="2183"/>
      <c r="S211" s="3078"/>
    </row>
    <row r="212" spans="1:19">
      <c r="A212" s="3109"/>
      <c r="B212" s="460" t="s">
        <v>6598</v>
      </c>
      <c r="C212" s="659"/>
      <c r="D212" s="2050"/>
      <c r="E212" s="2051"/>
      <c r="F212" s="2052"/>
      <c r="G212" s="662">
        <f t="shared" si="13"/>
        <v>0</v>
      </c>
      <c r="H212" s="2183"/>
      <c r="I212" s="3079"/>
      <c r="J212" s="2183"/>
      <c r="K212" s="3079"/>
      <c r="L212" s="2183"/>
      <c r="M212" s="3078"/>
      <c r="N212" s="2183"/>
      <c r="O212" s="3078"/>
      <c r="P212" s="2183"/>
      <c r="Q212" s="3078"/>
      <c r="R212" s="2183"/>
      <c r="S212" s="3078"/>
    </row>
    <row r="213" spans="1:19">
      <c r="A213" s="3109"/>
      <c r="B213" s="460" t="s">
        <v>6599</v>
      </c>
      <c r="C213" s="659"/>
      <c r="D213" s="2050"/>
      <c r="E213" s="2051"/>
      <c r="F213" s="2052"/>
      <c r="G213" s="662">
        <f t="shared" si="13"/>
        <v>0</v>
      </c>
      <c r="H213" s="2183"/>
      <c r="I213" s="3079"/>
      <c r="J213" s="2183"/>
      <c r="K213" s="3079"/>
      <c r="L213" s="2183"/>
      <c r="M213" s="3078"/>
      <c r="N213" s="2183"/>
      <c r="O213" s="3078"/>
      <c r="P213" s="2183"/>
      <c r="Q213" s="3078"/>
      <c r="R213" s="2183"/>
      <c r="S213" s="3078"/>
    </row>
    <row r="214" spans="1:19">
      <c r="A214" s="3109"/>
      <c r="B214" s="460" t="s">
        <v>6600</v>
      </c>
      <c r="C214" s="659"/>
      <c r="D214" s="2050"/>
      <c r="E214" s="2051"/>
      <c r="F214" s="2052"/>
      <c r="G214" s="662">
        <f t="shared" si="13"/>
        <v>0</v>
      </c>
      <c r="H214" s="2183"/>
      <c r="I214" s="3079"/>
      <c r="J214" s="2183"/>
      <c r="K214" s="3079"/>
      <c r="L214" s="2183"/>
      <c r="M214" s="3078"/>
      <c r="N214" s="2183"/>
      <c r="O214" s="3078"/>
      <c r="P214" s="2183"/>
      <c r="Q214" s="3078"/>
      <c r="R214" s="2183"/>
      <c r="S214" s="3078"/>
    </row>
    <row r="215" spans="1:19">
      <c r="A215" s="3109"/>
      <c r="B215" s="460" t="s">
        <v>6601</v>
      </c>
      <c r="C215" s="659"/>
      <c r="D215" s="2050"/>
      <c r="E215" s="2051"/>
      <c r="F215" s="2052"/>
      <c r="G215" s="662">
        <f t="shared" si="13"/>
        <v>0</v>
      </c>
      <c r="H215" s="2183"/>
      <c r="I215" s="3079"/>
      <c r="J215" s="2183"/>
      <c r="K215" s="3079"/>
      <c r="L215" s="2183"/>
      <c r="M215" s="3078"/>
      <c r="N215" s="2183"/>
      <c r="O215" s="3078"/>
      <c r="P215" s="2183"/>
      <c r="Q215" s="3078"/>
      <c r="R215" s="2183"/>
      <c r="S215" s="3078"/>
    </row>
    <row r="216" spans="1:19">
      <c r="A216" s="3109"/>
      <c r="B216" s="460" t="s">
        <v>6602</v>
      </c>
      <c r="C216" s="659"/>
      <c r="D216" s="2050"/>
      <c r="E216" s="2051"/>
      <c r="F216" s="2052"/>
      <c r="G216" s="662">
        <f t="shared" si="13"/>
        <v>0</v>
      </c>
      <c r="H216" s="2183"/>
      <c r="I216" s="3079"/>
      <c r="J216" s="2183"/>
      <c r="K216" s="3079"/>
      <c r="L216" s="2183"/>
      <c r="M216" s="3078"/>
      <c r="N216" s="2183"/>
      <c r="O216" s="3078"/>
      <c r="P216" s="2183"/>
      <c r="Q216" s="3078"/>
      <c r="R216" s="2183"/>
      <c r="S216" s="3078"/>
    </row>
    <row r="217" spans="1:19">
      <c r="A217" s="3109"/>
      <c r="B217" s="460" t="s">
        <v>6603</v>
      </c>
      <c r="C217" s="659"/>
      <c r="D217" s="2050"/>
      <c r="E217" s="2051"/>
      <c r="F217" s="2052"/>
      <c r="G217" s="662">
        <f t="shared" si="13"/>
        <v>0</v>
      </c>
      <c r="H217" s="2183"/>
      <c r="I217" s="3079"/>
      <c r="J217" s="2183"/>
      <c r="K217" s="3079"/>
      <c r="L217" s="2183"/>
      <c r="M217" s="3078"/>
      <c r="N217" s="2183"/>
      <c r="O217" s="3078"/>
      <c r="P217" s="2183"/>
      <c r="Q217" s="3078"/>
      <c r="R217" s="2183"/>
      <c r="S217" s="3078"/>
    </row>
    <row r="218" spans="1:19">
      <c r="A218" s="3109"/>
      <c r="B218" s="460" t="s">
        <v>6604</v>
      </c>
      <c r="C218" s="659"/>
      <c r="D218" s="2050"/>
      <c r="E218" s="2051"/>
      <c r="F218" s="2052"/>
      <c r="G218" s="662">
        <f t="shared" si="13"/>
        <v>0</v>
      </c>
      <c r="H218" s="2183"/>
      <c r="I218" s="3079"/>
      <c r="J218" s="2183"/>
      <c r="K218" s="3079"/>
      <c r="L218" s="2183"/>
      <c r="M218" s="3078"/>
      <c r="N218" s="2183"/>
      <c r="O218" s="3078"/>
      <c r="P218" s="2183"/>
      <c r="Q218" s="3078"/>
      <c r="R218" s="2183"/>
      <c r="S218" s="3078"/>
    </row>
    <row r="219" spans="1:19">
      <c r="A219" s="3109"/>
      <c r="B219" s="460" t="s">
        <v>6605</v>
      </c>
      <c r="C219" s="659"/>
      <c r="D219" s="2050"/>
      <c r="E219" s="2051"/>
      <c r="F219" s="2052"/>
      <c r="G219" s="662">
        <f t="shared" si="13"/>
        <v>0</v>
      </c>
      <c r="H219" s="2183"/>
      <c r="I219" s="3079"/>
      <c r="J219" s="2183"/>
      <c r="K219" s="3079"/>
      <c r="L219" s="2183"/>
      <c r="M219" s="3078"/>
      <c r="N219" s="2183"/>
      <c r="O219" s="3078"/>
      <c r="P219" s="2183"/>
      <c r="Q219" s="3078"/>
      <c r="R219" s="2183"/>
      <c r="S219" s="3078"/>
    </row>
    <row r="220" spans="1:19">
      <c r="A220" s="3109"/>
      <c r="B220" s="460" t="s">
        <v>6606</v>
      </c>
      <c r="C220" s="659"/>
      <c r="D220" s="2050"/>
      <c r="E220" s="2051"/>
      <c r="F220" s="2052"/>
      <c r="G220" s="662">
        <f t="shared" si="13"/>
        <v>0</v>
      </c>
      <c r="H220" s="2183"/>
      <c r="I220" s="3079"/>
      <c r="J220" s="2183"/>
      <c r="K220" s="3079"/>
      <c r="L220" s="2183"/>
      <c r="M220" s="3078"/>
      <c r="N220" s="2183"/>
      <c r="O220" s="3078"/>
      <c r="P220" s="2183"/>
      <c r="Q220" s="3078"/>
      <c r="R220" s="2183"/>
      <c r="S220" s="3078"/>
    </row>
    <row r="221" spans="1:19">
      <c r="A221" s="3109"/>
      <c r="B221" s="460" t="s">
        <v>6607</v>
      </c>
      <c r="C221" s="659"/>
      <c r="D221" s="2050"/>
      <c r="E221" s="2051"/>
      <c r="F221" s="2052"/>
      <c r="G221" s="662">
        <f t="shared" si="13"/>
        <v>0</v>
      </c>
      <c r="H221" s="2183"/>
      <c r="I221" s="3079"/>
      <c r="J221" s="2183"/>
      <c r="K221" s="3079"/>
      <c r="L221" s="2183"/>
      <c r="M221" s="3078"/>
      <c r="N221" s="2183"/>
      <c r="O221" s="3078"/>
      <c r="P221" s="2183"/>
      <c r="Q221" s="3078"/>
      <c r="R221" s="2183"/>
      <c r="S221" s="3078"/>
    </row>
    <row r="222" spans="1:19">
      <c r="A222" s="3109"/>
      <c r="B222" s="460" t="s">
        <v>6608</v>
      </c>
      <c r="C222" s="659"/>
      <c r="D222" s="2050"/>
      <c r="E222" s="2051"/>
      <c r="F222" s="2052"/>
      <c r="G222" s="662">
        <f t="shared" si="13"/>
        <v>0</v>
      </c>
      <c r="H222" s="2183"/>
      <c r="I222" s="3079"/>
      <c r="J222" s="2183"/>
      <c r="K222" s="3079"/>
      <c r="L222" s="2183"/>
      <c r="M222" s="3078"/>
      <c r="N222" s="2183"/>
      <c r="O222" s="3078"/>
      <c r="P222" s="2183"/>
      <c r="Q222" s="3078"/>
      <c r="R222" s="2183"/>
      <c r="S222" s="3078"/>
    </row>
    <row r="223" spans="1:19">
      <c r="A223" s="3109"/>
      <c r="B223" s="460" t="s">
        <v>6609</v>
      </c>
      <c r="C223" s="659"/>
      <c r="D223" s="2050"/>
      <c r="E223" s="2051"/>
      <c r="F223" s="2052"/>
      <c r="G223" s="662">
        <f t="shared" si="13"/>
        <v>0</v>
      </c>
      <c r="H223" s="2183"/>
      <c r="I223" s="3079"/>
      <c r="J223" s="2183"/>
      <c r="K223" s="3079"/>
      <c r="L223" s="2183"/>
      <c r="M223" s="3078"/>
      <c r="N223" s="2183"/>
      <c r="O223" s="3078"/>
      <c r="P223" s="2183"/>
      <c r="Q223" s="3078"/>
      <c r="R223" s="2183"/>
      <c r="S223" s="3078"/>
    </row>
    <row r="224" spans="1:19">
      <c r="A224" s="2185"/>
      <c r="B224" s="3077"/>
      <c r="C224" s="2049"/>
      <c r="D224" s="2050"/>
      <c r="E224" s="2051"/>
      <c r="F224" s="2052"/>
      <c r="G224" s="662">
        <f t="shared" si="9"/>
        <v>0</v>
      </c>
      <c r="H224" s="2183"/>
      <c r="I224" s="3079"/>
      <c r="J224" s="2183"/>
      <c r="K224" s="3079"/>
      <c r="L224" s="2183"/>
      <c r="M224" s="3078"/>
      <c r="N224" s="2183"/>
      <c r="O224" s="3078"/>
      <c r="P224" s="2183"/>
      <c r="Q224" s="3078"/>
      <c r="R224" s="2183"/>
      <c r="S224" s="3078"/>
    </row>
    <row r="225" spans="1:34">
      <c r="A225" s="2185"/>
      <c r="B225" s="3077" t="s">
        <v>3581</v>
      </c>
      <c r="C225" s="2049"/>
      <c r="D225" s="2050"/>
      <c r="E225" s="2051"/>
      <c r="F225" s="2052"/>
      <c r="G225" s="662">
        <f t="shared" si="9"/>
        <v>0</v>
      </c>
      <c r="H225" s="2183"/>
      <c r="I225" s="3079"/>
      <c r="J225" s="2183"/>
      <c r="K225" s="3079"/>
      <c r="L225" s="2183"/>
      <c r="M225" s="3078"/>
      <c r="N225" s="2183"/>
      <c r="O225" s="3078"/>
      <c r="P225" s="2183"/>
      <c r="Q225" s="3078"/>
      <c r="R225" s="2183"/>
      <c r="S225" s="3078"/>
    </row>
    <row r="226" spans="1:34">
      <c r="A226" s="2185"/>
      <c r="B226" s="3077" t="s">
        <v>3582</v>
      </c>
      <c r="C226" s="2049"/>
      <c r="D226" s="2050"/>
      <c r="E226" s="2051"/>
      <c r="F226" s="2052"/>
      <c r="G226" s="662">
        <f t="shared" si="9"/>
        <v>0</v>
      </c>
      <c r="H226" s="2183"/>
      <c r="I226" s="3079"/>
      <c r="J226" s="2183"/>
      <c r="K226" s="3079"/>
      <c r="L226" s="2183"/>
      <c r="M226" s="3078"/>
      <c r="N226" s="2183"/>
      <c r="O226" s="3078"/>
      <c r="P226" s="2183"/>
      <c r="Q226" s="3078"/>
      <c r="R226" s="2183"/>
      <c r="S226" s="3078"/>
    </row>
    <row r="227" spans="1:34">
      <c r="A227" s="2185"/>
      <c r="B227" s="3077" t="s">
        <v>3583</v>
      </c>
      <c r="C227" s="2049"/>
      <c r="D227" s="2050"/>
      <c r="E227" s="2051"/>
      <c r="F227" s="2052"/>
      <c r="G227" s="662">
        <f t="shared" si="9"/>
        <v>0</v>
      </c>
      <c r="H227" s="2183"/>
      <c r="I227" s="3079"/>
      <c r="J227" s="2183"/>
      <c r="K227" s="3079"/>
      <c r="L227" s="2183"/>
      <c r="M227" s="3078"/>
      <c r="N227" s="2183"/>
      <c r="O227" s="3078"/>
      <c r="P227" s="2183"/>
      <c r="Q227" s="3078"/>
      <c r="R227" s="2183"/>
      <c r="S227" s="3078"/>
    </row>
    <row r="228" spans="1:34" ht="15.75" thickBot="1">
      <c r="A228" s="2185"/>
      <c r="B228" s="3077"/>
      <c r="C228" s="2049"/>
      <c r="D228" s="2050"/>
      <c r="E228" s="2051"/>
      <c r="F228" s="2052"/>
      <c r="G228" s="662"/>
      <c r="H228" s="2183"/>
      <c r="I228" s="3079"/>
      <c r="J228" s="2183"/>
      <c r="K228" s="3079"/>
      <c r="L228" s="2183"/>
      <c r="M228" s="3078"/>
      <c r="N228" s="2183"/>
      <c r="O228" s="3078"/>
      <c r="P228" s="2183"/>
      <c r="Q228" s="3078">
        <v>1</v>
      </c>
      <c r="R228" s="2183"/>
      <c r="S228" s="3078"/>
    </row>
    <row r="229" spans="1:34" ht="15.75" thickTop="1">
      <c r="A229" s="13"/>
      <c r="B229" s="226" t="s">
        <v>3265</v>
      </c>
      <c r="C229" s="15"/>
      <c r="D229" s="382"/>
      <c r="E229" s="176"/>
      <c r="F229" s="17"/>
      <c r="G229" s="227">
        <f>SUBTOTAL(9,G21:G228)</f>
        <v>204000</v>
      </c>
      <c r="H229" s="19"/>
      <c r="I229" s="225">
        <f>SUBTOTAL(9,I20:I228)</f>
        <v>3987100</v>
      </c>
      <c r="J229" s="19"/>
      <c r="K229" s="225">
        <f>SUBTOTAL(9,K20:K228)</f>
        <v>4049025</v>
      </c>
      <c r="L229" s="19"/>
      <c r="M229" s="225">
        <f>SUBTOTAL(9,M20:M228)</f>
        <v>4251235</v>
      </c>
      <c r="N229" s="19"/>
      <c r="O229" s="225">
        <f>SUBTOTAL(9,O20:O228)</f>
        <v>66000</v>
      </c>
      <c r="P229" s="19"/>
      <c r="Q229" s="225">
        <f>SUBTOTAL(9,Q20:Q228)</f>
        <v>3727607</v>
      </c>
      <c r="R229" s="19"/>
      <c r="S229" s="225">
        <f>SUBTOTAL(9,S20:S228)</f>
        <v>66000</v>
      </c>
    </row>
    <row r="230" spans="1:34">
      <c r="A230" s="3116"/>
      <c r="B230" s="2208" t="s">
        <v>2976</v>
      </c>
      <c r="C230" s="2138"/>
      <c r="D230" s="3117"/>
      <c r="E230" s="2210"/>
      <c r="F230" s="2140"/>
      <c r="G230" s="654"/>
      <c r="H230" s="3118">
        <v>0</v>
      </c>
      <c r="I230" s="645"/>
      <c r="J230" s="3118">
        <v>0</v>
      </c>
      <c r="K230" s="645"/>
      <c r="L230" s="3118">
        <v>0</v>
      </c>
      <c r="M230" s="645"/>
      <c r="N230" s="3118">
        <v>0</v>
      </c>
      <c r="O230" s="645"/>
      <c r="P230" s="3118">
        <v>0</v>
      </c>
      <c r="Q230" s="645"/>
      <c r="R230" s="3118">
        <v>0</v>
      </c>
      <c r="S230" s="645"/>
    </row>
    <row r="231" spans="1:34">
      <c r="A231" s="3116"/>
      <c r="B231" s="2208" t="s">
        <v>2977</v>
      </c>
      <c r="C231" s="2138"/>
      <c r="D231" s="3117"/>
      <c r="E231" s="2210"/>
      <c r="F231" s="2140"/>
      <c r="G231" s="654">
        <f>F230*G229</f>
        <v>0</v>
      </c>
      <c r="H231" s="3119"/>
      <c r="I231" s="3120">
        <f>H230*I229</f>
        <v>0</v>
      </c>
      <c r="J231" s="3119"/>
      <c r="K231" s="3120">
        <f>J230*K229</f>
        <v>0</v>
      </c>
      <c r="L231" s="3119"/>
      <c r="M231" s="3120">
        <f>L230*M229</f>
        <v>0</v>
      </c>
      <c r="N231" s="3119"/>
      <c r="O231" s="3120">
        <f>N230*O229</f>
        <v>0</v>
      </c>
      <c r="P231" s="3119"/>
      <c r="Q231" s="3120">
        <f>P230*Q229</f>
        <v>0</v>
      </c>
      <c r="R231" s="3119"/>
      <c r="S231" s="3120">
        <f>R230*S229</f>
        <v>0</v>
      </c>
    </row>
    <row r="232" spans="1:34">
      <c r="A232" s="3116"/>
      <c r="B232" s="2208"/>
      <c r="C232" s="2138"/>
      <c r="D232" s="3117"/>
      <c r="E232" s="2210"/>
      <c r="F232" s="2140"/>
      <c r="G232" s="654"/>
      <c r="H232" s="3119"/>
      <c r="I232" s="3120"/>
      <c r="J232" s="3119"/>
      <c r="K232" s="3120"/>
      <c r="L232" s="3119"/>
      <c r="M232" s="3120"/>
      <c r="N232" s="3119"/>
      <c r="O232" s="3120"/>
      <c r="P232" s="3119"/>
      <c r="Q232" s="3120"/>
      <c r="R232" s="3119"/>
      <c r="S232" s="3120"/>
    </row>
    <row r="233" spans="1:34">
      <c r="A233" s="3116"/>
      <c r="B233" s="2208" t="s">
        <v>2978</v>
      </c>
      <c r="C233" s="2138"/>
      <c r="D233" s="3117"/>
      <c r="E233" s="2210"/>
      <c r="F233" s="2140"/>
      <c r="G233" s="654">
        <f>SUM(G229:G231)</f>
        <v>204000</v>
      </c>
      <c r="H233" s="3121"/>
      <c r="I233" s="3120">
        <f>SUM(I229:I231)</f>
        <v>3987100</v>
      </c>
      <c r="J233" s="3121"/>
      <c r="K233" s="3120">
        <f>SUM(K229:K231)</f>
        <v>4049025</v>
      </c>
      <c r="L233" s="3121"/>
      <c r="M233" s="3120">
        <f>SUM(M229:M231)</f>
        <v>4251235</v>
      </c>
      <c r="N233" s="3121"/>
      <c r="O233" s="3120">
        <f>SUM(O229:O231)</f>
        <v>66000</v>
      </c>
      <c r="P233" s="3121"/>
      <c r="Q233" s="3120">
        <f>SUM(Q229:Q231)</f>
        <v>3727607</v>
      </c>
      <c r="R233" s="3121"/>
      <c r="S233" s="3120">
        <f>SUM(S229:S231)</f>
        <v>66000</v>
      </c>
    </row>
    <row r="234" spans="1:34">
      <c r="A234" s="3116"/>
      <c r="B234" s="2077" t="s">
        <v>2979</v>
      </c>
      <c r="C234" s="2138"/>
      <c r="D234" s="3117"/>
      <c r="E234" s="2210"/>
      <c r="F234" s="2077"/>
      <c r="G234" s="655">
        <v>0</v>
      </c>
      <c r="H234" s="3122"/>
      <c r="I234" s="3123">
        <v>0</v>
      </c>
      <c r="J234" s="3122"/>
      <c r="K234" s="3123">
        <v>0</v>
      </c>
      <c r="L234" s="3122"/>
      <c r="M234" s="3123">
        <v>0</v>
      </c>
      <c r="N234" s="3122"/>
      <c r="O234" s="3123">
        <v>0</v>
      </c>
      <c r="P234" s="3122"/>
      <c r="Q234" s="3123">
        <v>0</v>
      </c>
      <c r="R234" s="3124"/>
      <c r="S234" s="3123">
        <v>0</v>
      </c>
    </row>
    <row r="235" spans="1:34">
      <c r="A235" s="3116"/>
      <c r="B235" s="2081"/>
      <c r="C235" s="2138"/>
      <c r="D235" s="3117"/>
      <c r="E235" s="2210"/>
      <c r="F235" s="2140"/>
      <c r="G235" s="656"/>
      <c r="H235" s="3125"/>
      <c r="I235" s="3126"/>
      <c r="J235" s="3125"/>
      <c r="K235" s="3125"/>
      <c r="L235" s="3125"/>
      <c r="M235" s="3125"/>
      <c r="N235" s="3125"/>
      <c r="O235" s="3125"/>
      <c r="P235" s="3125"/>
      <c r="Q235" s="3125"/>
      <c r="R235" s="3125"/>
      <c r="S235" s="3125"/>
    </row>
    <row r="236" spans="1:34" ht="16.5" hidden="1" thickTop="1" thickBot="1">
      <c r="A236" s="830" t="s">
        <v>2980</v>
      </c>
      <c r="B236" s="831"/>
      <c r="C236" s="12"/>
      <c r="D236" s="383"/>
      <c r="E236" s="177"/>
      <c r="F236" s="12"/>
      <c r="G236" s="228"/>
      <c r="H236" s="20"/>
      <c r="I236" s="20"/>
      <c r="J236" s="20"/>
      <c r="K236" s="20"/>
      <c r="L236" s="20"/>
      <c r="M236" s="20"/>
      <c r="N236" s="20"/>
      <c r="O236" s="20"/>
      <c r="P236" s="20"/>
      <c r="Q236" s="20"/>
      <c r="R236" s="20"/>
      <c r="S236" s="20"/>
    </row>
    <row r="237" spans="1:34" hidden="1">
      <c r="A237" s="3049"/>
      <c r="B237" s="2106"/>
      <c r="C237" s="3050"/>
      <c r="D237" s="3127"/>
      <c r="E237" s="3052"/>
      <c r="F237" s="3050"/>
      <c r="G237" s="3088"/>
      <c r="H237" s="3056"/>
      <c r="I237" s="3056"/>
      <c r="J237" s="3056"/>
      <c r="K237" s="3056"/>
      <c r="L237" s="3056"/>
      <c r="M237" s="3056"/>
      <c r="N237" s="3056"/>
      <c r="O237" s="3056"/>
      <c r="P237" s="3056"/>
      <c r="Q237" s="3056"/>
      <c r="R237" s="3056"/>
      <c r="S237" s="3056"/>
    </row>
    <row r="238" spans="1:34" hidden="1">
      <c r="A238" s="3049"/>
      <c r="B238" s="2106"/>
      <c r="C238" s="3050"/>
      <c r="D238" s="3127"/>
      <c r="E238" s="3052"/>
      <c r="F238" s="3050"/>
      <c r="G238" s="3088"/>
      <c r="H238" s="3056"/>
      <c r="I238" s="3056"/>
      <c r="J238" s="3056"/>
      <c r="K238" s="3056"/>
      <c r="L238" s="3056"/>
      <c r="M238" s="3056"/>
      <c r="N238" s="3056"/>
      <c r="O238" s="3056"/>
      <c r="P238" s="3056"/>
      <c r="Q238" s="3056"/>
      <c r="R238" s="3056"/>
      <c r="S238" s="3056"/>
    </row>
    <row r="239" spans="1:34" hidden="1">
      <c r="A239" s="3049"/>
      <c r="B239" s="2106"/>
      <c r="C239" s="3050"/>
      <c r="D239" s="3127"/>
      <c r="E239" s="3052"/>
      <c r="F239" s="3050"/>
      <c r="G239" s="3088"/>
      <c r="H239" s="3056"/>
      <c r="I239" s="3056"/>
      <c r="J239" s="3056"/>
      <c r="K239" s="3056"/>
      <c r="L239" s="3056"/>
      <c r="M239" s="3056"/>
      <c r="N239" s="3056"/>
      <c r="O239" s="3056"/>
      <c r="P239" s="3056"/>
      <c r="Q239" s="3056"/>
      <c r="R239" s="3056"/>
      <c r="S239" s="3056"/>
    </row>
    <row r="240" spans="1:34" s="2" customFormat="1" ht="16.5" hidden="1" thickTop="1" thickBot="1">
      <c r="A240" s="830" t="s">
        <v>2981</v>
      </c>
      <c r="B240" s="831"/>
      <c r="C240" s="12"/>
      <c r="D240" s="383"/>
      <c r="E240" s="177"/>
      <c r="F240" s="12"/>
      <c r="G240" s="228"/>
      <c r="H240" s="20"/>
      <c r="I240" s="20"/>
      <c r="J240" s="20"/>
      <c r="K240" s="20"/>
      <c r="L240" s="20"/>
      <c r="M240" s="20"/>
      <c r="N240" s="20"/>
      <c r="O240" s="20"/>
      <c r="P240" s="20"/>
      <c r="Q240" s="20"/>
      <c r="R240" s="20"/>
      <c r="S240" s="20"/>
      <c r="T240"/>
      <c r="U240"/>
      <c r="V240"/>
      <c r="W240"/>
      <c r="X240"/>
      <c r="Y240"/>
      <c r="Z240"/>
      <c r="AA240"/>
      <c r="AB240"/>
      <c r="AC240"/>
      <c r="AD240"/>
      <c r="AE240"/>
      <c r="AF240"/>
      <c r="AG240"/>
      <c r="AH240"/>
    </row>
    <row r="241" spans="1:34" s="2" customFormat="1" hidden="1">
      <c r="A241" s="3049"/>
      <c r="B241" s="2106"/>
      <c r="C241" s="3050"/>
      <c r="D241" s="3127"/>
      <c r="E241" s="3052"/>
      <c r="F241" s="3050"/>
      <c r="G241" s="3088"/>
      <c r="H241" s="3056"/>
      <c r="I241" s="3056"/>
      <c r="J241" s="3056"/>
      <c r="K241" s="3056"/>
      <c r="L241" s="3056"/>
      <c r="M241" s="3056"/>
      <c r="N241" s="3056"/>
      <c r="O241" s="3056"/>
      <c r="P241" s="3056"/>
      <c r="Q241" s="3056"/>
      <c r="R241" s="3056"/>
      <c r="S241" s="3056"/>
      <c r="T241"/>
      <c r="U241"/>
      <c r="V241"/>
      <c r="W241"/>
      <c r="X241"/>
      <c r="Y241"/>
      <c r="Z241"/>
      <c r="AA241"/>
      <c r="AB241"/>
      <c r="AC241"/>
      <c r="AD241"/>
      <c r="AE241"/>
      <c r="AF241"/>
      <c r="AG241"/>
      <c r="AH241"/>
    </row>
    <row r="242" spans="1:34" s="2" customFormat="1" hidden="1">
      <c r="A242" s="3049"/>
      <c r="B242" s="2106"/>
      <c r="C242" s="3050"/>
      <c r="D242" s="3127"/>
      <c r="E242" s="3052"/>
      <c r="F242" s="3050"/>
      <c r="G242" s="3088"/>
      <c r="H242" s="3056"/>
      <c r="I242" s="3056"/>
      <c r="J242" s="3056"/>
      <c r="K242" s="3056"/>
      <c r="L242" s="3056"/>
      <c r="M242" s="3056"/>
      <c r="N242" s="3056"/>
      <c r="O242" s="3056"/>
      <c r="P242" s="3056"/>
      <c r="Q242" s="3056"/>
      <c r="R242" s="3056"/>
      <c r="S242" s="3056"/>
      <c r="T242"/>
      <c r="U242"/>
      <c r="V242"/>
      <c r="W242"/>
      <c r="X242"/>
      <c r="Y242"/>
      <c r="Z242"/>
      <c r="AA242"/>
      <c r="AB242"/>
      <c r="AC242"/>
      <c r="AD242"/>
      <c r="AE242"/>
      <c r="AF242"/>
      <c r="AG242"/>
      <c r="AH242"/>
    </row>
    <row r="243" spans="1:34" hidden="1">
      <c r="A243" s="3049"/>
      <c r="B243" s="2106"/>
      <c r="C243" s="3050"/>
      <c r="D243" s="3127"/>
      <c r="E243" s="3052"/>
      <c r="F243" s="3050"/>
      <c r="G243" s="3088"/>
      <c r="H243" s="3056"/>
      <c r="I243" s="3056"/>
      <c r="J243" s="3056"/>
      <c r="K243" s="3056"/>
      <c r="L243" s="3056"/>
      <c r="M243" s="3056"/>
      <c r="N243" s="3056"/>
      <c r="O243" s="3056"/>
      <c r="P243" s="3056"/>
      <c r="Q243" s="3056"/>
      <c r="R243" s="3056"/>
      <c r="S243" s="3056"/>
    </row>
    <row r="244" spans="1:34" s="2" customFormat="1" ht="16.5" hidden="1" thickTop="1" thickBot="1">
      <c r="A244" s="830" t="s">
        <v>2982</v>
      </c>
      <c r="B244" s="831"/>
      <c r="C244" s="12"/>
      <c r="D244" s="383"/>
      <c r="E244" s="177"/>
      <c r="F244" s="12"/>
      <c r="G244" s="228"/>
      <c r="H244" s="20"/>
      <c r="I244" s="20"/>
      <c r="J244" s="20"/>
      <c r="K244" s="20"/>
      <c r="L244" s="20"/>
      <c r="M244" s="20"/>
      <c r="N244" s="20"/>
      <c r="O244" s="20"/>
      <c r="P244" s="20"/>
      <c r="Q244" s="20"/>
      <c r="R244" s="20"/>
      <c r="S244" s="20"/>
      <c r="T244"/>
      <c r="U244"/>
      <c r="V244"/>
      <c r="W244"/>
      <c r="X244"/>
      <c r="Y244"/>
      <c r="Z244"/>
      <c r="AA244"/>
      <c r="AB244"/>
      <c r="AC244"/>
      <c r="AD244"/>
      <c r="AE244"/>
      <c r="AF244"/>
      <c r="AG244"/>
      <c r="AH244"/>
    </row>
    <row r="245" spans="1:34" s="2" customFormat="1" hidden="1">
      <c r="A245" s="3049"/>
      <c r="B245" s="2106"/>
      <c r="C245" s="3050"/>
      <c r="D245" s="3127"/>
      <c r="E245" s="3052"/>
      <c r="F245" s="3050"/>
      <c r="G245" s="3088"/>
      <c r="H245" s="3056"/>
      <c r="I245" s="3056"/>
      <c r="J245" s="3056"/>
      <c r="K245" s="3056"/>
      <c r="L245" s="3056"/>
      <c r="M245" s="3056"/>
      <c r="N245" s="3056"/>
      <c r="O245" s="3056"/>
      <c r="P245" s="3056"/>
      <c r="Q245" s="3056"/>
      <c r="R245" s="3056"/>
      <c r="S245" s="3056"/>
      <c r="T245"/>
      <c r="U245"/>
      <c r="V245"/>
      <c r="W245"/>
      <c r="X245"/>
      <c r="Y245"/>
      <c r="Z245"/>
      <c r="AA245"/>
      <c r="AB245"/>
      <c r="AC245"/>
      <c r="AD245"/>
      <c r="AE245"/>
      <c r="AF245"/>
      <c r="AG245"/>
      <c r="AH245"/>
    </row>
    <row r="246" spans="1:34" s="2" customFormat="1" hidden="1">
      <c r="A246" s="3128"/>
      <c r="B246" s="2106"/>
      <c r="C246" s="2049"/>
      <c r="D246" s="2050"/>
      <c r="E246" s="2051"/>
      <c r="F246" s="2049"/>
      <c r="G246" s="2086"/>
      <c r="H246" s="3129"/>
      <c r="I246" s="3129"/>
      <c r="J246" s="3129"/>
      <c r="K246" s="3129"/>
      <c r="L246" s="3129"/>
      <c r="M246" s="3129"/>
      <c r="N246" s="3129"/>
      <c r="O246" s="3129"/>
      <c r="P246" s="3129"/>
      <c r="Q246" s="3129"/>
      <c r="R246" s="3129"/>
      <c r="S246" s="3129"/>
      <c r="T246"/>
      <c r="U246"/>
      <c r="V246"/>
      <c r="W246"/>
      <c r="X246"/>
      <c r="Y246"/>
      <c r="Z246"/>
      <c r="AA246"/>
      <c r="AB246"/>
      <c r="AC246"/>
      <c r="AD246"/>
      <c r="AE246"/>
      <c r="AF246"/>
      <c r="AG246"/>
      <c r="AH246"/>
    </row>
    <row r="247" spans="1:34" s="2" customFormat="1" hidden="1">
      <c r="A247" s="3130"/>
      <c r="B247" s="2089"/>
      <c r="C247" s="2049"/>
      <c r="D247" s="2050"/>
      <c r="E247" s="2051"/>
      <c r="F247" s="2049"/>
      <c r="G247" s="2086"/>
      <c r="H247" s="3131"/>
      <c r="I247" s="3131"/>
      <c r="J247" s="3131"/>
      <c r="K247" s="3131"/>
      <c r="L247" s="3131"/>
      <c r="M247" s="3131"/>
      <c r="N247" s="3131"/>
      <c r="O247" s="3131"/>
      <c r="P247" s="3131"/>
      <c r="Q247" s="3131"/>
      <c r="R247" s="3131"/>
      <c r="S247" s="3131"/>
    </row>
    <row r="248" spans="1:34" s="2" customFormat="1" ht="16.5" hidden="1" thickTop="1" thickBot="1">
      <c r="A248" s="830" t="s">
        <v>2983</v>
      </c>
      <c r="B248" s="831"/>
      <c r="C248" s="12"/>
      <c r="D248" s="383"/>
      <c r="E248" s="177"/>
      <c r="F248" s="12"/>
      <c r="G248" s="228"/>
      <c r="H248" s="20"/>
      <c r="I248" s="20"/>
      <c r="J248" s="20"/>
      <c r="K248" s="20"/>
      <c r="L248" s="20"/>
      <c r="M248" s="20"/>
      <c r="N248" s="20"/>
      <c r="O248" s="20"/>
      <c r="P248" s="20"/>
      <c r="Q248" s="20"/>
      <c r="R248" s="20"/>
      <c r="S248" s="20"/>
      <c r="T248"/>
      <c r="U248"/>
      <c r="V248"/>
      <c r="W248"/>
      <c r="X248"/>
      <c r="Y248"/>
      <c r="Z248"/>
      <c r="AA248"/>
      <c r="AB248"/>
      <c r="AC248"/>
      <c r="AD248"/>
      <c r="AE248"/>
      <c r="AF248"/>
      <c r="AG248"/>
      <c r="AH248"/>
    </row>
    <row r="249" spans="1:34" hidden="1">
      <c r="A249" s="3059"/>
      <c r="B249" s="3060"/>
      <c r="C249" s="3050"/>
      <c r="D249" s="3127"/>
      <c r="E249" s="3052"/>
      <c r="F249" s="3050"/>
      <c r="G249" s="3088"/>
      <c r="H249" s="3056"/>
      <c r="I249" s="3056"/>
      <c r="J249" s="3056"/>
      <c r="K249" s="3056"/>
      <c r="L249" s="3056"/>
      <c r="M249" s="3056"/>
      <c r="N249" s="3056"/>
      <c r="O249" s="3056"/>
      <c r="P249" s="3056"/>
      <c r="Q249" s="3056"/>
      <c r="R249" s="3056"/>
      <c r="S249" s="3056"/>
      <c r="T249" s="2"/>
      <c r="U249" s="2"/>
      <c r="V249" s="2"/>
      <c r="W249" s="2"/>
      <c r="X249" s="2"/>
      <c r="Y249" s="2"/>
      <c r="Z249" s="2"/>
      <c r="AA249" s="2"/>
      <c r="AB249" s="2"/>
      <c r="AC249" s="2"/>
      <c r="AD249" s="2"/>
      <c r="AE249" s="2"/>
      <c r="AF249" s="2"/>
      <c r="AG249" s="2"/>
      <c r="AH249" s="2"/>
    </row>
    <row r="250" spans="1:34" hidden="1">
      <c r="A250" s="3130"/>
      <c r="B250" s="2089"/>
      <c r="C250" s="2049"/>
      <c r="D250" s="2050"/>
      <c r="E250" s="2051"/>
      <c r="F250" s="2049"/>
      <c r="G250" s="2086"/>
      <c r="H250" s="3132"/>
      <c r="I250" s="3132"/>
      <c r="J250" s="3132"/>
      <c r="K250" s="3132"/>
      <c r="L250" s="3132"/>
      <c r="M250" s="3132"/>
      <c r="N250" s="3132"/>
      <c r="O250" s="3132"/>
      <c r="P250" s="3132"/>
      <c r="Q250" s="3132"/>
      <c r="R250" s="3132"/>
      <c r="S250" s="3132"/>
      <c r="T250" s="2"/>
      <c r="U250" s="2"/>
      <c r="V250" s="2"/>
      <c r="W250" s="2"/>
      <c r="X250" s="2"/>
      <c r="Y250" s="2"/>
      <c r="Z250" s="2"/>
      <c r="AA250" s="2"/>
      <c r="AB250" s="2"/>
      <c r="AC250" s="2"/>
      <c r="AD250" s="2"/>
      <c r="AE250" s="2"/>
      <c r="AF250" s="2"/>
      <c r="AG250" s="2"/>
      <c r="AH250" s="2"/>
    </row>
    <row r="251" spans="1:34" hidden="1">
      <c r="A251" s="3130"/>
      <c r="B251" s="2089"/>
      <c r="C251" s="2049"/>
      <c r="D251" s="2050"/>
      <c r="E251" s="2051"/>
      <c r="F251" s="2049"/>
      <c r="G251" s="2086"/>
      <c r="H251" s="3132"/>
      <c r="I251" s="3132"/>
      <c r="J251" s="3132"/>
      <c r="K251" s="3132"/>
      <c r="L251" s="3132"/>
      <c r="M251" s="3132"/>
      <c r="N251" s="3132"/>
      <c r="O251" s="3132"/>
      <c r="P251" s="3132"/>
      <c r="Q251" s="3132"/>
      <c r="R251" s="3132"/>
      <c r="S251" s="3132"/>
      <c r="T251" s="2"/>
      <c r="U251" s="2"/>
      <c r="V251" s="2"/>
      <c r="W251" s="2"/>
      <c r="X251" s="2"/>
      <c r="Y251" s="2"/>
      <c r="Z251" s="2"/>
      <c r="AA251" s="2"/>
      <c r="AB251" s="2"/>
      <c r="AC251" s="2"/>
      <c r="AD251" s="2"/>
      <c r="AE251" s="2"/>
      <c r="AF251" s="2"/>
      <c r="AG251" s="2"/>
      <c r="AH251" s="2"/>
    </row>
    <row r="252" spans="1:34" ht="16.5" hidden="1" thickTop="1" thickBot="1">
      <c r="A252" s="830" t="s">
        <v>2984</v>
      </c>
      <c r="B252" s="831"/>
      <c r="C252" s="12"/>
      <c r="D252" s="383"/>
      <c r="E252" s="177"/>
      <c r="F252" s="12"/>
      <c r="G252" s="228"/>
      <c r="H252" s="20"/>
      <c r="I252" s="20"/>
      <c r="J252" s="20"/>
      <c r="K252" s="20"/>
      <c r="L252" s="20"/>
      <c r="M252" s="20"/>
      <c r="N252" s="20"/>
      <c r="O252" s="20"/>
      <c r="P252" s="20"/>
      <c r="Q252" s="20"/>
      <c r="R252" s="20"/>
      <c r="S252" s="20"/>
    </row>
    <row r="253" spans="1:34" hidden="1">
      <c r="A253" s="3128"/>
      <c r="B253" s="2106" t="s">
        <v>2985</v>
      </c>
      <c r="C253" s="2049"/>
      <c r="D253" s="2050"/>
      <c r="E253" s="2051"/>
      <c r="F253" s="2049"/>
      <c r="G253" s="2086"/>
      <c r="H253" s="3132"/>
      <c r="I253" s="3132"/>
      <c r="J253" s="3132"/>
      <c r="K253" s="3132"/>
      <c r="L253" s="3132"/>
      <c r="M253" s="3132"/>
      <c r="N253" s="3132"/>
      <c r="O253" s="3132"/>
      <c r="P253" s="3132"/>
      <c r="Q253" s="3132"/>
      <c r="R253" s="3132"/>
      <c r="S253" s="3132"/>
    </row>
    <row r="254" spans="1:34" hidden="1">
      <c r="A254" s="3128"/>
      <c r="B254" s="2106" t="s">
        <v>2986</v>
      </c>
      <c r="C254" s="2049"/>
      <c r="D254" s="2050"/>
      <c r="E254" s="2051"/>
      <c r="F254" s="2049"/>
      <c r="G254" s="2086"/>
      <c r="H254" s="3132"/>
      <c r="I254" s="3132"/>
      <c r="J254" s="3132"/>
      <c r="K254" s="3132"/>
      <c r="L254" s="3132"/>
      <c r="M254" s="3132"/>
      <c r="N254" s="3132"/>
      <c r="O254" s="3132"/>
      <c r="P254" s="3132"/>
      <c r="Q254" s="3132"/>
      <c r="R254" s="3132"/>
      <c r="S254" s="3132"/>
    </row>
    <row r="255" spans="1:34" hidden="1">
      <c r="A255" s="3128"/>
      <c r="B255" s="2106" t="s">
        <v>2987</v>
      </c>
      <c r="C255" s="2049"/>
      <c r="D255" s="2050"/>
      <c r="E255" s="2051"/>
      <c r="F255" s="2049"/>
      <c r="G255" s="2086"/>
      <c r="H255" s="3132"/>
      <c r="I255" s="3132"/>
      <c r="J255" s="3132"/>
      <c r="K255" s="3132"/>
      <c r="L255" s="3132"/>
      <c r="M255" s="3132"/>
      <c r="N255" s="3132"/>
      <c r="O255" s="3132"/>
      <c r="P255" s="3132"/>
      <c r="Q255" s="3132"/>
      <c r="R255" s="3132"/>
      <c r="S255" s="3132"/>
    </row>
    <row r="256" spans="1:34" hidden="1">
      <c r="A256" s="3128"/>
      <c r="B256" s="2106" t="s">
        <v>2988</v>
      </c>
      <c r="C256" s="2049"/>
      <c r="D256" s="2050"/>
      <c r="E256" s="2051"/>
      <c r="F256" s="2049"/>
      <c r="G256" s="2086"/>
      <c r="H256" s="3132"/>
      <c r="I256" s="3132"/>
      <c r="J256" s="3132"/>
      <c r="K256" s="3132"/>
      <c r="L256" s="3132"/>
      <c r="M256" s="3132"/>
      <c r="N256" s="3132"/>
      <c r="O256" s="3132"/>
      <c r="P256" s="3132"/>
      <c r="Q256" s="3132"/>
      <c r="R256" s="3132"/>
      <c r="S256" s="3132"/>
    </row>
    <row r="257" spans="1:19" hidden="1">
      <c r="A257" s="646"/>
      <c r="B257" s="619"/>
      <c r="C257" s="616"/>
      <c r="D257" s="628"/>
      <c r="E257" s="622"/>
      <c r="F257" s="616"/>
      <c r="G257" s="620"/>
      <c r="H257" s="647"/>
      <c r="I257" s="647"/>
      <c r="J257" s="647"/>
      <c r="K257" s="647"/>
      <c r="L257" s="647"/>
      <c r="M257" s="647"/>
      <c r="N257" s="647"/>
      <c r="O257" s="647"/>
      <c r="P257" s="647"/>
      <c r="Q257" s="647"/>
      <c r="R257" s="647"/>
      <c r="S257" s="647"/>
    </row>
    <row r="258" spans="1:19" ht="16.5" hidden="1" thickTop="1" thickBot="1">
      <c r="A258" s="7" t="s">
        <v>2989</v>
      </c>
      <c r="B258" s="8"/>
      <c r="C258" s="12"/>
      <c r="D258" s="383"/>
      <c r="E258" s="177"/>
      <c r="F258" s="12"/>
      <c r="G258" s="228"/>
      <c r="H258" s="20"/>
      <c r="I258" s="20"/>
      <c r="J258" s="20"/>
      <c r="K258" s="20"/>
      <c r="L258" s="20"/>
      <c r="M258" s="20"/>
      <c r="N258" s="20"/>
      <c r="O258" s="20"/>
      <c r="P258" s="20"/>
      <c r="Q258" s="20"/>
      <c r="R258" s="20"/>
      <c r="S258" s="20"/>
    </row>
    <row r="259" spans="1:19" hidden="1">
      <c r="A259" s="3049"/>
      <c r="B259" s="3061" t="s">
        <v>2990</v>
      </c>
      <c r="C259" s="3050"/>
      <c r="D259" s="3127"/>
      <c r="E259" s="3052"/>
      <c r="F259" s="3050"/>
      <c r="G259" s="3088"/>
      <c r="H259" s="3062"/>
      <c r="I259" s="3062"/>
      <c r="J259" s="3062"/>
      <c r="K259" s="3062"/>
      <c r="L259" s="3062"/>
      <c r="M259" s="3062"/>
      <c r="N259" s="3062"/>
      <c r="O259" s="3062"/>
      <c r="P259" s="3062"/>
      <c r="Q259" s="3062"/>
      <c r="R259" s="3062"/>
      <c r="S259" s="3062"/>
    </row>
    <row r="260" spans="1:19" hidden="1">
      <c r="A260" s="3128"/>
      <c r="B260" s="2106" t="s">
        <v>2991</v>
      </c>
      <c r="C260" s="2049"/>
      <c r="D260" s="2050"/>
      <c r="E260" s="2051"/>
      <c r="F260" s="2049"/>
      <c r="G260" s="2086"/>
      <c r="H260" s="3133"/>
      <c r="I260" s="3133"/>
      <c r="J260" s="3133"/>
      <c r="K260" s="3133"/>
      <c r="L260" s="3133"/>
      <c r="M260" s="3133"/>
      <c r="N260" s="3133"/>
      <c r="O260" s="3133"/>
      <c r="P260" s="3133"/>
      <c r="Q260" s="3133"/>
      <c r="R260" s="3133"/>
      <c r="S260" s="3133"/>
    </row>
    <row r="261" spans="1:19" ht="15.75" hidden="1" thickBot="1">
      <c r="A261" s="3134"/>
      <c r="B261" s="2166" t="s">
        <v>2992</v>
      </c>
      <c r="C261" s="2167"/>
      <c r="D261" s="3135"/>
      <c r="E261" s="3136"/>
      <c r="F261" s="2167"/>
      <c r="G261" s="3137"/>
      <c r="H261" s="3138"/>
      <c r="I261" s="3138"/>
      <c r="J261" s="3138"/>
      <c r="K261" s="3138"/>
      <c r="L261" s="3138"/>
      <c r="M261" s="3138"/>
      <c r="N261" s="3138"/>
      <c r="O261" s="3138"/>
      <c r="P261" s="3138"/>
      <c r="Q261" s="3138"/>
      <c r="R261" s="3138"/>
      <c r="S261" s="3138"/>
    </row>
    <row r="262" spans="1:19" ht="15.75" thickBot="1"/>
    <row r="263" spans="1:19" ht="16.5" thickTop="1" thickBot="1">
      <c r="A263" s="59" t="s">
        <v>2993</v>
      </c>
      <c r="B263" s="61"/>
      <c r="G263" s="2" t="s">
        <v>3584</v>
      </c>
      <c r="I263" s="236">
        <f>1999000+22100</f>
        <v>2021100</v>
      </c>
      <c r="K263" s="236">
        <v>3983025</v>
      </c>
      <c r="M263" s="236">
        <v>4185235</v>
      </c>
      <c r="O263" s="236"/>
      <c r="Q263" s="236">
        <v>3661607</v>
      </c>
    </row>
    <row r="264" spans="1:19" ht="15.75" thickTop="1">
      <c r="A264" s="60" t="s">
        <v>2936</v>
      </c>
      <c r="B264" s="3139"/>
      <c r="I264" s="236"/>
      <c r="K264" s="236"/>
      <c r="M264" s="236"/>
      <c r="O264" s="236"/>
      <c r="Q264" s="236"/>
    </row>
    <row r="265" spans="1:19">
      <c r="A265" s="3140" t="s">
        <v>2939</v>
      </c>
      <c r="B265" s="3139"/>
      <c r="G265" s="2" t="s">
        <v>3585</v>
      </c>
      <c r="I265" s="529">
        <f>I138+I145+I164</f>
        <v>61000</v>
      </c>
      <c r="K265" s="529">
        <f>K138+K145+K164</f>
        <v>61000</v>
      </c>
      <c r="M265" s="529">
        <f>M138+M145+M164</f>
        <v>61000</v>
      </c>
      <c r="O265" s="529">
        <f>O138+O145+O164</f>
        <v>61000</v>
      </c>
      <c r="Q265" s="529">
        <f>Q138+Q145+Q164</f>
        <v>61000</v>
      </c>
    </row>
    <row r="266" spans="1:19">
      <c r="A266" s="3141" t="s">
        <v>2941</v>
      </c>
      <c r="B266" s="3142"/>
      <c r="G266" s="2" t="s">
        <v>3586</v>
      </c>
      <c r="I266" s="527">
        <f>I166+I170</f>
        <v>1905000</v>
      </c>
      <c r="K266" s="527">
        <f>K166</f>
        <v>5000</v>
      </c>
      <c r="M266" s="527">
        <f>M166</f>
        <v>5000</v>
      </c>
      <c r="O266" s="527">
        <f>O166</f>
        <v>5000</v>
      </c>
      <c r="Q266" s="527">
        <f>Q166</f>
        <v>5000</v>
      </c>
    </row>
    <row r="267" spans="1:19">
      <c r="A267" s="3141" t="s">
        <v>2943</v>
      </c>
      <c r="B267" s="3143"/>
      <c r="G267" s="2" t="s">
        <v>3587</v>
      </c>
      <c r="I267" s="528"/>
      <c r="K267" s="528"/>
      <c r="M267" s="528"/>
      <c r="O267" s="528"/>
      <c r="Q267" s="528"/>
    </row>
    <row r="268" spans="1:19" ht="15.75" thickBot="1">
      <c r="A268" s="3144" t="s">
        <v>2994</v>
      </c>
      <c r="B268" s="3145">
        <f>$I$233</f>
        <v>3987100</v>
      </c>
      <c r="G268" s="2" t="s">
        <v>3588</v>
      </c>
      <c r="I268" s="3146"/>
      <c r="K268" s="3146"/>
      <c r="M268" s="3146"/>
      <c r="O268" s="3146"/>
      <c r="Q268" s="3146"/>
    </row>
    <row r="269" spans="1:19" ht="15.75" thickTop="1">
      <c r="G269" s="2" t="s">
        <v>3589</v>
      </c>
      <c r="I269" s="236">
        <f>SUM(I263:I268)</f>
        <v>3987100</v>
      </c>
      <c r="K269" s="236">
        <f>SUM(K263:K268)</f>
        <v>4049025</v>
      </c>
      <c r="M269" s="236">
        <f>SUM(M263:M268)</f>
        <v>4251235</v>
      </c>
      <c r="O269" s="236">
        <f>SUM(O263:O268)</f>
        <v>66000</v>
      </c>
      <c r="Q269" s="236">
        <f>SUM(Q263:Q268)</f>
        <v>3727607</v>
      </c>
    </row>
    <row r="270" spans="1:19">
      <c r="A270" s="62"/>
      <c r="B270" s="1" t="s">
        <v>2995</v>
      </c>
      <c r="G270" s="2" t="s">
        <v>3590</v>
      </c>
      <c r="I270" s="3147">
        <f>I229</f>
        <v>3987100</v>
      </c>
      <c r="K270" s="3147">
        <f>K229</f>
        <v>4049025</v>
      </c>
      <c r="M270" s="3147">
        <f>M229</f>
        <v>4251235</v>
      </c>
      <c r="O270" s="3147">
        <f>O229</f>
        <v>66000</v>
      </c>
      <c r="Q270" s="3147">
        <f>Q229</f>
        <v>3727607</v>
      </c>
    </row>
    <row r="271" spans="1:19">
      <c r="A271" s="63"/>
      <c r="B271" s="1" t="s">
        <v>2996</v>
      </c>
      <c r="G271" s="2" t="s">
        <v>3591</v>
      </c>
      <c r="I271" s="236">
        <f>I270-I269</f>
        <v>0</v>
      </c>
      <c r="K271" s="236">
        <f>K270-K269</f>
        <v>0</v>
      </c>
      <c r="M271" s="236">
        <f>M270-M269</f>
        <v>0</v>
      </c>
      <c r="O271" s="236">
        <f>O270-O269</f>
        <v>0</v>
      </c>
      <c r="Q271" s="236">
        <f>Q270-Q269</f>
        <v>0</v>
      </c>
    </row>
    <row r="273" spans="9:17">
      <c r="I273" s="236">
        <v>1769556</v>
      </c>
      <c r="Q273" s="236">
        <v>2453276</v>
      </c>
    </row>
    <row r="274" spans="9:17">
      <c r="I274" s="236">
        <v>140000</v>
      </c>
      <c r="Q274" s="236">
        <v>704165</v>
      </c>
    </row>
    <row r="275" spans="9:17">
      <c r="I275" s="236">
        <v>88622</v>
      </c>
      <c r="Q275" s="236">
        <v>504165</v>
      </c>
    </row>
    <row r="276" spans="9:17">
      <c r="I276" s="447">
        <f>SUM(I273:I275)</f>
        <v>1998178</v>
      </c>
      <c r="Q276" s="236">
        <f>SUM(Q273:Q275)</f>
        <v>3661606</v>
      </c>
    </row>
  </sheetData>
  <mergeCells count="35">
    <mergeCell ref="R7:S7"/>
    <mergeCell ref="P6:Q6"/>
    <mergeCell ref="R6:S6"/>
    <mergeCell ref="P7:Q7"/>
    <mergeCell ref="L7:M7"/>
    <mergeCell ref="N7:O7"/>
    <mergeCell ref="L6:M6"/>
    <mergeCell ref="N6:O6"/>
    <mergeCell ref="R5:S5"/>
    <mergeCell ref="P5:Q5"/>
    <mergeCell ref="L5:M5"/>
    <mergeCell ref="N5:O5"/>
    <mergeCell ref="H5:I5"/>
    <mergeCell ref="J5:K5"/>
    <mergeCell ref="H9:I9"/>
    <mergeCell ref="J8:K8"/>
    <mergeCell ref="J6:K6"/>
    <mergeCell ref="J7:K7"/>
    <mergeCell ref="J9:K9"/>
    <mergeCell ref="H6:I6"/>
    <mergeCell ref="H7:I7"/>
    <mergeCell ref="H8:I8"/>
    <mergeCell ref="R9:S9"/>
    <mergeCell ref="L9:M9"/>
    <mergeCell ref="N9:O9"/>
    <mergeCell ref="P9:Q9"/>
    <mergeCell ref="R8:S8"/>
    <mergeCell ref="P8:Q8"/>
    <mergeCell ref="L8:M8"/>
    <mergeCell ref="N8:O8"/>
    <mergeCell ref="A236:B236"/>
    <mergeCell ref="A240:B240"/>
    <mergeCell ref="A244:B244"/>
    <mergeCell ref="A248:B248"/>
    <mergeCell ref="A252:B252"/>
  </mergeCells>
  <conditionalFormatting sqref="H11:H18 J11:J18 L11:L18 N11:N18 P11:P18 R11:R18 H20:H228 J20:J228 L20:L228 N20:N228 P20:P228 R20:R228">
    <cfRule type="cellIs" dxfId="63" priority="9" operator="equal">
      <formula>"X"</formula>
    </cfRule>
    <cfRule type="cellIs" dxfId="62" priority="10" operator="equal">
      <formula>"I"</formula>
    </cfRule>
  </conditionalFormatting>
  <hyperlinks>
    <hyperlink ref="B4" location="'Cost Summary'!A1" display="BACK TO SUMMARY SHEET" xr:uid="{7025E461-87CE-49FE-A209-9BCE3C4BEAD1}"/>
    <hyperlink ref="H8" r:id="rId1" xr:uid="{7E5F998F-81FC-4187-85DA-DD35180937DB}"/>
    <hyperlink ref="J8" r:id="rId2" xr:uid="{A95CA1AD-81C5-4D1C-B639-2707E81A0E57}"/>
    <hyperlink ref="P8" r:id="rId3" xr:uid="{82DB6D5D-1625-4F18-8647-FF4BD241CC4C}"/>
    <hyperlink ref="N8" r:id="rId4" xr:uid="{4252050F-5273-43FB-A47A-DDDE0215A767}"/>
    <hyperlink ref="L8" r:id="rId5" xr:uid="{9F218546-9063-4CF0-8FEE-2362A1D027A0}"/>
  </hyperlinks>
  <pageMargins left="0.2" right="0.2" top="0.5" bottom="0.75" header="0.3" footer="0.3"/>
  <pageSetup paperSize="3" scale="77" fitToHeight="0" orientation="landscape" r:id="rId6"/>
  <drawing r:id="rId7"/>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rgb="FF00B050"/>
    <pageSetUpPr fitToPage="1"/>
  </sheetPr>
  <dimension ref="A1:AH207"/>
  <sheetViews>
    <sheetView view="pageBreakPreview" zoomScale="60" zoomScaleNormal="90" workbookViewId="0">
      <pane ySplit="10" topLeftCell="A107" activePane="bottomLeft" state="frozen"/>
      <selection pane="bottomLeft" activeCell="F22" sqref="F22"/>
      <selection activeCell="B4" sqref="B4"/>
    </sheetView>
  </sheetViews>
  <sheetFormatPr defaultColWidth="8.85546875" defaultRowHeight="15" outlineLevelRow="1"/>
  <cols>
    <col min="1" max="1" width="10.7109375" customWidth="1"/>
    <col min="2" max="2" width="70.7109375" style="1" customWidth="1"/>
    <col min="3" max="3" width="10.85546875" style="2" hidden="1" customWidth="1"/>
    <col min="4" max="4" width="15.7109375" style="379"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c r="B4" s="181" t="s">
        <v>2933</v>
      </c>
      <c r="F4" s="170"/>
      <c r="G4" s="2" t="s">
        <v>2934</v>
      </c>
    </row>
    <row r="5" spans="1:19">
      <c r="A5" s="3" t="s">
        <v>2935</v>
      </c>
      <c r="B5" s="4" t="s">
        <v>84</v>
      </c>
      <c r="C5" s="5"/>
      <c r="D5" s="380"/>
      <c r="E5" s="171"/>
      <c r="F5" s="5"/>
      <c r="G5" s="6" t="s">
        <v>2936</v>
      </c>
      <c r="H5" s="837" t="s">
        <v>6610</v>
      </c>
      <c r="I5" s="838"/>
      <c r="J5" s="837" t="s">
        <v>6611</v>
      </c>
      <c r="K5" s="838"/>
      <c r="L5" s="837" t="s">
        <v>6612</v>
      </c>
      <c r="M5" s="838"/>
      <c r="N5" s="837" t="s">
        <v>6613</v>
      </c>
      <c r="O5" s="838"/>
      <c r="P5" s="837" t="s">
        <v>6426</v>
      </c>
      <c r="Q5" s="838"/>
      <c r="R5" s="837" t="s">
        <v>6427</v>
      </c>
      <c r="S5" s="838"/>
    </row>
    <row r="6" spans="1:19">
      <c r="A6" s="3148" t="s">
        <v>2938</v>
      </c>
      <c r="B6" s="2106" t="s">
        <v>2600</v>
      </c>
      <c r="C6" s="2049"/>
      <c r="D6" s="2050"/>
      <c r="E6" s="2051"/>
      <c r="F6" s="2049"/>
      <c r="G6" s="657" t="s">
        <v>2939</v>
      </c>
      <c r="H6" s="3149" t="s">
        <v>6614</v>
      </c>
      <c r="I6" s="839"/>
      <c r="J6" s="3149" t="s">
        <v>6615</v>
      </c>
      <c r="K6" s="839"/>
      <c r="L6" s="3149" t="s">
        <v>6616</v>
      </c>
      <c r="M6" s="839"/>
      <c r="N6" s="3149" t="s">
        <v>6617</v>
      </c>
      <c r="O6" s="839"/>
      <c r="P6" s="3149" t="s">
        <v>6431</v>
      </c>
      <c r="Q6" s="839"/>
      <c r="R6" s="3149" t="s">
        <v>6618</v>
      </c>
      <c r="S6" s="839"/>
    </row>
    <row r="7" spans="1:19">
      <c r="A7" s="3148" t="s">
        <v>2940</v>
      </c>
      <c r="B7" s="2108" t="s">
        <v>2676</v>
      </c>
      <c r="C7" s="2049"/>
      <c r="D7" s="2050"/>
      <c r="E7" s="2051"/>
      <c r="F7" s="2049"/>
      <c r="G7" s="2109" t="s">
        <v>2941</v>
      </c>
      <c r="H7" s="3150" t="s">
        <v>6619</v>
      </c>
      <c r="I7" s="840"/>
      <c r="J7" s="3150" t="s">
        <v>6620</v>
      </c>
      <c r="K7" s="840"/>
      <c r="L7" s="3150" t="s">
        <v>6621</v>
      </c>
      <c r="M7" s="840"/>
      <c r="N7" s="3150" t="s">
        <v>6622</v>
      </c>
      <c r="O7" s="840"/>
      <c r="P7" s="3150" t="s">
        <v>6436</v>
      </c>
      <c r="Q7" s="840"/>
      <c r="R7" s="3150" t="s">
        <v>6623</v>
      </c>
      <c r="S7" s="840"/>
    </row>
    <row r="8" spans="1:19">
      <c r="A8" s="3148" t="s">
        <v>2942</v>
      </c>
      <c r="B8" s="2111"/>
      <c r="C8" s="2049"/>
      <c r="D8" s="2050"/>
      <c r="E8" s="2051"/>
      <c r="F8" s="2049"/>
      <c r="G8" s="2109" t="s">
        <v>2943</v>
      </c>
      <c r="H8" s="3151" t="s">
        <v>6624</v>
      </c>
      <c r="I8" s="836"/>
      <c r="J8" s="3151" t="s">
        <v>6625</v>
      </c>
      <c r="K8" s="836"/>
      <c r="L8" s="3151" t="s">
        <v>6626</v>
      </c>
      <c r="M8" s="836"/>
      <c r="N8" s="3151" t="s">
        <v>6627</v>
      </c>
      <c r="O8" s="836"/>
      <c r="P8" s="3151" t="s">
        <v>6441</v>
      </c>
      <c r="Q8" s="836"/>
      <c r="R8" s="3151" t="s">
        <v>6628</v>
      </c>
      <c r="S8" s="836"/>
    </row>
    <row r="9" spans="1:19">
      <c r="A9" s="3152"/>
      <c r="B9" s="3153"/>
      <c r="C9" s="616"/>
      <c r="D9" s="628"/>
      <c r="E9" s="622"/>
      <c r="F9" s="3154"/>
      <c r="G9" s="3155" t="s">
        <v>2944</v>
      </c>
      <c r="H9" s="3156">
        <f>I$169</f>
        <v>5269684</v>
      </c>
      <c r="I9" s="3157"/>
      <c r="J9" s="3156">
        <f>K$169</f>
        <v>5438253</v>
      </c>
      <c r="K9" s="3157"/>
      <c r="L9" s="3156">
        <f>M$169</f>
        <v>5483200</v>
      </c>
      <c r="M9" s="3157"/>
      <c r="N9" s="3156">
        <f>O$169</f>
        <v>6226200</v>
      </c>
      <c r="O9" s="3157"/>
      <c r="P9" s="3156">
        <f>Q$169</f>
        <v>6928400</v>
      </c>
      <c r="Q9" s="3157"/>
      <c r="R9" s="3156">
        <f>S$169</f>
        <v>7250559</v>
      </c>
      <c r="S9" s="3157"/>
    </row>
    <row r="10" spans="1:19" s="175" customFormat="1" ht="30">
      <c r="A10" s="160" t="s">
        <v>2945</v>
      </c>
      <c r="B10" s="172"/>
      <c r="C10" s="173" t="s">
        <v>2946</v>
      </c>
      <c r="D10" s="381"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c r="A11" s="3067"/>
      <c r="B11" s="2889" t="s">
        <v>2953</v>
      </c>
      <c r="C11" s="659"/>
      <c r="D11" s="2050"/>
      <c r="E11" s="2051"/>
      <c r="F11" s="2049"/>
      <c r="G11" s="660"/>
      <c r="H11" s="3158"/>
      <c r="I11" s="3069"/>
      <c r="J11" s="3158"/>
      <c r="K11" s="3068"/>
      <c r="L11" s="3158"/>
      <c r="M11" s="182"/>
      <c r="N11" s="3158"/>
      <c r="O11" s="3069"/>
      <c r="P11" s="3158"/>
      <c r="Q11" s="3069"/>
      <c r="R11" s="3158"/>
      <c r="S11" s="3069"/>
    </row>
    <row r="12" spans="1:19">
      <c r="A12" s="3070"/>
      <c r="B12" s="2963" t="s">
        <v>2954</v>
      </c>
      <c r="C12" s="2049"/>
      <c r="D12" s="2050"/>
      <c r="E12" s="2051"/>
      <c r="F12" s="2049"/>
      <c r="G12" s="660"/>
      <c r="H12" s="3158"/>
      <c r="I12" s="3069"/>
      <c r="J12" s="3158"/>
      <c r="K12" s="3068"/>
      <c r="L12" s="3158"/>
      <c r="M12" s="3069"/>
      <c r="N12" s="3158"/>
      <c r="O12" s="3069"/>
      <c r="P12" s="3158"/>
      <c r="Q12" s="3069"/>
      <c r="R12" s="3158"/>
      <c r="S12" s="3069"/>
    </row>
    <row r="13" spans="1:19">
      <c r="A13" s="3159"/>
      <c r="B13" s="3071" t="s">
        <v>2955</v>
      </c>
      <c r="C13" s="2049"/>
      <c r="D13" s="2050"/>
      <c r="E13" s="2051"/>
      <c r="F13" s="2049"/>
      <c r="G13" s="660"/>
      <c r="H13" s="3158"/>
      <c r="I13" s="3069"/>
      <c r="J13" s="3158"/>
      <c r="K13" s="3068"/>
      <c r="L13" s="3158"/>
      <c r="M13" s="3069"/>
      <c r="N13" s="3158"/>
      <c r="O13" s="3069"/>
      <c r="P13" s="3158"/>
      <c r="Q13" s="3069"/>
      <c r="R13" s="3158"/>
      <c r="S13" s="3069"/>
    </row>
    <row r="14" spans="1:19">
      <c r="A14" s="3159"/>
      <c r="B14" s="3072" t="s">
        <v>2956</v>
      </c>
      <c r="C14" s="2049"/>
      <c r="D14" s="2050"/>
      <c r="E14" s="2051"/>
      <c r="F14" s="2049"/>
      <c r="G14" s="660"/>
      <c r="H14" s="3158"/>
      <c r="I14" s="3069"/>
      <c r="J14" s="3158"/>
      <c r="K14" s="3068"/>
      <c r="L14" s="3158"/>
      <c r="M14" s="3069"/>
      <c r="N14" s="3158"/>
      <c r="O14" s="3069"/>
      <c r="P14" s="3158"/>
      <c r="Q14" s="3069"/>
      <c r="R14" s="3158"/>
      <c r="S14" s="3069"/>
    </row>
    <row r="15" spans="1:19">
      <c r="A15" s="3159"/>
      <c r="B15" s="3072" t="s">
        <v>2957</v>
      </c>
      <c r="C15" s="2049"/>
      <c r="D15" s="2050"/>
      <c r="E15" s="2051"/>
      <c r="F15" s="2049"/>
      <c r="G15" s="660"/>
      <c r="H15" s="3158"/>
      <c r="I15" s="3068"/>
      <c r="J15" s="3158"/>
      <c r="K15" s="3068"/>
      <c r="L15" s="3158"/>
      <c r="M15" s="3068"/>
      <c r="N15" s="3158"/>
      <c r="O15" s="3068"/>
      <c r="P15" s="3158"/>
      <c r="Q15" s="3068"/>
      <c r="R15" s="3158"/>
      <c r="S15" s="3068"/>
    </row>
    <row r="16" spans="1:19">
      <c r="A16" s="3159"/>
      <c r="B16" s="3072" t="s">
        <v>2958</v>
      </c>
      <c r="C16" s="2049"/>
      <c r="D16" s="2050"/>
      <c r="E16" s="2051"/>
      <c r="F16" s="2049"/>
      <c r="G16" s="660"/>
      <c r="H16" s="3158"/>
      <c r="I16" s="3069"/>
      <c r="J16" s="3158"/>
      <c r="K16" s="3068"/>
      <c r="L16" s="3158"/>
      <c r="M16" s="3069"/>
      <c r="N16" s="3158"/>
      <c r="O16" s="3069"/>
      <c r="P16" s="3158"/>
      <c r="Q16" s="3069"/>
      <c r="R16" s="3158"/>
      <c r="S16" s="3069"/>
    </row>
    <row r="17" spans="1:19">
      <c r="A17" s="3159"/>
      <c r="B17" s="3072" t="s">
        <v>2959</v>
      </c>
      <c r="C17" s="2049"/>
      <c r="D17" s="2050"/>
      <c r="E17" s="2051"/>
      <c r="F17" s="2049"/>
      <c r="G17" s="660"/>
      <c r="H17" s="3158"/>
      <c r="I17" s="3069"/>
      <c r="J17" s="3158"/>
      <c r="K17" s="3068"/>
      <c r="L17" s="3158"/>
      <c r="M17" s="3069"/>
      <c r="N17" s="3158"/>
      <c r="O17" s="3069"/>
      <c r="P17" s="3158"/>
      <c r="Q17" s="3069"/>
      <c r="R17" s="3158"/>
      <c r="S17" s="3069"/>
    </row>
    <row r="18" spans="1:19">
      <c r="A18" s="3159"/>
      <c r="B18" s="3073" t="s">
        <v>2960</v>
      </c>
      <c r="C18" s="2049"/>
      <c r="D18" s="2050"/>
      <c r="E18" s="2051"/>
      <c r="F18" s="2049"/>
      <c r="G18" s="660"/>
      <c r="H18" s="3158"/>
      <c r="I18" s="3069"/>
      <c r="J18" s="3158"/>
      <c r="K18" s="3068"/>
      <c r="L18" s="3158"/>
      <c r="M18" s="3069"/>
      <c r="N18" s="3158"/>
      <c r="O18" s="3069"/>
      <c r="P18" s="3158"/>
      <c r="Q18" s="3069"/>
      <c r="R18" s="3158"/>
      <c r="S18" s="3069"/>
    </row>
    <row r="19" spans="1:19">
      <c r="A19" s="3159"/>
      <c r="B19" s="3074" t="s">
        <v>2961</v>
      </c>
      <c r="C19" s="2127"/>
      <c r="D19" s="3107"/>
      <c r="E19" s="2191"/>
      <c r="F19" s="2192"/>
      <c r="G19" s="661"/>
      <c r="H19" s="3160"/>
      <c r="I19" s="3075"/>
      <c r="J19" s="3160"/>
      <c r="K19" s="3076"/>
      <c r="L19" s="3160"/>
      <c r="M19" s="3075"/>
      <c r="N19" s="3160"/>
      <c r="O19" s="3075"/>
      <c r="P19" s="3160"/>
      <c r="Q19" s="3075"/>
      <c r="R19" s="3160"/>
      <c r="S19" s="3075"/>
    </row>
    <row r="20" spans="1:19">
      <c r="A20" s="3159"/>
      <c r="B20" s="3077"/>
      <c r="C20" s="2049"/>
      <c r="D20" s="2050"/>
      <c r="E20" s="2051"/>
      <c r="F20" s="2052"/>
      <c r="G20" s="660"/>
      <c r="H20" s="3158"/>
      <c r="I20" s="3078"/>
      <c r="J20" s="3158"/>
      <c r="K20" s="3078"/>
      <c r="L20" s="3158"/>
      <c r="M20" s="3079"/>
      <c r="N20" s="3158"/>
      <c r="O20" s="3078"/>
      <c r="P20" s="3158"/>
      <c r="Q20" s="3078"/>
      <c r="R20" s="3158"/>
      <c r="S20" s="3078"/>
    </row>
    <row r="21" spans="1:19">
      <c r="A21" s="3159"/>
      <c r="B21" s="3161" t="s">
        <v>2695</v>
      </c>
      <c r="C21" s="3162"/>
      <c r="D21" s="3163"/>
      <c r="E21" s="3164"/>
      <c r="F21" s="3165"/>
      <c r="G21" s="660"/>
      <c r="H21" s="3158"/>
      <c r="I21" s="3080">
        <f>SUBTOTAL(9,I22:I135)</f>
        <v>4652684</v>
      </c>
      <c r="J21" s="3158"/>
      <c r="K21" s="3080">
        <f>SUBTOTAL(9,K22:K135)</f>
        <v>5022503</v>
      </c>
      <c r="L21" s="3158"/>
      <c r="M21" s="3080">
        <f>SUBTOTAL(9,M22:M135)</f>
        <v>5059800</v>
      </c>
      <c r="N21" s="3158"/>
      <c r="O21" s="3080">
        <f>SUBTOTAL(9,O22:O135)</f>
        <v>5741200</v>
      </c>
      <c r="P21" s="3158"/>
      <c r="Q21" s="3080">
        <f>SUBTOTAL(9,Q22:Q135)</f>
        <v>6923400</v>
      </c>
      <c r="R21" s="3158"/>
      <c r="S21" s="3080">
        <f>SUBTOTAL(9,S22:S135)</f>
        <v>6691220</v>
      </c>
    </row>
    <row r="22" spans="1:19">
      <c r="A22" s="3166"/>
      <c r="B22" s="506" t="s">
        <v>2994</v>
      </c>
      <c r="C22" s="659"/>
      <c r="D22" s="3167">
        <f>'Cost Summary'!C78</f>
        <v>86144</v>
      </c>
      <c r="E22" s="3164" t="s">
        <v>2845</v>
      </c>
      <c r="F22" s="236">
        <v>55</v>
      </c>
      <c r="G22" s="662">
        <f>F22*D22</f>
        <v>4737920</v>
      </c>
      <c r="H22" s="3158"/>
      <c r="I22" s="3078">
        <v>4505684</v>
      </c>
      <c r="J22" s="3158"/>
      <c r="K22" s="3079">
        <v>4875503</v>
      </c>
      <c r="L22" s="3158"/>
      <c r="M22" s="3079">
        <v>4855800</v>
      </c>
      <c r="N22" s="3158"/>
      <c r="O22" s="3078">
        <v>5537200</v>
      </c>
      <c r="P22" s="3158"/>
      <c r="Q22" s="3078">
        <v>6739400</v>
      </c>
      <c r="R22" s="3158"/>
      <c r="S22" s="3078">
        <v>6652220</v>
      </c>
    </row>
    <row r="23" spans="1:19">
      <c r="A23" s="3159"/>
      <c r="B23" s="3077" t="s">
        <v>6629</v>
      </c>
      <c r="C23" s="2049"/>
      <c r="D23" s="2050"/>
      <c r="E23" s="2051"/>
      <c r="F23" s="2052"/>
      <c r="G23" s="662">
        <f>ROUND(D23*F23,0)</f>
        <v>0</v>
      </c>
      <c r="H23" s="3158" t="s">
        <v>2931</v>
      </c>
      <c r="I23" s="3078"/>
      <c r="J23" s="3158" t="s">
        <v>2931</v>
      </c>
      <c r="K23" s="3079"/>
      <c r="L23" s="3158" t="s">
        <v>2931</v>
      </c>
      <c r="M23" s="3079"/>
      <c r="N23" s="3158" t="s">
        <v>2931</v>
      </c>
      <c r="O23" s="3078"/>
      <c r="P23" s="3158" t="s">
        <v>2931</v>
      </c>
      <c r="Q23" s="3078"/>
      <c r="R23" s="3158" t="s">
        <v>2931</v>
      </c>
      <c r="S23" s="3078"/>
    </row>
    <row r="24" spans="1:19" hidden="1" outlineLevel="1">
      <c r="A24" s="3159"/>
      <c r="B24" s="3081" t="s">
        <v>6630</v>
      </c>
      <c r="C24" s="2049"/>
      <c r="D24" s="2050">
        <v>1</v>
      </c>
      <c r="E24" s="2051" t="s">
        <v>2803</v>
      </c>
      <c r="F24" s="2052"/>
      <c r="G24" s="662">
        <f t="shared" ref="G24:G95" si="0">ROUND(D24*F24,0)</f>
        <v>0</v>
      </c>
      <c r="H24" s="3158"/>
      <c r="I24" s="3078"/>
      <c r="J24" s="3158"/>
      <c r="K24" s="3079"/>
      <c r="L24" s="3158"/>
      <c r="M24" s="3079"/>
      <c r="N24" s="3158"/>
      <c r="O24" s="3078"/>
      <c r="P24" s="3158"/>
      <c r="Q24" s="3078"/>
      <c r="R24" s="3158"/>
      <c r="S24" s="3078"/>
    </row>
    <row r="25" spans="1:19" hidden="1" outlineLevel="1">
      <c r="A25" s="3159"/>
      <c r="B25" s="3081" t="s">
        <v>6630</v>
      </c>
      <c r="C25" s="2049"/>
      <c r="D25" s="2050">
        <v>1</v>
      </c>
      <c r="E25" s="2051" t="s">
        <v>2803</v>
      </c>
      <c r="F25" s="2052"/>
      <c r="G25" s="662">
        <f t="shared" si="0"/>
        <v>0</v>
      </c>
      <c r="H25" s="3158"/>
      <c r="I25" s="3078"/>
      <c r="J25" s="3158"/>
      <c r="K25" s="3079"/>
      <c r="L25" s="3158"/>
      <c r="M25" s="3079"/>
      <c r="N25" s="3158"/>
      <c r="O25" s="3078"/>
      <c r="P25" s="3158"/>
      <c r="Q25" s="3078"/>
      <c r="R25" s="3158"/>
      <c r="S25" s="3078"/>
    </row>
    <row r="26" spans="1:19" collapsed="1">
      <c r="A26" s="3159"/>
      <c r="B26" s="3094" t="s">
        <v>6631</v>
      </c>
      <c r="C26" s="2049"/>
      <c r="D26" s="2050"/>
      <c r="E26" s="2051"/>
      <c r="F26" s="2052"/>
      <c r="G26" s="662">
        <f t="shared" si="0"/>
        <v>0</v>
      </c>
      <c r="H26" s="3158" t="s">
        <v>2931</v>
      </c>
      <c r="I26" s="3078"/>
      <c r="J26" s="3158" t="s">
        <v>2931</v>
      </c>
      <c r="K26" s="3079"/>
      <c r="L26" s="3158" t="s">
        <v>2931</v>
      </c>
      <c r="M26" s="3079"/>
      <c r="N26" s="3158" t="s">
        <v>2931</v>
      </c>
      <c r="O26" s="3078"/>
      <c r="P26" s="3158" t="s">
        <v>2931</v>
      </c>
      <c r="Q26" s="3078"/>
      <c r="R26" s="3158" t="s">
        <v>2931</v>
      </c>
      <c r="S26" s="3078"/>
    </row>
    <row r="27" spans="1:19" hidden="1" outlineLevel="1">
      <c r="A27" s="3159"/>
      <c r="B27" s="3081" t="s">
        <v>6632</v>
      </c>
      <c r="C27" s="2049"/>
      <c r="D27" s="2050">
        <v>4</v>
      </c>
      <c r="E27" s="2051" t="s">
        <v>2803</v>
      </c>
      <c r="F27" s="2052"/>
      <c r="G27" s="662">
        <f t="shared" si="0"/>
        <v>0</v>
      </c>
      <c r="H27" s="3158"/>
      <c r="I27" s="3078"/>
      <c r="J27" s="3158"/>
      <c r="K27" s="3079"/>
      <c r="L27" s="3158"/>
      <c r="M27" s="3079"/>
      <c r="N27" s="3158"/>
      <c r="O27" s="3078"/>
      <c r="P27" s="3158"/>
      <c r="Q27" s="3078"/>
      <c r="R27" s="3158"/>
      <c r="S27" s="3078"/>
    </row>
    <row r="28" spans="1:19" collapsed="1">
      <c r="A28" s="3159"/>
      <c r="B28" s="3094" t="s">
        <v>6633</v>
      </c>
      <c r="C28" s="2049"/>
      <c r="D28" s="2050"/>
      <c r="E28" s="2051"/>
      <c r="F28" s="2052"/>
      <c r="G28" s="662">
        <f t="shared" si="0"/>
        <v>0</v>
      </c>
      <c r="H28" s="3158" t="s">
        <v>2931</v>
      </c>
      <c r="I28" s="3078"/>
      <c r="J28" s="3158" t="s">
        <v>2931</v>
      </c>
      <c r="K28" s="3079"/>
      <c r="L28" s="3158" t="s">
        <v>2931</v>
      </c>
      <c r="M28" s="3079"/>
      <c r="N28" s="3158" t="s">
        <v>2931</v>
      </c>
      <c r="O28" s="3078"/>
      <c r="P28" s="3158" t="s">
        <v>2931</v>
      </c>
      <c r="Q28" s="3078"/>
      <c r="R28" s="3158" t="s">
        <v>2931</v>
      </c>
      <c r="S28" s="3078"/>
    </row>
    <row r="29" spans="1:19" hidden="1" outlineLevel="1">
      <c r="A29" s="3159"/>
      <c r="B29" s="3081" t="s">
        <v>6632</v>
      </c>
      <c r="C29" s="2049"/>
      <c r="D29" s="2050">
        <v>4</v>
      </c>
      <c r="E29" s="2051" t="s">
        <v>2803</v>
      </c>
      <c r="F29" s="2052"/>
      <c r="G29" s="662">
        <f t="shared" si="0"/>
        <v>0</v>
      </c>
      <c r="H29" s="3158"/>
      <c r="I29" s="3078"/>
      <c r="J29" s="3158"/>
      <c r="K29" s="3079"/>
      <c r="L29" s="3158"/>
      <c r="M29" s="3079"/>
      <c r="N29" s="3158"/>
      <c r="O29" s="3078"/>
      <c r="P29" s="3158"/>
      <c r="Q29" s="3078"/>
      <c r="R29" s="3158"/>
      <c r="S29" s="3078"/>
    </row>
    <row r="30" spans="1:19" collapsed="1">
      <c r="A30" s="3159"/>
      <c r="B30" s="3077" t="s">
        <v>6634</v>
      </c>
      <c r="C30" s="2049"/>
      <c r="D30" s="2050"/>
      <c r="E30" s="2051"/>
      <c r="F30" s="2052"/>
      <c r="G30" s="662">
        <f t="shared" si="0"/>
        <v>0</v>
      </c>
      <c r="H30" s="3158" t="s">
        <v>2931</v>
      </c>
      <c r="I30" s="3078"/>
      <c r="J30" s="3158" t="s">
        <v>2931</v>
      </c>
      <c r="K30" s="3079"/>
      <c r="L30" s="3158" t="s">
        <v>2931</v>
      </c>
      <c r="M30" s="3079"/>
      <c r="N30" s="3158" t="s">
        <v>2931</v>
      </c>
      <c r="O30" s="3078"/>
      <c r="P30" s="3158" t="s">
        <v>2931</v>
      </c>
      <c r="Q30" s="3078"/>
      <c r="R30" s="3158" t="s">
        <v>2931</v>
      </c>
      <c r="S30" s="3078"/>
    </row>
    <row r="31" spans="1:19" hidden="1" outlineLevel="1">
      <c r="A31" s="3159"/>
      <c r="B31" s="3081" t="s">
        <v>6635</v>
      </c>
      <c r="C31" s="2049"/>
      <c r="D31" s="2050">
        <v>1</v>
      </c>
      <c r="E31" s="2051" t="s">
        <v>2803</v>
      </c>
      <c r="F31" s="2052"/>
      <c r="G31" s="662">
        <f t="shared" si="0"/>
        <v>0</v>
      </c>
      <c r="H31" s="3158" t="s">
        <v>2931</v>
      </c>
      <c r="I31" s="3078"/>
      <c r="J31" s="3158" t="s">
        <v>2931</v>
      </c>
      <c r="K31" s="3079"/>
      <c r="L31" s="3158" t="s">
        <v>2931</v>
      </c>
      <c r="M31" s="3079"/>
      <c r="N31" s="3158" t="s">
        <v>2931</v>
      </c>
      <c r="O31" s="3078"/>
      <c r="P31" s="3158" t="s">
        <v>2931</v>
      </c>
      <c r="Q31" s="3078"/>
      <c r="R31" s="3158" t="s">
        <v>2931</v>
      </c>
      <c r="S31" s="3078"/>
    </row>
    <row r="32" spans="1:19" hidden="1" outlineLevel="1">
      <c r="A32" s="3159"/>
      <c r="B32" s="3081" t="s">
        <v>6636</v>
      </c>
      <c r="C32" s="2049"/>
      <c r="D32" s="2050">
        <v>1</v>
      </c>
      <c r="E32" s="2051" t="s">
        <v>2803</v>
      </c>
      <c r="F32" s="2052"/>
      <c r="G32" s="662">
        <f t="shared" si="0"/>
        <v>0</v>
      </c>
      <c r="H32" s="3158" t="s">
        <v>2931</v>
      </c>
      <c r="I32" s="3078"/>
      <c r="J32" s="3158" t="s">
        <v>2931</v>
      </c>
      <c r="K32" s="3079"/>
      <c r="L32" s="3158" t="s">
        <v>2931</v>
      </c>
      <c r="M32" s="3079"/>
      <c r="N32" s="3158" t="s">
        <v>2931</v>
      </c>
      <c r="O32" s="3078"/>
      <c r="P32" s="3158" t="s">
        <v>2931</v>
      </c>
      <c r="Q32" s="3078"/>
      <c r="R32" s="3158" t="s">
        <v>2931</v>
      </c>
      <c r="S32" s="3078"/>
    </row>
    <row r="33" spans="1:19" hidden="1" outlineLevel="1">
      <c r="A33" s="3159"/>
      <c r="B33" s="3081" t="s">
        <v>6637</v>
      </c>
      <c r="C33" s="2049"/>
      <c r="D33" s="2050">
        <v>1</v>
      </c>
      <c r="E33" s="2051" t="s">
        <v>2803</v>
      </c>
      <c r="F33" s="2052"/>
      <c r="G33" s="662">
        <f t="shared" si="0"/>
        <v>0</v>
      </c>
      <c r="H33" s="3158" t="s">
        <v>2931</v>
      </c>
      <c r="I33" s="3078"/>
      <c r="J33" s="3158" t="s">
        <v>2931</v>
      </c>
      <c r="K33" s="3079"/>
      <c r="L33" s="3158" t="s">
        <v>2931</v>
      </c>
      <c r="M33" s="3079"/>
      <c r="N33" s="3158" t="s">
        <v>2931</v>
      </c>
      <c r="O33" s="3078"/>
      <c r="P33" s="3158" t="s">
        <v>2931</v>
      </c>
      <c r="Q33" s="3078"/>
      <c r="R33" s="3158" t="s">
        <v>2931</v>
      </c>
      <c r="S33" s="3078"/>
    </row>
    <row r="34" spans="1:19" hidden="1" outlineLevel="1">
      <c r="A34" s="3159"/>
      <c r="B34" s="3081" t="s">
        <v>6638</v>
      </c>
      <c r="C34" s="2049"/>
      <c r="D34" s="2050">
        <v>1</v>
      </c>
      <c r="E34" s="2051" t="s">
        <v>2803</v>
      </c>
      <c r="F34" s="2052"/>
      <c r="G34" s="662">
        <f t="shared" si="0"/>
        <v>0</v>
      </c>
      <c r="H34" s="3158" t="s">
        <v>2931</v>
      </c>
      <c r="I34" s="3078"/>
      <c r="J34" s="3158" t="s">
        <v>2931</v>
      </c>
      <c r="K34" s="3079"/>
      <c r="L34" s="3158" t="s">
        <v>2931</v>
      </c>
      <c r="M34" s="3079"/>
      <c r="N34" s="3158" t="s">
        <v>2931</v>
      </c>
      <c r="O34" s="3078"/>
      <c r="P34" s="3158" t="s">
        <v>2931</v>
      </c>
      <c r="Q34" s="3078"/>
      <c r="R34" s="3158" t="s">
        <v>2931</v>
      </c>
      <c r="S34" s="3078"/>
    </row>
    <row r="35" spans="1:19" hidden="1" outlineLevel="1">
      <c r="A35" s="3159"/>
      <c r="B35" s="3081" t="s">
        <v>6639</v>
      </c>
      <c r="C35" s="2049"/>
      <c r="D35" s="2050">
        <v>1</v>
      </c>
      <c r="E35" s="2051" t="s">
        <v>2803</v>
      </c>
      <c r="F35" s="2052"/>
      <c r="G35" s="662">
        <f t="shared" si="0"/>
        <v>0</v>
      </c>
      <c r="H35" s="3158" t="s">
        <v>2931</v>
      </c>
      <c r="I35" s="3078"/>
      <c r="J35" s="3158" t="s">
        <v>2931</v>
      </c>
      <c r="K35" s="3079"/>
      <c r="L35" s="3158" t="s">
        <v>2931</v>
      </c>
      <c r="M35" s="3079"/>
      <c r="N35" s="3158" t="s">
        <v>2931</v>
      </c>
      <c r="O35" s="3078"/>
      <c r="P35" s="3158" t="s">
        <v>2931</v>
      </c>
      <c r="Q35" s="3078"/>
      <c r="R35" s="3158" t="s">
        <v>2931</v>
      </c>
      <c r="S35" s="3078"/>
    </row>
    <row r="36" spans="1:19" hidden="1" outlineLevel="1">
      <c r="A36" s="3159"/>
      <c r="B36" s="3081" t="s">
        <v>6640</v>
      </c>
      <c r="C36" s="2049"/>
      <c r="D36" s="2050">
        <v>1</v>
      </c>
      <c r="E36" s="2051" t="s">
        <v>2803</v>
      </c>
      <c r="F36" s="2052"/>
      <c r="G36" s="662">
        <f t="shared" si="0"/>
        <v>0</v>
      </c>
      <c r="H36" s="3158" t="s">
        <v>2931</v>
      </c>
      <c r="I36" s="3078"/>
      <c r="J36" s="3158" t="s">
        <v>2931</v>
      </c>
      <c r="K36" s="3079"/>
      <c r="L36" s="3158" t="s">
        <v>2931</v>
      </c>
      <c r="M36" s="3079"/>
      <c r="N36" s="3158" t="s">
        <v>2931</v>
      </c>
      <c r="O36" s="3078"/>
      <c r="P36" s="3158" t="s">
        <v>2931</v>
      </c>
      <c r="Q36" s="3078"/>
      <c r="R36" s="3158" t="s">
        <v>2931</v>
      </c>
      <c r="S36" s="3078"/>
    </row>
    <row r="37" spans="1:19" hidden="1" outlineLevel="1">
      <c r="A37" s="3159"/>
      <c r="B37" s="3081" t="s">
        <v>6641</v>
      </c>
      <c r="C37" s="2049"/>
      <c r="D37" s="2050">
        <v>1</v>
      </c>
      <c r="E37" s="2051" t="s">
        <v>2803</v>
      </c>
      <c r="F37" s="2052"/>
      <c r="G37" s="662">
        <f t="shared" si="0"/>
        <v>0</v>
      </c>
      <c r="H37" s="3158" t="s">
        <v>2931</v>
      </c>
      <c r="I37" s="3078"/>
      <c r="J37" s="3158" t="s">
        <v>2931</v>
      </c>
      <c r="K37" s="3079"/>
      <c r="L37" s="3158" t="s">
        <v>2931</v>
      </c>
      <c r="M37" s="3079"/>
      <c r="N37" s="3158" t="s">
        <v>2931</v>
      </c>
      <c r="O37" s="3078"/>
      <c r="P37" s="3158" t="s">
        <v>2931</v>
      </c>
      <c r="Q37" s="3078"/>
      <c r="R37" s="3158" t="s">
        <v>2931</v>
      </c>
      <c r="S37" s="3078"/>
    </row>
    <row r="38" spans="1:19" hidden="1" outlineLevel="1">
      <c r="A38" s="3159"/>
      <c r="B38" s="3081" t="s">
        <v>6642</v>
      </c>
      <c r="C38" s="2049"/>
      <c r="D38" s="2050">
        <v>1</v>
      </c>
      <c r="E38" s="2051" t="s">
        <v>2803</v>
      </c>
      <c r="F38" s="2052"/>
      <c r="G38" s="662">
        <f t="shared" si="0"/>
        <v>0</v>
      </c>
      <c r="H38" s="3158" t="s">
        <v>2931</v>
      </c>
      <c r="I38" s="3078"/>
      <c r="J38" s="3158" t="s">
        <v>2931</v>
      </c>
      <c r="K38" s="3079"/>
      <c r="L38" s="3158" t="s">
        <v>2931</v>
      </c>
      <c r="M38" s="3079"/>
      <c r="N38" s="3158" t="s">
        <v>2931</v>
      </c>
      <c r="O38" s="3078"/>
      <c r="P38" s="3158" t="s">
        <v>2931</v>
      </c>
      <c r="Q38" s="3078"/>
      <c r="R38" s="3158" t="s">
        <v>2931</v>
      </c>
      <c r="S38" s="3078"/>
    </row>
    <row r="39" spans="1:19" hidden="1" outlineLevel="1">
      <c r="A39" s="3159"/>
      <c r="B39" s="3081" t="s">
        <v>6643</v>
      </c>
      <c r="C39" s="2049"/>
      <c r="D39" s="2050">
        <v>1</v>
      </c>
      <c r="E39" s="2051" t="s">
        <v>2803</v>
      </c>
      <c r="F39" s="2052"/>
      <c r="G39" s="662">
        <f t="shared" si="0"/>
        <v>0</v>
      </c>
      <c r="H39" s="3158" t="s">
        <v>2931</v>
      </c>
      <c r="I39" s="3078"/>
      <c r="J39" s="3158" t="s">
        <v>2931</v>
      </c>
      <c r="K39" s="3079"/>
      <c r="L39" s="3158" t="s">
        <v>2931</v>
      </c>
      <c r="M39" s="3079"/>
      <c r="N39" s="3158" t="s">
        <v>2931</v>
      </c>
      <c r="O39" s="3078"/>
      <c r="P39" s="3158" t="s">
        <v>2931</v>
      </c>
      <c r="Q39" s="3078"/>
      <c r="R39" s="3158" t="s">
        <v>2931</v>
      </c>
      <c r="S39" s="3078"/>
    </row>
    <row r="40" spans="1:19" hidden="1" outlineLevel="1">
      <c r="A40" s="3159"/>
      <c r="B40" s="3081" t="s">
        <v>6644</v>
      </c>
      <c r="C40" s="2049"/>
      <c r="D40" s="2050">
        <v>1</v>
      </c>
      <c r="E40" s="2051" t="s">
        <v>2803</v>
      </c>
      <c r="F40" s="2052"/>
      <c r="G40" s="662">
        <f t="shared" si="0"/>
        <v>0</v>
      </c>
      <c r="H40" s="3158" t="s">
        <v>2931</v>
      </c>
      <c r="I40" s="3078"/>
      <c r="J40" s="3158" t="s">
        <v>2931</v>
      </c>
      <c r="K40" s="3079"/>
      <c r="L40" s="3158" t="s">
        <v>2931</v>
      </c>
      <c r="M40" s="3079"/>
      <c r="N40" s="3158" t="s">
        <v>2931</v>
      </c>
      <c r="O40" s="3078"/>
      <c r="P40" s="3158" t="s">
        <v>2931</v>
      </c>
      <c r="Q40" s="3078"/>
      <c r="R40" s="3158" t="s">
        <v>2931</v>
      </c>
      <c r="S40" s="3078"/>
    </row>
    <row r="41" spans="1:19" hidden="1" outlineLevel="1">
      <c r="A41" s="3159"/>
      <c r="B41" s="3081" t="s">
        <v>6645</v>
      </c>
      <c r="C41" s="2049"/>
      <c r="D41" s="2050">
        <v>1</v>
      </c>
      <c r="E41" s="2051" t="s">
        <v>2803</v>
      </c>
      <c r="F41" s="2052"/>
      <c r="G41" s="662">
        <f t="shared" si="0"/>
        <v>0</v>
      </c>
      <c r="H41" s="3158" t="s">
        <v>2931</v>
      </c>
      <c r="I41" s="3078"/>
      <c r="J41" s="3158" t="s">
        <v>2931</v>
      </c>
      <c r="K41" s="3079"/>
      <c r="L41" s="3158" t="s">
        <v>2931</v>
      </c>
      <c r="M41" s="3079"/>
      <c r="N41" s="3158" t="s">
        <v>2931</v>
      </c>
      <c r="O41" s="3078"/>
      <c r="P41" s="3158" t="s">
        <v>2931</v>
      </c>
      <c r="Q41" s="3078"/>
      <c r="R41" s="3158" t="s">
        <v>2931</v>
      </c>
      <c r="S41" s="3078"/>
    </row>
    <row r="42" spans="1:19" hidden="1" outlineLevel="1">
      <c r="A42" s="3159"/>
      <c r="B42" s="3081" t="s">
        <v>6646</v>
      </c>
      <c r="C42" s="2049"/>
      <c r="D42" s="2050">
        <v>1</v>
      </c>
      <c r="E42" s="2051" t="s">
        <v>2803</v>
      </c>
      <c r="F42" s="2052"/>
      <c r="G42" s="662">
        <f t="shared" si="0"/>
        <v>0</v>
      </c>
      <c r="H42" s="3158" t="s">
        <v>2931</v>
      </c>
      <c r="I42" s="3078"/>
      <c r="J42" s="3158" t="s">
        <v>2931</v>
      </c>
      <c r="K42" s="3079"/>
      <c r="L42" s="3158" t="s">
        <v>2931</v>
      </c>
      <c r="M42" s="3079"/>
      <c r="N42" s="3158" t="s">
        <v>2931</v>
      </c>
      <c r="O42" s="3078"/>
      <c r="P42" s="3158" t="s">
        <v>2931</v>
      </c>
      <c r="Q42" s="3078"/>
      <c r="R42" s="3158" t="s">
        <v>2931</v>
      </c>
      <c r="S42" s="3078"/>
    </row>
    <row r="43" spans="1:19" hidden="1" outlineLevel="1">
      <c r="A43" s="3159"/>
      <c r="B43" s="3081" t="s">
        <v>6647</v>
      </c>
      <c r="C43" s="2049"/>
      <c r="D43" s="2050">
        <v>1</v>
      </c>
      <c r="E43" s="2051" t="s">
        <v>2803</v>
      </c>
      <c r="F43" s="2052"/>
      <c r="G43" s="662">
        <f t="shared" si="0"/>
        <v>0</v>
      </c>
      <c r="H43" s="3158" t="s">
        <v>2931</v>
      </c>
      <c r="I43" s="3078"/>
      <c r="J43" s="3158" t="s">
        <v>2931</v>
      </c>
      <c r="K43" s="3079"/>
      <c r="L43" s="3158" t="s">
        <v>2931</v>
      </c>
      <c r="M43" s="3079"/>
      <c r="N43" s="3158" t="s">
        <v>2931</v>
      </c>
      <c r="O43" s="3078"/>
      <c r="P43" s="3158" t="s">
        <v>2931</v>
      </c>
      <c r="Q43" s="3078"/>
      <c r="R43" s="3158" t="s">
        <v>2931</v>
      </c>
      <c r="S43" s="3078"/>
    </row>
    <row r="44" spans="1:19" hidden="1" outlineLevel="1">
      <c r="A44" s="3159"/>
      <c r="B44" s="3081" t="s">
        <v>6648</v>
      </c>
      <c r="C44" s="2049"/>
      <c r="D44" s="2050">
        <v>1</v>
      </c>
      <c r="E44" s="2051" t="s">
        <v>2803</v>
      </c>
      <c r="F44" s="2052"/>
      <c r="G44" s="662">
        <f t="shared" si="0"/>
        <v>0</v>
      </c>
      <c r="H44" s="3158" t="s">
        <v>2931</v>
      </c>
      <c r="I44" s="3078"/>
      <c r="J44" s="3158" t="s">
        <v>2931</v>
      </c>
      <c r="K44" s="3079"/>
      <c r="L44" s="3158" t="s">
        <v>2931</v>
      </c>
      <c r="M44" s="3079"/>
      <c r="N44" s="3158" t="s">
        <v>2931</v>
      </c>
      <c r="O44" s="3078"/>
      <c r="P44" s="3158" t="s">
        <v>2931</v>
      </c>
      <c r="Q44" s="3078"/>
      <c r="R44" s="3158" t="s">
        <v>2931</v>
      </c>
      <c r="S44" s="3078"/>
    </row>
    <row r="45" spans="1:19" hidden="1" outlineLevel="1">
      <c r="A45" s="3159"/>
      <c r="B45" s="3081" t="s">
        <v>6649</v>
      </c>
      <c r="C45" s="2049"/>
      <c r="D45" s="2050">
        <v>1</v>
      </c>
      <c r="E45" s="2051" t="s">
        <v>2803</v>
      </c>
      <c r="F45" s="2052"/>
      <c r="G45" s="662">
        <f t="shared" si="0"/>
        <v>0</v>
      </c>
      <c r="H45" s="3158" t="s">
        <v>2931</v>
      </c>
      <c r="I45" s="3078"/>
      <c r="J45" s="3158" t="s">
        <v>2931</v>
      </c>
      <c r="K45" s="3079"/>
      <c r="L45" s="3158" t="s">
        <v>2931</v>
      </c>
      <c r="M45" s="3079"/>
      <c r="N45" s="3158" t="s">
        <v>2931</v>
      </c>
      <c r="O45" s="3078"/>
      <c r="P45" s="3158" t="s">
        <v>2931</v>
      </c>
      <c r="Q45" s="3078"/>
      <c r="R45" s="3158" t="s">
        <v>2931</v>
      </c>
      <c r="S45" s="3078"/>
    </row>
    <row r="46" spans="1:19" hidden="1" outlineLevel="1">
      <c r="A46" s="3159"/>
      <c r="B46" s="3081" t="s">
        <v>6650</v>
      </c>
      <c r="C46" s="2049"/>
      <c r="D46" s="2050">
        <v>1</v>
      </c>
      <c r="E46" s="2051" t="s">
        <v>2803</v>
      </c>
      <c r="F46" s="2052"/>
      <c r="G46" s="662">
        <f t="shared" si="0"/>
        <v>0</v>
      </c>
      <c r="H46" s="3158" t="s">
        <v>2931</v>
      </c>
      <c r="I46" s="3078"/>
      <c r="J46" s="3158" t="s">
        <v>2931</v>
      </c>
      <c r="K46" s="3079"/>
      <c r="L46" s="3158" t="s">
        <v>2931</v>
      </c>
      <c r="M46" s="3079"/>
      <c r="N46" s="3158" t="s">
        <v>2931</v>
      </c>
      <c r="O46" s="3078"/>
      <c r="P46" s="3158" t="s">
        <v>2931</v>
      </c>
      <c r="Q46" s="3078"/>
      <c r="R46" s="3158" t="s">
        <v>2931</v>
      </c>
      <c r="S46" s="3078"/>
    </row>
    <row r="47" spans="1:19" hidden="1" outlineLevel="1">
      <c r="A47" s="3159"/>
      <c r="B47" s="3081" t="s">
        <v>6651</v>
      </c>
      <c r="C47" s="2049"/>
      <c r="D47" s="2050">
        <v>1</v>
      </c>
      <c r="E47" s="2051" t="s">
        <v>2803</v>
      </c>
      <c r="F47" s="2052"/>
      <c r="G47" s="662">
        <f t="shared" si="0"/>
        <v>0</v>
      </c>
      <c r="H47" s="3158" t="s">
        <v>2931</v>
      </c>
      <c r="I47" s="3078"/>
      <c r="J47" s="3158" t="s">
        <v>2931</v>
      </c>
      <c r="K47" s="3079"/>
      <c r="L47" s="3158" t="s">
        <v>2931</v>
      </c>
      <c r="M47" s="3079"/>
      <c r="N47" s="3158" t="s">
        <v>2931</v>
      </c>
      <c r="O47" s="3078"/>
      <c r="P47" s="3158" t="s">
        <v>2931</v>
      </c>
      <c r="Q47" s="3078"/>
      <c r="R47" s="3158" t="s">
        <v>2931</v>
      </c>
      <c r="S47" s="3078"/>
    </row>
    <row r="48" spans="1:19" hidden="1" outlineLevel="1">
      <c r="A48" s="3159"/>
      <c r="B48" s="3081" t="s">
        <v>6652</v>
      </c>
      <c r="C48" s="2049"/>
      <c r="D48" s="2050">
        <v>1</v>
      </c>
      <c r="E48" s="2051" t="s">
        <v>2803</v>
      </c>
      <c r="F48" s="2052"/>
      <c r="G48" s="662">
        <f t="shared" si="0"/>
        <v>0</v>
      </c>
      <c r="H48" s="3158" t="s">
        <v>2931</v>
      </c>
      <c r="I48" s="3078"/>
      <c r="J48" s="3158" t="s">
        <v>2931</v>
      </c>
      <c r="K48" s="3079"/>
      <c r="L48" s="3158" t="s">
        <v>2931</v>
      </c>
      <c r="M48" s="3079"/>
      <c r="N48" s="3158" t="s">
        <v>2931</v>
      </c>
      <c r="O48" s="3078"/>
      <c r="P48" s="3158" t="s">
        <v>2931</v>
      </c>
      <c r="Q48" s="3078"/>
      <c r="R48" s="3158" t="s">
        <v>2931</v>
      </c>
      <c r="S48" s="3078"/>
    </row>
    <row r="49" spans="1:19" hidden="1" outlineLevel="1">
      <c r="A49" s="3159"/>
      <c r="B49" s="3081" t="s">
        <v>6653</v>
      </c>
      <c r="C49" s="2049"/>
      <c r="D49" s="2050">
        <v>1</v>
      </c>
      <c r="E49" s="2051" t="s">
        <v>2803</v>
      </c>
      <c r="F49" s="2052"/>
      <c r="G49" s="662">
        <f t="shared" si="0"/>
        <v>0</v>
      </c>
      <c r="H49" s="3158" t="s">
        <v>2931</v>
      </c>
      <c r="I49" s="3078"/>
      <c r="J49" s="3158" t="s">
        <v>2931</v>
      </c>
      <c r="K49" s="3079"/>
      <c r="L49" s="3158" t="s">
        <v>2931</v>
      </c>
      <c r="M49" s="3079"/>
      <c r="N49" s="3158" t="s">
        <v>2931</v>
      </c>
      <c r="O49" s="3078"/>
      <c r="P49" s="3158" t="s">
        <v>2931</v>
      </c>
      <c r="Q49" s="3078"/>
      <c r="R49" s="3158" t="s">
        <v>2931</v>
      </c>
      <c r="S49" s="3078"/>
    </row>
    <row r="50" spans="1:19" hidden="1" outlineLevel="1">
      <c r="A50" s="3159"/>
      <c r="B50" s="3081" t="s">
        <v>6654</v>
      </c>
      <c r="C50" s="2049"/>
      <c r="D50" s="2050">
        <v>1</v>
      </c>
      <c r="E50" s="2051" t="s">
        <v>2803</v>
      </c>
      <c r="F50" s="2052"/>
      <c r="G50" s="662">
        <f t="shared" si="0"/>
        <v>0</v>
      </c>
      <c r="H50" s="3158" t="s">
        <v>2931</v>
      </c>
      <c r="I50" s="3078"/>
      <c r="J50" s="3158" t="s">
        <v>2931</v>
      </c>
      <c r="K50" s="3079"/>
      <c r="L50" s="3158" t="s">
        <v>2931</v>
      </c>
      <c r="M50" s="3079"/>
      <c r="N50" s="3158" t="s">
        <v>2931</v>
      </c>
      <c r="O50" s="3078"/>
      <c r="P50" s="3158" t="s">
        <v>2931</v>
      </c>
      <c r="Q50" s="3078"/>
      <c r="R50" s="3158" t="s">
        <v>2931</v>
      </c>
      <c r="S50" s="3078"/>
    </row>
    <row r="51" spans="1:19" hidden="1" outlineLevel="1">
      <c r="A51" s="3159"/>
      <c r="B51" s="3168" t="s">
        <v>6655</v>
      </c>
      <c r="C51" s="3162"/>
      <c r="D51" s="3169">
        <v>1</v>
      </c>
      <c r="E51" s="3164" t="s">
        <v>2803</v>
      </c>
      <c r="F51" s="2052"/>
      <c r="G51" s="662">
        <f t="shared" si="0"/>
        <v>0</v>
      </c>
      <c r="H51" s="3158" t="s">
        <v>2931</v>
      </c>
      <c r="I51" s="3078"/>
      <c r="J51" s="3158" t="s">
        <v>2931</v>
      </c>
      <c r="K51" s="3079"/>
      <c r="L51" s="3158" t="s">
        <v>2931</v>
      </c>
      <c r="M51" s="3079"/>
      <c r="N51" s="3158" t="s">
        <v>2931</v>
      </c>
      <c r="O51" s="3078"/>
      <c r="P51" s="3158" t="s">
        <v>2931</v>
      </c>
      <c r="Q51" s="3078"/>
      <c r="R51" s="3158" t="s">
        <v>2931</v>
      </c>
      <c r="S51" s="3078"/>
    </row>
    <row r="52" spans="1:19" collapsed="1">
      <c r="A52" s="3159"/>
      <c r="B52" s="3170" t="s">
        <v>6656</v>
      </c>
      <c r="C52" s="3162"/>
      <c r="D52" s="3169">
        <v>1</v>
      </c>
      <c r="E52" s="3164" t="s">
        <v>2818</v>
      </c>
      <c r="F52" s="2052"/>
      <c r="G52" s="662">
        <f t="shared" si="0"/>
        <v>0</v>
      </c>
      <c r="H52" s="3158" t="s">
        <v>2931</v>
      </c>
      <c r="I52" s="3078"/>
      <c r="J52" s="3158" t="s">
        <v>2931</v>
      </c>
      <c r="K52" s="3079"/>
      <c r="L52" s="3158" t="s">
        <v>2931</v>
      </c>
      <c r="M52" s="3079"/>
      <c r="N52" s="3158" t="s">
        <v>2931</v>
      </c>
      <c r="O52" s="3078"/>
      <c r="P52" s="3158" t="s">
        <v>2931</v>
      </c>
      <c r="Q52" s="3078"/>
      <c r="R52" s="3158" t="s">
        <v>2931</v>
      </c>
      <c r="S52" s="3078"/>
    </row>
    <row r="53" spans="1:19">
      <c r="A53" s="3159"/>
      <c r="B53" s="3094" t="s">
        <v>6657</v>
      </c>
      <c r="C53" s="3162"/>
      <c r="D53" s="3169"/>
      <c r="E53" s="3164"/>
      <c r="F53" s="2052"/>
      <c r="G53" s="662">
        <f t="shared" si="0"/>
        <v>0</v>
      </c>
      <c r="H53" s="3158" t="s">
        <v>2931</v>
      </c>
      <c r="I53" s="3078"/>
      <c r="J53" s="3158" t="s">
        <v>2931</v>
      </c>
      <c r="K53" s="3079"/>
      <c r="L53" s="3158" t="s">
        <v>2931</v>
      </c>
      <c r="M53" s="3079"/>
      <c r="N53" s="3158" t="s">
        <v>2931</v>
      </c>
      <c r="O53" s="3078"/>
      <c r="P53" s="3158" t="s">
        <v>2931</v>
      </c>
      <c r="Q53" s="3078"/>
      <c r="R53" s="3158" t="s">
        <v>2931</v>
      </c>
      <c r="S53" s="3078"/>
    </row>
    <row r="54" spans="1:19" hidden="1" outlineLevel="1">
      <c r="A54" s="3159"/>
      <c r="B54" s="3081" t="s">
        <v>6658</v>
      </c>
      <c r="C54" s="3162"/>
      <c r="D54" s="2050">
        <v>1</v>
      </c>
      <c r="E54" s="2051" t="s">
        <v>2803</v>
      </c>
      <c r="F54" s="2052"/>
      <c r="G54" s="662">
        <f t="shared" si="0"/>
        <v>0</v>
      </c>
      <c r="H54" s="3158"/>
      <c r="I54" s="3078"/>
      <c r="J54" s="3158"/>
      <c r="K54" s="3079"/>
      <c r="L54" s="3158"/>
      <c r="M54" s="3079"/>
      <c r="N54" s="3158"/>
      <c r="O54" s="3078"/>
      <c r="P54" s="3158"/>
      <c r="Q54" s="3078"/>
      <c r="R54" s="3158" t="s">
        <v>2931</v>
      </c>
      <c r="S54" s="3078"/>
    </row>
    <row r="55" spans="1:19" hidden="1" outlineLevel="1">
      <c r="A55" s="3159"/>
      <c r="B55" s="3081" t="s">
        <v>6659</v>
      </c>
      <c r="C55" s="3162"/>
      <c r="D55" s="2050">
        <v>1</v>
      </c>
      <c r="E55" s="2051" t="s">
        <v>2803</v>
      </c>
      <c r="F55" s="2052"/>
      <c r="G55" s="662">
        <f t="shared" si="0"/>
        <v>0</v>
      </c>
      <c r="H55" s="3158"/>
      <c r="I55" s="3078"/>
      <c r="J55" s="3158"/>
      <c r="K55" s="3079"/>
      <c r="L55" s="3158"/>
      <c r="M55" s="3079"/>
      <c r="N55" s="3158"/>
      <c r="O55" s="3078"/>
      <c r="P55" s="3158"/>
      <c r="Q55" s="3078"/>
      <c r="R55" s="3158" t="s">
        <v>2931</v>
      </c>
      <c r="S55" s="3078"/>
    </row>
    <row r="56" spans="1:19" hidden="1" outlineLevel="1">
      <c r="A56" s="3159"/>
      <c r="B56" s="3081" t="s">
        <v>6660</v>
      </c>
      <c r="C56" s="3162"/>
      <c r="D56" s="2050">
        <v>1</v>
      </c>
      <c r="E56" s="2051" t="s">
        <v>2803</v>
      </c>
      <c r="F56" s="2052"/>
      <c r="G56" s="662">
        <f t="shared" si="0"/>
        <v>0</v>
      </c>
      <c r="H56" s="3158"/>
      <c r="I56" s="3078"/>
      <c r="J56" s="3158"/>
      <c r="K56" s="3079"/>
      <c r="L56" s="3158"/>
      <c r="M56" s="3079"/>
      <c r="N56" s="3158"/>
      <c r="O56" s="3078"/>
      <c r="P56" s="3158"/>
      <c r="Q56" s="3078"/>
      <c r="R56" s="3158" t="s">
        <v>2931</v>
      </c>
      <c r="S56" s="3078"/>
    </row>
    <row r="57" spans="1:19" hidden="1" outlineLevel="1">
      <c r="A57" s="3159"/>
      <c r="B57" s="3081" t="s">
        <v>6661</v>
      </c>
      <c r="C57" s="3162"/>
      <c r="D57" s="2050">
        <v>1</v>
      </c>
      <c r="E57" s="2051" t="s">
        <v>2803</v>
      </c>
      <c r="F57" s="2052"/>
      <c r="G57" s="662">
        <f t="shared" si="0"/>
        <v>0</v>
      </c>
      <c r="H57" s="3158"/>
      <c r="I57" s="3078"/>
      <c r="J57" s="3158"/>
      <c r="K57" s="3079"/>
      <c r="L57" s="3158"/>
      <c r="M57" s="3079"/>
      <c r="N57" s="3158"/>
      <c r="O57" s="3078"/>
      <c r="P57" s="3158"/>
      <c r="Q57" s="3078"/>
      <c r="R57" s="3158" t="s">
        <v>2931</v>
      </c>
      <c r="S57" s="3078"/>
    </row>
    <row r="58" spans="1:19" hidden="1" outlineLevel="1">
      <c r="A58" s="3159"/>
      <c r="B58" s="3081" t="s">
        <v>6662</v>
      </c>
      <c r="C58" s="3162"/>
      <c r="D58" s="2050">
        <v>1</v>
      </c>
      <c r="E58" s="2051" t="s">
        <v>2803</v>
      </c>
      <c r="F58" s="2052"/>
      <c r="G58" s="662">
        <f t="shared" si="0"/>
        <v>0</v>
      </c>
      <c r="H58" s="3158"/>
      <c r="I58" s="3078"/>
      <c r="J58" s="3158"/>
      <c r="K58" s="3079"/>
      <c r="L58" s="3158"/>
      <c r="M58" s="3079"/>
      <c r="N58" s="3158"/>
      <c r="O58" s="3078"/>
      <c r="P58" s="3158"/>
      <c r="Q58" s="3078"/>
      <c r="R58" s="3158" t="s">
        <v>2931</v>
      </c>
      <c r="S58" s="3078"/>
    </row>
    <row r="59" spans="1:19" collapsed="1">
      <c r="A59" s="3159"/>
      <c r="B59" s="3077" t="s">
        <v>6663</v>
      </c>
      <c r="C59" s="2049"/>
      <c r="D59" s="2050"/>
      <c r="E59" s="2051"/>
      <c r="F59" s="2052"/>
      <c r="G59" s="662">
        <f t="shared" si="0"/>
        <v>0</v>
      </c>
      <c r="H59" s="3158" t="s">
        <v>2931</v>
      </c>
      <c r="I59" s="3078"/>
      <c r="J59" s="3158" t="s">
        <v>2931</v>
      </c>
      <c r="K59" s="3079"/>
      <c r="L59" s="3158"/>
      <c r="M59" s="3101">
        <f>2*10000</f>
        <v>20000</v>
      </c>
      <c r="N59" s="3158" t="s">
        <v>2929</v>
      </c>
      <c r="O59" s="3101">
        <f>2*10000</f>
        <v>20000</v>
      </c>
      <c r="P59" s="3158" t="s">
        <v>2931</v>
      </c>
      <c r="Q59" s="3078"/>
      <c r="R59" s="3158" t="s">
        <v>2931</v>
      </c>
      <c r="S59" s="3078"/>
    </row>
    <row r="60" spans="1:19" hidden="1" outlineLevel="1">
      <c r="A60" s="3159"/>
      <c r="B60" s="3081" t="s">
        <v>6664</v>
      </c>
      <c r="C60" s="2049"/>
      <c r="D60" s="2050">
        <v>1</v>
      </c>
      <c r="E60" s="2051" t="s">
        <v>2803</v>
      </c>
      <c r="F60" s="2052"/>
      <c r="G60" s="662">
        <f t="shared" si="0"/>
        <v>0</v>
      </c>
      <c r="H60" s="3158"/>
      <c r="I60" s="3078"/>
      <c r="J60" s="3158"/>
      <c r="K60" s="3079"/>
      <c r="L60" s="3158"/>
      <c r="M60" s="3101"/>
      <c r="N60" s="3158"/>
      <c r="O60" s="3101"/>
      <c r="P60" s="3158"/>
      <c r="Q60" s="3078"/>
      <c r="R60" s="3158" t="s">
        <v>2931</v>
      </c>
      <c r="S60" s="3078"/>
    </row>
    <row r="61" spans="1:19" hidden="1" outlineLevel="1">
      <c r="A61" s="3159"/>
      <c r="B61" s="3081" t="s">
        <v>6665</v>
      </c>
      <c r="C61" s="2049"/>
      <c r="D61" s="2050">
        <v>1</v>
      </c>
      <c r="E61" s="2051" t="s">
        <v>2803</v>
      </c>
      <c r="F61" s="2052"/>
      <c r="G61" s="662">
        <f t="shared" si="0"/>
        <v>0</v>
      </c>
      <c r="H61" s="3158"/>
      <c r="I61" s="3078"/>
      <c r="J61" s="3158"/>
      <c r="K61" s="3079"/>
      <c r="L61" s="3158"/>
      <c r="M61" s="3101"/>
      <c r="N61" s="3158"/>
      <c r="O61" s="3101"/>
      <c r="P61" s="3158"/>
      <c r="Q61" s="3078"/>
      <c r="R61" s="3158" t="s">
        <v>2931</v>
      </c>
      <c r="S61" s="3078"/>
    </row>
    <row r="62" spans="1:19" collapsed="1">
      <c r="A62" s="3159"/>
      <c r="B62" s="3077" t="s">
        <v>6666</v>
      </c>
      <c r="C62" s="2049"/>
      <c r="D62" s="2050"/>
      <c r="E62" s="2051"/>
      <c r="F62" s="2052"/>
      <c r="G62" s="662">
        <f t="shared" si="0"/>
        <v>0</v>
      </c>
      <c r="H62" s="3158" t="s">
        <v>2931</v>
      </c>
      <c r="I62" s="3078"/>
      <c r="J62" s="3158" t="s">
        <v>2931</v>
      </c>
      <c r="K62" s="3079"/>
      <c r="L62" s="3158"/>
      <c r="M62" s="3101">
        <f>6*5000</f>
        <v>30000</v>
      </c>
      <c r="N62" s="3158" t="s">
        <v>2929</v>
      </c>
      <c r="O62" s="3101">
        <f>6*5000</f>
        <v>30000</v>
      </c>
      <c r="P62" s="3158"/>
      <c r="Q62" s="3101">
        <f>6*5000</f>
        <v>30000</v>
      </c>
      <c r="R62" s="3158" t="s">
        <v>2931</v>
      </c>
      <c r="S62" s="3078"/>
    </row>
    <row r="63" spans="1:19" hidden="1" outlineLevel="1">
      <c r="A63" s="3159"/>
      <c r="B63" s="3081" t="s">
        <v>6667</v>
      </c>
      <c r="C63" s="2049"/>
      <c r="D63" s="2050">
        <v>1</v>
      </c>
      <c r="E63" s="2051" t="s">
        <v>2803</v>
      </c>
      <c r="F63" s="2052"/>
      <c r="G63" s="662">
        <f t="shared" si="0"/>
        <v>0</v>
      </c>
      <c r="H63" s="3158"/>
      <c r="I63" s="3078"/>
      <c r="J63" s="3158"/>
      <c r="K63" s="3079"/>
      <c r="L63" s="3158"/>
      <c r="M63" s="3087"/>
      <c r="N63" s="3158"/>
      <c r="O63" s="3087"/>
      <c r="P63" s="3158"/>
      <c r="Q63" s="3087"/>
      <c r="R63" s="3158"/>
      <c r="S63" s="3078"/>
    </row>
    <row r="64" spans="1:19" hidden="1" outlineLevel="1">
      <c r="A64" s="3159"/>
      <c r="B64" s="3081" t="s">
        <v>6668</v>
      </c>
      <c r="C64" s="2049"/>
      <c r="D64" s="2050">
        <v>1</v>
      </c>
      <c r="E64" s="2051" t="s">
        <v>2803</v>
      </c>
      <c r="F64" s="2052"/>
      <c r="G64" s="662">
        <f t="shared" si="0"/>
        <v>0</v>
      </c>
      <c r="H64" s="3158"/>
      <c r="I64" s="3078"/>
      <c r="J64" s="3158"/>
      <c r="K64" s="3079"/>
      <c r="L64" s="3158"/>
      <c r="M64" s="3087"/>
      <c r="N64" s="3158"/>
      <c r="O64" s="3087"/>
      <c r="P64" s="3158"/>
      <c r="Q64" s="3087"/>
      <c r="R64" s="3158"/>
      <c r="S64" s="3078"/>
    </row>
    <row r="65" spans="1:19" hidden="1" outlineLevel="1">
      <c r="A65" s="3159"/>
      <c r="B65" s="3081" t="s">
        <v>6669</v>
      </c>
      <c r="C65" s="2049"/>
      <c r="D65" s="2050">
        <v>1</v>
      </c>
      <c r="E65" s="2051" t="s">
        <v>2803</v>
      </c>
      <c r="F65" s="2052"/>
      <c r="G65" s="662">
        <f t="shared" si="0"/>
        <v>0</v>
      </c>
      <c r="H65" s="3158"/>
      <c r="I65" s="3078"/>
      <c r="J65" s="3158"/>
      <c r="K65" s="3079"/>
      <c r="L65" s="3158"/>
      <c r="M65" s="3087"/>
      <c r="N65" s="3158"/>
      <c r="O65" s="3087"/>
      <c r="P65" s="3158"/>
      <c r="Q65" s="3087"/>
      <c r="R65" s="3158"/>
      <c r="S65" s="3078"/>
    </row>
    <row r="66" spans="1:19" hidden="1" outlineLevel="1">
      <c r="A66" s="3159"/>
      <c r="B66" s="3081" t="s">
        <v>6670</v>
      </c>
      <c r="C66" s="2049"/>
      <c r="D66" s="2050">
        <v>1</v>
      </c>
      <c r="E66" s="2051" t="s">
        <v>2803</v>
      </c>
      <c r="F66" s="2052"/>
      <c r="G66" s="662">
        <f t="shared" si="0"/>
        <v>0</v>
      </c>
      <c r="H66" s="3158"/>
      <c r="I66" s="3078"/>
      <c r="J66" s="3158"/>
      <c r="K66" s="3079"/>
      <c r="L66" s="3158"/>
      <c r="M66" s="3087"/>
      <c r="N66" s="3158"/>
      <c r="O66" s="3087"/>
      <c r="P66" s="3158"/>
      <c r="Q66" s="3087"/>
      <c r="R66" s="3158"/>
      <c r="S66" s="3078"/>
    </row>
    <row r="67" spans="1:19" hidden="1" outlineLevel="1">
      <c r="A67" s="3159"/>
      <c r="B67" s="3081" t="s">
        <v>6671</v>
      </c>
      <c r="C67" s="2049"/>
      <c r="D67" s="2050">
        <v>1</v>
      </c>
      <c r="E67" s="2051" t="s">
        <v>2803</v>
      </c>
      <c r="F67" s="2052"/>
      <c r="G67" s="662">
        <f t="shared" si="0"/>
        <v>0</v>
      </c>
      <c r="H67" s="3158"/>
      <c r="I67" s="3078"/>
      <c r="J67" s="3158"/>
      <c r="K67" s="3079"/>
      <c r="L67" s="3158"/>
      <c r="M67" s="3087"/>
      <c r="N67" s="3158"/>
      <c r="O67" s="3087"/>
      <c r="P67" s="3158"/>
      <c r="Q67" s="3087"/>
      <c r="R67" s="3158"/>
      <c r="S67" s="3078"/>
    </row>
    <row r="68" spans="1:19" hidden="1" outlineLevel="1">
      <c r="A68" s="3159"/>
      <c r="B68" s="3081" t="s">
        <v>6672</v>
      </c>
      <c r="C68" s="2049"/>
      <c r="D68" s="2050">
        <v>1</v>
      </c>
      <c r="E68" s="2051" t="s">
        <v>2803</v>
      </c>
      <c r="F68" s="2052"/>
      <c r="G68" s="662">
        <f t="shared" si="0"/>
        <v>0</v>
      </c>
      <c r="H68" s="3158"/>
      <c r="I68" s="3078"/>
      <c r="J68" s="3158"/>
      <c r="K68" s="3079"/>
      <c r="L68" s="3158"/>
      <c r="M68" s="3087"/>
      <c r="N68" s="3158"/>
      <c r="O68" s="3087"/>
      <c r="P68" s="3158"/>
      <c r="Q68" s="3087"/>
      <c r="R68" s="3158"/>
      <c r="S68" s="3078"/>
    </row>
    <row r="69" spans="1:19" collapsed="1">
      <c r="A69" s="3159"/>
      <c r="B69" s="3077" t="s">
        <v>6673</v>
      </c>
      <c r="C69" s="2049"/>
      <c r="D69" s="2050"/>
      <c r="E69" s="2051"/>
      <c r="F69" s="2052"/>
      <c r="G69" s="662">
        <f t="shared" si="0"/>
        <v>0</v>
      </c>
      <c r="H69" s="3158" t="s">
        <v>2931</v>
      </c>
      <c r="I69" s="3078"/>
      <c r="J69" s="3158" t="s">
        <v>2931</v>
      </c>
      <c r="K69" s="3079"/>
      <c r="L69" s="3158" t="s">
        <v>2931</v>
      </c>
      <c r="M69" s="3079"/>
      <c r="N69" s="3158" t="s">
        <v>2931</v>
      </c>
      <c r="O69" s="3078"/>
      <c r="P69" s="3158" t="s">
        <v>2931</v>
      </c>
      <c r="Q69" s="3078"/>
      <c r="R69" s="3158" t="s">
        <v>2931</v>
      </c>
      <c r="S69" s="3078"/>
    </row>
    <row r="70" spans="1:19" hidden="1" outlineLevel="1">
      <c r="A70" s="3159"/>
      <c r="B70" s="3081" t="s">
        <v>6674</v>
      </c>
      <c r="C70" s="2049"/>
      <c r="D70" s="2050">
        <v>3</v>
      </c>
      <c r="E70" s="2051" t="s">
        <v>2803</v>
      </c>
      <c r="F70" s="2052"/>
      <c r="G70" s="662">
        <f t="shared" si="0"/>
        <v>0</v>
      </c>
      <c r="H70" s="3158"/>
      <c r="I70" s="3078"/>
      <c r="J70" s="3158"/>
      <c r="K70" s="3079"/>
      <c r="L70" s="3158"/>
      <c r="M70" s="3079"/>
      <c r="N70" s="3158"/>
      <c r="O70" s="3078"/>
      <c r="P70" s="3158"/>
      <c r="Q70" s="3078"/>
      <c r="R70" s="3158"/>
      <c r="S70" s="3078"/>
    </row>
    <row r="71" spans="1:19" hidden="1" outlineLevel="1">
      <c r="A71" s="3159"/>
      <c r="B71" s="3081" t="s">
        <v>6675</v>
      </c>
      <c r="C71" s="2049"/>
      <c r="D71" s="2050">
        <v>3</v>
      </c>
      <c r="E71" s="2051" t="s">
        <v>2803</v>
      </c>
      <c r="F71" s="2052"/>
      <c r="G71" s="662">
        <f t="shared" si="0"/>
        <v>0</v>
      </c>
      <c r="H71" s="3158"/>
      <c r="I71" s="3078"/>
      <c r="J71" s="3158"/>
      <c r="K71" s="3079"/>
      <c r="L71" s="3158"/>
      <c r="M71" s="3079"/>
      <c r="N71" s="3158"/>
      <c r="O71" s="3078"/>
      <c r="P71" s="3158"/>
      <c r="Q71" s="3078"/>
      <c r="R71" s="3158"/>
      <c r="S71" s="3078"/>
    </row>
    <row r="72" spans="1:19" hidden="1" outlineLevel="1">
      <c r="A72" s="3159"/>
      <c r="B72" s="3081" t="s">
        <v>6676</v>
      </c>
      <c r="C72" s="2049"/>
      <c r="D72" s="2050">
        <v>9</v>
      </c>
      <c r="E72" s="2051" t="s">
        <v>2803</v>
      </c>
      <c r="F72" s="2052"/>
      <c r="G72" s="662">
        <f t="shared" si="0"/>
        <v>0</v>
      </c>
      <c r="H72" s="3158"/>
      <c r="I72" s="3078"/>
      <c r="J72" s="3158"/>
      <c r="K72" s="3079"/>
      <c r="L72" s="3158"/>
      <c r="M72" s="3079"/>
      <c r="N72" s="3158"/>
      <c r="O72" s="3078"/>
      <c r="P72" s="3158"/>
      <c r="Q72" s="3078"/>
      <c r="R72" s="3158"/>
      <c r="S72" s="3078"/>
    </row>
    <row r="73" spans="1:19" hidden="1" outlineLevel="1">
      <c r="A73" s="3159"/>
      <c r="B73" s="3081" t="s">
        <v>6677</v>
      </c>
      <c r="C73" s="2049"/>
      <c r="D73" s="2050">
        <v>1</v>
      </c>
      <c r="E73" s="2051" t="s">
        <v>2803</v>
      </c>
      <c r="F73" s="2052"/>
      <c r="G73" s="662">
        <f t="shared" si="0"/>
        <v>0</v>
      </c>
      <c r="H73" s="3158"/>
      <c r="I73" s="3078"/>
      <c r="J73" s="3158"/>
      <c r="K73" s="3079"/>
      <c r="L73" s="3158"/>
      <c r="M73" s="3079"/>
      <c r="N73" s="3158"/>
      <c r="O73" s="3078"/>
      <c r="P73" s="3158"/>
      <c r="Q73" s="3078"/>
      <c r="R73" s="3158"/>
      <c r="S73" s="3078"/>
    </row>
    <row r="74" spans="1:19" collapsed="1">
      <c r="A74" s="3159"/>
      <c r="B74" s="3094" t="s">
        <v>6678</v>
      </c>
      <c r="C74" s="2049"/>
      <c r="D74" s="2050">
        <v>38</v>
      </c>
      <c r="E74" s="2051" t="s">
        <v>2803</v>
      </c>
      <c r="F74" s="2052"/>
      <c r="G74" s="662">
        <f t="shared" si="0"/>
        <v>0</v>
      </c>
      <c r="H74" s="3158" t="s">
        <v>2931</v>
      </c>
      <c r="I74" s="3078"/>
      <c r="J74" s="3158" t="s">
        <v>2931</v>
      </c>
      <c r="K74" s="3079"/>
      <c r="L74" s="3158" t="s">
        <v>2931</v>
      </c>
      <c r="M74" s="3079"/>
      <c r="N74" s="3158" t="s">
        <v>2931</v>
      </c>
      <c r="O74" s="3078"/>
      <c r="P74" s="3158" t="s">
        <v>2931</v>
      </c>
      <c r="Q74" s="3078"/>
      <c r="R74" s="3158" t="s">
        <v>2931</v>
      </c>
      <c r="S74" s="3078"/>
    </row>
    <row r="75" spans="1:19">
      <c r="A75" s="3159"/>
      <c r="B75" s="3094" t="s">
        <v>6679</v>
      </c>
      <c r="C75" s="2049"/>
      <c r="D75" s="2050">
        <v>1</v>
      </c>
      <c r="E75" s="2051" t="s">
        <v>2818</v>
      </c>
      <c r="F75" s="2052"/>
      <c r="G75" s="662">
        <f t="shared" si="0"/>
        <v>0</v>
      </c>
      <c r="H75" s="3158" t="s">
        <v>2931</v>
      </c>
      <c r="I75" s="3078"/>
      <c r="J75" s="3158" t="s">
        <v>2931</v>
      </c>
      <c r="K75" s="3079"/>
      <c r="L75" s="3158" t="s">
        <v>2931</v>
      </c>
      <c r="M75" s="3079"/>
      <c r="N75" s="3158" t="s">
        <v>2931</v>
      </c>
      <c r="O75" s="3078"/>
      <c r="P75" s="3158" t="s">
        <v>2931</v>
      </c>
      <c r="Q75" s="3078"/>
      <c r="R75" s="3158" t="s">
        <v>2931</v>
      </c>
      <c r="S75" s="3078"/>
    </row>
    <row r="76" spans="1:19">
      <c r="A76" s="3159"/>
      <c r="B76" s="3077" t="s">
        <v>6680</v>
      </c>
      <c r="C76" s="2049"/>
      <c r="D76" s="2050"/>
      <c r="E76" s="2051"/>
      <c r="F76" s="2052"/>
      <c r="G76" s="662">
        <f t="shared" si="0"/>
        <v>0</v>
      </c>
      <c r="H76" s="3158" t="s">
        <v>2931</v>
      </c>
      <c r="I76" s="3078"/>
      <c r="J76" s="3158" t="s">
        <v>2931</v>
      </c>
      <c r="K76" s="3079"/>
      <c r="L76" s="3158" t="s">
        <v>2931</v>
      </c>
      <c r="M76" s="3079"/>
      <c r="N76" s="3158" t="s">
        <v>2931</v>
      </c>
      <c r="O76" s="3078"/>
      <c r="P76" s="3158"/>
      <c r="Q76" s="3101"/>
      <c r="R76" s="3158" t="s">
        <v>2931</v>
      </c>
      <c r="S76" s="3078"/>
    </row>
    <row r="77" spans="1:19" hidden="1" outlineLevel="1">
      <c r="A77" s="3159"/>
      <c r="B77" s="3081" t="s">
        <v>6681</v>
      </c>
      <c r="C77" s="2049"/>
      <c r="D77" s="2050">
        <v>1</v>
      </c>
      <c r="E77" s="2051" t="s">
        <v>2803</v>
      </c>
      <c r="F77" s="2052"/>
      <c r="G77" s="662">
        <f t="shared" si="0"/>
        <v>0</v>
      </c>
      <c r="H77" s="3158"/>
      <c r="I77" s="3078"/>
      <c r="J77" s="3158"/>
      <c r="K77" s="3079"/>
      <c r="L77" s="3158"/>
      <c r="M77" s="3079"/>
      <c r="N77" s="3158"/>
      <c r="O77" s="3078"/>
      <c r="P77" s="3158"/>
      <c r="Q77" s="3078"/>
      <c r="R77" s="3158"/>
      <c r="S77" s="3078"/>
    </row>
    <row r="78" spans="1:19" hidden="1" outlineLevel="1">
      <c r="A78" s="3159"/>
      <c r="B78" s="3081" t="s">
        <v>6682</v>
      </c>
      <c r="C78" s="2049"/>
      <c r="D78" s="2050">
        <v>4</v>
      </c>
      <c r="E78" s="2051" t="s">
        <v>2803</v>
      </c>
      <c r="F78" s="2052"/>
      <c r="G78" s="662">
        <f t="shared" si="0"/>
        <v>0</v>
      </c>
      <c r="H78" s="3158"/>
      <c r="I78" s="3078"/>
      <c r="J78" s="3158"/>
      <c r="K78" s="3079"/>
      <c r="L78" s="3158"/>
      <c r="M78" s="3079"/>
      <c r="N78" s="3158"/>
      <c r="O78" s="3078"/>
      <c r="P78" s="3158"/>
      <c r="Q78" s="3078"/>
      <c r="R78" s="3158"/>
      <c r="S78" s="3078"/>
    </row>
    <row r="79" spans="1:19" hidden="1" outlineLevel="1">
      <c r="A79" s="3159"/>
      <c r="B79" s="3081" t="s">
        <v>6683</v>
      </c>
      <c r="C79" s="2049"/>
      <c r="D79" s="2050">
        <v>1</v>
      </c>
      <c r="E79" s="2051" t="s">
        <v>2803</v>
      </c>
      <c r="F79" s="2052"/>
      <c r="G79" s="662">
        <f t="shared" si="0"/>
        <v>0</v>
      </c>
      <c r="H79" s="3158"/>
      <c r="I79" s="3078"/>
      <c r="J79" s="3158"/>
      <c r="K79" s="3079"/>
      <c r="L79" s="3158"/>
      <c r="M79" s="3079"/>
      <c r="N79" s="3158"/>
      <c r="O79" s="3078"/>
      <c r="P79" s="3158"/>
      <c r="Q79" s="3078"/>
      <c r="R79" s="3158"/>
      <c r="S79" s="3078"/>
    </row>
    <row r="80" spans="1:19" collapsed="1">
      <c r="A80" s="3159"/>
      <c r="B80" s="3081"/>
      <c r="C80" s="3162"/>
      <c r="D80" s="3169"/>
      <c r="E80" s="3164"/>
      <c r="F80" s="2052"/>
      <c r="G80" s="662">
        <f t="shared" si="0"/>
        <v>0</v>
      </c>
      <c r="H80" s="3158"/>
      <c r="I80" s="3078"/>
      <c r="J80" s="3158"/>
      <c r="K80" s="3079"/>
      <c r="L80" s="3158"/>
      <c r="M80" s="3079"/>
      <c r="N80" s="3158"/>
      <c r="O80" s="3078"/>
      <c r="P80" s="3158"/>
      <c r="Q80" s="3078"/>
      <c r="R80" s="3158"/>
      <c r="S80" s="3078"/>
    </row>
    <row r="81" spans="1:19">
      <c r="A81" s="3159"/>
      <c r="B81" s="3094" t="s">
        <v>6684</v>
      </c>
      <c r="C81" s="2049"/>
      <c r="D81" s="2050"/>
      <c r="E81" s="2051"/>
      <c r="F81" s="2052"/>
      <c r="G81" s="662">
        <f t="shared" si="0"/>
        <v>0</v>
      </c>
      <c r="H81" s="3158" t="s">
        <v>2931</v>
      </c>
      <c r="I81" s="3078"/>
      <c r="J81" s="3158" t="s">
        <v>2931</v>
      </c>
      <c r="K81" s="3079"/>
      <c r="L81" s="3158" t="s">
        <v>2931</v>
      </c>
      <c r="M81" s="3079"/>
      <c r="N81" s="3158"/>
      <c r="O81" s="3101"/>
      <c r="P81" s="3158"/>
      <c r="Q81" s="3078"/>
      <c r="R81" s="3158" t="s">
        <v>2931</v>
      </c>
      <c r="S81" s="3078"/>
    </row>
    <row r="82" spans="1:19">
      <c r="A82" s="3159"/>
      <c r="B82" s="3094" t="s">
        <v>6685</v>
      </c>
      <c r="C82" s="2049"/>
      <c r="D82" s="2050"/>
      <c r="E82" s="2051"/>
      <c r="F82" s="2052"/>
      <c r="G82" s="662">
        <f t="shared" si="0"/>
        <v>0</v>
      </c>
      <c r="H82" s="3158" t="s">
        <v>2931</v>
      </c>
      <c r="I82" s="3078"/>
      <c r="J82" s="3158" t="s">
        <v>2931</v>
      </c>
      <c r="K82" s="3079"/>
      <c r="L82" s="3158" t="s">
        <v>2931</v>
      </c>
      <c r="M82" s="3079"/>
      <c r="N82" s="3158" t="s">
        <v>2931</v>
      </c>
      <c r="O82" s="3078"/>
      <c r="P82" s="3158" t="s">
        <v>2931</v>
      </c>
      <c r="Q82" s="3078"/>
      <c r="R82" s="3158" t="s">
        <v>2931</v>
      </c>
      <c r="S82" s="3078"/>
    </row>
    <row r="83" spans="1:19">
      <c r="A83" s="3159"/>
      <c r="B83" s="3094" t="s">
        <v>6686</v>
      </c>
      <c r="C83" s="3162"/>
      <c r="D83" s="3169">
        <v>11</v>
      </c>
      <c r="E83" s="3164" t="s">
        <v>2803</v>
      </c>
      <c r="F83" s="2052"/>
      <c r="G83" s="662">
        <f t="shared" si="0"/>
        <v>0</v>
      </c>
      <c r="H83" s="3158" t="s">
        <v>2931</v>
      </c>
      <c r="I83" s="3078"/>
      <c r="J83" s="3158" t="s">
        <v>2931</v>
      </c>
      <c r="K83" s="3079"/>
      <c r="L83" s="3158" t="s">
        <v>2931</v>
      </c>
      <c r="M83" s="3079"/>
      <c r="N83" s="3158"/>
      <c r="O83" s="3101"/>
      <c r="P83" s="3158"/>
      <c r="Q83" s="3101"/>
      <c r="R83" s="3158" t="s">
        <v>2931</v>
      </c>
      <c r="S83" s="3078"/>
    </row>
    <row r="84" spans="1:19">
      <c r="A84" s="3159"/>
      <c r="B84" s="3094" t="s">
        <v>6687</v>
      </c>
      <c r="C84" s="3162"/>
      <c r="D84" s="3169"/>
      <c r="E84" s="3164" t="s">
        <v>2803</v>
      </c>
      <c r="F84" s="2052"/>
      <c r="G84" s="662">
        <f t="shared" si="0"/>
        <v>0</v>
      </c>
      <c r="H84" s="3158" t="s">
        <v>2931</v>
      </c>
      <c r="I84" s="3078"/>
      <c r="J84" s="3158" t="s">
        <v>2931</v>
      </c>
      <c r="K84" s="3079"/>
      <c r="L84" s="3158"/>
      <c r="M84" s="3079"/>
      <c r="N84" s="3158"/>
      <c r="O84" s="3101"/>
      <c r="P84" s="3158" t="s">
        <v>2931</v>
      </c>
      <c r="Q84" s="3078"/>
      <c r="R84" s="3158" t="s">
        <v>2931</v>
      </c>
      <c r="S84" s="3078"/>
    </row>
    <row r="85" spans="1:19">
      <c r="A85" s="3159"/>
      <c r="B85" s="3094" t="s">
        <v>6688</v>
      </c>
      <c r="C85" s="3162"/>
      <c r="D85" s="3169"/>
      <c r="E85" s="3164" t="s">
        <v>2803</v>
      </c>
      <c r="F85" s="2052"/>
      <c r="G85" s="662">
        <f t="shared" si="0"/>
        <v>0</v>
      </c>
      <c r="H85" s="3158" t="s">
        <v>2931</v>
      </c>
      <c r="I85" s="3078"/>
      <c r="J85" s="3158" t="s">
        <v>2931</v>
      </c>
      <c r="K85" s="3079"/>
      <c r="L85" s="3158" t="s">
        <v>2931</v>
      </c>
      <c r="M85" s="3079"/>
      <c r="N85" s="3158"/>
      <c r="O85" s="3101"/>
      <c r="P85" s="3158" t="s">
        <v>2931</v>
      </c>
      <c r="Q85" s="3078"/>
      <c r="R85" s="3158" t="s">
        <v>2931</v>
      </c>
      <c r="S85" s="3078"/>
    </row>
    <row r="86" spans="1:19">
      <c r="A86" s="3159"/>
      <c r="B86" s="3094" t="s">
        <v>6689</v>
      </c>
      <c r="C86" s="2049"/>
      <c r="D86" s="2050">
        <v>1</v>
      </c>
      <c r="E86" s="2051" t="s">
        <v>2818</v>
      </c>
      <c r="F86" s="2052"/>
      <c r="G86" s="662">
        <f t="shared" si="0"/>
        <v>0</v>
      </c>
      <c r="H86" s="3158" t="s">
        <v>2931</v>
      </c>
      <c r="I86" s="3078"/>
      <c r="J86" s="3158" t="s">
        <v>2931</v>
      </c>
      <c r="K86" s="3079"/>
      <c r="L86" s="3158" t="s">
        <v>2931</v>
      </c>
      <c r="M86" s="3079"/>
      <c r="N86" s="3158" t="s">
        <v>2931</v>
      </c>
      <c r="O86" s="3078"/>
      <c r="P86" s="3158" t="s">
        <v>2931</v>
      </c>
      <c r="Q86" s="3078"/>
      <c r="R86" s="3158" t="s">
        <v>2931</v>
      </c>
      <c r="S86" s="3078"/>
    </row>
    <row r="87" spans="1:19">
      <c r="A87" s="3159"/>
      <c r="B87" s="3171"/>
      <c r="C87" s="2049"/>
      <c r="D87" s="2050"/>
      <c r="E87" s="2051"/>
      <c r="F87" s="2052"/>
      <c r="G87" s="662">
        <f t="shared" si="0"/>
        <v>0</v>
      </c>
      <c r="H87" s="3158"/>
      <c r="I87" s="3078"/>
      <c r="J87" s="3158"/>
      <c r="K87" s="3079"/>
      <c r="L87" s="3158"/>
      <c r="M87" s="3079"/>
      <c r="N87" s="3158"/>
      <c r="O87" s="3078"/>
      <c r="P87" s="3158"/>
      <c r="Q87" s="3078"/>
      <c r="R87" s="3158"/>
      <c r="S87" s="3078"/>
    </row>
    <row r="88" spans="1:19">
      <c r="A88" s="3159"/>
      <c r="B88" s="3172" t="s">
        <v>6690</v>
      </c>
      <c r="C88" s="2049"/>
      <c r="D88" s="2050">
        <v>1</v>
      </c>
      <c r="E88" s="2051" t="s">
        <v>2818</v>
      </c>
      <c r="F88" s="2052"/>
      <c r="G88" s="662">
        <f t="shared" si="0"/>
        <v>0</v>
      </c>
      <c r="H88" s="3158" t="s">
        <v>2929</v>
      </c>
      <c r="I88" s="3173" t="s">
        <v>6691</v>
      </c>
      <c r="J88" s="3158" t="s">
        <v>2929</v>
      </c>
      <c r="K88" s="3173" t="s">
        <v>6691</v>
      </c>
      <c r="L88" s="3158" t="s">
        <v>2929</v>
      </c>
      <c r="M88" s="3087"/>
      <c r="N88" s="3158" t="s">
        <v>2929</v>
      </c>
      <c r="O88" s="3078" t="s">
        <v>6691</v>
      </c>
      <c r="P88" s="3158" t="s">
        <v>2929</v>
      </c>
      <c r="Q88" s="3087"/>
      <c r="R88" s="3158" t="s">
        <v>2929</v>
      </c>
      <c r="S88" s="3078" t="s">
        <v>6691</v>
      </c>
    </row>
    <row r="89" spans="1:19">
      <c r="A89" s="3159"/>
      <c r="B89" s="3172" t="s">
        <v>6692</v>
      </c>
      <c r="C89" s="2049"/>
      <c r="D89" s="2050">
        <v>1</v>
      </c>
      <c r="E89" s="2051" t="s">
        <v>2818</v>
      </c>
      <c r="F89" s="2052"/>
      <c r="G89" s="662">
        <f t="shared" si="0"/>
        <v>0</v>
      </c>
      <c r="H89" s="3158" t="s">
        <v>2929</v>
      </c>
      <c r="I89" s="3173" t="s">
        <v>6691</v>
      </c>
      <c r="J89" s="3158" t="s">
        <v>2929</v>
      </c>
      <c r="K89" s="3173" t="s">
        <v>6691</v>
      </c>
      <c r="L89" s="3158" t="s">
        <v>2929</v>
      </c>
      <c r="M89" s="3087"/>
      <c r="N89" s="3158" t="s">
        <v>2929</v>
      </c>
      <c r="O89" s="3078" t="s">
        <v>6691</v>
      </c>
      <c r="P89" s="3158" t="s">
        <v>2929</v>
      </c>
      <c r="Q89" s="3087"/>
      <c r="R89" s="3158" t="s">
        <v>2929</v>
      </c>
      <c r="S89" s="3078" t="s">
        <v>6691</v>
      </c>
    </row>
    <row r="90" spans="1:19">
      <c r="A90" s="3159"/>
      <c r="B90" s="3172" t="s">
        <v>6693</v>
      </c>
      <c r="C90" s="2049"/>
      <c r="D90" s="2050"/>
      <c r="E90" s="2051"/>
      <c r="F90" s="2052"/>
      <c r="G90" s="662">
        <f t="shared" si="0"/>
        <v>0</v>
      </c>
      <c r="H90" s="3158" t="s">
        <v>2931</v>
      </c>
      <c r="I90" s="3078"/>
      <c r="J90" s="3174" t="s">
        <v>2931</v>
      </c>
      <c r="K90" s="3079"/>
      <c r="L90" s="3158"/>
      <c r="M90" s="3087"/>
      <c r="N90" s="3158" t="s">
        <v>2929</v>
      </c>
      <c r="O90" s="3101"/>
      <c r="P90" s="3158"/>
      <c r="Q90" s="3087"/>
      <c r="R90" s="3158" t="s">
        <v>2931</v>
      </c>
      <c r="S90" s="3078"/>
    </row>
    <row r="91" spans="1:19">
      <c r="A91" s="3159"/>
      <c r="B91" s="3172"/>
      <c r="C91" s="2049"/>
      <c r="D91" s="2050"/>
      <c r="E91" s="2051"/>
      <c r="F91" s="2052"/>
      <c r="G91" s="662">
        <f t="shared" si="0"/>
        <v>0</v>
      </c>
      <c r="H91" s="3158"/>
      <c r="I91" s="3078"/>
      <c r="J91" s="3158"/>
      <c r="K91" s="3079"/>
      <c r="L91" s="3158"/>
      <c r="M91" s="3079"/>
      <c r="N91" s="3158"/>
      <c r="O91" s="3078"/>
      <c r="P91" s="3158"/>
      <c r="Q91" s="3078"/>
      <c r="R91" s="3158"/>
      <c r="S91" s="3078"/>
    </row>
    <row r="92" spans="1:19">
      <c r="A92" s="3159"/>
      <c r="B92" s="3172" t="s">
        <v>6694</v>
      </c>
      <c r="C92" s="3162"/>
      <c r="D92" s="3169"/>
      <c r="E92" s="3164"/>
      <c r="F92" s="2052"/>
      <c r="G92" s="662">
        <f t="shared" si="0"/>
        <v>0</v>
      </c>
      <c r="H92" s="3158"/>
      <c r="I92" s="3078"/>
      <c r="J92" s="3158"/>
      <c r="K92" s="3079"/>
      <c r="L92" s="3158"/>
      <c r="M92" s="3079"/>
      <c r="N92" s="3158"/>
      <c r="O92" s="3078"/>
      <c r="P92" s="3158"/>
      <c r="Q92" s="3078"/>
      <c r="R92" s="3158"/>
      <c r="S92" s="3078"/>
    </row>
    <row r="93" spans="1:19">
      <c r="A93" s="3159"/>
      <c r="B93" s="3081" t="s">
        <v>6695</v>
      </c>
      <c r="C93" s="2049"/>
      <c r="D93" s="2050">
        <v>1</v>
      </c>
      <c r="E93" s="2051" t="s">
        <v>2818</v>
      </c>
      <c r="F93" s="2052"/>
      <c r="G93" s="662">
        <f t="shared" si="0"/>
        <v>0</v>
      </c>
      <c r="H93" s="3158"/>
      <c r="I93" s="3078"/>
      <c r="J93" s="3158"/>
      <c r="K93" s="3079"/>
      <c r="L93" s="3158"/>
      <c r="M93" s="3079"/>
      <c r="N93" s="3158"/>
      <c r="O93" s="3078"/>
      <c r="P93" s="3158"/>
      <c r="Q93" s="3078"/>
      <c r="R93" s="3158"/>
      <c r="S93" s="3078"/>
    </row>
    <row r="94" spans="1:19">
      <c r="A94" s="3159"/>
      <c r="B94" s="3081" t="s">
        <v>6696</v>
      </c>
      <c r="C94" s="3162"/>
      <c r="D94" s="3169">
        <v>1</v>
      </c>
      <c r="E94" s="2051" t="s">
        <v>2818</v>
      </c>
      <c r="F94" s="2052">
        <v>5000</v>
      </c>
      <c r="G94" s="662">
        <f t="shared" si="0"/>
        <v>5000</v>
      </c>
      <c r="H94" s="3158"/>
      <c r="I94" s="3101">
        <f>$G94</f>
        <v>5000</v>
      </c>
      <c r="J94" s="3158"/>
      <c r="K94" s="3101">
        <f>$G94</f>
        <v>5000</v>
      </c>
      <c r="L94" s="3158"/>
      <c r="M94" s="3101">
        <f>$G94</f>
        <v>5000</v>
      </c>
      <c r="N94" s="3158"/>
      <c r="O94" s="3101">
        <f>$G94</f>
        <v>5000</v>
      </c>
      <c r="P94" s="3158"/>
      <c r="Q94" s="3101">
        <f>$G94</f>
        <v>5000</v>
      </c>
      <c r="R94" s="3158"/>
      <c r="S94" s="3101">
        <f>$G94</f>
        <v>5000</v>
      </c>
    </row>
    <row r="95" spans="1:19">
      <c r="A95" s="3159"/>
      <c r="B95" s="3081" t="s">
        <v>6697</v>
      </c>
      <c r="C95" s="2049"/>
      <c r="D95" s="2050">
        <v>1</v>
      </c>
      <c r="E95" s="2051" t="s">
        <v>2818</v>
      </c>
      <c r="F95" s="2052"/>
      <c r="G95" s="662">
        <f t="shared" si="0"/>
        <v>0</v>
      </c>
      <c r="H95" s="3158"/>
      <c r="I95" s="3078"/>
      <c r="J95" s="3158"/>
      <c r="K95" s="3079"/>
      <c r="L95" s="3158"/>
      <c r="M95" s="3079"/>
      <c r="N95" s="3158"/>
      <c r="O95" s="3078"/>
      <c r="P95" s="3158"/>
      <c r="Q95" s="3078"/>
      <c r="R95" s="3158"/>
      <c r="S95" s="3078"/>
    </row>
    <row r="96" spans="1:19">
      <c r="A96" s="3166"/>
      <c r="B96" s="3081"/>
      <c r="C96" s="659"/>
      <c r="D96" s="2050"/>
      <c r="E96" s="2051"/>
      <c r="F96" s="2052"/>
      <c r="G96" s="662">
        <f t="shared" ref="G96:G100" si="1">ROUND(D96*F96,0)</f>
        <v>0</v>
      </c>
      <c r="H96" s="3158"/>
      <c r="I96" s="3078"/>
      <c r="J96" s="3158"/>
      <c r="K96" s="3079"/>
      <c r="L96" s="3158"/>
      <c r="M96" s="3079"/>
      <c r="N96" s="3158"/>
      <c r="O96" s="3078"/>
      <c r="P96" s="3158"/>
      <c r="Q96" s="3078"/>
      <c r="R96" s="3158"/>
      <c r="S96" s="3078"/>
    </row>
    <row r="97" spans="1:19">
      <c r="A97" s="3166"/>
      <c r="B97" s="3175" t="s">
        <v>6698</v>
      </c>
      <c r="C97" s="659"/>
      <c r="D97" s="2050">
        <v>26</v>
      </c>
      <c r="E97" s="2051" t="s">
        <v>2803</v>
      </c>
      <c r="F97" s="2052">
        <v>750</v>
      </c>
      <c r="G97" s="662">
        <f t="shared" si="1"/>
        <v>19500</v>
      </c>
      <c r="H97" s="3158" t="s">
        <v>2929</v>
      </c>
      <c r="I97" s="3101">
        <f>$G97</f>
        <v>19500</v>
      </c>
      <c r="J97" s="3158" t="s">
        <v>2929</v>
      </c>
      <c r="K97" s="3101">
        <f>$G97</f>
        <v>19500</v>
      </c>
      <c r="L97" s="3158" t="s">
        <v>2929</v>
      </c>
      <c r="M97" s="3101">
        <f>$G97</f>
        <v>19500</v>
      </c>
      <c r="N97" s="3158" t="s">
        <v>2929</v>
      </c>
      <c r="O97" s="3101">
        <f>$G97</f>
        <v>19500</v>
      </c>
      <c r="P97" s="3158" t="s">
        <v>2929</v>
      </c>
      <c r="Q97" s="3101">
        <f>$G97</f>
        <v>19500</v>
      </c>
      <c r="R97" s="3158" t="s">
        <v>3807</v>
      </c>
      <c r="S97" s="3101">
        <f>$G97</f>
        <v>19500</v>
      </c>
    </row>
    <row r="98" spans="1:19">
      <c r="A98" s="3166"/>
      <c r="B98" s="3081"/>
      <c r="C98" s="659"/>
      <c r="D98" s="2050"/>
      <c r="E98" s="2051"/>
      <c r="F98" s="2052"/>
      <c r="G98" s="662">
        <f t="shared" si="1"/>
        <v>0</v>
      </c>
      <c r="H98" s="3158"/>
      <c r="I98" s="3078"/>
      <c r="J98" s="3158"/>
      <c r="K98" s="3079"/>
      <c r="L98" s="3158"/>
      <c r="M98" s="3079"/>
      <c r="N98" s="3158"/>
      <c r="O98" s="3078"/>
      <c r="P98" s="3158"/>
      <c r="Q98" s="3078"/>
      <c r="R98" s="3158"/>
      <c r="S98" s="3078"/>
    </row>
    <row r="99" spans="1:19">
      <c r="A99" s="3166"/>
      <c r="B99" s="3171"/>
      <c r="C99" s="659"/>
      <c r="D99" s="2050"/>
      <c r="E99" s="2051"/>
      <c r="F99" s="2052"/>
      <c r="G99" s="662">
        <f t="shared" si="1"/>
        <v>0</v>
      </c>
      <c r="H99" s="3158"/>
      <c r="I99" s="3078"/>
      <c r="J99" s="3158"/>
      <c r="K99" s="3079"/>
      <c r="L99" s="3158"/>
      <c r="M99" s="3079"/>
      <c r="N99" s="3158"/>
      <c r="O99" s="3078"/>
      <c r="P99" s="3158"/>
      <c r="Q99" s="3078"/>
      <c r="R99" s="3158"/>
      <c r="S99" s="3078"/>
    </row>
    <row r="100" spans="1:19">
      <c r="A100" s="3166"/>
      <c r="B100" s="3171" t="s">
        <v>4757</v>
      </c>
      <c r="C100" s="659"/>
      <c r="D100" s="2050"/>
      <c r="E100" s="2051"/>
      <c r="F100" s="2052"/>
      <c r="G100" s="662">
        <f t="shared" si="1"/>
        <v>0</v>
      </c>
      <c r="H100" s="3158"/>
      <c r="I100" s="3078"/>
      <c r="J100" s="3158"/>
      <c r="K100" s="3079"/>
      <c r="L100" s="3158"/>
      <c r="M100" s="3079"/>
      <c r="N100" s="3158"/>
      <c r="O100" s="3078"/>
      <c r="P100" s="3158"/>
      <c r="Q100" s="3078"/>
      <c r="R100" s="3158"/>
      <c r="S100" s="3078"/>
    </row>
    <row r="101" spans="1:19" ht="26.25">
      <c r="A101" s="3166"/>
      <c r="B101" s="3176" t="s">
        <v>6699</v>
      </c>
      <c r="C101" s="659"/>
      <c r="D101" s="2050"/>
      <c r="E101" s="2051"/>
      <c r="F101" s="2052"/>
      <c r="G101" s="662"/>
      <c r="H101" s="3158" t="s">
        <v>2929</v>
      </c>
      <c r="I101" s="3078"/>
      <c r="J101" s="3158" t="s">
        <v>2929</v>
      </c>
      <c r="K101" s="3079"/>
      <c r="L101" s="3158" t="s">
        <v>2929</v>
      </c>
      <c r="M101" s="3079"/>
      <c r="N101" s="3158" t="s">
        <v>2929</v>
      </c>
      <c r="O101" s="3079"/>
      <c r="P101" s="3158" t="s">
        <v>2929</v>
      </c>
      <c r="Q101" s="3079"/>
      <c r="R101" s="3158" t="s">
        <v>2929</v>
      </c>
      <c r="S101" s="3079"/>
    </row>
    <row r="102" spans="1:19" s="175" customFormat="1" ht="25.5">
      <c r="A102" s="3166"/>
      <c r="B102" s="3177" t="s">
        <v>6096</v>
      </c>
      <c r="C102" s="711"/>
      <c r="D102" s="3111"/>
      <c r="E102" s="3014"/>
      <c r="F102" s="3023"/>
      <c r="G102" s="668">
        <f t="shared" ref="G102:G148" si="2">ROUND(D102*F102,0)</f>
        <v>0</v>
      </c>
      <c r="H102" s="3112" t="s">
        <v>2931</v>
      </c>
      <c r="I102" s="3092"/>
      <c r="J102" s="3112" t="s">
        <v>2931</v>
      </c>
      <c r="K102" s="3091"/>
      <c r="L102" s="3112"/>
      <c r="M102" s="3178"/>
      <c r="N102" s="3112"/>
      <c r="O102" s="3179"/>
      <c r="P102" s="3112" t="s">
        <v>2931</v>
      </c>
      <c r="Q102" s="3079"/>
      <c r="R102" s="3112" t="s">
        <v>2931</v>
      </c>
      <c r="S102" s="3091"/>
    </row>
    <row r="103" spans="1:19" s="175" customFormat="1" ht="50.25" customHeight="1">
      <c r="A103" s="3166"/>
      <c r="B103" s="3177" t="s">
        <v>6700</v>
      </c>
      <c r="C103" s="711"/>
      <c r="D103" s="3111"/>
      <c r="E103" s="3014"/>
      <c r="F103" s="3023"/>
      <c r="G103" s="668">
        <f t="shared" si="2"/>
        <v>0</v>
      </c>
      <c r="H103" s="3112" t="s">
        <v>2931</v>
      </c>
      <c r="I103" s="3092"/>
      <c r="J103" s="3112" t="s">
        <v>2931</v>
      </c>
      <c r="K103" s="3091"/>
      <c r="L103" s="3112"/>
      <c r="M103" s="3178"/>
      <c r="N103" s="3112"/>
      <c r="O103" s="3179"/>
      <c r="P103" s="3112"/>
      <c r="Q103" s="3101"/>
      <c r="R103" s="3112" t="s">
        <v>2931</v>
      </c>
      <c r="S103" s="3092"/>
    </row>
    <row r="104" spans="1:19" s="175" customFormat="1" ht="51.75" customHeight="1">
      <c r="A104" s="3166"/>
      <c r="B104" s="3180" t="s">
        <v>6701</v>
      </c>
      <c r="C104" s="711"/>
      <c r="D104" s="3111"/>
      <c r="E104" s="3014"/>
      <c r="F104" s="3023"/>
      <c r="G104" s="668">
        <f t="shared" si="2"/>
        <v>0</v>
      </c>
      <c r="H104" s="3112" t="s">
        <v>2931</v>
      </c>
      <c r="I104" s="3092"/>
      <c r="J104" s="3112" t="s">
        <v>2931</v>
      </c>
      <c r="K104" s="3091"/>
      <c r="L104" s="3112"/>
      <c r="M104" s="3178"/>
      <c r="N104" s="3112"/>
      <c r="O104" s="3179"/>
      <c r="P104" s="3112"/>
      <c r="Q104" s="3101"/>
      <c r="R104" s="3112" t="s">
        <v>2931</v>
      </c>
      <c r="S104" s="3092"/>
    </row>
    <row r="105" spans="1:19" s="175" customFormat="1" ht="78.75" customHeight="1">
      <c r="A105" s="3166"/>
      <c r="B105" s="3181" t="s">
        <v>6702</v>
      </c>
      <c r="C105" s="711"/>
      <c r="D105" s="3111"/>
      <c r="E105" s="3014"/>
      <c r="F105" s="3023"/>
      <c r="G105" s="668">
        <f t="shared" si="2"/>
        <v>0</v>
      </c>
      <c r="H105" s="3112" t="s">
        <v>2931</v>
      </c>
      <c r="I105" s="3092"/>
      <c r="J105" s="3112" t="s">
        <v>2931</v>
      </c>
      <c r="K105" s="3091"/>
      <c r="L105" s="3112"/>
      <c r="M105" s="3178"/>
      <c r="N105" s="3112"/>
      <c r="O105" s="3179"/>
      <c r="P105" s="3112"/>
      <c r="Q105" s="3101"/>
      <c r="R105" s="3112" t="s">
        <v>2931</v>
      </c>
      <c r="S105" s="3092"/>
    </row>
    <row r="106" spans="1:19" s="175" customFormat="1">
      <c r="A106" s="3166"/>
      <c r="B106" s="3182" t="s">
        <v>6703</v>
      </c>
      <c r="C106" s="711"/>
      <c r="D106" s="3111"/>
      <c r="E106" s="3014"/>
      <c r="F106" s="3023"/>
      <c r="G106" s="668">
        <f t="shared" si="2"/>
        <v>0</v>
      </c>
      <c r="H106" s="3112" t="s">
        <v>2931</v>
      </c>
      <c r="I106" s="3092"/>
      <c r="J106" s="3112" t="s">
        <v>2931</v>
      </c>
      <c r="K106" s="3091"/>
      <c r="L106" s="3112"/>
      <c r="M106" s="3178"/>
      <c r="N106" s="3112"/>
      <c r="O106" s="3179"/>
      <c r="P106" s="3112"/>
      <c r="Q106" s="3101"/>
      <c r="R106" s="3112" t="s">
        <v>2931</v>
      </c>
      <c r="S106" s="3092"/>
    </row>
    <row r="107" spans="1:19">
      <c r="A107" s="3159"/>
      <c r="B107" s="3077"/>
      <c r="C107" s="2049"/>
      <c r="D107" s="2050"/>
      <c r="E107" s="2051"/>
      <c r="F107" s="2052"/>
      <c r="G107" s="662">
        <f t="shared" ref="G107:G131" si="3">ROUND(D107*F107,0)</f>
        <v>0</v>
      </c>
      <c r="H107" s="3158"/>
      <c r="I107" s="3078"/>
      <c r="J107" s="3158"/>
      <c r="K107" s="3079"/>
      <c r="L107" s="3158"/>
      <c r="M107" s="3079"/>
      <c r="N107" s="3158"/>
      <c r="O107" s="3078"/>
      <c r="P107" s="3158"/>
      <c r="Q107" s="3078"/>
      <c r="R107" s="3158"/>
      <c r="S107" s="3078"/>
    </row>
    <row r="108" spans="1:19">
      <c r="A108" s="3159"/>
      <c r="B108" s="3077" t="s">
        <v>6704</v>
      </c>
      <c r="C108" s="2049"/>
      <c r="D108" s="2050">
        <v>14</v>
      </c>
      <c r="E108" s="2051" t="s">
        <v>6705</v>
      </c>
      <c r="F108" s="2052">
        <v>500</v>
      </c>
      <c r="G108" s="668">
        <f t="shared" si="3"/>
        <v>7000</v>
      </c>
      <c r="H108" s="3112" t="s">
        <v>2931</v>
      </c>
      <c r="I108" s="3078"/>
      <c r="J108" s="3158" t="s">
        <v>2931</v>
      </c>
      <c r="K108" s="3079"/>
      <c r="L108" s="3158"/>
      <c r="M108" s="3087">
        <f>$G108</f>
        <v>7000</v>
      </c>
      <c r="N108" s="3158"/>
      <c r="O108" s="3087">
        <f>$G108</f>
        <v>7000</v>
      </c>
      <c r="P108" s="3158"/>
      <c r="Q108" s="3087">
        <f>$G108</f>
        <v>7000</v>
      </c>
      <c r="R108" s="3158"/>
      <c r="S108" s="3087">
        <f>$G108</f>
        <v>7000</v>
      </c>
    </row>
    <row r="109" spans="1:19" hidden="1" outlineLevel="1">
      <c r="A109" s="3159"/>
      <c r="B109" s="3081" t="s">
        <v>6321</v>
      </c>
      <c r="C109" s="2049"/>
      <c r="D109" s="2050"/>
      <c r="E109" s="2051"/>
      <c r="F109" s="2052"/>
      <c r="G109" s="662">
        <f t="shared" si="3"/>
        <v>0</v>
      </c>
      <c r="H109" s="3158"/>
      <c r="I109" s="3078"/>
      <c r="J109" s="3158"/>
      <c r="K109" s="3079"/>
      <c r="L109" s="3158"/>
      <c r="M109" s="3079"/>
      <c r="N109" s="3158"/>
      <c r="O109" s="3078"/>
      <c r="P109" s="3158"/>
      <c r="Q109" s="3078"/>
      <c r="R109" s="3158"/>
      <c r="S109" s="3078"/>
    </row>
    <row r="110" spans="1:19" hidden="1" outlineLevel="1">
      <c r="A110" s="3159"/>
      <c r="B110" s="3082" t="s">
        <v>6706</v>
      </c>
      <c r="C110" s="2049"/>
      <c r="D110" s="2050"/>
      <c r="E110" s="2051"/>
      <c r="F110" s="2052"/>
      <c r="G110" s="662">
        <f t="shared" si="3"/>
        <v>0</v>
      </c>
      <c r="H110" s="3158" t="s">
        <v>2931</v>
      </c>
      <c r="I110" s="3078"/>
      <c r="J110" s="3158" t="s">
        <v>2931</v>
      </c>
      <c r="K110" s="3079"/>
      <c r="L110" s="3158"/>
      <c r="M110" s="3079"/>
      <c r="N110" s="3158"/>
      <c r="O110" s="3078"/>
      <c r="P110" s="3158"/>
      <c r="Q110" s="3078"/>
      <c r="R110" s="3158"/>
      <c r="S110" s="3078"/>
    </row>
    <row r="111" spans="1:19" hidden="1" outlineLevel="1">
      <c r="A111" s="3159"/>
      <c r="B111" s="3183" t="s">
        <v>6707</v>
      </c>
      <c r="C111" s="3162"/>
      <c r="D111" s="3169"/>
      <c r="E111" s="3164"/>
      <c r="F111" s="2052"/>
      <c r="G111" s="662">
        <f t="shared" si="3"/>
        <v>0</v>
      </c>
      <c r="H111" s="3158" t="s">
        <v>2931</v>
      </c>
      <c r="I111" s="3078"/>
      <c r="J111" s="3158" t="s">
        <v>2931</v>
      </c>
      <c r="K111" s="3079"/>
      <c r="L111" s="3158"/>
      <c r="M111" s="3079"/>
      <c r="N111" s="3158"/>
      <c r="O111" s="3078"/>
      <c r="P111" s="3158"/>
      <c r="Q111" s="3078"/>
      <c r="R111" s="3158"/>
      <c r="S111" s="3078"/>
    </row>
    <row r="112" spans="1:19" hidden="1" outlineLevel="1">
      <c r="A112" s="3159"/>
      <c r="B112" s="3184" t="s">
        <v>6322</v>
      </c>
      <c r="C112" s="3162"/>
      <c r="D112" s="3169"/>
      <c r="E112" s="3164"/>
      <c r="F112" s="2052"/>
      <c r="G112" s="662">
        <f t="shared" si="3"/>
        <v>0</v>
      </c>
      <c r="H112" s="3158"/>
      <c r="I112" s="3078"/>
      <c r="J112" s="3158"/>
      <c r="K112" s="3079"/>
      <c r="L112" s="3158"/>
      <c r="M112" s="3079"/>
      <c r="N112" s="3158"/>
      <c r="O112" s="3078"/>
      <c r="P112" s="3158"/>
      <c r="Q112" s="3078"/>
      <c r="R112" s="3158"/>
      <c r="S112" s="3078"/>
    </row>
    <row r="113" spans="1:19" hidden="1" outlineLevel="1">
      <c r="A113" s="3159"/>
      <c r="B113" s="3185" t="s">
        <v>6706</v>
      </c>
      <c r="C113" s="3162"/>
      <c r="D113" s="3169"/>
      <c r="E113" s="3164"/>
      <c r="F113" s="2052"/>
      <c r="G113" s="662">
        <f t="shared" si="3"/>
        <v>0</v>
      </c>
      <c r="H113" s="3158" t="s">
        <v>2931</v>
      </c>
      <c r="I113" s="3078"/>
      <c r="J113" s="3158" t="s">
        <v>2931</v>
      </c>
      <c r="K113" s="3079"/>
      <c r="L113" s="3158"/>
      <c r="M113" s="3079"/>
      <c r="N113" s="3158"/>
      <c r="O113" s="3078"/>
      <c r="P113" s="3158"/>
      <c r="Q113" s="3078"/>
      <c r="R113" s="3158"/>
      <c r="S113" s="3078"/>
    </row>
    <row r="114" spans="1:19" hidden="1" outlineLevel="1">
      <c r="A114" s="3159"/>
      <c r="B114" s="3186" t="s">
        <v>6707</v>
      </c>
      <c r="C114" s="3162"/>
      <c r="D114" s="3169"/>
      <c r="E114" s="3164"/>
      <c r="F114" s="2052"/>
      <c r="G114" s="662">
        <f t="shared" si="3"/>
        <v>0</v>
      </c>
      <c r="H114" s="3158" t="s">
        <v>2931</v>
      </c>
      <c r="I114" s="3078"/>
      <c r="J114" s="3158" t="s">
        <v>2931</v>
      </c>
      <c r="K114" s="3079"/>
      <c r="L114" s="3158"/>
      <c r="M114" s="3079"/>
      <c r="N114" s="3158"/>
      <c r="O114" s="3078"/>
      <c r="P114" s="3158"/>
      <c r="Q114" s="3078"/>
      <c r="R114" s="3158"/>
      <c r="S114" s="3078"/>
    </row>
    <row r="115" spans="1:19" hidden="1" outlineLevel="1">
      <c r="A115" s="3159"/>
      <c r="B115" s="3187" t="s">
        <v>6708</v>
      </c>
      <c r="C115" s="3162"/>
      <c r="D115" s="3169"/>
      <c r="E115" s="3164"/>
      <c r="F115" s="2052"/>
      <c r="G115" s="662">
        <f t="shared" si="3"/>
        <v>0</v>
      </c>
      <c r="H115" s="3158"/>
      <c r="I115" s="3078"/>
      <c r="J115" s="3158"/>
      <c r="K115" s="3079"/>
      <c r="L115" s="3158"/>
      <c r="M115" s="3079"/>
      <c r="N115" s="3158"/>
      <c r="O115" s="3078"/>
      <c r="P115" s="3158"/>
      <c r="Q115" s="3078"/>
      <c r="R115" s="3158"/>
      <c r="S115" s="3078"/>
    </row>
    <row r="116" spans="1:19" hidden="1" outlineLevel="1">
      <c r="A116" s="3159"/>
      <c r="B116" s="458" t="s">
        <v>6709</v>
      </c>
      <c r="C116" s="2049"/>
      <c r="D116" s="2050"/>
      <c r="E116" s="2051"/>
      <c r="F116" s="2052"/>
      <c r="G116" s="662">
        <f t="shared" si="3"/>
        <v>0</v>
      </c>
      <c r="H116" s="3158" t="s">
        <v>2931</v>
      </c>
      <c r="I116" s="3078"/>
      <c r="J116" s="3158" t="s">
        <v>2931</v>
      </c>
      <c r="K116" s="3079"/>
      <c r="L116" s="3158"/>
      <c r="M116" s="3079"/>
      <c r="N116" s="3158"/>
      <c r="O116" s="3078"/>
      <c r="P116" s="3158"/>
      <c r="Q116" s="3078"/>
      <c r="R116" s="3158"/>
      <c r="S116" s="3078"/>
    </row>
    <row r="117" spans="1:19" hidden="1" outlineLevel="1">
      <c r="A117" s="3159"/>
      <c r="B117" s="458" t="s">
        <v>6710</v>
      </c>
      <c r="C117" s="2049"/>
      <c r="D117" s="2050"/>
      <c r="E117" s="2051"/>
      <c r="F117" s="2052"/>
      <c r="G117" s="662">
        <f t="shared" si="3"/>
        <v>0</v>
      </c>
      <c r="H117" s="3158" t="s">
        <v>2931</v>
      </c>
      <c r="I117" s="3078"/>
      <c r="J117" s="3158" t="s">
        <v>2931</v>
      </c>
      <c r="K117" s="3079"/>
      <c r="L117" s="3158"/>
      <c r="M117" s="3079"/>
      <c r="N117" s="3158"/>
      <c r="O117" s="3078"/>
      <c r="P117" s="3158"/>
      <c r="Q117" s="3078"/>
      <c r="R117" s="3158"/>
      <c r="S117" s="3078"/>
    </row>
    <row r="118" spans="1:19" hidden="1" outlineLevel="1">
      <c r="A118" s="3159"/>
      <c r="B118" s="458" t="s">
        <v>6707</v>
      </c>
      <c r="C118" s="2049"/>
      <c r="D118" s="2050"/>
      <c r="E118" s="2051"/>
      <c r="F118" s="2052"/>
      <c r="G118" s="662">
        <f t="shared" si="3"/>
        <v>0</v>
      </c>
      <c r="H118" s="3158" t="s">
        <v>2931</v>
      </c>
      <c r="I118" s="3078"/>
      <c r="J118" s="3158" t="s">
        <v>2931</v>
      </c>
      <c r="K118" s="3079"/>
      <c r="L118" s="3158"/>
      <c r="M118" s="3079"/>
      <c r="N118" s="3158"/>
      <c r="O118" s="3078"/>
      <c r="P118" s="3158"/>
      <c r="Q118" s="3078"/>
      <c r="R118" s="3158"/>
      <c r="S118" s="3078"/>
    </row>
    <row r="119" spans="1:19" hidden="1" outlineLevel="1">
      <c r="A119" s="3159"/>
      <c r="B119" s="457" t="s">
        <v>6711</v>
      </c>
      <c r="C119" s="2049"/>
      <c r="D119" s="2050"/>
      <c r="E119" s="2051"/>
      <c r="F119" s="2052"/>
      <c r="G119" s="662">
        <f t="shared" si="3"/>
        <v>0</v>
      </c>
      <c r="H119" s="3158"/>
      <c r="I119" s="3078"/>
      <c r="J119" s="3158"/>
      <c r="K119" s="3079"/>
      <c r="L119" s="3158"/>
      <c r="M119" s="3079"/>
      <c r="N119" s="3158"/>
      <c r="O119" s="3078"/>
      <c r="P119" s="3158"/>
      <c r="Q119" s="3078"/>
      <c r="R119" s="3158"/>
      <c r="S119" s="3078"/>
    </row>
    <row r="120" spans="1:19" hidden="1" outlineLevel="1">
      <c r="A120" s="3159"/>
      <c r="B120" s="458" t="s">
        <v>6709</v>
      </c>
      <c r="C120" s="2049"/>
      <c r="D120" s="2050"/>
      <c r="E120" s="2051"/>
      <c r="F120" s="2052"/>
      <c r="G120" s="662">
        <f t="shared" si="3"/>
        <v>0</v>
      </c>
      <c r="H120" s="3158" t="s">
        <v>2931</v>
      </c>
      <c r="I120" s="3078"/>
      <c r="J120" s="3158" t="s">
        <v>2931</v>
      </c>
      <c r="K120" s="3079"/>
      <c r="L120" s="3158"/>
      <c r="M120" s="3079"/>
      <c r="N120" s="3158"/>
      <c r="O120" s="3078"/>
      <c r="P120" s="3158"/>
      <c r="Q120" s="3078"/>
      <c r="R120" s="3158"/>
      <c r="S120" s="3078"/>
    </row>
    <row r="121" spans="1:19" hidden="1" outlineLevel="1">
      <c r="A121" s="3159"/>
      <c r="B121" s="458" t="s">
        <v>6710</v>
      </c>
      <c r="C121" s="2049"/>
      <c r="D121" s="2050"/>
      <c r="E121" s="2051"/>
      <c r="F121" s="2052"/>
      <c r="G121" s="662">
        <f t="shared" si="3"/>
        <v>0</v>
      </c>
      <c r="H121" s="3158" t="s">
        <v>2931</v>
      </c>
      <c r="I121" s="3078"/>
      <c r="J121" s="3158" t="s">
        <v>2931</v>
      </c>
      <c r="K121" s="3079"/>
      <c r="L121" s="3158"/>
      <c r="M121" s="3079"/>
      <c r="N121" s="3158"/>
      <c r="O121" s="3078"/>
      <c r="P121" s="3158"/>
      <c r="Q121" s="3078"/>
      <c r="R121" s="3158"/>
      <c r="S121" s="3078"/>
    </row>
    <row r="122" spans="1:19" hidden="1" outlineLevel="1">
      <c r="A122" s="3159"/>
      <c r="B122" s="458" t="s">
        <v>6707</v>
      </c>
      <c r="C122" s="2049"/>
      <c r="D122" s="2050"/>
      <c r="E122" s="2051"/>
      <c r="F122" s="2052"/>
      <c r="G122" s="662">
        <f t="shared" si="3"/>
        <v>0</v>
      </c>
      <c r="H122" s="3158" t="s">
        <v>2931</v>
      </c>
      <c r="I122" s="3078"/>
      <c r="J122" s="3158" t="s">
        <v>2931</v>
      </c>
      <c r="K122" s="3079"/>
      <c r="L122" s="3158"/>
      <c r="M122" s="3079"/>
      <c r="N122" s="3158"/>
      <c r="O122" s="3078"/>
      <c r="P122" s="3158"/>
      <c r="Q122" s="3078"/>
      <c r="R122" s="3158"/>
      <c r="S122" s="3078"/>
    </row>
    <row r="123" spans="1:19" hidden="1" outlineLevel="1">
      <c r="A123" s="3159"/>
      <c r="B123" s="3081" t="s">
        <v>5610</v>
      </c>
      <c r="C123" s="2049"/>
      <c r="D123" s="2050"/>
      <c r="E123" s="2051"/>
      <c r="F123" s="2052"/>
      <c r="G123" s="662">
        <f t="shared" si="3"/>
        <v>0</v>
      </c>
      <c r="H123" s="3158"/>
      <c r="I123" s="3078"/>
      <c r="J123" s="3158"/>
      <c r="K123" s="3079"/>
      <c r="L123" s="3158"/>
      <c r="M123" s="3079"/>
      <c r="N123" s="3158"/>
      <c r="O123" s="3078"/>
      <c r="P123" s="3158"/>
      <c r="Q123" s="3078"/>
      <c r="R123" s="3158"/>
      <c r="S123" s="3078"/>
    </row>
    <row r="124" spans="1:19" hidden="1" outlineLevel="1">
      <c r="A124" s="3159"/>
      <c r="B124" s="458" t="s">
        <v>6712</v>
      </c>
      <c r="C124" s="2049"/>
      <c r="D124" s="2050"/>
      <c r="E124" s="2051"/>
      <c r="F124" s="2052"/>
      <c r="G124" s="662">
        <f t="shared" si="3"/>
        <v>0</v>
      </c>
      <c r="H124" s="3158" t="s">
        <v>2931</v>
      </c>
      <c r="I124" s="3078"/>
      <c r="J124" s="3158" t="s">
        <v>2931</v>
      </c>
      <c r="K124" s="3079"/>
      <c r="L124" s="3158"/>
      <c r="M124" s="3079"/>
      <c r="N124" s="3158"/>
      <c r="O124" s="3078"/>
      <c r="P124" s="3158"/>
      <c r="Q124" s="3078"/>
      <c r="R124" s="3158"/>
      <c r="S124" s="3078"/>
    </row>
    <row r="125" spans="1:19" hidden="1" outlineLevel="1">
      <c r="A125" s="3159"/>
      <c r="B125" s="458" t="s">
        <v>6713</v>
      </c>
      <c r="C125" s="2049"/>
      <c r="D125" s="2050"/>
      <c r="E125" s="2051"/>
      <c r="F125" s="2052"/>
      <c r="G125" s="662">
        <f t="shared" si="3"/>
        <v>0</v>
      </c>
      <c r="H125" s="3158" t="s">
        <v>2931</v>
      </c>
      <c r="I125" s="3078"/>
      <c r="J125" s="3158" t="s">
        <v>2931</v>
      </c>
      <c r="K125" s="3079"/>
      <c r="L125" s="3158"/>
      <c r="M125" s="3079"/>
      <c r="N125" s="3158"/>
      <c r="O125" s="3078"/>
      <c r="P125" s="3158"/>
      <c r="Q125" s="3078"/>
      <c r="R125" s="3158"/>
      <c r="S125" s="3078"/>
    </row>
    <row r="126" spans="1:19" hidden="1" outlineLevel="1">
      <c r="A126" s="3159"/>
      <c r="B126" s="3081" t="s">
        <v>4143</v>
      </c>
      <c r="C126" s="2049"/>
      <c r="D126" s="2050"/>
      <c r="E126" s="2051"/>
      <c r="F126" s="2052"/>
      <c r="G126" s="662">
        <f t="shared" si="3"/>
        <v>0</v>
      </c>
      <c r="H126" s="3158"/>
      <c r="I126" s="3078"/>
      <c r="J126" s="3158"/>
      <c r="K126" s="3079"/>
      <c r="L126" s="3158"/>
      <c r="M126" s="3079"/>
      <c r="N126" s="3158"/>
      <c r="O126" s="3078"/>
      <c r="P126" s="3158"/>
      <c r="Q126" s="3078"/>
      <c r="R126" s="3158"/>
      <c r="S126" s="3078"/>
    </row>
    <row r="127" spans="1:19" hidden="1" outlineLevel="1">
      <c r="A127" s="3159"/>
      <c r="B127" s="3082" t="s">
        <v>6714</v>
      </c>
      <c r="C127" s="2049"/>
      <c r="D127" s="2050"/>
      <c r="E127" s="2051"/>
      <c r="F127" s="2052"/>
      <c r="G127" s="662">
        <f t="shared" si="3"/>
        <v>0</v>
      </c>
      <c r="H127" s="3158" t="s">
        <v>2931</v>
      </c>
      <c r="I127" s="3078"/>
      <c r="J127" s="3158" t="s">
        <v>2931</v>
      </c>
      <c r="K127" s="3079"/>
      <c r="L127" s="3158"/>
      <c r="M127" s="3079"/>
      <c r="N127" s="3158"/>
      <c r="O127" s="3078"/>
      <c r="P127" s="3158"/>
      <c r="Q127" s="3078"/>
      <c r="R127" s="3158"/>
      <c r="S127" s="3078"/>
    </row>
    <row r="128" spans="1:19" hidden="1" outlineLevel="1">
      <c r="A128" s="3159"/>
      <c r="B128" s="3083" t="s">
        <v>6713</v>
      </c>
      <c r="C128" s="2049"/>
      <c r="D128" s="2050"/>
      <c r="E128" s="2051"/>
      <c r="F128" s="2052"/>
      <c r="G128" s="662">
        <f t="shared" si="3"/>
        <v>0</v>
      </c>
      <c r="H128" s="3158" t="s">
        <v>2931</v>
      </c>
      <c r="I128" s="3078"/>
      <c r="J128" s="3158" t="s">
        <v>2931</v>
      </c>
      <c r="K128" s="3079"/>
      <c r="L128" s="3158"/>
      <c r="M128" s="3079"/>
      <c r="N128" s="3158"/>
      <c r="O128" s="3078"/>
      <c r="P128" s="3158"/>
      <c r="Q128" s="3078"/>
      <c r="R128" s="3158"/>
      <c r="S128" s="3078"/>
    </row>
    <row r="129" spans="1:19" hidden="1" outlineLevel="1">
      <c r="A129" s="3159"/>
      <c r="B129" s="3081" t="s">
        <v>4146</v>
      </c>
      <c r="C129" s="2049"/>
      <c r="D129" s="2050"/>
      <c r="E129" s="2051"/>
      <c r="F129" s="2052"/>
      <c r="G129" s="662">
        <f t="shared" si="3"/>
        <v>0</v>
      </c>
      <c r="H129" s="3158"/>
      <c r="I129" s="3078"/>
      <c r="J129" s="3158"/>
      <c r="K129" s="3079"/>
      <c r="L129" s="3158"/>
      <c r="M129" s="3079"/>
      <c r="N129" s="3158"/>
      <c r="O129" s="3078"/>
      <c r="P129" s="3158"/>
      <c r="Q129" s="3078"/>
      <c r="R129" s="3158"/>
      <c r="S129" s="3078"/>
    </row>
    <row r="130" spans="1:19" collapsed="1">
      <c r="A130" s="3159"/>
      <c r="B130" s="3081"/>
      <c r="C130" s="3162"/>
      <c r="D130" s="3169"/>
      <c r="E130" s="3164"/>
      <c r="F130" s="3167"/>
      <c r="G130" s="662"/>
      <c r="H130" s="3158"/>
      <c r="I130" s="3078"/>
      <c r="J130" s="3158"/>
      <c r="K130" s="3079"/>
      <c r="L130" s="3158"/>
      <c r="M130" s="3079"/>
      <c r="N130" s="3158"/>
      <c r="O130" s="3078"/>
      <c r="P130" s="3158"/>
      <c r="Q130" s="3078"/>
      <c r="R130" s="3158"/>
      <c r="S130" s="3078"/>
    </row>
    <row r="131" spans="1:19" s="175" customFormat="1" ht="30">
      <c r="A131" s="3188" t="s">
        <v>3585</v>
      </c>
      <c r="B131" s="3089" t="s">
        <v>2677</v>
      </c>
      <c r="C131" s="3189"/>
      <c r="D131" s="3111">
        <v>1</v>
      </c>
      <c r="E131" s="3014" t="s">
        <v>2818</v>
      </c>
      <c r="F131" s="3023">
        <v>7500</v>
      </c>
      <c r="G131" s="653">
        <f t="shared" si="3"/>
        <v>7500</v>
      </c>
      <c r="H131" s="3112"/>
      <c r="I131" s="3190">
        <f>$G131</f>
        <v>7500</v>
      </c>
      <c r="J131" s="3112"/>
      <c r="K131" s="3190">
        <f>$G131</f>
        <v>7500</v>
      </c>
      <c r="L131" s="3112"/>
      <c r="M131" s="3190">
        <f>$G131</f>
        <v>7500</v>
      </c>
      <c r="N131" s="3112"/>
      <c r="O131" s="3190">
        <f>$G131</f>
        <v>7500</v>
      </c>
      <c r="P131" s="3112"/>
      <c r="Q131" s="3190">
        <f>$G131</f>
        <v>7500</v>
      </c>
      <c r="R131" s="3112"/>
      <c r="S131" s="3190">
        <f>$G131</f>
        <v>7500</v>
      </c>
    </row>
    <row r="132" spans="1:19">
      <c r="A132" s="3159"/>
      <c r="B132" s="3077"/>
      <c r="C132" s="3162"/>
      <c r="D132" s="3169"/>
      <c r="E132" s="3164"/>
      <c r="F132" s="3167"/>
      <c r="G132" s="662">
        <f>ROUND(D132*F132,0)</f>
        <v>0</v>
      </c>
      <c r="H132" s="3158"/>
      <c r="I132" s="3078"/>
      <c r="J132" s="3158"/>
      <c r="K132" s="3079"/>
      <c r="L132" s="3158"/>
      <c r="M132" s="3079"/>
      <c r="N132" s="3158"/>
      <c r="O132" s="3078"/>
      <c r="P132" s="3158"/>
      <c r="Q132" s="3078"/>
      <c r="R132" s="3158"/>
      <c r="S132" s="3078"/>
    </row>
    <row r="133" spans="1:19">
      <c r="A133" s="3159"/>
      <c r="B133" s="3077" t="s">
        <v>6715</v>
      </c>
      <c r="C133" s="3162"/>
      <c r="D133" s="3169">
        <v>1</v>
      </c>
      <c r="E133" s="3164" t="s">
        <v>2818</v>
      </c>
      <c r="F133" s="3167">
        <v>115000</v>
      </c>
      <c r="G133" s="662">
        <f>ROUND(D133*F133,0)</f>
        <v>115000</v>
      </c>
      <c r="H133" s="3158"/>
      <c r="I133" s="3101">
        <f>$G133</f>
        <v>115000</v>
      </c>
      <c r="J133" s="3158"/>
      <c r="K133" s="3101">
        <f>$G133</f>
        <v>115000</v>
      </c>
      <c r="L133" s="3158"/>
      <c r="M133" s="3101">
        <f>$G133</f>
        <v>115000</v>
      </c>
      <c r="N133" s="3158"/>
      <c r="O133" s="3101">
        <f>$G133</f>
        <v>115000</v>
      </c>
      <c r="P133" s="3158"/>
      <c r="Q133" s="3101">
        <f>$G133</f>
        <v>115000</v>
      </c>
      <c r="R133" s="3158"/>
      <c r="S133" s="3078"/>
    </row>
    <row r="134" spans="1:19">
      <c r="A134" s="3159"/>
      <c r="B134" s="3077"/>
      <c r="C134" s="3162"/>
      <c r="D134" s="3169"/>
      <c r="E134" s="3164"/>
      <c r="F134" s="3167"/>
      <c r="G134" s="662"/>
      <c r="H134" s="3158"/>
      <c r="I134" s="3078"/>
      <c r="J134" s="3158"/>
      <c r="K134" s="3079"/>
      <c r="L134" s="3158"/>
      <c r="M134" s="3079"/>
      <c r="N134" s="3158"/>
      <c r="O134" s="3078"/>
      <c r="P134" s="3158"/>
      <c r="Q134" s="3078"/>
      <c r="R134" s="3158"/>
      <c r="S134" s="3078"/>
    </row>
    <row r="135" spans="1:19" s="175" customFormat="1">
      <c r="A135" s="3166"/>
      <c r="B135" s="3182"/>
      <c r="C135" s="711"/>
      <c r="D135" s="3111"/>
      <c r="E135" s="3014"/>
      <c r="F135" s="3023"/>
      <c r="G135" s="668">
        <f t="shared" si="2"/>
        <v>0</v>
      </c>
      <c r="H135" s="3112"/>
      <c r="I135" s="3092"/>
      <c r="J135" s="3112"/>
      <c r="K135" s="3091"/>
      <c r="L135" s="3112"/>
      <c r="M135" s="3091"/>
      <c r="N135" s="3112"/>
      <c r="O135" s="3092"/>
      <c r="P135" s="3112"/>
      <c r="Q135" s="3092"/>
      <c r="R135" s="3112"/>
      <c r="S135" s="3092"/>
    </row>
    <row r="136" spans="1:19">
      <c r="A136" s="3166"/>
      <c r="B136" s="507" t="s">
        <v>6097</v>
      </c>
      <c r="C136" s="659"/>
      <c r="D136" s="2050"/>
      <c r="E136" s="2051"/>
      <c r="F136" s="2052"/>
      <c r="G136" s="668">
        <f t="shared" si="2"/>
        <v>0</v>
      </c>
      <c r="H136" s="3158"/>
      <c r="I136" s="3080">
        <f>SUBTOTAL(9,I137:I145)</f>
        <v>54504</v>
      </c>
      <c r="J136" s="3158"/>
      <c r="K136" s="3080">
        <f>SUBTOTAL(9,K137:K145)</f>
        <v>82500</v>
      </c>
      <c r="L136" s="3158"/>
      <c r="M136" s="3080">
        <f>SUBTOTAL(9,M137:M145)</f>
        <v>79500</v>
      </c>
      <c r="N136" s="3158"/>
      <c r="O136" s="3080">
        <f>SUBTOTAL(9,O137:O145)</f>
        <v>80000</v>
      </c>
      <c r="P136" s="3158"/>
      <c r="Q136" s="3080">
        <f>SUBTOTAL(9,Q137:Q145)</f>
        <v>0</v>
      </c>
      <c r="R136" s="3158"/>
      <c r="S136" s="3080">
        <f>SUBTOTAL(9,S137:S145)</f>
        <v>99339</v>
      </c>
    </row>
    <row r="137" spans="1:19">
      <c r="A137" s="3166"/>
      <c r="B137" s="506" t="s">
        <v>2994</v>
      </c>
      <c r="C137" s="659"/>
      <c r="D137" s="3169"/>
      <c r="E137" s="3164"/>
      <c r="F137" s="3167"/>
      <c r="G137" s="668">
        <f t="shared" si="2"/>
        <v>0</v>
      </c>
      <c r="H137" s="3158"/>
      <c r="I137" s="3078">
        <v>54504</v>
      </c>
      <c r="J137" s="3158"/>
      <c r="K137" s="3079">
        <v>82500</v>
      </c>
      <c r="L137" s="3158"/>
      <c r="M137" s="3079">
        <v>39500</v>
      </c>
      <c r="N137" s="3158" t="s">
        <v>2929</v>
      </c>
      <c r="O137" s="3101">
        <v>80000</v>
      </c>
      <c r="P137" s="3158" t="s">
        <v>2931</v>
      </c>
      <c r="Q137" s="3078"/>
      <c r="R137" s="3158"/>
      <c r="S137" s="3078">
        <v>99339</v>
      </c>
    </row>
    <row r="138" spans="1:19">
      <c r="A138" s="3166"/>
      <c r="B138" s="3077" t="s">
        <v>6716</v>
      </c>
      <c r="C138" s="659"/>
      <c r="D138" s="2050">
        <v>1</v>
      </c>
      <c r="E138" s="2051" t="s">
        <v>2803</v>
      </c>
      <c r="F138" s="2052"/>
      <c r="G138" s="668">
        <f t="shared" si="2"/>
        <v>0</v>
      </c>
      <c r="H138" s="3158" t="s">
        <v>2931</v>
      </c>
      <c r="I138" s="3078"/>
      <c r="J138" s="3158" t="s">
        <v>2931</v>
      </c>
      <c r="K138" s="3079">
        <f t="shared" ref="K138:K141" si="4">G138</f>
        <v>0</v>
      </c>
      <c r="L138" s="3158"/>
      <c r="M138" s="3079"/>
      <c r="N138" s="3158"/>
      <c r="O138" s="3078"/>
      <c r="P138" s="3158" t="s">
        <v>2931</v>
      </c>
      <c r="Q138" s="3078"/>
      <c r="R138" s="3158" t="s">
        <v>2931</v>
      </c>
      <c r="S138" s="3078"/>
    </row>
    <row r="139" spans="1:19">
      <c r="A139" s="3166"/>
      <c r="B139" s="3077" t="s">
        <v>6717</v>
      </c>
      <c r="C139" s="659"/>
      <c r="D139" s="2050">
        <v>1</v>
      </c>
      <c r="E139" s="2051" t="s">
        <v>2803</v>
      </c>
      <c r="F139" s="2052"/>
      <c r="G139" s="668">
        <f t="shared" si="2"/>
        <v>0</v>
      </c>
      <c r="H139" s="3158" t="s">
        <v>2931</v>
      </c>
      <c r="I139" s="3078"/>
      <c r="J139" s="3158" t="s">
        <v>2931</v>
      </c>
      <c r="K139" s="3079">
        <f t="shared" si="4"/>
        <v>0</v>
      </c>
      <c r="L139" s="3158"/>
      <c r="M139" s="3079"/>
      <c r="N139" s="3158"/>
      <c r="O139" s="3078"/>
      <c r="P139" s="3158" t="s">
        <v>2931</v>
      </c>
      <c r="Q139" s="3078"/>
      <c r="R139" s="3158" t="s">
        <v>2931</v>
      </c>
      <c r="S139" s="3078"/>
    </row>
    <row r="140" spans="1:19">
      <c r="A140" s="3166"/>
      <c r="B140" s="3077" t="s">
        <v>6718</v>
      </c>
      <c r="C140" s="659"/>
      <c r="D140" s="2050">
        <v>1</v>
      </c>
      <c r="E140" s="2051" t="s">
        <v>2803</v>
      </c>
      <c r="F140" s="2052"/>
      <c r="G140" s="668">
        <f t="shared" si="2"/>
        <v>0</v>
      </c>
      <c r="H140" s="3158" t="s">
        <v>2931</v>
      </c>
      <c r="I140" s="3078"/>
      <c r="J140" s="3158" t="s">
        <v>2931</v>
      </c>
      <c r="K140" s="3079">
        <f t="shared" si="4"/>
        <v>0</v>
      </c>
      <c r="L140" s="3158"/>
      <c r="M140" s="3079"/>
      <c r="N140" s="3158"/>
      <c r="O140" s="3078"/>
      <c r="P140" s="3158" t="s">
        <v>2931</v>
      </c>
      <c r="Q140" s="3078"/>
      <c r="R140" s="3158" t="s">
        <v>2931</v>
      </c>
      <c r="S140" s="3078"/>
    </row>
    <row r="141" spans="1:19">
      <c r="A141" s="3166"/>
      <c r="B141" s="3077" t="s">
        <v>6719</v>
      </c>
      <c r="C141" s="659"/>
      <c r="D141" s="2050">
        <v>1</v>
      </c>
      <c r="E141" s="2051" t="s">
        <v>2818</v>
      </c>
      <c r="F141" s="2052"/>
      <c r="G141" s="668">
        <f t="shared" si="2"/>
        <v>0</v>
      </c>
      <c r="H141" s="3158" t="s">
        <v>2931</v>
      </c>
      <c r="I141" s="3078"/>
      <c r="J141" s="3158" t="s">
        <v>2931</v>
      </c>
      <c r="K141" s="3079">
        <f t="shared" si="4"/>
        <v>0</v>
      </c>
      <c r="L141" s="3158"/>
      <c r="M141" s="3079"/>
      <c r="N141" s="3158"/>
      <c r="O141" s="3078"/>
      <c r="P141" s="3158" t="s">
        <v>2931</v>
      </c>
      <c r="Q141" s="3078"/>
      <c r="R141" s="3158" t="s">
        <v>2931</v>
      </c>
      <c r="S141" s="3078"/>
    </row>
    <row r="142" spans="1:19">
      <c r="A142" s="3166"/>
      <c r="B142" s="3077" t="s">
        <v>6720</v>
      </c>
      <c r="C142" s="659"/>
      <c r="D142" s="2050"/>
      <c r="E142" s="2051"/>
      <c r="F142" s="2052"/>
      <c r="G142" s="668">
        <f t="shared" si="2"/>
        <v>0</v>
      </c>
      <c r="H142" s="3158" t="s">
        <v>2931</v>
      </c>
      <c r="I142" s="3078"/>
      <c r="J142" s="3158" t="s">
        <v>2931</v>
      </c>
      <c r="K142" s="3079"/>
      <c r="L142" s="3158"/>
      <c r="M142" s="3087"/>
      <c r="N142" s="3158"/>
      <c r="O142" s="3078"/>
      <c r="P142" s="3158"/>
      <c r="Q142" s="3101"/>
      <c r="R142" s="3158" t="s">
        <v>2931</v>
      </c>
      <c r="S142" s="3078"/>
    </row>
    <row r="143" spans="1:19">
      <c r="A143" s="3159"/>
      <c r="B143" s="3077"/>
      <c r="C143" s="3162"/>
      <c r="D143" s="3169"/>
      <c r="E143" s="3164"/>
      <c r="F143" s="3167"/>
      <c r="G143" s="662"/>
      <c r="H143" s="3158"/>
      <c r="I143" s="3078"/>
      <c r="J143" s="3158"/>
      <c r="K143" s="3079"/>
      <c r="L143" s="3158"/>
      <c r="M143" s="3079"/>
      <c r="N143" s="3158"/>
      <c r="O143" s="3078"/>
      <c r="P143" s="3158"/>
      <c r="Q143" s="3078"/>
      <c r="R143" s="3158"/>
      <c r="S143" s="3078"/>
    </row>
    <row r="144" spans="1:19">
      <c r="A144" s="3159"/>
      <c r="B144" s="3077" t="s">
        <v>6721</v>
      </c>
      <c r="C144" s="3162"/>
      <c r="D144" s="3169"/>
      <c r="E144" s="3164"/>
      <c r="F144" s="3167"/>
      <c r="G144" s="662"/>
      <c r="H144" s="3158"/>
      <c r="I144" s="3078"/>
      <c r="J144" s="3158"/>
      <c r="K144" s="3079"/>
      <c r="L144" s="3158"/>
      <c r="M144" s="3191">
        <v>40000</v>
      </c>
      <c r="N144" s="3158"/>
      <c r="O144" s="3078"/>
      <c r="P144" s="3158"/>
      <c r="Q144" s="3078"/>
      <c r="R144" s="3158"/>
      <c r="S144" s="3078"/>
    </row>
    <row r="145" spans="1:19">
      <c r="A145" s="3166"/>
      <c r="B145" s="3077"/>
      <c r="C145" s="659"/>
      <c r="D145" s="2050"/>
      <c r="E145" s="2051"/>
      <c r="F145" s="2052"/>
      <c r="G145" s="668">
        <f t="shared" si="2"/>
        <v>0</v>
      </c>
      <c r="H145" s="3158"/>
      <c r="I145" s="3078"/>
      <c r="J145" s="3158"/>
      <c r="K145" s="3079">
        <f t="shared" ref="K145:K164" si="5">G145</f>
        <v>0</v>
      </c>
      <c r="L145" s="3158"/>
      <c r="M145" s="3079"/>
      <c r="N145" s="3158"/>
      <c r="O145" s="3078"/>
      <c r="P145" s="3158"/>
      <c r="Q145" s="3078"/>
      <c r="R145" s="3158"/>
      <c r="S145" s="3078"/>
    </row>
    <row r="146" spans="1:19">
      <c r="A146" s="3166"/>
      <c r="B146" s="452" t="s">
        <v>6425</v>
      </c>
      <c r="C146" s="659"/>
      <c r="D146" s="2050"/>
      <c r="E146" s="2051"/>
      <c r="F146" s="2052"/>
      <c r="G146" s="668">
        <f t="shared" si="2"/>
        <v>0</v>
      </c>
      <c r="H146" s="3158"/>
      <c r="I146" s="3080">
        <f>SUBTOTAL(9,I147:I154)</f>
        <v>562496</v>
      </c>
      <c r="J146" s="3158"/>
      <c r="K146" s="3080">
        <f>SUBTOTAL(9,K147:K154)</f>
        <v>328250</v>
      </c>
      <c r="L146" s="3158"/>
      <c r="M146" s="3080">
        <f>SUBTOTAL(9,M147:M154)</f>
        <v>343900</v>
      </c>
      <c r="N146" s="3158"/>
      <c r="O146" s="3080">
        <f>SUBTOTAL(9,O147:O154)</f>
        <v>400000</v>
      </c>
      <c r="P146" s="3158"/>
      <c r="Q146" s="3080">
        <f>SUBTOTAL(9,Q147:Q154)</f>
        <v>0</v>
      </c>
      <c r="R146" s="3158"/>
      <c r="S146" s="3080">
        <f>SUBTOTAL(9,S147:S154)</f>
        <v>460000</v>
      </c>
    </row>
    <row r="147" spans="1:19">
      <c r="A147" s="3166"/>
      <c r="B147" s="506" t="s">
        <v>2994</v>
      </c>
      <c r="C147" s="659"/>
      <c r="D147" s="3169"/>
      <c r="E147" s="3164"/>
      <c r="F147" s="3167"/>
      <c r="G147" s="668">
        <f t="shared" si="2"/>
        <v>0</v>
      </c>
      <c r="H147" s="3158"/>
      <c r="I147" s="3078">
        <v>562496</v>
      </c>
      <c r="J147" s="3158"/>
      <c r="K147" s="3079">
        <v>328250</v>
      </c>
      <c r="L147" s="3158"/>
      <c r="M147" s="3079">
        <v>93900</v>
      </c>
      <c r="N147" s="3158" t="s">
        <v>2929</v>
      </c>
      <c r="O147" s="3101">
        <v>400000</v>
      </c>
      <c r="P147" s="3158"/>
      <c r="Q147" s="3078"/>
      <c r="R147" s="3158"/>
      <c r="S147" s="3078">
        <v>460000</v>
      </c>
    </row>
    <row r="148" spans="1:19">
      <c r="A148" s="3166"/>
      <c r="B148" s="3077" t="s">
        <v>6722</v>
      </c>
      <c r="C148" s="659"/>
      <c r="D148" s="2050">
        <v>6</v>
      </c>
      <c r="E148" s="2051" t="s">
        <v>2803</v>
      </c>
      <c r="F148" s="2052"/>
      <c r="G148" s="668">
        <f t="shared" si="2"/>
        <v>0</v>
      </c>
      <c r="H148" s="3158" t="s">
        <v>2931</v>
      </c>
      <c r="I148" s="3078"/>
      <c r="J148" s="3158" t="s">
        <v>2931</v>
      </c>
      <c r="K148" s="3079">
        <f t="shared" si="5"/>
        <v>0</v>
      </c>
      <c r="L148" s="3158" t="s">
        <v>2931</v>
      </c>
      <c r="M148" s="3079"/>
      <c r="N148" s="3158"/>
      <c r="O148" s="3078"/>
      <c r="P148" s="3158" t="s">
        <v>2931</v>
      </c>
      <c r="Q148" s="3078"/>
      <c r="R148" s="3158" t="s">
        <v>2931</v>
      </c>
      <c r="S148" s="3078"/>
    </row>
    <row r="149" spans="1:19">
      <c r="A149" s="3166"/>
      <c r="B149" s="3077" t="s">
        <v>6723</v>
      </c>
      <c r="C149" s="659"/>
      <c r="D149" s="2050">
        <v>6</v>
      </c>
      <c r="E149" s="2051" t="s">
        <v>2803</v>
      </c>
      <c r="F149" s="2052"/>
      <c r="G149" s="662">
        <f t="shared" ref="G149:G164" si="6">ROUND(D149*F149,0)</f>
        <v>0</v>
      </c>
      <c r="H149" s="3158" t="s">
        <v>2931</v>
      </c>
      <c r="I149" s="3078"/>
      <c r="J149" s="3158" t="s">
        <v>2931</v>
      </c>
      <c r="K149" s="3079">
        <f t="shared" si="5"/>
        <v>0</v>
      </c>
      <c r="L149" s="3158" t="s">
        <v>2931</v>
      </c>
      <c r="M149" s="3079"/>
      <c r="N149" s="3158"/>
      <c r="O149" s="3078"/>
      <c r="P149" s="3158" t="s">
        <v>2931</v>
      </c>
      <c r="Q149" s="3078"/>
      <c r="R149" s="3158" t="s">
        <v>2931</v>
      </c>
      <c r="S149" s="3078"/>
    </row>
    <row r="150" spans="1:19">
      <c r="A150" s="3166"/>
      <c r="B150" s="3077" t="s">
        <v>6724</v>
      </c>
      <c r="C150" s="659"/>
      <c r="D150" s="2050">
        <v>3</v>
      </c>
      <c r="E150" s="2051" t="s">
        <v>2803</v>
      </c>
      <c r="F150" s="2052"/>
      <c r="G150" s="662">
        <f t="shared" si="6"/>
        <v>0</v>
      </c>
      <c r="H150" s="3158" t="s">
        <v>2931</v>
      </c>
      <c r="I150" s="3078"/>
      <c r="J150" s="3158" t="s">
        <v>2931</v>
      </c>
      <c r="K150" s="3079">
        <f t="shared" si="5"/>
        <v>0</v>
      </c>
      <c r="L150" s="3158" t="s">
        <v>2931</v>
      </c>
      <c r="M150" s="3079"/>
      <c r="N150" s="3158"/>
      <c r="O150" s="3078"/>
      <c r="P150" s="3158" t="s">
        <v>2931</v>
      </c>
      <c r="Q150" s="3078"/>
      <c r="R150" s="3158" t="s">
        <v>2931</v>
      </c>
      <c r="S150" s="3078"/>
    </row>
    <row r="151" spans="1:19">
      <c r="A151" s="3166"/>
      <c r="B151" s="3077" t="s">
        <v>6725</v>
      </c>
      <c r="C151" s="659"/>
      <c r="D151" s="2050">
        <v>1</v>
      </c>
      <c r="E151" s="2051" t="s">
        <v>2818</v>
      </c>
      <c r="F151" s="2052"/>
      <c r="G151" s="662">
        <f t="shared" si="6"/>
        <v>0</v>
      </c>
      <c r="H151" s="3158" t="s">
        <v>2931</v>
      </c>
      <c r="I151" s="3078"/>
      <c r="J151" s="3158" t="s">
        <v>2931</v>
      </c>
      <c r="K151" s="3079">
        <f t="shared" si="5"/>
        <v>0</v>
      </c>
      <c r="L151" s="3158" t="s">
        <v>2931</v>
      </c>
      <c r="M151" s="3079"/>
      <c r="N151" s="3158"/>
      <c r="O151" s="3078"/>
      <c r="P151" s="3158" t="s">
        <v>2931</v>
      </c>
      <c r="Q151" s="3078"/>
      <c r="R151" s="3158" t="s">
        <v>2931</v>
      </c>
      <c r="S151" s="3078"/>
    </row>
    <row r="152" spans="1:19">
      <c r="A152" s="3159"/>
      <c r="B152" s="3077"/>
      <c r="C152" s="3162"/>
      <c r="D152" s="3169"/>
      <c r="E152" s="3164"/>
      <c r="F152" s="3167"/>
      <c r="G152" s="662"/>
      <c r="H152" s="3158"/>
      <c r="I152" s="3078"/>
      <c r="J152" s="3158"/>
      <c r="K152" s="3079"/>
      <c r="L152" s="3158"/>
      <c r="M152" s="3079"/>
      <c r="N152" s="3158"/>
      <c r="O152" s="3078"/>
      <c r="P152" s="3158"/>
      <c r="Q152" s="3078"/>
      <c r="R152" s="3158"/>
      <c r="S152" s="3078"/>
    </row>
    <row r="153" spans="1:19">
      <c r="A153" s="3159"/>
      <c r="B153" s="3077" t="s">
        <v>6721</v>
      </c>
      <c r="C153" s="3162"/>
      <c r="D153" s="3169"/>
      <c r="E153" s="3164"/>
      <c r="F153" s="3167"/>
      <c r="G153" s="662"/>
      <c r="H153" s="3158"/>
      <c r="I153" s="3078"/>
      <c r="J153" s="3158"/>
      <c r="K153" s="3079"/>
      <c r="L153" s="3158"/>
      <c r="M153" s="3191">
        <v>250000</v>
      </c>
      <c r="N153" s="3158"/>
      <c r="O153" s="3078"/>
      <c r="P153" s="3158"/>
      <c r="Q153" s="3078"/>
      <c r="R153" s="3158"/>
      <c r="S153" s="3078"/>
    </row>
    <row r="154" spans="1:19">
      <c r="A154" s="3159"/>
      <c r="B154" s="3077"/>
      <c r="C154" s="3162"/>
      <c r="D154" s="3169"/>
      <c r="E154" s="3164"/>
      <c r="F154" s="3167"/>
      <c r="G154" s="662"/>
      <c r="H154" s="3158"/>
      <c r="I154" s="3078"/>
      <c r="J154" s="3158"/>
      <c r="K154" s="3079"/>
      <c r="L154" s="3158"/>
      <c r="M154" s="3079"/>
      <c r="N154" s="3158"/>
      <c r="O154" s="3078"/>
      <c r="P154" s="3158"/>
      <c r="Q154" s="3078"/>
      <c r="R154" s="3158"/>
      <c r="S154" s="3078"/>
    </row>
    <row r="155" spans="1:19">
      <c r="A155" s="3159"/>
      <c r="B155" s="3077" t="s">
        <v>6413</v>
      </c>
      <c r="C155" s="2049"/>
      <c r="D155" s="2050"/>
      <c r="E155" s="2051"/>
      <c r="F155" s="2052"/>
      <c r="G155" s="662">
        <f t="shared" si="6"/>
        <v>0</v>
      </c>
      <c r="H155" s="3158"/>
      <c r="I155" s="3078"/>
      <c r="J155" s="3158"/>
      <c r="K155" s="3079">
        <f t="shared" si="5"/>
        <v>0</v>
      </c>
      <c r="L155" s="3158"/>
      <c r="M155" s="3079"/>
      <c r="N155" s="3158"/>
      <c r="O155" s="3078"/>
      <c r="P155" s="3158"/>
      <c r="Q155" s="3078"/>
      <c r="R155" s="3158"/>
      <c r="S155" s="3078"/>
    </row>
    <row r="156" spans="1:19" s="175" customFormat="1" ht="25.5">
      <c r="A156" s="3159"/>
      <c r="B156" s="3192" t="s">
        <v>6726</v>
      </c>
      <c r="C156" s="3189"/>
      <c r="D156" s="3111">
        <v>1</v>
      </c>
      <c r="E156" s="3014" t="s">
        <v>2818</v>
      </c>
      <c r="F156" s="3023"/>
      <c r="G156" s="668">
        <f t="shared" si="6"/>
        <v>0</v>
      </c>
      <c r="H156" s="3112" t="s">
        <v>2931</v>
      </c>
      <c r="I156" s="3092"/>
      <c r="J156" s="3112" t="s">
        <v>2931</v>
      </c>
      <c r="K156" s="3091">
        <f t="shared" si="5"/>
        <v>0</v>
      </c>
      <c r="L156" s="3112" t="s">
        <v>2931</v>
      </c>
      <c r="M156" s="3091"/>
      <c r="N156" s="3112" t="s">
        <v>2931</v>
      </c>
      <c r="O156" s="3092"/>
      <c r="P156" s="3112" t="s">
        <v>2931</v>
      </c>
      <c r="Q156" s="3092"/>
      <c r="R156" s="3112" t="s">
        <v>2931</v>
      </c>
      <c r="S156" s="3092"/>
    </row>
    <row r="157" spans="1:19">
      <c r="A157" s="3159"/>
      <c r="B157" s="3193" t="s">
        <v>6727</v>
      </c>
      <c r="C157" s="2049"/>
      <c r="D157" s="2050">
        <v>1</v>
      </c>
      <c r="E157" s="3014" t="s">
        <v>2818</v>
      </c>
      <c r="F157" s="2052"/>
      <c r="G157" s="662">
        <f t="shared" si="6"/>
        <v>0</v>
      </c>
      <c r="H157" s="3158" t="s">
        <v>2931</v>
      </c>
      <c r="I157" s="3078"/>
      <c r="J157" s="3158" t="s">
        <v>2931</v>
      </c>
      <c r="K157" s="3079">
        <f t="shared" si="5"/>
        <v>0</v>
      </c>
      <c r="L157" s="3158"/>
      <c r="M157" s="3079"/>
      <c r="N157" s="3158" t="s">
        <v>2931</v>
      </c>
      <c r="O157" s="3078"/>
      <c r="P157" s="3158" t="s">
        <v>2931</v>
      </c>
      <c r="Q157" s="3078"/>
      <c r="R157" s="3112" t="s">
        <v>2931</v>
      </c>
      <c r="S157" s="3092"/>
    </row>
    <row r="158" spans="1:19">
      <c r="A158" s="3159"/>
      <c r="B158" s="3194" t="s">
        <v>6728</v>
      </c>
      <c r="C158" s="2049"/>
      <c r="D158" s="2050">
        <v>1</v>
      </c>
      <c r="E158" s="3014" t="s">
        <v>2818</v>
      </c>
      <c r="F158" s="2052"/>
      <c r="G158" s="662"/>
      <c r="H158" s="3158" t="s">
        <v>2931</v>
      </c>
      <c r="I158" s="3078"/>
      <c r="J158" s="3158" t="s">
        <v>2931</v>
      </c>
      <c r="K158" s="3079"/>
      <c r="L158" s="3158" t="s">
        <v>2931</v>
      </c>
      <c r="M158" s="3079"/>
      <c r="N158" s="3158"/>
      <c r="O158" s="3101"/>
      <c r="P158" s="3158"/>
      <c r="Q158" s="3101"/>
      <c r="R158" s="3112" t="s">
        <v>2931</v>
      </c>
      <c r="S158" s="3092"/>
    </row>
    <row r="159" spans="1:19">
      <c r="A159" s="3159"/>
      <c r="B159" s="3195" t="s">
        <v>6423</v>
      </c>
      <c r="C159" s="2049"/>
      <c r="D159" s="2050">
        <v>1</v>
      </c>
      <c r="E159" s="3014" t="s">
        <v>2818</v>
      </c>
      <c r="F159" s="2052">
        <v>5000</v>
      </c>
      <c r="G159" s="662">
        <f t="shared" si="6"/>
        <v>5000</v>
      </c>
      <c r="H159" s="3158" t="s">
        <v>2931</v>
      </c>
      <c r="I159" s="3078"/>
      <c r="J159" s="3158" t="s">
        <v>2931</v>
      </c>
      <c r="K159" s="3079">
        <f t="shared" si="5"/>
        <v>5000</v>
      </c>
      <c r="L159" s="3158" t="s">
        <v>2931</v>
      </c>
      <c r="M159" s="3079"/>
      <c r="N159" s="3158"/>
      <c r="O159" s="3101">
        <f>$K159</f>
        <v>5000</v>
      </c>
      <c r="P159" s="3158"/>
      <c r="Q159" s="3101">
        <f>$K159</f>
        <v>5000</v>
      </c>
      <c r="R159" s="3158" t="s">
        <v>2931</v>
      </c>
      <c r="S159" s="3078"/>
    </row>
    <row r="160" spans="1:19">
      <c r="A160" s="3159"/>
      <c r="B160" s="3077"/>
      <c r="C160" s="2049"/>
      <c r="D160" s="2050"/>
      <c r="E160" s="2051"/>
      <c r="F160" s="2052"/>
      <c r="G160" s="662">
        <f t="shared" si="6"/>
        <v>0</v>
      </c>
      <c r="H160" s="3158"/>
      <c r="I160" s="3078"/>
      <c r="J160" s="3158"/>
      <c r="K160" s="3079">
        <f t="shared" si="5"/>
        <v>0</v>
      </c>
      <c r="L160" s="3158"/>
      <c r="M160" s="3079"/>
      <c r="N160" s="3158"/>
      <c r="O160" s="3078"/>
      <c r="P160" s="3158"/>
      <c r="Q160" s="3078"/>
      <c r="R160" s="3158"/>
      <c r="S160" s="3078"/>
    </row>
    <row r="161" spans="1:34">
      <c r="A161" s="3159"/>
      <c r="B161" s="3077" t="s">
        <v>3581</v>
      </c>
      <c r="C161" s="2049"/>
      <c r="D161" s="2050"/>
      <c r="E161" s="2051"/>
      <c r="F161" s="2052"/>
      <c r="G161" s="662">
        <f t="shared" si="6"/>
        <v>0</v>
      </c>
      <c r="H161" s="3158" t="s">
        <v>2931</v>
      </c>
      <c r="I161" s="3078"/>
      <c r="J161" s="3158" t="s">
        <v>2931</v>
      </c>
      <c r="K161" s="3079">
        <f t="shared" si="5"/>
        <v>0</v>
      </c>
      <c r="L161" s="3158"/>
      <c r="M161" s="3101"/>
      <c r="N161" s="3158" t="s">
        <v>2931</v>
      </c>
      <c r="O161" s="3078"/>
      <c r="P161" s="3158"/>
      <c r="Q161" s="3101"/>
      <c r="R161" s="3158" t="s">
        <v>2931</v>
      </c>
      <c r="S161" s="3078"/>
    </row>
    <row r="162" spans="1:34">
      <c r="A162" s="3159"/>
      <c r="B162" s="3077" t="s">
        <v>3582</v>
      </c>
      <c r="C162" s="2049"/>
      <c r="D162" s="2050"/>
      <c r="E162" s="2051"/>
      <c r="F162" s="2052"/>
      <c r="G162" s="662">
        <f t="shared" si="6"/>
        <v>0</v>
      </c>
      <c r="H162" s="3158" t="s">
        <v>2931</v>
      </c>
      <c r="I162" s="3078"/>
      <c r="J162" s="3158" t="s">
        <v>2931</v>
      </c>
      <c r="K162" s="3079">
        <f t="shared" si="5"/>
        <v>0</v>
      </c>
      <c r="L162" s="3158"/>
      <c r="M162" s="3101"/>
      <c r="N162" s="3158" t="s">
        <v>2931</v>
      </c>
      <c r="O162" s="3078"/>
      <c r="P162" s="3158"/>
      <c r="Q162" s="3101"/>
      <c r="R162" s="3158" t="s">
        <v>2931</v>
      </c>
      <c r="S162" s="3078"/>
    </row>
    <row r="163" spans="1:34">
      <c r="A163" s="3159"/>
      <c r="B163" s="3077" t="s">
        <v>3583</v>
      </c>
      <c r="C163" s="2049"/>
      <c r="D163" s="2050"/>
      <c r="E163" s="2051"/>
      <c r="F163" s="2052"/>
      <c r="G163" s="662">
        <f t="shared" si="6"/>
        <v>0</v>
      </c>
      <c r="H163" s="3158" t="s">
        <v>2931</v>
      </c>
      <c r="I163" s="3078"/>
      <c r="J163" s="3158" t="s">
        <v>2931</v>
      </c>
      <c r="K163" s="3079">
        <f t="shared" si="5"/>
        <v>0</v>
      </c>
      <c r="L163" s="3158"/>
      <c r="M163" s="3101"/>
      <c r="N163" s="3158" t="s">
        <v>2931</v>
      </c>
      <c r="O163" s="3078"/>
      <c r="P163" s="3158"/>
      <c r="Q163" s="3101"/>
      <c r="R163" s="3158" t="s">
        <v>2931</v>
      </c>
      <c r="S163" s="3078"/>
    </row>
    <row r="164" spans="1:34">
      <c r="A164" s="3159"/>
      <c r="B164" s="3077"/>
      <c r="C164" s="2049"/>
      <c r="D164" s="2050"/>
      <c r="E164" s="2051"/>
      <c r="F164" s="2052"/>
      <c r="G164" s="662">
        <f t="shared" si="6"/>
        <v>0</v>
      </c>
      <c r="H164" s="3158"/>
      <c r="I164" s="3078"/>
      <c r="J164" s="3158"/>
      <c r="K164" s="3079">
        <f t="shared" si="5"/>
        <v>0</v>
      </c>
      <c r="L164" s="3158"/>
      <c r="M164" s="3079"/>
      <c r="N164" s="3158"/>
      <c r="O164" s="3078"/>
      <c r="P164" s="3158"/>
      <c r="Q164" s="3078"/>
      <c r="R164" s="3158"/>
      <c r="S164" s="3078"/>
    </row>
    <row r="165" spans="1:34">
      <c r="A165" s="13"/>
      <c r="B165" s="226" t="s">
        <v>3265</v>
      </c>
      <c r="C165" s="15"/>
      <c r="D165" s="382"/>
      <c r="E165" s="176"/>
      <c r="F165" s="17"/>
      <c r="G165" s="227">
        <f>SUBTOTAL(9,G21:G164)</f>
        <v>4896920</v>
      </c>
      <c r="H165" s="19"/>
      <c r="I165" s="225">
        <f>SUBTOTAL(9,I20:I164)</f>
        <v>5269684</v>
      </c>
      <c r="J165" s="19"/>
      <c r="K165" s="225">
        <f>SUBTOTAL(9,K20:K164)</f>
        <v>5438253</v>
      </c>
      <c r="L165" s="19"/>
      <c r="M165" s="225">
        <f>SUBTOTAL(9,M20:M164)</f>
        <v>5483200</v>
      </c>
      <c r="N165" s="19"/>
      <c r="O165" s="225">
        <f>SUBTOTAL(9,O20:O164)</f>
        <v>6226200</v>
      </c>
      <c r="P165" s="19"/>
      <c r="Q165" s="225">
        <f>SUBTOTAL(9,Q20:Q164)</f>
        <v>6928400</v>
      </c>
      <c r="R165" s="19"/>
      <c r="S165" s="225">
        <f>SUBTOTAL(9,S20:S164)</f>
        <v>7250559</v>
      </c>
    </row>
    <row r="166" spans="1:34">
      <c r="A166" s="3116"/>
      <c r="B166" s="2208" t="s">
        <v>2976</v>
      </c>
      <c r="C166" s="2138"/>
      <c r="D166" s="3117"/>
      <c r="E166" s="2210"/>
      <c r="F166" s="2140"/>
      <c r="G166" s="654"/>
      <c r="H166" s="3118">
        <v>0</v>
      </c>
      <c r="I166" s="645"/>
      <c r="J166" s="3118">
        <v>0</v>
      </c>
      <c r="K166" s="645"/>
      <c r="L166" s="3118">
        <v>0</v>
      </c>
      <c r="M166" s="645"/>
      <c r="N166" s="3118">
        <v>0</v>
      </c>
      <c r="O166" s="645"/>
      <c r="P166" s="3118">
        <v>0</v>
      </c>
      <c r="Q166" s="645"/>
      <c r="R166" s="3118">
        <v>0</v>
      </c>
      <c r="S166" s="645"/>
    </row>
    <row r="167" spans="1:34">
      <c r="A167" s="3116"/>
      <c r="B167" s="2208" t="s">
        <v>2977</v>
      </c>
      <c r="C167" s="2138"/>
      <c r="D167" s="3117"/>
      <c r="E167" s="2210"/>
      <c r="F167" s="2140"/>
      <c r="G167" s="654">
        <f>F166*G165</f>
        <v>0</v>
      </c>
      <c r="H167" s="3119"/>
      <c r="I167" s="3120">
        <f>H166*I165</f>
        <v>0</v>
      </c>
      <c r="J167" s="3119"/>
      <c r="K167" s="3120">
        <f>J166*K165</f>
        <v>0</v>
      </c>
      <c r="L167" s="3119"/>
      <c r="M167" s="3120">
        <f>L166*M165</f>
        <v>0</v>
      </c>
      <c r="N167" s="3119"/>
      <c r="O167" s="3120">
        <f>N166*O165</f>
        <v>0</v>
      </c>
      <c r="P167" s="3119"/>
      <c r="Q167" s="3120">
        <f>P166*Q165</f>
        <v>0</v>
      </c>
      <c r="R167" s="3119"/>
      <c r="S167" s="3120">
        <f>R166*S165</f>
        <v>0</v>
      </c>
    </row>
    <row r="168" spans="1:34">
      <c r="A168" s="3116"/>
      <c r="B168" s="2208"/>
      <c r="C168" s="2138"/>
      <c r="D168" s="3117"/>
      <c r="E168" s="2210"/>
      <c r="F168" s="2140"/>
      <c r="G168" s="654"/>
      <c r="H168" s="3119"/>
      <c r="I168" s="3120"/>
      <c r="J168" s="3119"/>
      <c r="K168" s="3120"/>
      <c r="L168" s="3119"/>
      <c r="M168" s="3120"/>
      <c r="N168" s="3119"/>
      <c r="O168" s="3120"/>
      <c r="P168" s="3119"/>
      <c r="Q168" s="3120"/>
      <c r="R168" s="3119"/>
      <c r="S168" s="3120"/>
    </row>
    <row r="169" spans="1:34">
      <c r="A169" s="3116"/>
      <c r="B169" s="2208" t="s">
        <v>2978</v>
      </c>
      <c r="C169" s="2138"/>
      <c r="D169" s="3117"/>
      <c r="E169" s="2210"/>
      <c r="F169" s="2140"/>
      <c r="G169" s="654">
        <f>SUM(G165:G167)</f>
        <v>4896920</v>
      </c>
      <c r="H169" s="3121"/>
      <c r="I169" s="3120">
        <f>SUM(I165:I167)</f>
        <v>5269684</v>
      </c>
      <c r="J169" s="3121"/>
      <c r="K169" s="3120">
        <f>SUM(K165:K167)</f>
        <v>5438253</v>
      </c>
      <c r="L169" s="3121"/>
      <c r="M169" s="3120">
        <f>SUM(M165:M167)</f>
        <v>5483200</v>
      </c>
      <c r="N169" s="3121"/>
      <c r="O169" s="3120">
        <f>SUM(O165:O167)</f>
        <v>6226200</v>
      </c>
      <c r="P169" s="3121"/>
      <c r="Q169" s="3120">
        <f>SUM(Q165:Q167)</f>
        <v>6928400</v>
      </c>
      <c r="R169" s="3121"/>
      <c r="S169" s="3120">
        <f>SUM(S165:S167)</f>
        <v>7250559</v>
      </c>
    </row>
    <row r="170" spans="1:34">
      <c r="A170" s="3116"/>
      <c r="B170" s="2077" t="s">
        <v>2979</v>
      </c>
      <c r="C170" s="2138"/>
      <c r="D170" s="3117"/>
      <c r="E170" s="2210"/>
      <c r="F170" s="2077"/>
      <c r="G170" s="655">
        <v>0</v>
      </c>
      <c r="H170" s="3122"/>
      <c r="I170" s="3123">
        <v>0</v>
      </c>
      <c r="J170" s="3122"/>
      <c r="K170" s="3123">
        <v>0</v>
      </c>
      <c r="L170" s="3122"/>
      <c r="M170" s="3123">
        <v>0</v>
      </c>
      <c r="N170" s="3122"/>
      <c r="O170" s="3123">
        <v>0</v>
      </c>
      <c r="P170" s="3124"/>
      <c r="Q170" s="3123">
        <v>0</v>
      </c>
      <c r="R170" s="3122"/>
      <c r="S170" s="3123">
        <v>0</v>
      </c>
    </row>
    <row r="171" spans="1:34">
      <c r="A171" s="3116"/>
      <c r="B171" s="2081"/>
      <c r="C171" s="2138"/>
      <c r="D171" s="3117"/>
      <c r="E171" s="2210"/>
      <c r="F171" s="2140"/>
      <c r="G171" s="656"/>
      <c r="H171" s="3125"/>
      <c r="I171" s="3125"/>
      <c r="J171" s="3125"/>
      <c r="K171" s="3126"/>
      <c r="L171" s="3125"/>
      <c r="M171" s="3125"/>
      <c r="N171" s="3125"/>
      <c r="O171" s="3125"/>
      <c r="P171" s="3125"/>
      <c r="Q171" s="3125"/>
      <c r="R171" s="3125"/>
      <c r="S171" s="3125"/>
    </row>
    <row r="172" spans="1:34" hidden="1">
      <c r="A172" s="830" t="s">
        <v>2980</v>
      </c>
      <c r="B172" s="831"/>
      <c r="C172" s="12"/>
      <c r="D172" s="383"/>
      <c r="E172" s="177"/>
      <c r="F172" s="12"/>
      <c r="G172" s="228"/>
      <c r="H172" s="20"/>
      <c r="I172" s="20"/>
      <c r="J172" s="20"/>
      <c r="K172" s="20"/>
      <c r="L172" s="20"/>
      <c r="M172" s="20"/>
      <c r="N172" s="20"/>
      <c r="O172" s="20"/>
      <c r="P172" s="20"/>
      <c r="Q172" s="20"/>
      <c r="R172" s="20"/>
      <c r="S172" s="20"/>
    </row>
    <row r="173" spans="1:34" hidden="1">
      <c r="A173" s="3049"/>
      <c r="B173" s="2106"/>
      <c r="C173" s="3050"/>
      <c r="D173" s="3127"/>
      <c r="E173" s="3052"/>
      <c r="F173" s="3050"/>
      <c r="G173" s="3088"/>
      <c r="H173" s="3056"/>
      <c r="I173" s="3056"/>
      <c r="J173" s="3056"/>
      <c r="K173" s="3056"/>
      <c r="L173" s="3056"/>
      <c r="M173" s="3056"/>
      <c r="N173" s="3056"/>
      <c r="O173" s="3056"/>
      <c r="P173" s="3056"/>
      <c r="Q173" s="3056"/>
      <c r="R173" s="3056"/>
      <c r="S173" s="3056"/>
    </row>
    <row r="174" spans="1:34" hidden="1">
      <c r="A174" s="3049"/>
      <c r="B174" s="2106"/>
      <c r="C174" s="3050"/>
      <c r="D174" s="3127"/>
      <c r="E174" s="3052"/>
      <c r="F174" s="3050"/>
      <c r="G174" s="3088"/>
      <c r="H174" s="3056"/>
      <c r="I174" s="3056"/>
      <c r="J174" s="3056"/>
      <c r="K174" s="3056"/>
      <c r="L174" s="3056"/>
      <c r="M174" s="3056"/>
      <c r="N174" s="3056"/>
      <c r="O174" s="3056"/>
      <c r="P174" s="3056"/>
      <c r="Q174" s="3056"/>
      <c r="R174" s="3056"/>
      <c r="S174" s="3056"/>
    </row>
    <row r="175" spans="1:34" hidden="1">
      <c r="A175" s="3049"/>
      <c r="B175" s="2106"/>
      <c r="C175" s="3050"/>
      <c r="D175" s="3127"/>
      <c r="E175" s="3052"/>
      <c r="F175" s="3050"/>
      <c r="G175" s="3088"/>
      <c r="H175" s="3056"/>
      <c r="I175" s="3056"/>
      <c r="J175" s="3056"/>
      <c r="K175" s="3056"/>
      <c r="L175" s="3056"/>
      <c r="M175" s="3056"/>
      <c r="N175" s="3056"/>
      <c r="O175" s="3056"/>
      <c r="P175" s="3056"/>
      <c r="Q175" s="3056"/>
      <c r="R175" s="3056"/>
      <c r="S175" s="3056"/>
    </row>
    <row r="176" spans="1:34" s="2" customFormat="1" hidden="1">
      <c r="A176" s="830" t="s">
        <v>2981</v>
      </c>
      <c r="B176" s="831"/>
      <c r="C176" s="12"/>
      <c r="D176" s="383"/>
      <c r="E176" s="177"/>
      <c r="F176" s="12"/>
      <c r="G176" s="228"/>
      <c r="H176" s="20"/>
      <c r="I176" s="20"/>
      <c r="J176" s="20"/>
      <c r="K176" s="20"/>
      <c r="L176" s="20"/>
      <c r="M176" s="20"/>
      <c r="N176" s="20"/>
      <c r="O176" s="20"/>
      <c r="P176" s="20"/>
      <c r="Q176" s="20"/>
      <c r="R176" s="20"/>
      <c r="S176" s="20"/>
      <c r="T176"/>
      <c r="U176"/>
      <c r="V176"/>
      <c r="W176"/>
      <c r="X176"/>
      <c r="Y176"/>
      <c r="Z176"/>
      <c r="AA176"/>
      <c r="AB176"/>
      <c r="AC176"/>
      <c r="AD176"/>
      <c r="AE176"/>
      <c r="AF176"/>
      <c r="AG176"/>
      <c r="AH176"/>
    </row>
    <row r="177" spans="1:34" s="2" customFormat="1" hidden="1">
      <c r="A177" s="3049"/>
      <c r="B177" s="2106"/>
      <c r="C177" s="3050"/>
      <c r="D177" s="3127"/>
      <c r="E177" s="3052"/>
      <c r="F177" s="3050"/>
      <c r="G177" s="3088"/>
      <c r="H177" s="3056"/>
      <c r="I177" s="3056"/>
      <c r="J177" s="3056"/>
      <c r="K177" s="3056"/>
      <c r="L177" s="3056"/>
      <c r="M177" s="3056"/>
      <c r="N177" s="3056"/>
      <c r="O177" s="3056"/>
      <c r="P177" s="3056"/>
      <c r="Q177" s="3056"/>
      <c r="R177" s="3056"/>
      <c r="S177" s="3056"/>
      <c r="T177"/>
      <c r="U177"/>
      <c r="V177"/>
      <c r="W177"/>
      <c r="X177"/>
      <c r="Y177"/>
      <c r="Z177"/>
      <c r="AA177"/>
      <c r="AB177"/>
      <c r="AC177"/>
      <c r="AD177"/>
      <c r="AE177"/>
      <c r="AF177"/>
      <c r="AG177"/>
      <c r="AH177"/>
    </row>
    <row r="178" spans="1:34" s="2" customFormat="1" hidden="1">
      <c r="A178" s="3049"/>
      <c r="B178" s="2106"/>
      <c r="C178" s="3050"/>
      <c r="D178" s="3127"/>
      <c r="E178" s="3052"/>
      <c r="F178" s="3050"/>
      <c r="G178" s="3088"/>
      <c r="H178" s="3056"/>
      <c r="I178" s="3056"/>
      <c r="J178" s="3056"/>
      <c r="K178" s="3056"/>
      <c r="L178" s="3056"/>
      <c r="M178" s="3056"/>
      <c r="N178" s="3056"/>
      <c r="O178" s="3056"/>
      <c r="P178" s="3056"/>
      <c r="Q178" s="3056"/>
      <c r="R178" s="3056"/>
      <c r="S178" s="3056"/>
      <c r="T178"/>
      <c r="U178"/>
      <c r="V178"/>
      <c r="W178"/>
      <c r="X178"/>
      <c r="Y178"/>
      <c r="Z178"/>
      <c r="AA178"/>
      <c r="AB178"/>
      <c r="AC178"/>
      <c r="AD178"/>
      <c r="AE178"/>
      <c r="AF178"/>
      <c r="AG178"/>
      <c r="AH178"/>
    </row>
    <row r="179" spans="1:34" hidden="1">
      <c r="A179" s="3049"/>
      <c r="B179" s="2106"/>
      <c r="C179" s="3050"/>
      <c r="D179" s="3127"/>
      <c r="E179" s="3052"/>
      <c r="F179" s="3050"/>
      <c r="G179" s="3088"/>
      <c r="H179" s="3056"/>
      <c r="I179" s="3056"/>
      <c r="J179" s="3056"/>
      <c r="K179" s="3056"/>
      <c r="L179" s="3056"/>
      <c r="M179" s="3056"/>
      <c r="N179" s="3056"/>
      <c r="O179" s="3056"/>
      <c r="P179" s="3056"/>
      <c r="Q179" s="3056"/>
      <c r="R179" s="3056"/>
      <c r="S179" s="3056"/>
    </row>
    <row r="180" spans="1:34" s="2" customFormat="1" hidden="1">
      <c r="A180" s="830" t="s">
        <v>2982</v>
      </c>
      <c r="B180" s="831"/>
      <c r="C180" s="12"/>
      <c r="D180" s="383"/>
      <c r="E180" s="177"/>
      <c r="F180" s="12"/>
      <c r="G180" s="228"/>
      <c r="H180" s="20"/>
      <c r="I180" s="20"/>
      <c r="J180" s="20"/>
      <c r="K180" s="20"/>
      <c r="L180" s="20"/>
      <c r="M180" s="20"/>
      <c r="N180" s="20"/>
      <c r="O180" s="20"/>
      <c r="P180" s="20"/>
      <c r="Q180" s="20"/>
      <c r="R180" s="20"/>
      <c r="S180" s="20"/>
      <c r="T180"/>
      <c r="U180"/>
      <c r="V180"/>
      <c r="W180"/>
      <c r="X180"/>
      <c r="Y180"/>
      <c r="Z180"/>
      <c r="AA180"/>
      <c r="AB180"/>
      <c r="AC180"/>
      <c r="AD180"/>
      <c r="AE180"/>
      <c r="AF180"/>
      <c r="AG180"/>
      <c r="AH180"/>
    </row>
    <row r="181" spans="1:34" s="2" customFormat="1" hidden="1">
      <c r="A181" s="3049"/>
      <c r="B181" s="2106"/>
      <c r="C181" s="3050"/>
      <c r="D181" s="3127"/>
      <c r="E181" s="3052"/>
      <c r="F181" s="3050"/>
      <c r="G181" s="3088"/>
      <c r="H181" s="3056"/>
      <c r="I181" s="3056"/>
      <c r="J181" s="3056"/>
      <c r="K181" s="3056"/>
      <c r="L181" s="3056"/>
      <c r="M181" s="3056"/>
      <c r="N181" s="3056"/>
      <c r="O181" s="3056"/>
      <c r="P181" s="3056"/>
      <c r="Q181" s="3056"/>
      <c r="R181" s="3056"/>
      <c r="S181" s="3056"/>
      <c r="T181"/>
      <c r="U181"/>
      <c r="V181"/>
      <c r="W181"/>
      <c r="X181"/>
      <c r="Y181"/>
      <c r="Z181"/>
      <c r="AA181"/>
      <c r="AB181"/>
      <c r="AC181"/>
      <c r="AD181"/>
      <c r="AE181"/>
      <c r="AF181"/>
      <c r="AG181"/>
      <c r="AH181"/>
    </row>
    <row r="182" spans="1:34" s="2" customFormat="1" hidden="1">
      <c r="A182" s="3128"/>
      <c r="B182" s="2106"/>
      <c r="C182" s="2049"/>
      <c r="D182" s="2050"/>
      <c r="E182" s="2051"/>
      <c r="F182" s="2049"/>
      <c r="G182" s="2086"/>
      <c r="H182" s="3129"/>
      <c r="I182" s="3129"/>
      <c r="J182" s="3129"/>
      <c r="K182" s="3129"/>
      <c r="L182" s="3129"/>
      <c r="M182" s="3129"/>
      <c r="N182" s="3129"/>
      <c r="O182" s="3129"/>
      <c r="P182" s="3129"/>
      <c r="Q182" s="3129"/>
      <c r="R182" s="3129"/>
      <c r="S182" s="3129"/>
      <c r="T182"/>
      <c r="U182"/>
      <c r="V182"/>
      <c r="W182"/>
      <c r="X182"/>
      <c r="Y182"/>
      <c r="Z182"/>
      <c r="AA182"/>
      <c r="AB182"/>
      <c r="AC182"/>
      <c r="AD182"/>
      <c r="AE182"/>
      <c r="AF182"/>
      <c r="AG182"/>
      <c r="AH182"/>
    </row>
    <row r="183" spans="1:34" s="2" customFormat="1" hidden="1">
      <c r="A183" s="3130"/>
      <c r="B183" s="2089"/>
      <c r="C183" s="2049"/>
      <c r="D183" s="2050"/>
      <c r="E183" s="2051"/>
      <c r="F183" s="2049"/>
      <c r="G183" s="2086"/>
      <c r="H183" s="3131"/>
      <c r="I183" s="3131"/>
      <c r="J183" s="3131"/>
      <c r="K183" s="3131"/>
      <c r="L183" s="3131"/>
      <c r="M183" s="3131"/>
      <c r="N183" s="3131"/>
      <c r="O183" s="3131"/>
      <c r="P183" s="3131"/>
      <c r="Q183" s="3131"/>
      <c r="R183" s="3131"/>
      <c r="S183" s="3131"/>
    </row>
    <row r="184" spans="1:34" s="2" customFormat="1" hidden="1">
      <c r="A184" s="830" t="s">
        <v>2983</v>
      </c>
      <c r="B184" s="831"/>
      <c r="C184" s="12"/>
      <c r="D184" s="383"/>
      <c r="E184" s="177"/>
      <c r="F184" s="12"/>
      <c r="G184" s="228"/>
      <c r="H184" s="20"/>
      <c r="I184" s="20"/>
      <c r="J184" s="20"/>
      <c r="K184" s="20"/>
      <c r="L184" s="20"/>
      <c r="M184" s="20"/>
      <c r="N184" s="20"/>
      <c r="O184" s="20"/>
      <c r="P184" s="20"/>
      <c r="Q184" s="20"/>
      <c r="R184" s="20"/>
      <c r="S184" s="20"/>
      <c r="T184"/>
      <c r="U184"/>
      <c r="V184"/>
      <c r="W184"/>
      <c r="X184"/>
      <c r="Y184"/>
      <c r="Z184"/>
      <c r="AA184"/>
      <c r="AB184"/>
      <c r="AC184"/>
      <c r="AD184"/>
      <c r="AE184"/>
      <c r="AF184"/>
      <c r="AG184"/>
      <c r="AH184"/>
    </row>
    <row r="185" spans="1:34" hidden="1">
      <c r="A185" s="3059"/>
      <c r="B185" s="3060"/>
      <c r="C185" s="3050"/>
      <c r="D185" s="3127"/>
      <c r="E185" s="3052"/>
      <c r="F185" s="3050"/>
      <c r="G185" s="3088"/>
      <c r="H185" s="3056"/>
      <c r="I185" s="3056"/>
      <c r="J185" s="3056"/>
      <c r="K185" s="3056"/>
      <c r="L185" s="3056"/>
      <c r="M185" s="3056"/>
      <c r="N185" s="3056"/>
      <c r="O185" s="3056"/>
      <c r="P185" s="3056"/>
      <c r="Q185" s="3056"/>
      <c r="R185" s="3056"/>
      <c r="S185" s="3056"/>
      <c r="T185" s="2"/>
      <c r="U185" s="2"/>
      <c r="V185" s="2"/>
      <c r="W185" s="2"/>
      <c r="X185" s="2"/>
      <c r="Y185" s="2"/>
      <c r="Z185" s="2"/>
      <c r="AA185" s="2"/>
      <c r="AB185" s="2"/>
      <c r="AC185" s="2"/>
      <c r="AD185" s="2"/>
      <c r="AE185" s="2"/>
      <c r="AF185" s="2"/>
      <c r="AG185" s="2"/>
      <c r="AH185" s="2"/>
    </row>
    <row r="186" spans="1:34" hidden="1">
      <c r="A186" s="3130"/>
      <c r="B186" s="2089"/>
      <c r="C186" s="2049"/>
      <c r="D186" s="2050"/>
      <c r="E186" s="2051"/>
      <c r="F186" s="2049"/>
      <c r="G186" s="2086"/>
      <c r="H186" s="3132"/>
      <c r="I186" s="3132"/>
      <c r="J186" s="3132"/>
      <c r="K186" s="3132"/>
      <c r="L186" s="3132"/>
      <c r="M186" s="3132"/>
      <c r="N186" s="3132"/>
      <c r="O186" s="3132"/>
      <c r="P186" s="3132"/>
      <c r="Q186" s="3132"/>
      <c r="R186" s="3132"/>
      <c r="S186" s="3132"/>
      <c r="T186" s="2"/>
      <c r="U186" s="2"/>
      <c r="V186" s="2"/>
      <c r="W186" s="2"/>
      <c r="X186" s="2"/>
      <c r="Y186" s="2"/>
      <c r="Z186" s="2"/>
      <c r="AA186" s="2"/>
      <c r="AB186" s="2"/>
      <c r="AC186" s="2"/>
      <c r="AD186" s="2"/>
      <c r="AE186" s="2"/>
      <c r="AF186" s="2"/>
      <c r="AG186" s="2"/>
      <c r="AH186" s="2"/>
    </row>
    <row r="187" spans="1:34" hidden="1">
      <c r="A187" s="3130"/>
      <c r="B187" s="2089"/>
      <c r="C187" s="2049"/>
      <c r="D187" s="2050"/>
      <c r="E187" s="2051"/>
      <c r="F187" s="2049"/>
      <c r="G187" s="2086"/>
      <c r="H187" s="3132"/>
      <c r="I187" s="3132"/>
      <c r="J187" s="3132"/>
      <c r="K187" s="3132"/>
      <c r="L187" s="3132"/>
      <c r="M187" s="3132"/>
      <c r="N187" s="3132"/>
      <c r="O187" s="3132"/>
      <c r="P187" s="3132"/>
      <c r="Q187" s="3132"/>
      <c r="R187" s="3132"/>
      <c r="S187" s="3132"/>
      <c r="T187" s="2"/>
      <c r="U187" s="2"/>
      <c r="V187" s="2"/>
      <c r="W187" s="2"/>
      <c r="X187" s="2"/>
      <c r="Y187" s="2"/>
      <c r="Z187" s="2"/>
      <c r="AA187" s="2"/>
      <c r="AB187" s="2"/>
      <c r="AC187" s="2"/>
      <c r="AD187" s="2"/>
      <c r="AE187" s="2"/>
      <c r="AF187" s="2"/>
      <c r="AG187" s="2"/>
      <c r="AH187" s="2"/>
    </row>
    <row r="188" spans="1:34" hidden="1">
      <c r="A188" s="830" t="s">
        <v>2984</v>
      </c>
      <c r="B188" s="831"/>
      <c r="C188" s="12"/>
      <c r="D188" s="383"/>
      <c r="E188" s="177"/>
      <c r="F188" s="12"/>
      <c r="G188" s="228"/>
      <c r="H188" s="20"/>
      <c r="I188" s="20"/>
      <c r="J188" s="20"/>
      <c r="K188" s="20"/>
      <c r="L188" s="20"/>
      <c r="M188" s="20"/>
      <c r="N188" s="20"/>
      <c r="O188" s="20"/>
      <c r="P188" s="20"/>
      <c r="Q188" s="20"/>
      <c r="R188" s="20"/>
      <c r="S188" s="20"/>
    </row>
    <row r="189" spans="1:34" hidden="1">
      <c r="A189" s="3128"/>
      <c r="B189" s="2106" t="s">
        <v>2985</v>
      </c>
      <c r="C189" s="2049"/>
      <c r="D189" s="2050"/>
      <c r="E189" s="2051"/>
      <c r="F189" s="2049"/>
      <c r="G189" s="2086"/>
      <c r="H189" s="3132"/>
      <c r="I189" s="3132"/>
      <c r="J189" s="3132"/>
      <c r="K189" s="3132"/>
      <c r="L189" s="3132"/>
      <c r="M189" s="3132"/>
      <c r="N189" s="3132"/>
      <c r="O189" s="3132"/>
      <c r="P189" s="3132"/>
      <c r="Q189" s="3132"/>
      <c r="R189" s="3132"/>
      <c r="S189" s="3132"/>
    </row>
    <row r="190" spans="1:34" hidden="1">
      <c r="A190" s="3128"/>
      <c r="B190" s="2106" t="s">
        <v>2986</v>
      </c>
      <c r="C190" s="2049"/>
      <c r="D190" s="2050"/>
      <c r="E190" s="2051"/>
      <c r="F190" s="2049"/>
      <c r="G190" s="2086"/>
      <c r="H190" s="3132"/>
      <c r="I190" s="3132"/>
      <c r="J190" s="3132"/>
      <c r="K190" s="3132"/>
      <c r="L190" s="3132"/>
      <c r="M190" s="3132"/>
      <c r="N190" s="3132"/>
      <c r="O190" s="3132"/>
      <c r="P190" s="3132"/>
      <c r="Q190" s="3132"/>
      <c r="R190" s="3132"/>
      <c r="S190" s="3132"/>
    </row>
    <row r="191" spans="1:34" hidden="1">
      <c r="A191" s="3128"/>
      <c r="B191" s="2106" t="s">
        <v>2987</v>
      </c>
      <c r="C191" s="2049"/>
      <c r="D191" s="2050"/>
      <c r="E191" s="2051"/>
      <c r="F191" s="2049"/>
      <c r="G191" s="2086"/>
      <c r="H191" s="3132"/>
      <c r="I191" s="3132"/>
      <c r="J191" s="3132"/>
      <c r="K191" s="3132"/>
      <c r="L191" s="3132"/>
      <c r="M191" s="3132"/>
      <c r="N191" s="3132"/>
      <c r="O191" s="3132"/>
      <c r="P191" s="3132"/>
      <c r="Q191" s="3132"/>
      <c r="R191" s="3132"/>
      <c r="S191" s="3132"/>
    </row>
    <row r="192" spans="1:34" hidden="1">
      <c r="A192" s="3128"/>
      <c r="B192" s="2106" t="s">
        <v>2988</v>
      </c>
      <c r="C192" s="2049"/>
      <c r="D192" s="2050"/>
      <c r="E192" s="2051"/>
      <c r="F192" s="2049"/>
      <c r="G192" s="2086"/>
      <c r="H192" s="3132"/>
      <c r="I192" s="3132"/>
      <c r="J192" s="3132"/>
      <c r="K192" s="3132"/>
      <c r="L192" s="3132"/>
      <c r="M192" s="3132"/>
      <c r="N192" s="3132"/>
      <c r="O192" s="3132"/>
      <c r="P192" s="3132"/>
      <c r="Q192" s="3132"/>
      <c r="R192" s="3132"/>
      <c r="S192" s="3132"/>
    </row>
    <row r="193" spans="1:19" hidden="1">
      <c r="A193" s="646"/>
      <c r="B193" s="619"/>
      <c r="C193" s="616"/>
      <c r="D193" s="628"/>
      <c r="E193" s="622"/>
      <c r="F193" s="616"/>
      <c r="G193" s="620"/>
      <c r="H193" s="647"/>
      <c r="I193" s="647"/>
      <c r="J193" s="647"/>
      <c r="K193" s="647"/>
      <c r="L193" s="647"/>
      <c r="M193" s="647"/>
      <c r="N193" s="647"/>
      <c r="O193" s="647"/>
      <c r="P193" s="647"/>
      <c r="Q193" s="647"/>
      <c r="R193" s="647"/>
      <c r="S193" s="647"/>
    </row>
    <row r="194" spans="1:19" hidden="1">
      <c r="A194" s="7" t="s">
        <v>2989</v>
      </c>
      <c r="B194" s="8"/>
      <c r="C194" s="12"/>
      <c r="D194" s="383"/>
      <c r="E194" s="177"/>
      <c r="F194" s="12"/>
      <c r="G194" s="228"/>
      <c r="H194" s="20"/>
      <c r="I194" s="20"/>
      <c r="J194" s="20"/>
      <c r="K194" s="20"/>
      <c r="L194" s="20"/>
      <c r="M194" s="20"/>
      <c r="N194" s="20"/>
      <c r="O194" s="20"/>
      <c r="P194" s="20"/>
      <c r="Q194" s="20"/>
      <c r="R194" s="20"/>
      <c r="S194" s="20"/>
    </row>
    <row r="195" spans="1:19" hidden="1">
      <c r="A195" s="3049"/>
      <c r="B195" s="3061" t="s">
        <v>2990</v>
      </c>
      <c r="C195" s="3050"/>
      <c r="D195" s="3127"/>
      <c r="E195" s="3052"/>
      <c r="F195" s="3050"/>
      <c r="G195" s="3088"/>
      <c r="H195" s="3196"/>
      <c r="I195" s="3196"/>
      <c r="J195" s="3196"/>
      <c r="K195" s="3196"/>
      <c r="L195" s="3196"/>
      <c r="M195" s="3196"/>
      <c r="N195" s="3196"/>
      <c r="O195" s="3196"/>
      <c r="P195" s="3196"/>
      <c r="Q195" s="3196"/>
      <c r="R195" s="3196"/>
      <c r="S195" s="3196"/>
    </row>
    <row r="196" spans="1:19" hidden="1">
      <c r="A196" s="3128"/>
      <c r="B196" s="2106" t="s">
        <v>2991</v>
      </c>
      <c r="C196" s="2049"/>
      <c r="D196" s="2050"/>
      <c r="E196" s="2051"/>
      <c r="F196" s="2049"/>
      <c r="G196" s="2086"/>
      <c r="H196" s="3133"/>
      <c r="I196" s="3133"/>
      <c r="J196" s="3133"/>
      <c r="K196" s="3133"/>
      <c r="L196" s="3133"/>
      <c r="M196" s="3133"/>
      <c r="N196" s="3133"/>
      <c r="O196" s="3133"/>
      <c r="P196" s="3133"/>
      <c r="Q196" s="3133"/>
      <c r="R196" s="3133"/>
      <c r="S196" s="3133"/>
    </row>
    <row r="197" spans="1:19" hidden="1">
      <c r="A197" s="3197"/>
      <c r="B197" s="3153" t="s">
        <v>2992</v>
      </c>
      <c r="C197" s="3154"/>
      <c r="D197" s="3198"/>
      <c r="E197" s="3199"/>
      <c r="F197" s="3154"/>
      <c r="G197" s="3200"/>
      <c r="H197" s="3201"/>
      <c r="I197" s="3201"/>
      <c r="J197" s="3201"/>
      <c r="K197" s="3201"/>
      <c r="L197" s="3201"/>
      <c r="M197" s="3201"/>
      <c r="N197" s="3201"/>
      <c r="O197" s="3201"/>
      <c r="P197" s="3201"/>
      <c r="Q197" s="3201"/>
      <c r="R197" s="3201"/>
      <c r="S197" s="3201"/>
    </row>
    <row r="199" spans="1:19">
      <c r="A199" s="59" t="s">
        <v>2993</v>
      </c>
      <c r="B199" s="61"/>
    </row>
    <row r="200" spans="1:19">
      <c r="A200" s="60" t="s">
        <v>2936</v>
      </c>
      <c r="B200" s="3202"/>
    </row>
    <row r="201" spans="1:19">
      <c r="A201" s="3203" t="s">
        <v>2939</v>
      </c>
      <c r="B201" s="3202"/>
    </row>
    <row r="202" spans="1:19">
      <c r="A202" s="3204" t="s">
        <v>2941</v>
      </c>
      <c r="B202" s="3205"/>
    </row>
    <row r="203" spans="1:19">
      <c r="A203" s="3204" t="s">
        <v>2943</v>
      </c>
      <c r="B203" s="3206"/>
    </row>
    <row r="204" spans="1:19">
      <c r="A204" s="3207" t="s">
        <v>2994</v>
      </c>
      <c r="B204" s="3208">
        <f>$I$169</f>
        <v>5269684</v>
      </c>
    </row>
    <row r="206" spans="1:19">
      <c r="A206" s="62"/>
      <c r="B206" s="1" t="s">
        <v>2995</v>
      </c>
    </row>
    <row r="207" spans="1:19">
      <c r="A207" s="63"/>
      <c r="B207" s="1" t="s">
        <v>2996</v>
      </c>
    </row>
  </sheetData>
  <mergeCells count="35">
    <mergeCell ref="R5:S5"/>
    <mergeCell ref="N5:O5"/>
    <mergeCell ref="P7:Q7"/>
    <mergeCell ref="P8:Q8"/>
    <mergeCell ref="J7:K7"/>
    <mergeCell ref="J8:K8"/>
    <mergeCell ref="L5:M5"/>
    <mergeCell ref="P5:Q5"/>
    <mergeCell ref="P6:Q6"/>
    <mergeCell ref="H5:I5"/>
    <mergeCell ref="H8:I8"/>
    <mergeCell ref="H6:I6"/>
    <mergeCell ref="H7:I7"/>
    <mergeCell ref="J5:K5"/>
    <mergeCell ref="J6:K6"/>
    <mergeCell ref="N9:O9"/>
    <mergeCell ref="R9:S9"/>
    <mergeCell ref="A172:B172"/>
    <mergeCell ref="N8:O8"/>
    <mergeCell ref="N6:O6"/>
    <mergeCell ref="N7:O7"/>
    <mergeCell ref="P9:Q9"/>
    <mergeCell ref="J9:K9"/>
    <mergeCell ref="L6:M6"/>
    <mergeCell ref="L7:M7"/>
    <mergeCell ref="L8:M8"/>
    <mergeCell ref="R6:S6"/>
    <mergeCell ref="R7:S7"/>
    <mergeCell ref="R8:S8"/>
    <mergeCell ref="A176:B176"/>
    <mergeCell ref="A180:B180"/>
    <mergeCell ref="A184:B184"/>
    <mergeCell ref="A188:B188"/>
    <mergeCell ref="L9:M9"/>
    <mergeCell ref="H9:I9"/>
  </mergeCells>
  <conditionalFormatting sqref="H11:H18 J11:J18 L11:L18 N11:N18 P11:P18 R11:R18 H20:H164 J20:J164 L20:L164 N20:N164 P20:P164 R20:R164">
    <cfRule type="cellIs" dxfId="61" priority="7" operator="equal">
      <formula>"X"</formula>
    </cfRule>
    <cfRule type="cellIs" dxfId="60" priority="8" operator="equal">
      <formula>"I"</formula>
    </cfRule>
  </conditionalFormatting>
  <hyperlinks>
    <hyperlink ref="B4" location="'Cost Summary'!A1" display="BACK TO SUMMARY SHEET" xr:uid="{6943F083-06B3-4D12-8F47-BD9436550DD9}"/>
    <hyperlink ref="J8" r:id="rId1" xr:uid="{43592CFC-9ABD-467C-B339-990EF294C5EA}"/>
    <hyperlink ref="L8" r:id="rId2" xr:uid="{A9A933EA-3596-4582-AE2E-FCCD8A0D7928}"/>
    <hyperlink ref="H8" r:id="rId3" xr:uid="{FFD2E43F-6267-4E1D-9E37-C905A5DF4E1B}"/>
    <hyperlink ref="N8" r:id="rId4" xr:uid="{C3C17214-1615-47F7-AD23-1D164FEB988C}"/>
    <hyperlink ref="R8" r:id="rId5" xr:uid="{AF29AE18-466A-4A8C-879B-9461C74109AF}"/>
    <hyperlink ref="P8" r:id="rId6" xr:uid="{E9A2E7CA-DB46-44BE-B813-036637D54055}"/>
  </hyperlinks>
  <pageMargins left="0.2" right="0.2" top="0.25" bottom="0.25" header="0.3" footer="0.3"/>
  <pageSetup scale="38" fitToHeight="0" orientation="portrait" horizontalDpi="1200" verticalDpi="1200" r:id="rId7"/>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rgb="FFFFFF00"/>
    <pageSetUpPr fitToPage="1"/>
  </sheetPr>
  <dimension ref="A1:AH146"/>
  <sheetViews>
    <sheetView zoomScale="90" zoomScaleNormal="90" workbookViewId="0">
      <pane xSplit="6" ySplit="10" topLeftCell="G25" activePane="bottomRight" state="frozen"/>
      <selection pane="bottomRight"/>
      <selection pane="bottomLeft" activeCell="A11" sqref="A11"/>
      <selection pane="topRight" activeCell="G1" sqref="G1"/>
    </sheetView>
  </sheetViews>
  <sheetFormatPr defaultColWidth="8.85546875" defaultRowHeight="15"/>
  <cols>
    <col min="1" max="1" width="10.85546875" customWidth="1"/>
    <col min="2" max="2" width="70.7109375" style="1" customWidth="1"/>
    <col min="3" max="3" width="10.85546875" style="2" customWidth="1"/>
    <col min="4" max="4" width="15.7109375" style="231"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232"/>
      <c r="E5" s="171"/>
      <c r="F5" s="5"/>
      <c r="G5" s="6" t="s">
        <v>2936</v>
      </c>
      <c r="H5" s="837" t="s">
        <v>6729</v>
      </c>
      <c r="I5" s="838"/>
      <c r="J5" s="837" t="s">
        <v>6730</v>
      </c>
      <c r="K5" s="838"/>
      <c r="L5" s="837" t="s">
        <v>6427</v>
      </c>
      <c r="M5" s="838"/>
      <c r="N5" s="837" t="s">
        <v>6731</v>
      </c>
      <c r="O5" s="838"/>
      <c r="P5" s="841"/>
      <c r="Q5" s="842"/>
      <c r="R5" s="841"/>
      <c r="S5" s="842"/>
    </row>
    <row r="6" spans="1:19">
      <c r="A6" s="3209" t="s">
        <v>2938</v>
      </c>
      <c r="B6" s="3210" t="s">
        <v>6732</v>
      </c>
      <c r="C6" s="3211"/>
      <c r="D6" s="3212"/>
      <c r="E6" s="3213"/>
      <c r="F6" s="3211"/>
      <c r="G6" s="657" t="s">
        <v>2939</v>
      </c>
      <c r="H6" s="3214" t="s">
        <v>6733</v>
      </c>
      <c r="I6" s="839"/>
      <c r="J6" s="3214" t="s">
        <v>6734</v>
      </c>
      <c r="K6" s="839"/>
      <c r="L6" s="3214" t="s">
        <v>6735</v>
      </c>
      <c r="M6" s="839"/>
      <c r="N6" s="3214" t="s">
        <v>6736</v>
      </c>
      <c r="O6" s="839"/>
      <c r="P6" s="3215"/>
      <c r="Q6" s="843"/>
      <c r="R6" s="3215"/>
      <c r="S6" s="843"/>
    </row>
    <row r="7" spans="1:19">
      <c r="A7" s="3209" t="s">
        <v>2940</v>
      </c>
      <c r="B7" s="3216" t="s">
        <v>2678</v>
      </c>
      <c r="C7" s="3211"/>
      <c r="D7" s="3212"/>
      <c r="E7" s="3213"/>
      <c r="F7" s="3211"/>
      <c r="G7" s="3217" t="s">
        <v>2941</v>
      </c>
      <c r="H7" s="3218" t="s">
        <v>6737</v>
      </c>
      <c r="I7" s="840"/>
      <c r="J7" s="3218" t="s">
        <v>6738</v>
      </c>
      <c r="K7" s="840"/>
      <c r="L7" s="3218" t="s">
        <v>6739</v>
      </c>
      <c r="M7" s="840"/>
      <c r="N7" s="3218" t="s">
        <v>6740</v>
      </c>
      <c r="O7" s="840"/>
      <c r="P7" s="3219"/>
      <c r="Q7" s="844"/>
      <c r="R7" s="3219"/>
      <c r="S7" s="844"/>
    </row>
    <row r="8" spans="1:19">
      <c r="A8" s="3209" t="s">
        <v>2942</v>
      </c>
      <c r="B8" s="3220"/>
      <c r="C8" s="3211"/>
      <c r="D8" s="3212"/>
      <c r="E8" s="3213"/>
      <c r="F8" s="3211"/>
      <c r="G8" s="3217" t="s">
        <v>2943</v>
      </c>
      <c r="H8" s="3221" t="s">
        <v>6741</v>
      </c>
      <c r="I8" s="836"/>
      <c r="J8" s="3221" t="s">
        <v>6742</v>
      </c>
      <c r="K8" s="836"/>
      <c r="L8" s="3221" t="s">
        <v>6743</v>
      </c>
      <c r="M8" s="836"/>
      <c r="N8" s="3221" t="s">
        <v>6744</v>
      </c>
      <c r="O8" s="836"/>
      <c r="P8" s="3222"/>
      <c r="Q8" s="845"/>
      <c r="R8" s="3222"/>
      <c r="S8" s="845"/>
    </row>
    <row r="9" spans="1:19" ht="15.75" thickBot="1">
      <c r="A9" s="3223"/>
      <c r="B9" s="3224"/>
      <c r="C9" s="616"/>
      <c r="D9" s="617"/>
      <c r="E9" s="622"/>
      <c r="F9" s="3225"/>
      <c r="G9" s="3226" t="s">
        <v>2944</v>
      </c>
      <c r="H9" s="3227">
        <f>I$94</f>
        <v>5656677</v>
      </c>
      <c r="I9" s="3228"/>
      <c r="J9" s="3229">
        <f>K$94</f>
        <v>5687350</v>
      </c>
      <c r="K9" s="3230"/>
      <c r="L9" s="3227">
        <f>M$94</f>
        <v>6338331.8151397733</v>
      </c>
      <c r="M9" s="3228"/>
      <c r="N9" s="3227">
        <f t="shared" ref="N9" si="0">O$94</f>
        <v>6424193</v>
      </c>
      <c r="O9" s="3228"/>
      <c r="P9" s="3227">
        <f t="shared" ref="P9" si="1">Q$94</f>
        <v>0</v>
      </c>
      <c r="Q9" s="3228"/>
      <c r="R9" s="3227">
        <f t="shared" ref="R9" si="2">S$94</f>
        <v>0</v>
      </c>
      <c r="S9" s="322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231"/>
      <c r="B11" s="2889" t="s">
        <v>2953</v>
      </c>
      <c r="C11" s="659"/>
      <c r="D11" s="3212"/>
      <c r="E11" s="3213"/>
      <c r="F11" s="3211"/>
      <c r="G11" s="660"/>
      <c r="H11" s="3232"/>
      <c r="I11" s="3068"/>
      <c r="J11" s="3232"/>
      <c r="K11" s="3068"/>
      <c r="L11" s="3232"/>
      <c r="M11" s="3068"/>
      <c r="N11" s="3232"/>
      <c r="O11" s="3068"/>
      <c r="P11" s="3232"/>
      <c r="Q11" s="3068"/>
      <c r="R11" s="3232"/>
      <c r="S11" s="3068"/>
    </row>
    <row r="12" spans="1:19">
      <c r="A12" s="3233"/>
      <c r="B12" s="2963" t="s">
        <v>2954</v>
      </c>
      <c r="C12" s="3211"/>
      <c r="D12" s="3212"/>
      <c r="E12" s="3213"/>
      <c r="F12" s="3211"/>
      <c r="G12" s="660"/>
      <c r="H12" s="3232"/>
      <c r="I12" s="3068"/>
      <c r="J12" s="3232"/>
      <c r="K12" s="3068"/>
      <c r="L12" s="3232"/>
      <c r="M12" s="3079"/>
      <c r="N12" s="3232"/>
      <c r="O12" s="3068"/>
      <c r="P12" s="3232"/>
      <c r="Q12" s="3068"/>
      <c r="R12" s="3232"/>
      <c r="S12" s="3068"/>
    </row>
    <row r="13" spans="1:19">
      <c r="A13" s="3234"/>
      <c r="B13" s="3235" t="s">
        <v>2955</v>
      </c>
      <c r="C13" s="3211"/>
      <c r="D13" s="3212"/>
      <c r="E13" s="3213"/>
      <c r="F13" s="3211"/>
      <c r="G13" s="660"/>
      <c r="H13" s="3232"/>
      <c r="I13" s="3068"/>
      <c r="J13" s="3232"/>
      <c r="K13" s="3068"/>
      <c r="L13" s="3232"/>
      <c r="M13" s="3079"/>
      <c r="N13" s="3232"/>
      <c r="O13" s="3068"/>
      <c r="P13" s="3232"/>
      <c r="Q13" s="3068"/>
      <c r="R13" s="3232"/>
      <c r="S13" s="3068"/>
    </row>
    <row r="14" spans="1:19">
      <c r="A14" s="3234"/>
      <c r="B14" s="3236" t="s">
        <v>2956</v>
      </c>
      <c r="C14" s="3211"/>
      <c r="D14" s="3212"/>
      <c r="E14" s="3213"/>
      <c r="F14" s="3211"/>
      <c r="G14" s="660"/>
      <c r="H14" s="3232"/>
      <c r="I14" s="3068"/>
      <c r="J14" s="3232"/>
      <c r="K14" s="3079"/>
      <c r="L14" s="3232"/>
      <c r="M14" s="3237"/>
      <c r="N14" s="3232"/>
      <c r="O14" s="3079"/>
      <c r="P14" s="3232"/>
      <c r="Q14" s="3068"/>
      <c r="R14" s="3232"/>
      <c r="S14" s="3068"/>
    </row>
    <row r="15" spans="1:19">
      <c r="A15" s="3234"/>
      <c r="B15" s="3236" t="s">
        <v>2957</v>
      </c>
      <c r="C15" s="3211"/>
      <c r="D15" s="3212"/>
      <c r="E15" s="3213"/>
      <c r="F15" s="3211"/>
      <c r="G15" s="660"/>
      <c r="H15" s="3232"/>
      <c r="I15" s="3068"/>
      <c r="J15" s="3232"/>
      <c r="K15" s="3079"/>
      <c r="L15" s="3232"/>
      <c r="M15" s="3079"/>
      <c r="N15" s="3232"/>
      <c r="O15" s="3079"/>
      <c r="P15" s="3232"/>
      <c r="Q15" s="3068"/>
      <c r="R15" s="3232"/>
      <c r="S15" s="3068"/>
    </row>
    <row r="16" spans="1:19">
      <c r="A16" s="3234"/>
      <c r="B16" s="3236" t="s">
        <v>2958</v>
      </c>
      <c r="C16" s="3211"/>
      <c r="D16" s="3212"/>
      <c r="E16" s="3213"/>
      <c r="F16" s="3211"/>
      <c r="G16" s="660"/>
      <c r="H16" s="3232"/>
      <c r="I16" s="3068"/>
      <c r="J16" s="3232"/>
      <c r="K16" s="3079"/>
      <c r="L16" s="3232"/>
      <c r="M16" s="3079"/>
      <c r="N16" s="3232"/>
      <c r="O16" s="3079"/>
      <c r="P16" s="3232"/>
      <c r="Q16" s="3068"/>
      <c r="R16" s="3232"/>
      <c r="S16" s="3068"/>
    </row>
    <row r="17" spans="1:19">
      <c r="A17" s="3234"/>
      <c r="B17" s="3236" t="s">
        <v>2959</v>
      </c>
      <c r="C17" s="3211"/>
      <c r="D17" s="3212"/>
      <c r="E17" s="3213"/>
      <c r="F17" s="3211"/>
      <c r="G17" s="660"/>
      <c r="H17" s="3232"/>
      <c r="I17" s="3068"/>
      <c r="J17" s="3232"/>
      <c r="K17" s="3068"/>
      <c r="L17" s="3232"/>
      <c r="M17" s="3079"/>
      <c r="N17" s="3232"/>
      <c r="O17" s="3068"/>
      <c r="P17" s="3232"/>
      <c r="Q17" s="3079"/>
      <c r="R17" s="3232"/>
      <c r="S17" s="3068"/>
    </row>
    <row r="18" spans="1:19">
      <c r="A18" s="3234"/>
      <c r="B18" s="3238" t="s">
        <v>2960</v>
      </c>
      <c r="C18" s="3211"/>
      <c r="D18" s="3212"/>
      <c r="E18" s="3213"/>
      <c r="F18" s="3211"/>
      <c r="G18" s="660"/>
      <c r="H18" s="3232"/>
      <c r="I18" s="3068"/>
      <c r="J18" s="3232"/>
      <c r="K18" s="3068"/>
      <c r="L18" s="3232"/>
      <c r="M18" s="3079"/>
      <c r="N18" s="3232"/>
      <c r="O18" s="3068"/>
      <c r="P18" s="3232"/>
      <c r="Q18" s="3239"/>
      <c r="R18" s="3232"/>
      <c r="S18" s="3068"/>
    </row>
    <row r="19" spans="1:19">
      <c r="A19" s="3234"/>
      <c r="B19" s="3240" t="s">
        <v>2961</v>
      </c>
      <c r="C19" s="3241"/>
      <c r="D19" s="3242"/>
      <c r="E19" s="3243"/>
      <c r="F19" s="3244"/>
      <c r="G19" s="661"/>
      <c r="H19" s="3245"/>
      <c r="I19" s="3076"/>
      <c r="J19" s="3245"/>
      <c r="K19" s="3076"/>
      <c r="L19" s="3245"/>
      <c r="M19" s="3076"/>
      <c r="N19" s="3245"/>
      <c r="O19" s="3076"/>
      <c r="P19" s="3245"/>
      <c r="Q19" s="3076"/>
      <c r="R19" s="3245"/>
      <c r="S19" s="3076"/>
    </row>
    <row r="20" spans="1:19">
      <c r="A20" s="3234"/>
      <c r="B20" s="3246"/>
      <c r="C20" s="3211"/>
      <c r="D20" s="3247"/>
      <c r="E20" s="3213"/>
      <c r="F20" s="3248"/>
      <c r="G20" s="660"/>
      <c r="H20" s="3232"/>
      <c r="I20" s="3078"/>
      <c r="J20" s="3232"/>
      <c r="K20" s="3078"/>
      <c r="L20" s="3232"/>
      <c r="M20" s="3078"/>
      <c r="N20" s="3232"/>
      <c r="O20" s="3078"/>
      <c r="P20" s="3232"/>
      <c r="Q20" s="3078"/>
      <c r="R20" s="3232"/>
      <c r="S20" s="3078"/>
    </row>
    <row r="21" spans="1:19">
      <c r="A21" s="3234"/>
      <c r="B21" s="3249" t="s">
        <v>2695</v>
      </c>
      <c r="C21" s="3211"/>
      <c r="D21" s="3247"/>
      <c r="E21" s="3213"/>
      <c r="F21" s="3248"/>
      <c r="G21" s="662">
        <f>ROUND(D21*F21,0)</f>
        <v>0</v>
      </c>
      <c r="H21" s="3232"/>
      <c r="I21" s="3080">
        <f>SUBTOTAL(9,I22:I63)</f>
        <v>4679125</v>
      </c>
      <c r="J21" s="3232"/>
      <c r="K21" s="3080">
        <f>SUBTOTAL(9,K22:K63)</f>
        <v>5069950</v>
      </c>
      <c r="L21" s="3232"/>
      <c r="M21" s="3080">
        <f>SUBTOTAL(9,M22:M63)</f>
        <v>5434749.9448627206</v>
      </c>
      <c r="N21" s="3232"/>
      <c r="O21" s="3080">
        <f>SUBTOTAL(9,O22:O63)</f>
        <v>5196423</v>
      </c>
      <c r="P21" s="3232"/>
      <c r="Q21" s="3080">
        <f>SUBTOTAL(9,Q22:Q63)</f>
        <v>0</v>
      </c>
      <c r="R21" s="3232"/>
      <c r="S21" s="3080">
        <f>SUBTOTAL(9,S22:S63)</f>
        <v>0</v>
      </c>
    </row>
    <row r="22" spans="1:19">
      <c r="A22" s="3234"/>
      <c r="B22" s="3246" t="s">
        <v>2994</v>
      </c>
      <c r="C22" s="3211"/>
      <c r="D22" s="3247"/>
      <c r="E22" s="3213"/>
      <c r="F22" s="3248"/>
      <c r="G22" s="662">
        <f t="shared" ref="G22:G51" si="3">ROUND(D22*F22,0)</f>
        <v>0</v>
      </c>
      <c r="H22" s="3232"/>
      <c r="I22" s="3079">
        <v>4501125</v>
      </c>
      <c r="J22" s="3232"/>
      <c r="K22" s="3079">
        <v>4426950</v>
      </c>
      <c r="L22" s="3232"/>
      <c r="M22" s="3079">
        <v>4651624.9448627206</v>
      </c>
      <c r="N22" s="3232"/>
      <c r="O22" s="3079">
        <v>4895798</v>
      </c>
      <c r="P22" s="3232"/>
      <c r="Q22" s="3079"/>
      <c r="R22" s="3232"/>
      <c r="S22" s="3079"/>
    </row>
    <row r="23" spans="1:19">
      <c r="A23" s="3234"/>
      <c r="B23" s="3246" t="s">
        <v>6745</v>
      </c>
      <c r="C23" s="3211"/>
      <c r="D23" s="3247"/>
      <c r="E23" s="3213"/>
      <c r="F23" s="3248"/>
      <c r="G23" s="662">
        <f t="shared" si="3"/>
        <v>0</v>
      </c>
      <c r="H23" s="3232" t="s">
        <v>2931</v>
      </c>
      <c r="I23" s="3079"/>
      <c r="J23" s="3232" t="s">
        <v>2931</v>
      </c>
      <c r="K23" s="3079"/>
      <c r="L23" s="3232" t="s">
        <v>2931</v>
      </c>
      <c r="M23" s="3079"/>
      <c r="N23" s="3232" t="s">
        <v>2931</v>
      </c>
      <c r="O23" s="3079"/>
      <c r="P23" s="3232"/>
      <c r="Q23" s="3079"/>
      <c r="R23" s="3232"/>
      <c r="S23" s="3079"/>
    </row>
    <row r="24" spans="1:19">
      <c r="A24" s="3234"/>
      <c r="B24" s="3246"/>
      <c r="C24" s="3211"/>
      <c r="D24" s="3247"/>
      <c r="E24" s="3213"/>
      <c r="F24" s="3248"/>
      <c r="G24" s="662">
        <f t="shared" si="3"/>
        <v>0</v>
      </c>
      <c r="H24" s="3232"/>
      <c r="I24" s="3079"/>
      <c r="J24" s="3232"/>
      <c r="K24" s="3079"/>
      <c r="L24" s="3232"/>
      <c r="M24" s="3079"/>
      <c r="N24" s="3232"/>
      <c r="O24" s="3079"/>
      <c r="P24" s="3232"/>
      <c r="Q24" s="3079"/>
      <c r="R24" s="3232"/>
      <c r="S24" s="3079"/>
    </row>
    <row r="25" spans="1:19">
      <c r="A25" s="3234"/>
      <c r="B25" s="3246" t="s">
        <v>6746</v>
      </c>
      <c r="C25" s="3211"/>
      <c r="D25" s="3247"/>
      <c r="E25" s="3213"/>
      <c r="F25" s="3248"/>
      <c r="G25" s="662">
        <f t="shared" si="3"/>
        <v>0</v>
      </c>
      <c r="H25" s="3232" t="s">
        <v>2931</v>
      </c>
      <c r="I25" s="3079"/>
      <c r="J25" s="3232" t="s">
        <v>2931</v>
      </c>
      <c r="K25" s="3079"/>
      <c r="L25" s="3232" t="s">
        <v>2931</v>
      </c>
      <c r="M25" s="3079"/>
      <c r="N25" s="3232" t="s">
        <v>2931</v>
      </c>
      <c r="O25" s="3079"/>
      <c r="P25" s="3232"/>
      <c r="Q25" s="3079"/>
      <c r="R25" s="3232"/>
      <c r="S25" s="3079"/>
    </row>
    <row r="26" spans="1:19">
      <c r="A26" s="3234"/>
      <c r="B26" s="3246" t="s">
        <v>6747</v>
      </c>
      <c r="C26" s="3211"/>
      <c r="D26" s="3247"/>
      <c r="E26" s="3213"/>
      <c r="F26" s="3248"/>
      <c r="G26" s="662">
        <f t="shared" si="3"/>
        <v>0</v>
      </c>
      <c r="H26" s="3232" t="s">
        <v>2931</v>
      </c>
      <c r="I26" s="3079"/>
      <c r="J26" s="3232" t="s">
        <v>2931</v>
      </c>
      <c r="K26" s="3079"/>
      <c r="L26" s="3232" t="s">
        <v>2931</v>
      </c>
      <c r="M26" s="3079"/>
      <c r="N26" s="3232" t="s">
        <v>2931</v>
      </c>
      <c r="O26" s="3079"/>
      <c r="P26" s="3232"/>
      <c r="Q26" s="3079"/>
      <c r="R26" s="3232"/>
      <c r="S26" s="3079"/>
    </row>
    <row r="27" spans="1:19">
      <c r="A27" s="3234"/>
      <c r="B27" s="3246" t="s">
        <v>6748</v>
      </c>
      <c r="C27" s="3211"/>
      <c r="D27" s="3247"/>
      <c r="E27" s="3213"/>
      <c r="F27" s="3248"/>
      <c r="G27" s="662">
        <f t="shared" si="3"/>
        <v>0</v>
      </c>
      <c r="H27" s="3232" t="s">
        <v>2931</v>
      </c>
      <c r="I27" s="3079"/>
      <c r="J27" s="3232" t="s">
        <v>2931</v>
      </c>
      <c r="K27" s="3079"/>
      <c r="L27" s="3232" t="s">
        <v>2931</v>
      </c>
      <c r="M27" s="3079"/>
      <c r="N27" s="3232" t="s">
        <v>2931</v>
      </c>
      <c r="O27" s="3079"/>
      <c r="P27" s="3232"/>
      <c r="Q27" s="3079"/>
      <c r="R27" s="3232"/>
      <c r="S27" s="3079"/>
    </row>
    <row r="28" spans="1:19">
      <c r="A28" s="3234"/>
      <c r="B28" s="3246" t="s">
        <v>6749</v>
      </c>
      <c r="C28" s="3211"/>
      <c r="D28" s="3247"/>
      <c r="E28" s="3213"/>
      <c r="F28" s="3248"/>
      <c r="G28" s="662">
        <f t="shared" si="3"/>
        <v>0</v>
      </c>
      <c r="H28" s="3232" t="s">
        <v>2931</v>
      </c>
      <c r="I28" s="3079"/>
      <c r="J28" s="3232" t="s">
        <v>2931</v>
      </c>
      <c r="K28" s="3079"/>
      <c r="L28" s="3232" t="s">
        <v>2931</v>
      </c>
      <c r="M28" s="3079"/>
      <c r="N28" s="3232" t="s">
        <v>2931</v>
      </c>
      <c r="O28" s="3079"/>
      <c r="P28" s="3232"/>
      <c r="Q28" s="3079"/>
      <c r="R28" s="3232"/>
      <c r="S28" s="3079"/>
    </row>
    <row r="29" spans="1:19">
      <c r="A29" s="3234"/>
      <c r="B29" s="3246" t="s">
        <v>6750</v>
      </c>
      <c r="C29" s="3211"/>
      <c r="D29" s="3247"/>
      <c r="E29" s="3213"/>
      <c r="F29" s="3248"/>
      <c r="G29" s="662">
        <f t="shared" si="3"/>
        <v>0</v>
      </c>
      <c r="H29" s="3232" t="s">
        <v>2931</v>
      </c>
      <c r="I29" s="3079"/>
      <c r="J29" s="3232" t="s">
        <v>2931</v>
      </c>
      <c r="K29" s="3079"/>
      <c r="L29" s="3232" t="s">
        <v>2931</v>
      </c>
      <c r="M29" s="3079"/>
      <c r="N29" s="3232" t="s">
        <v>2931</v>
      </c>
      <c r="O29" s="3079"/>
      <c r="P29" s="3232"/>
      <c r="Q29" s="3079"/>
      <c r="R29" s="3232"/>
      <c r="S29" s="3079"/>
    </row>
    <row r="30" spans="1:19">
      <c r="A30" s="3234"/>
      <c r="B30" s="3246"/>
      <c r="C30" s="3211"/>
      <c r="D30" s="3247"/>
      <c r="E30" s="3213"/>
      <c r="F30" s="3248"/>
      <c r="G30" s="662">
        <f t="shared" si="3"/>
        <v>0</v>
      </c>
      <c r="H30" s="3232"/>
      <c r="I30" s="3079"/>
      <c r="J30" s="3232"/>
      <c r="K30" s="3079"/>
      <c r="L30" s="3232"/>
      <c r="M30" s="3079"/>
      <c r="N30" s="3232"/>
      <c r="O30" s="3079"/>
      <c r="P30" s="3232"/>
      <c r="Q30" s="3079"/>
      <c r="R30" s="3232"/>
      <c r="S30" s="3079"/>
    </row>
    <row r="31" spans="1:19">
      <c r="A31" s="3234"/>
      <c r="B31" s="3246" t="s">
        <v>6751</v>
      </c>
      <c r="C31" s="3211"/>
      <c r="D31" s="3247"/>
      <c r="E31" s="3213"/>
      <c r="F31" s="3248"/>
      <c r="G31" s="662">
        <f t="shared" si="3"/>
        <v>0</v>
      </c>
      <c r="H31" s="3232" t="s">
        <v>2931</v>
      </c>
      <c r="I31" s="3079"/>
      <c r="J31" s="3232" t="s">
        <v>2931</v>
      </c>
      <c r="K31" s="3079"/>
      <c r="L31" s="3232" t="s">
        <v>2929</v>
      </c>
      <c r="M31" s="3087">
        <v>150000</v>
      </c>
      <c r="N31" s="3232" t="s">
        <v>2931</v>
      </c>
      <c r="O31" s="3079"/>
      <c r="P31" s="3232"/>
      <c r="Q31" s="3079"/>
      <c r="R31" s="3232"/>
      <c r="S31" s="3079"/>
    </row>
    <row r="32" spans="1:19">
      <c r="A32" s="3234"/>
      <c r="B32" s="3246" t="s">
        <v>6752</v>
      </c>
      <c r="C32" s="3211"/>
      <c r="D32" s="3247"/>
      <c r="E32" s="3213"/>
      <c r="F32" s="3248"/>
      <c r="G32" s="662">
        <f t="shared" si="3"/>
        <v>0</v>
      </c>
      <c r="H32" s="3232" t="s">
        <v>2931</v>
      </c>
      <c r="I32" s="3079"/>
      <c r="J32" s="3232" t="s">
        <v>2931</v>
      </c>
      <c r="K32" s="3079"/>
      <c r="L32" s="3232" t="s">
        <v>2931</v>
      </c>
      <c r="M32" s="3087">
        <v>7500</v>
      </c>
      <c r="N32" s="3232" t="s">
        <v>2931</v>
      </c>
      <c r="O32" s="3079"/>
      <c r="P32" s="3232"/>
      <c r="Q32" s="3079"/>
      <c r="R32" s="3232"/>
      <c r="S32" s="3079"/>
    </row>
    <row r="33" spans="1:19">
      <c r="A33" s="3234"/>
      <c r="B33" s="3246" t="s">
        <v>6753</v>
      </c>
      <c r="C33" s="3211"/>
      <c r="D33" s="3247"/>
      <c r="E33" s="3213"/>
      <c r="F33" s="3248"/>
      <c r="G33" s="662">
        <f t="shared" si="3"/>
        <v>0</v>
      </c>
      <c r="H33" s="3232" t="s">
        <v>2931</v>
      </c>
      <c r="I33" s="3079"/>
      <c r="J33" s="3174" t="s">
        <v>2929</v>
      </c>
      <c r="K33" s="3087">
        <f>2000*5</f>
        <v>10000</v>
      </c>
      <c r="L33" s="3174" t="s">
        <v>2929</v>
      </c>
      <c r="M33" s="3087">
        <f>2000*5</f>
        <v>10000</v>
      </c>
      <c r="N33" s="3232" t="s">
        <v>2931</v>
      </c>
      <c r="O33" s="3079"/>
      <c r="P33" s="3232"/>
      <c r="Q33" s="3079"/>
      <c r="R33" s="3232"/>
      <c r="S33" s="3079"/>
    </row>
    <row r="34" spans="1:19">
      <c r="A34" s="3234"/>
      <c r="B34" s="3246"/>
      <c r="C34" s="3211"/>
      <c r="D34" s="3247"/>
      <c r="E34" s="3213"/>
      <c r="F34" s="3248"/>
      <c r="G34" s="662">
        <f t="shared" si="3"/>
        <v>0</v>
      </c>
      <c r="H34" s="3232"/>
      <c r="I34" s="3079"/>
      <c r="J34" s="3232"/>
      <c r="K34" s="3079"/>
      <c r="L34" s="3232"/>
      <c r="M34" s="3079"/>
      <c r="N34" s="3232"/>
      <c r="O34" s="3079"/>
      <c r="P34" s="3232"/>
      <c r="Q34" s="3079"/>
      <c r="R34" s="3232"/>
      <c r="S34" s="3079"/>
    </row>
    <row r="35" spans="1:19">
      <c r="A35" s="3234"/>
      <c r="B35" s="3246" t="s">
        <v>6754</v>
      </c>
      <c r="C35" s="3211"/>
      <c r="D35" s="3247"/>
      <c r="E35" s="3213"/>
      <c r="F35" s="3248"/>
      <c r="G35" s="662">
        <f t="shared" si="3"/>
        <v>0</v>
      </c>
      <c r="H35" s="3232" t="s">
        <v>2931</v>
      </c>
      <c r="I35" s="3079"/>
      <c r="J35" s="3232" t="s">
        <v>2931</v>
      </c>
      <c r="K35" s="3079"/>
      <c r="L35" s="3232" t="s">
        <v>2931</v>
      </c>
      <c r="M35" s="3079"/>
      <c r="N35" s="3232" t="s">
        <v>2931</v>
      </c>
      <c r="O35" s="3079"/>
      <c r="P35" s="3232"/>
      <c r="Q35" s="3079"/>
      <c r="R35" s="3232"/>
      <c r="S35" s="3079"/>
    </row>
    <row r="36" spans="1:19">
      <c r="A36" s="3234"/>
      <c r="B36" s="3246"/>
      <c r="C36" s="3211"/>
      <c r="D36" s="3247"/>
      <c r="E36" s="3213"/>
      <c r="F36" s="3248"/>
      <c r="G36" s="662">
        <f t="shared" si="3"/>
        <v>0</v>
      </c>
      <c r="H36" s="3232"/>
      <c r="I36" s="3079"/>
      <c r="J36" s="3232"/>
      <c r="K36" s="3079"/>
      <c r="L36" s="3232"/>
      <c r="M36" s="3079"/>
      <c r="N36" s="3232"/>
      <c r="O36" s="3079"/>
      <c r="P36" s="3232"/>
      <c r="Q36" s="3079"/>
      <c r="R36" s="3232"/>
      <c r="S36" s="3079"/>
    </row>
    <row r="37" spans="1:19">
      <c r="A37" s="3234"/>
      <c r="B37" s="3246" t="s">
        <v>6755</v>
      </c>
      <c r="C37" s="3211"/>
      <c r="D37" s="3247"/>
      <c r="E37" s="3213"/>
      <c r="F37" s="3248"/>
      <c r="G37" s="662">
        <f t="shared" si="3"/>
        <v>0</v>
      </c>
      <c r="H37" s="3232" t="s">
        <v>2931</v>
      </c>
      <c r="I37" s="3079"/>
      <c r="J37" s="3232" t="s">
        <v>2929</v>
      </c>
      <c r="K37" s="3087">
        <v>5000</v>
      </c>
      <c r="L37" s="3232"/>
      <c r="M37" s="3087"/>
      <c r="N37" s="3232"/>
      <c r="O37" s="3087"/>
      <c r="P37" s="3232"/>
      <c r="Q37" s="3079"/>
      <c r="R37" s="3232"/>
      <c r="S37" s="3079"/>
    </row>
    <row r="38" spans="1:19">
      <c r="A38" s="3234"/>
      <c r="B38" s="3246"/>
      <c r="C38" s="3211"/>
      <c r="D38" s="3247"/>
      <c r="E38" s="3213"/>
      <c r="F38" s="3248"/>
      <c r="G38" s="662">
        <f t="shared" si="3"/>
        <v>0</v>
      </c>
      <c r="H38" s="3232"/>
      <c r="I38" s="3079"/>
      <c r="J38" s="3232"/>
      <c r="K38" s="3079"/>
      <c r="L38" s="3232"/>
      <c r="M38" s="3079"/>
      <c r="N38" s="3232"/>
      <c r="O38" s="3079"/>
      <c r="P38" s="3232"/>
      <c r="Q38" s="3079"/>
      <c r="R38" s="3232"/>
      <c r="S38" s="3079"/>
    </row>
    <row r="39" spans="1:19">
      <c r="A39" s="3234"/>
      <c r="B39" s="3246" t="s">
        <v>6756</v>
      </c>
      <c r="C39" s="3211"/>
      <c r="D39" s="3247"/>
      <c r="E39" s="3213"/>
      <c r="F39" s="3248"/>
      <c r="G39" s="662">
        <f t="shared" si="3"/>
        <v>0</v>
      </c>
      <c r="H39" s="3232" t="s">
        <v>2931</v>
      </c>
      <c r="I39" s="3079"/>
      <c r="J39" s="3232" t="s">
        <v>2931</v>
      </c>
      <c r="K39" s="3079"/>
      <c r="L39" s="3232" t="s">
        <v>2929</v>
      </c>
      <c r="M39" s="3087">
        <f>70000*2.5</f>
        <v>175000</v>
      </c>
      <c r="N39" s="3232" t="s">
        <v>2931</v>
      </c>
      <c r="O39" s="3079"/>
      <c r="P39" s="3232"/>
      <c r="Q39" s="3079"/>
      <c r="R39" s="3232"/>
      <c r="S39" s="3079"/>
    </row>
    <row r="40" spans="1:19">
      <c r="A40" s="3234"/>
      <c r="B40" s="3246"/>
      <c r="C40" s="3211"/>
      <c r="D40" s="3247"/>
      <c r="E40" s="3213"/>
      <c r="F40" s="3248"/>
      <c r="G40" s="662">
        <f t="shared" si="3"/>
        <v>0</v>
      </c>
      <c r="H40" s="3232"/>
      <c r="I40" s="3079"/>
      <c r="J40" s="3232"/>
      <c r="K40" s="3079"/>
      <c r="L40" s="3232"/>
      <c r="M40" s="3079"/>
      <c r="N40" s="3232"/>
      <c r="O40" s="3079"/>
      <c r="P40" s="3232"/>
      <c r="Q40" s="3079"/>
      <c r="R40" s="3232"/>
      <c r="S40" s="3079"/>
    </row>
    <row r="41" spans="1:19">
      <c r="A41" s="3234"/>
      <c r="B41" s="3246" t="s">
        <v>6757</v>
      </c>
      <c r="C41" s="3211"/>
      <c r="D41" s="3247"/>
      <c r="E41" s="3213"/>
      <c r="F41" s="3248"/>
      <c r="G41" s="662">
        <f t="shared" si="3"/>
        <v>0</v>
      </c>
      <c r="H41" s="3232" t="s">
        <v>2931</v>
      </c>
      <c r="I41" s="3079"/>
      <c r="J41" s="3232" t="s">
        <v>2931</v>
      </c>
      <c r="K41" s="3079"/>
      <c r="L41" s="3232" t="s">
        <v>2929</v>
      </c>
      <c r="M41" s="3087">
        <v>140000</v>
      </c>
      <c r="N41" s="3232" t="s">
        <v>2931</v>
      </c>
      <c r="O41" s="3079"/>
      <c r="P41" s="3232"/>
      <c r="Q41" s="3079"/>
      <c r="R41" s="3232"/>
      <c r="S41" s="3079"/>
    </row>
    <row r="42" spans="1:19">
      <c r="A42" s="3234"/>
      <c r="B42" s="3246"/>
      <c r="C42" s="3211"/>
      <c r="D42" s="3247"/>
      <c r="E42" s="3213"/>
      <c r="F42" s="3248"/>
      <c r="G42" s="662">
        <f t="shared" si="3"/>
        <v>0</v>
      </c>
      <c r="H42" s="3232"/>
      <c r="I42" s="3079"/>
      <c r="J42" s="3232"/>
      <c r="K42" s="3079"/>
      <c r="L42" s="3232"/>
      <c r="M42" s="3079"/>
      <c r="N42" s="3232"/>
      <c r="O42" s="3079"/>
      <c r="P42" s="3232"/>
      <c r="Q42" s="3079"/>
      <c r="R42" s="3232"/>
      <c r="S42" s="3079"/>
    </row>
    <row r="43" spans="1:19">
      <c r="A43" s="3234"/>
      <c r="B43" s="3246" t="s">
        <v>6758</v>
      </c>
      <c r="C43" s="3211"/>
      <c r="D43" s="3247"/>
      <c r="E43" s="3213"/>
      <c r="F43" s="3248"/>
      <c r="G43" s="662">
        <f t="shared" si="3"/>
        <v>0</v>
      </c>
      <c r="H43" s="3232" t="s">
        <v>2929</v>
      </c>
      <c r="I43" s="3079"/>
      <c r="J43" s="3232" t="s">
        <v>2929</v>
      </c>
      <c r="K43" s="3079"/>
      <c r="L43" s="3232" t="s">
        <v>2929</v>
      </c>
      <c r="M43" s="3079"/>
      <c r="N43" s="3232" t="s">
        <v>2929</v>
      </c>
      <c r="O43" s="3079"/>
      <c r="P43" s="3232"/>
      <c r="Q43" s="3079"/>
      <c r="R43" s="3232"/>
      <c r="S43" s="3079"/>
    </row>
    <row r="44" spans="1:19">
      <c r="A44" s="3234"/>
      <c r="B44" s="3246"/>
      <c r="C44" s="3211"/>
      <c r="D44" s="3247"/>
      <c r="E44" s="3213"/>
      <c r="F44" s="3248"/>
      <c r="G44" s="662">
        <f t="shared" si="3"/>
        <v>0</v>
      </c>
      <c r="H44" s="3232"/>
      <c r="I44" s="3079"/>
      <c r="J44" s="3232"/>
      <c r="K44" s="3079"/>
      <c r="L44" s="3232"/>
      <c r="M44" s="3079"/>
      <c r="N44" s="3232"/>
      <c r="O44" s="3079"/>
      <c r="P44" s="3232"/>
      <c r="Q44" s="3079"/>
      <c r="R44" s="3232"/>
      <c r="S44" s="3079"/>
    </row>
    <row r="45" spans="1:19">
      <c r="A45" s="3234"/>
      <c r="B45" s="3246" t="s">
        <v>6759</v>
      </c>
      <c r="C45" s="3211"/>
      <c r="D45" s="3247"/>
      <c r="E45" s="3213"/>
      <c r="F45" s="3248"/>
      <c r="G45" s="662">
        <f t="shared" si="3"/>
        <v>0</v>
      </c>
      <c r="H45" s="3232" t="s">
        <v>2931</v>
      </c>
      <c r="I45" s="3079"/>
      <c r="J45" s="3232" t="s">
        <v>2929</v>
      </c>
      <c r="K45" s="3087">
        <v>450000</v>
      </c>
      <c r="L45" s="3232"/>
      <c r="M45" s="3087"/>
      <c r="N45" s="3232"/>
      <c r="O45" s="3087"/>
      <c r="P45" s="3232"/>
      <c r="Q45" s="3079"/>
      <c r="R45" s="3232"/>
      <c r="S45" s="3079"/>
    </row>
    <row r="46" spans="1:19">
      <c r="A46" s="3234"/>
      <c r="B46" s="3246"/>
      <c r="C46" s="3211"/>
      <c r="D46" s="3247"/>
      <c r="E46" s="3213"/>
      <c r="F46" s="3248"/>
      <c r="G46" s="662">
        <f t="shared" si="3"/>
        <v>0</v>
      </c>
      <c r="H46" s="3232"/>
      <c r="I46" s="3079"/>
      <c r="J46" s="3232"/>
      <c r="K46" s="3079"/>
      <c r="L46" s="3232"/>
      <c r="M46" s="3079"/>
      <c r="N46" s="3232"/>
      <c r="O46" s="3079"/>
      <c r="P46" s="3232"/>
      <c r="Q46" s="3079"/>
      <c r="R46" s="3232"/>
      <c r="S46" s="3079"/>
    </row>
    <row r="47" spans="1:19">
      <c r="A47" s="3234"/>
      <c r="B47" s="3246" t="s">
        <v>6760</v>
      </c>
      <c r="C47" s="3211"/>
      <c r="D47" s="3247"/>
      <c r="E47" s="3213"/>
      <c r="F47" s="3248"/>
      <c r="G47" s="662">
        <f t="shared" si="3"/>
        <v>0</v>
      </c>
      <c r="H47" s="3232" t="s">
        <v>2931</v>
      </c>
      <c r="I47" s="3079"/>
      <c r="J47" s="3232" t="s">
        <v>2931</v>
      </c>
      <c r="K47" s="3079"/>
      <c r="L47" s="3232" t="s">
        <v>2931</v>
      </c>
      <c r="M47" s="3079"/>
      <c r="N47" s="3232" t="s">
        <v>2931</v>
      </c>
      <c r="O47" s="3079"/>
      <c r="P47" s="3232"/>
      <c r="Q47" s="3079"/>
      <c r="R47" s="3232"/>
      <c r="S47" s="3079"/>
    </row>
    <row r="48" spans="1:19">
      <c r="A48" s="3234"/>
      <c r="B48" s="3246"/>
      <c r="C48" s="3211"/>
      <c r="D48" s="3247"/>
      <c r="E48" s="3213"/>
      <c r="F48" s="3248"/>
      <c r="G48" s="662">
        <f t="shared" si="3"/>
        <v>0</v>
      </c>
      <c r="H48" s="3232"/>
      <c r="I48" s="3079"/>
      <c r="J48" s="3232"/>
      <c r="K48" s="3079"/>
      <c r="L48" s="3232"/>
      <c r="M48" s="3079"/>
      <c r="N48" s="3232"/>
      <c r="O48" s="3079"/>
      <c r="P48" s="3232"/>
      <c r="Q48" s="3079"/>
      <c r="R48" s="3232"/>
      <c r="S48" s="3079"/>
    </row>
    <row r="49" spans="1:19">
      <c r="A49" s="3234"/>
      <c r="B49" s="3246" t="s">
        <v>6761</v>
      </c>
      <c r="C49" s="3211"/>
      <c r="D49" s="3247"/>
      <c r="E49" s="3213"/>
      <c r="F49" s="3248"/>
      <c r="G49" s="662">
        <f t="shared" si="3"/>
        <v>0</v>
      </c>
      <c r="H49" s="3232" t="s">
        <v>2931</v>
      </c>
      <c r="I49" s="3079"/>
      <c r="J49" s="3232" t="s">
        <v>2931</v>
      </c>
      <c r="K49" s="3079"/>
      <c r="L49" s="3112"/>
      <c r="M49" s="3178">
        <f t="shared" ref="M49:O49" si="4">$G49</f>
        <v>0</v>
      </c>
      <c r="N49" s="3112"/>
      <c r="O49" s="3178">
        <f t="shared" si="4"/>
        <v>0</v>
      </c>
      <c r="P49" s="3232"/>
      <c r="Q49" s="3079"/>
      <c r="R49" s="3232"/>
      <c r="S49" s="3079"/>
    </row>
    <row r="50" spans="1:19">
      <c r="A50" s="3234"/>
      <c r="B50" s="3246"/>
      <c r="C50" s="3211"/>
      <c r="D50" s="3247"/>
      <c r="E50" s="3213"/>
      <c r="F50" s="3248"/>
      <c r="G50" s="662">
        <f t="shared" si="3"/>
        <v>0</v>
      </c>
      <c r="H50" s="3232"/>
      <c r="I50" s="3079"/>
      <c r="J50" s="3232"/>
      <c r="K50" s="3079"/>
      <c r="L50" s="3232"/>
      <c r="M50" s="3079"/>
      <c r="N50" s="3232"/>
      <c r="O50" s="3079"/>
      <c r="P50" s="3232"/>
      <c r="Q50" s="3079"/>
      <c r="R50" s="3232"/>
      <c r="S50" s="3079"/>
    </row>
    <row r="51" spans="1:19">
      <c r="A51" s="3234"/>
      <c r="B51" s="3246" t="s">
        <v>6762</v>
      </c>
      <c r="C51" s="3211"/>
      <c r="D51" s="3013">
        <v>38</v>
      </c>
      <c r="E51" s="3014" t="s">
        <v>2803</v>
      </c>
      <c r="F51" s="3248">
        <v>2500</v>
      </c>
      <c r="G51" s="662">
        <f t="shared" si="3"/>
        <v>95000</v>
      </c>
      <c r="H51" s="3232" t="s">
        <v>2931</v>
      </c>
      <c r="I51" s="3079"/>
      <c r="J51" s="3232" t="s">
        <v>2931</v>
      </c>
      <c r="K51" s="3079"/>
      <c r="L51" s="3232"/>
      <c r="M51" s="3178">
        <f>$G51</f>
        <v>95000</v>
      </c>
      <c r="N51" s="3112"/>
      <c r="O51" s="3178">
        <f>$G51</f>
        <v>95000</v>
      </c>
      <c r="P51" s="3232"/>
      <c r="Q51" s="3079"/>
      <c r="R51" s="3232"/>
      <c r="S51" s="3079"/>
    </row>
    <row r="52" spans="1:19" s="175" customFormat="1" ht="30">
      <c r="A52" s="3234"/>
      <c r="B52" s="3250" t="s">
        <v>6763</v>
      </c>
      <c r="C52" s="2056"/>
      <c r="D52" s="3013">
        <v>38</v>
      </c>
      <c r="E52" s="3014" t="s">
        <v>2803</v>
      </c>
      <c r="F52" s="3023">
        <v>500</v>
      </c>
      <c r="G52" s="668">
        <f t="shared" ref="G52:G54" si="5">ROUND(D52*F52,0)</f>
        <v>19000</v>
      </c>
      <c r="H52" s="3112" t="s">
        <v>2931</v>
      </c>
      <c r="I52" s="3079"/>
      <c r="J52" s="3112" t="s">
        <v>2931</v>
      </c>
      <c r="K52" s="3079"/>
      <c r="L52" s="3112"/>
      <c r="M52" s="3178">
        <f>$G52</f>
        <v>19000</v>
      </c>
      <c r="N52" s="3112"/>
      <c r="O52" s="3178">
        <f>$G52</f>
        <v>19000</v>
      </c>
      <c r="P52" s="3112"/>
      <c r="Q52" s="3079"/>
      <c r="R52" s="3232"/>
      <c r="S52" s="3079"/>
    </row>
    <row r="53" spans="1:19" s="175" customFormat="1" ht="30">
      <c r="A53" s="3234"/>
      <c r="B53" s="3251" t="s">
        <v>6764</v>
      </c>
      <c r="C53" s="2056"/>
      <c r="D53" s="3013">
        <v>23</v>
      </c>
      <c r="E53" s="3014" t="s">
        <v>2803</v>
      </c>
      <c r="F53" s="3023">
        <v>375</v>
      </c>
      <c r="G53" s="668">
        <f t="shared" si="5"/>
        <v>8625</v>
      </c>
      <c r="H53" s="3112" t="s">
        <v>2931</v>
      </c>
      <c r="I53" s="3079"/>
      <c r="J53" s="3112" t="s">
        <v>2931</v>
      </c>
      <c r="K53" s="3079"/>
      <c r="L53" s="3112"/>
      <c r="M53" s="3178">
        <f t="shared" ref="I53:O55" si="6">$G53</f>
        <v>8625</v>
      </c>
      <c r="N53" s="3112"/>
      <c r="O53" s="3178">
        <f t="shared" si="6"/>
        <v>8625</v>
      </c>
      <c r="P53" s="3112"/>
      <c r="Q53" s="3079"/>
      <c r="R53" s="3232"/>
      <c r="S53" s="3079"/>
    </row>
    <row r="54" spans="1:19">
      <c r="A54" s="3234"/>
      <c r="B54" s="3246"/>
      <c r="C54" s="3211"/>
      <c r="D54" s="3247"/>
      <c r="E54" s="3213"/>
      <c r="F54" s="3248"/>
      <c r="G54" s="662">
        <f t="shared" si="5"/>
        <v>0</v>
      </c>
      <c r="H54" s="3232"/>
      <c r="I54" s="3079"/>
      <c r="J54" s="3232"/>
      <c r="K54" s="3079"/>
      <c r="L54" s="3232"/>
      <c r="M54" s="3079"/>
      <c r="N54" s="3232"/>
      <c r="O54" s="3079"/>
      <c r="P54" s="3232"/>
      <c r="Q54" s="3079"/>
      <c r="R54" s="3232"/>
      <c r="S54" s="3079"/>
    </row>
    <row r="55" spans="1:19">
      <c r="A55" s="3234"/>
      <c r="B55" s="3246" t="s">
        <v>6765</v>
      </c>
      <c r="C55" s="3211"/>
      <c r="D55" s="3247">
        <v>1</v>
      </c>
      <c r="E55" s="3213" t="s">
        <v>2818</v>
      </c>
      <c r="F55" s="3248">
        <v>5000</v>
      </c>
      <c r="G55" s="662">
        <f t="shared" ref="G55:G88" si="7">ROUND(D55*F55,0)</f>
        <v>5000</v>
      </c>
      <c r="H55" s="3232"/>
      <c r="I55" s="3178">
        <f t="shared" si="6"/>
        <v>5000</v>
      </c>
      <c r="J55" s="3112"/>
      <c r="K55" s="3178">
        <f t="shared" si="6"/>
        <v>5000</v>
      </c>
      <c r="L55" s="3112"/>
      <c r="M55" s="3178">
        <f t="shared" si="6"/>
        <v>5000</v>
      </c>
      <c r="N55" s="3112"/>
      <c r="O55" s="3178">
        <f t="shared" si="6"/>
        <v>5000</v>
      </c>
      <c r="P55" s="3232"/>
      <c r="Q55" s="3079"/>
      <c r="R55" s="3232"/>
      <c r="S55" s="3079"/>
    </row>
    <row r="56" spans="1:19">
      <c r="A56" s="3234"/>
      <c r="B56" s="3246"/>
      <c r="C56" s="3211"/>
      <c r="D56" s="3247"/>
      <c r="E56" s="3213"/>
      <c r="F56" s="3248"/>
      <c r="G56" s="662">
        <f t="shared" si="7"/>
        <v>0</v>
      </c>
      <c r="H56" s="3232"/>
      <c r="I56" s="3079"/>
      <c r="J56" s="3232"/>
      <c r="K56" s="3079"/>
      <c r="L56" s="3232"/>
      <c r="M56" s="3079"/>
      <c r="N56" s="3232"/>
      <c r="O56" s="3079"/>
      <c r="P56" s="3232"/>
      <c r="Q56" s="3079"/>
      <c r="R56" s="3232"/>
      <c r="S56" s="3079"/>
    </row>
    <row r="57" spans="1:19">
      <c r="A57" s="3234"/>
      <c r="B57" s="3246" t="s">
        <v>6766</v>
      </c>
      <c r="C57" s="3211"/>
      <c r="D57" s="3247">
        <v>26</v>
      </c>
      <c r="E57" s="3213" t="s">
        <v>6362</v>
      </c>
      <c r="F57" s="3248">
        <v>2500</v>
      </c>
      <c r="G57" s="662">
        <f t="shared" si="7"/>
        <v>65000</v>
      </c>
      <c r="H57" s="3232"/>
      <c r="I57" s="3087">
        <f>$G57</f>
        <v>65000</v>
      </c>
      <c r="J57" s="3232"/>
      <c r="K57" s="3087">
        <f>$G57</f>
        <v>65000</v>
      </c>
      <c r="L57" s="3232"/>
      <c r="M57" s="3087">
        <f>$G57</f>
        <v>65000</v>
      </c>
      <c r="N57" s="3232"/>
      <c r="O57" s="3087">
        <f>$G57</f>
        <v>65000</v>
      </c>
      <c r="P57" s="3232"/>
      <c r="Q57" s="3079"/>
      <c r="R57" s="3232"/>
      <c r="S57" s="3079"/>
    </row>
    <row r="58" spans="1:19">
      <c r="A58" s="3234"/>
      <c r="B58" s="3246" t="s">
        <v>6767</v>
      </c>
      <c r="C58" s="3211"/>
      <c r="D58" s="3247">
        <v>26</v>
      </c>
      <c r="E58" s="3213" t="s">
        <v>6362</v>
      </c>
      <c r="F58" s="3248">
        <v>3500</v>
      </c>
      <c r="G58" s="662">
        <f t="shared" si="7"/>
        <v>91000</v>
      </c>
      <c r="H58" s="3232"/>
      <c r="I58" s="3087">
        <f>$G58</f>
        <v>91000</v>
      </c>
      <c r="J58" s="3232"/>
      <c r="K58" s="3087">
        <f>$G58</f>
        <v>91000</v>
      </c>
      <c r="L58" s="3232"/>
      <c r="M58" s="3087">
        <f>$G58</f>
        <v>91000</v>
      </c>
      <c r="N58" s="3232"/>
      <c r="O58" s="3087">
        <f>$G58</f>
        <v>91000</v>
      </c>
      <c r="P58" s="3232"/>
      <c r="Q58" s="3079"/>
      <c r="R58" s="3232"/>
      <c r="S58" s="3079"/>
    </row>
    <row r="59" spans="1:19">
      <c r="A59" s="3234"/>
      <c r="B59" s="3246"/>
      <c r="C59" s="3211"/>
      <c r="D59" s="3247"/>
      <c r="E59" s="3213"/>
      <c r="F59" s="3248"/>
      <c r="G59" s="662"/>
      <c r="H59" s="3232"/>
      <c r="I59" s="3079"/>
      <c r="J59" s="3232"/>
      <c r="K59" s="3079"/>
      <c r="L59" s="3232"/>
      <c r="M59" s="3079"/>
      <c r="N59" s="3232"/>
      <c r="O59" s="3079"/>
      <c r="P59" s="3232"/>
      <c r="Q59" s="3079"/>
      <c r="R59" s="3232"/>
      <c r="S59" s="3079"/>
    </row>
    <row r="60" spans="1:19">
      <c r="A60" s="3234"/>
      <c r="B60" s="3246" t="s">
        <v>6768</v>
      </c>
      <c r="C60" s="3211"/>
      <c r="D60" s="3247">
        <v>2</v>
      </c>
      <c r="E60" s="3213" t="s">
        <v>6362</v>
      </c>
      <c r="F60" s="3248">
        <v>5000</v>
      </c>
      <c r="G60" s="662">
        <f t="shared" ref="G60:G61" si="8">ROUND(D60*F60,0)</f>
        <v>10000</v>
      </c>
      <c r="H60" s="3232"/>
      <c r="I60" s="3087">
        <f>$G60</f>
        <v>10000</v>
      </c>
      <c r="J60" s="3232"/>
      <c r="K60" s="3087">
        <f>$G60</f>
        <v>10000</v>
      </c>
      <c r="L60" s="3232"/>
      <c r="M60" s="3087">
        <f>$G60</f>
        <v>10000</v>
      </c>
      <c r="N60" s="3232"/>
      <c r="O60" s="3087">
        <f>$G60</f>
        <v>10000</v>
      </c>
      <c r="P60" s="3232"/>
      <c r="Q60" s="3079"/>
      <c r="R60" s="3232"/>
      <c r="S60" s="3079"/>
    </row>
    <row r="61" spans="1:19">
      <c r="A61" s="3234"/>
      <c r="B61" s="3246" t="s">
        <v>6767</v>
      </c>
      <c r="C61" s="3211"/>
      <c r="D61" s="3247">
        <v>2</v>
      </c>
      <c r="E61" s="3213" t="s">
        <v>6362</v>
      </c>
      <c r="F61" s="3248">
        <v>3500</v>
      </c>
      <c r="G61" s="662">
        <f t="shared" si="8"/>
        <v>7000</v>
      </c>
      <c r="H61" s="3232"/>
      <c r="I61" s="3087">
        <f>$G61</f>
        <v>7000</v>
      </c>
      <c r="J61" s="3232"/>
      <c r="K61" s="3087">
        <f>$G61</f>
        <v>7000</v>
      </c>
      <c r="L61" s="3232"/>
      <c r="M61" s="3087">
        <f>$G61</f>
        <v>7000</v>
      </c>
      <c r="N61" s="3232"/>
      <c r="O61" s="3087">
        <f>$G61</f>
        <v>7000</v>
      </c>
      <c r="P61" s="3232"/>
      <c r="Q61" s="3079"/>
      <c r="R61" s="3232"/>
      <c r="S61" s="3079"/>
    </row>
    <row r="62" spans="1:19">
      <c r="A62" s="3234"/>
      <c r="B62" s="3246"/>
      <c r="C62" s="3211"/>
      <c r="D62" s="3247"/>
      <c r="E62" s="3213"/>
      <c r="F62" s="3248"/>
      <c r="G62" s="662"/>
      <c r="H62" s="3232"/>
      <c r="I62" s="3079"/>
      <c r="J62" s="3232"/>
      <c r="K62" s="3079"/>
      <c r="L62" s="3232"/>
      <c r="M62" s="3079"/>
      <c r="N62" s="3232"/>
      <c r="O62" s="3079"/>
      <c r="P62" s="3232"/>
      <c r="Q62" s="3079"/>
      <c r="R62" s="3232"/>
      <c r="S62" s="3079"/>
    </row>
    <row r="63" spans="1:19">
      <c r="A63" s="3234"/>
      <c r="B63" s="3246"/>
      <c r="C63" s="3211"/>
      <c r="D63" s="3247"/>
      <c r="E63" s="3213"/>
      <c r="F63" s="3248"/>
      <c r="G63" s="662">
        <f t="shared" si="7"/>
        <v>0</v>
      </c>
      <c r="H63" s="3232"/>
      <c r="I63" s="3079"/>
      <c r="J63" s="3232"/>
      <c r="K63" s="3079"/>
      <c r="L63" s="3232"/>
      <c r="M63" s="3079"/>
      <c r="N63" s="3232"/>
      <c r="O63" s="3079"/>
      <c r="P63" s="3232"/>
      <c r="Q63" s="3079"/>
      <c r="R63" s="3232"/>
      <c r="S63" s="3079"/>
    </row>
    <row r="64" spans="1:19">
      <c r="A64" s="3234"/>
      <c r="B64" s="452" t="s">
        <v>6097</v>
      </c>
      <c r="C64" s="3211"/>
      <c r="D64" s="3247"/>
      <c r="E64" s="3213"/>
      <c r="F64" s="3248"/>
      <c r="G64" s="662">
        <f t="shared" si="7"/>
        <v>0</v>
      </c>
      <c r="H64" s="3232"/>
      <c r="I64" s="3080">
        <f>SUBTOTAL(9,I65:I71)</f>
        <v>296113</v>
      </c>
      <c r="J64" s="3232"/>
      <c r="K64" s="3080">
        <f>SUBTOTAL(9,K65:K71)</f>
        <v>107300</v>
      </c>
      <c r="L64" s="3232"/>
      <c r="M64" s="3080">
        <f>SUBTOTAL(9,M65:M71)</f>
        <v>185613.96954532337</v>
      </c>
      <c r="N64" s="3232"/>
      <c r="O64" s="3080">
        <f>SUBTOTAL(9,O65:O71)</f>
        <v>432384</v>
      </c>
      <c r="P64" s="3232"/>
      <c r="Q64" s="3079"/>
      <c r="R64" s="3232"/>
      <c r="S64" s="3079"/>
    </row>
    <row r="65" spans="1:19">
      <c r="A65" s="3234"/>
      <c r="B65" s="3246" t="s">
        <v>2994</v>
      </c>
      <c r="C65" s="3211"/>
      <c r="D65" s="3247"/>
      <c r="E65" s="3213"/>
      <c r="F65" s="3248"/>
      <c r="G65" s="662">
        <f t="shared" si="7"/>
        <v>0</v>
      </c>
      <c r="H65" s="3232"/>
      <c r="I65" s="3079">
        <v>292774</v>
      </c>
      <c r="J65" s="3232"/>
      <c r="K65" s="3079">
        <v>103300</v>
      </c>
      <c r="L65" s="3232"/>
      <c r="M65" s="3079">
        <v>171613.96954532337</v>
      </c>
      <c r="N65" s="3232"/>
      <c r="O65" s="3079">
        <v>418384</v>
      </c>
      <c r="P65" s="3232"/>
      <c r="Q65" s="3079"/>
      <c r="R65" s="3232"/>
      <c r="S65" s="3079"/>
    </row>
    <row r="66" spans="1:19">
      <c r="A66" s="3234"/>
      <c r="B66" s="3246" t="s">
        <v>6762</v>
      </c>
      <c r="C66" s="3211"/>
      <c r="D66" s="3013">
        <v>4</v>
      </c>
      <c r="E66" s="3014" t="s">
        <v>2803</v>
      </c>
      <c r="F66" s="3248">
        <v>2500</v>
      </c>
      <c r="G66" s="662">
        <f t="shared" si="7"/>
        <v>10000</v>
      </c>
      <c r="H66" s="3232" t="s">
        <v>2931</v>
      </c>
      <c r="I66" s="3079"/>
      <c r="J66" s="3232" t="s">
        <v>2931</v>
      </c>
      <c r="K66" s="3079"/>
      <c r="L66" s="3232"/>
      <c r="M66" s="3178">
        <f>$G66</f>
        <v>10000</v>
      </c>
      <c r="N66" s="3112"/>
      <c r="O66" s="3178">
        <f>$G66</f>
        <v>10000</v>
      </c>
      <c r="P66" s="3232"/>
      <c r="Q66" s="3079"/>
      <c r="R66" s="3232"/>
      <c r="S66" s="3079"/>
    </row>
    <row r="67" spans="1:19" s="175" customFormat="1" ht="30">
      <c r="A67" s="3234"/>
      <c r="B67" s="3250" t="s">
        <v>6763</v>
      </c>
      <c r="C67" s="2056"/>
      <c r="D67" s="3013">
        <v>4</v>
      </c>
      <c r="E67" s="3014" t="s">
        <v>2803</v>
      </c>
      <c r="F67" s="3023">
        <v>500</v>
      </c>
      <c r="G67" s="668">
        <f t="shared" si="7"/>
        <v>2000</v>
      </c>
      <c r="H67" s="3112"/>
      <c r="I67" s="3252">
        <v>3339</v>
      </c>
      <c r="J67" s="3112"/>
      <c r="K67" s="3178">
        <v>4000</v>
      </c>
      <c r="L67" s="3112"/>
      <c r="M67" s="3178">
        <v>4000</v>
      </c>
      <c r="N67" s="3112"/>
      <c r="O67" s="3178">
        <v>4000</v>
      </c>
      <c r="P67" s="3112"/>
      <c r="Q67" s="3079"/>
      <c r="R67" s="3232"/>
      <c r="S67" s="3079"/>
    </row>
    <row r="68" spans="1:19">
      <c r="A68" s="3234"/>
      <c r="B68" s="3246"/>
      <c r="C68" s="3211"/>
      <c r="D68" s="3247"/>
      <c r="E68" s="3213"/>
      <c r="F68" s="3248"/>
      <c r="G68" s="662">
        <f t="shared" si="7"/>
        <v>0</v>
      </c>
      <c r="H68" s="3232"/>
      <c r="I68" s="3079"/>
      <c r="J68" s="3232"/>
      <c r="K68" s="3079"/>
      <c r="L68" s="3232"/>
      <c r="M68" s="3079"/>
      <c r="N68" s="3232"/>
      <c r="O68" s="3079"/>
      <c r="P68" s="3232"/>
      <c r="Q68" s="3079"/>
      <c r="R68" s="3232"/>
      <c r="S68" s="3079"/>
    </row>
    <row r="69" spans="1:19" s="175" customFormat="1" ht="30">
      <c r="A69" s="3234"/>
      <c r="B69" s="3253" t="s">
        <v>6769</v>
      </c>
      <c r="C69" s="2056" t="s">
        <v>1486</v>
      </c>
      <c r="D69" s="3013">
        <f>367+31</f>
        <v>398</v>
      </c>
      <c r="E69" s="3014" t="s">
        <v>2864</v>
      </c>
      <c r="F69" s="3023"/>
      <c r="G69" s="668">
        <f t="shared" si="7"/>
        <v>0</v>
      </c>
      <c r="H69" s="3112" t="s">
        <v>2931</v>
      </c>
      <c r="I69" s="3091"/>
      <c r="J69" s="3112" t="s">
        <v>2931</v>
      </c>
      <c r="K69" s="3091"/>
      <c r="L69" s="3112"/>
      <c r="M69" s="3178"/>
      <c r="N69" s="3112"/>
      <c r="O69" s="3178"/>
      <c r="P69" s="3112"/>
      <c r="Q69" s="3091"/>
      <c r="R69" s="3112"/>
      <c r="S69" s="3091"/>
    </row>
    <row r="70" spans="1:19">
      <c r="A70" s="3234"/>
      <c r="B70" s="3246" t="s">
        <v>6770</v>
      </c>
      <c r="C70" s="2056" t="s">
        <v>1486</v>
      </c>
      <c r="D70" s="3247">
        <v>2</v>
      </c>
      <c r="E70" s="3213" t="s">
        <v>2803</v>
      </c>
      <c r="F70" s="3248"/>
      <c r="G70" s="662">
        <f t="shared" si="7"/>
        <v>0</v>
      </c>
      <c r="H70" s="3232" t="s">
        <v>2931</v>
      </c>
      <c r="I70" s="3079"/>
      <c r="J70" s="3232" t="s">
        <v>2931</v>
      </c>
      <c r="K70" s="3079"/>
      <c r="L70" s="3232"/>
      <c r="M70" s="3087"/>
      <c r="N70" s="3232"/>
      <c r="O70" s="3087"/>
      <c r="P70" s="3232"/>
      <c r="Q70" s="3079"/>
      <c r="R70" s="3232"/>
      <c r="S70" s="3079"/>
    </row>
    <row r="71" spans="1:19">
      <c r="A71" s="3234"/>
      <c r="B71" s="3246"/>
      <c r="C71" s="3211"/>
      <c r="D71" s="3247"/>
      <c r="E71" s="3213"/>
      <c r="F71" s="3248"/>
      <c r="G71" s="662">
        <f t="shared" si="7"/>
        <v>0</v>
      </c>
      <c r="H71" s="3232"/>
      <c r="I71" s="3079"/>
      <c r="J71" s="3232"/>
      <c r="K71" s="3079"/>
      <c r="L71" s="3232"/>
      <c r="M71" s="3079"/>
      <c r="N71" s="3232"/>
      <c r="O71" s="3079"/>
      <c r="P71" s="3232"/>
      <c r="Q71" s="3079"/>
      <c r="R71" s="3232"/>
      <c r="S71" s="3079"/>
    </row>
    <row r="72" spans="1:19">
      <c r="A72" s="3234"/>
      <c r="B72" s="452" t="s">
        <v>6425</v>
      </c>
      <c r="C72" s="3211"/>
      <c r="D72" s="3247"/>
      <c r="E72" s="3213"/>
      <c r="F72" s="3248"/>
      <c r="G72" s="662">
        <f t="shared" si="7"/>
        <v>0</v>
      </c>
      <c r="H72" s="3232"/>
      <c r="I72" s="3080">
        <f>SUBTOTAL(9,I73:I81)</f>
        <v>281439</v>
      </c>
      <c r="J72" s="3232"/>
      <c r="K72" s="3080">
        <f>SUBTOTAL(9,K73:K81)</f>
        <v>110100</v>
      </c>
      <c r="L72" s="3232"/>
      <c r="M72" s="3080">
        <f>SUBTOTAL(9,M73:M81)</f>
        <v>317967.90073172923</v>
      </c>
      <c r="N72" s="3232"/>
      <c r="O72" s="3080">
        <f>SUBTOTAL(9,O73:O81)</f>
        <v>395386</v>
      </c>
      <c r="P72" s="3232"/>
      <c r="Q72" s="3080">
        <f>SUBTOTAL(9,Q73:Q81)</f>
        <v>0</v>
      </c>
      <c r="R72" s="3232"/>
      <c r="S72" s="3080">
        <f>SUBTOTAL(9,S73:S81)</f>
        <v>0</v>
      </c>
    </row>
    <row r="73" spans="1:19">
      <c r="A73" s="3234"/>
      <c r="B73" s="3246" t="s">
        <v>2994</v>
      </c>
      <c r="C73" s="3211"/>
      <c r="D73" s="3247"/>
      <c r="E73" s="3213"/>
      <c r="F73" s="3248"/>
      <c r="G73" s="662">
        <f t="shared" si="7"/>
        <v>0</v>
      </c>
      <c r="H73" s="3232"/>
      <c r="I73" s="3079">
        <v>276431</v>
      </c>
      <c r="J73" s="3232"/>
      <c r="K73" s="3079">
        <v>105100</v>
      </c>
      <c r="L73" s="3232"/>
      <c r="M73" s="3079">
        <v>297967.90073172923</v>
      </c>
      <c r="N73" s="3232"/>
      <c r="O73" s="3079">
        <v>375386</v>
      </c>
      <c r="P73" s="3232"/>
      <c r="Q73" s="3079"/>
      <c r="R73" s="3232"/>
      <c r="S73" s="3079"/>
    </row>
    <row r="74" spans="1:19">
      <c r="A74" s="3234"/>
      <c r="B74" s="3246" t="s">
        <v>6762</v>
      </c>
      <c r="C74" s="3211"/>
      <c r="D74" s="3013">
        <v>6</v>
      </c>
      <c r="E74" s="3014" t="s">
        <v>2803</v>
      </c>
      <c r="F74" s="3248">
        <v>2500</v>
      </c>
      <c r="G74" s="662">
        <f t="shared" ref="G74" si="9">ROUND(D74*F74,0)</f>
        <v>15000</v>
      </c>
      <c r="H74" s="3232" t="s">
        <v>2931</v>
      </c>
      <c r="I74" s="3079"/>
      <c r="J74" s="3232" t="s">
        <v>2931</v>
      </c>
      <c r="K74" s="3079"/>
      <c r="L74" s="3232"/>
      <c r="M74" s="3178">
        <f>$G74</f>
        <v>15000</v>
      </c>
      <c r="N74" s="3112"/>
      <c r="O74" s="3178">
        <f>$G74</f>
        <v>15000</v>
      </c>
      <c r="P74" s="3232"/>
      <c r="Q74" s="3079"/>
      <c r="R74" s="3232"/>
      <c r="S74" s="3079"/>
    </row>
    <row r="75" spans="1:19" s="175" customFormat="1" ht="30">
      <c r="A75" s="3234"/>
      <c r="B75" s="3250" t="s">
        <v>6763</v>
      </c>
      <c r="C75" s="2056"/>
      <c r="D75" s="3013">
        <v>6</v>
      </c>
      <c r="E75" s="3014" t="s">
        <v>2803</v>
      </c>
      <c r="F75" s="3023">
        <v>500</v>
      </c>
      <c r="G75" s="668">
        <f t="shared" si="7"/>
        <v>3000</v>
      </c>
      <c r="H75" s="3112" t="s">
        <v>2931</v>
      </c>
      <c r="I75" s="3091">
        <v>5008</v>
      </c>
      <c r="J75" s="3112"/>
      <c r="K75" s="3178">
        <v>5000</v>
      </c>
      <c r="L75" s="3112"/>
      <c r="M75" s="3178">
        <v>5000</v>
      </c>
      <c r="N75" s="3112"/>
      <c r="O75" s="3178">
        <v>5000</v>
      </c>
      <c r="P75" s="3112"/>
      <c r="Q75" s="3091"/>
      <c r="R75" s="3112"/>
      <c r="S75" s="3091"/>
    </row>
    <row r="76" spans="1:19">
      <c r="A76" s="3234"/>
      <c r="B76" s="3246"/>
      <c r="C76" s="3211"/>
      <c r="D76" s="3247"/>
      <c r="E76" s="3213"/>
      <c r="F76" s="3248"/>
      <c r="G76" s="662">
        <f t="shared" si="7"/>
        <v>0</v>
      </c>
      <c r="H76" s="3232"/>
      <c r="I76" s="3079"/>
      <c r="J76" s="3232"/>
      <c r="K76" s="3079"/>
      <c r="L76" s="3232"/>
      <c r="M76" s="3079"/>
      <c r="N76" s="3232"/>
      <c r="O76" s="3079"/>
      <c r="P76" s="3232"/>
      <c r="Q76" s="3079"/>
      <c r="R76" s="3232"/>
      <c r="S76" s="3079"/>
    </row>
    <row r="77" spans="1:19">
      <c r="A77" s="3234"/>
      <c r="B77" s="3254" t="s">
        <v>6771</v>
      </c>
      <c r="C77" s="2056" t="s">
        <v>1486</v>
      </c>
      <c r="D77" s="3247">
        <v>673</v>
      </c>
      <c r="E77" s="3213" t="s">
        <v>2864</v>
      </c>
      <c r="F77" s="3248"/>
      <c r="G77" s="662">
        <f t="shared" si="7"/>
        <v>0</v>
      </c>
      <c r="H77" s="3232" t="s">
        <v>2931</v>
      </c>
      <c r="I77" s="3079"/>
      <c r="J77" s="3112" t="s">
        <v>2931</v>
      </c>
      <c r="K77" s="3091"/>
      <c r="L77" s="3232"/>
      <c r="M77" s="3178"/>
      <c r="N77" s="3232"/>
      <c r="O77" s="3178"/>
      <c r="P77" s="3232"/>
      <c r="Q77" s="3079"/>
      <c r="R77" s="3232"/>
      <c r="S77" s="3079"/>
    </row>
    <row r="78" spans="1:19" s="175" customFormat="1" ht="30">
      <c r="A78" s="3234"/>
      <c r="B78" s="3253" t="s">
        <v>6772</v>
      </c>
      <c r="C78" s="2056" t="s">
        <v>1486</v>
      </c>
      <c r="D78" s="3013">
        <v>86</v>
      </c>
      <c r="E78" s="3014" t="s">
        <v>2864</v>
      </c>
      <c r="F78" s="3023"/>
      <c r="G78" s="662">
        <f t="shared" si="7"/>
        <v>0</v>
      </c>
      <c r="H78" s="3112" t="s">
        <v>2931</v>
      </c>
      <c r="I78" s="3091"/>
      <c r="J78" s="3232" t="s">
        <v>2931</v>
      </c>
      <c r="K78" s="3079"/>
      <c r="L78" s="3112"/>
      <c r="M78" s="3087"/>
      <c r="N78" s="3112"/>
      <c r="O78" s="3087"/>
      <c r="P78" s="3112"/>
      <c r="Q78" s="3091"/>
      <c r="R78" s="3112"/>
      <c r="S78" s="3091"/>
    </row>
    <row r="79" spans="1:19">
      <c r="A79" s="3234"/>
      <c r="B79" s="3246" t="s">
        <v>6770</v>
      </c>
      <c r="C79" s="2056" t="s">
        <v>1486</v>
      </c>
      <c r="D79" s="3247">
        <v>1</v>
      </c>
      <c r="E79" s="3213" t="s">
        <v>2803</v>
      </c>
      <c r="F79" s="3248"/>
      <c r="G79" s="662">
        <f t="shared" si="7"/>
        <v>0</v>
      </c>
      <c r="H79" s="3232"/>
      <c r="I79" s="3079"/>
      <c r="J79" s="3232"/>
      <c r="K79" s="3079"/>
      <c r="L79" s="3232"/>
      <c r="M79" s="3079"/>
      <c r="N79" s="3232"/>
      <c r="O79" s="3079"/>
      <c r="P79" s="3232"/>
      <c r="Q79" s="3079"/>
      <c r="R79" s="3232"/>
      <c r="S79" s="3079"/>
    </row>
    <row r="80" spans="1:19">
      <c r="A80" s="3234"/>
      <c r="B80" s="3246"/>
      <c r="C80" s="3211"/>
      <c r="D80" s="3247"/>
      <c r="E80" s="3213"/>
      <c r="F80" s="3248"/>
      <c r="G80" s="662">
        <f t="shared" si="7"/>
        <v>0</v>
      </c>
      <c r="H80" s="3232"/>
      <c r="I80" s="3079"/>
      <c r="J80" s="3232"/>
      <c r="K80" s="3079"/>
      <c r="L80" s="3232"/>
      <c r="M80" s="3079"/>
      <c r="N80" s="3232"/>
      <c r="O80" s="3079"/>
      <c r="P80" s="3232"/>
      <c r="Q80" s="3079"/>
      <c r="R80" s="3232"/>
      <c r="S80" s="3079"/>
    </row>
    <row r="81" spans="1:19">
      <c r="A81" s="3234"/>
      <c r="B81" s="3255" t="s">
        <v>6773</v>
      </c>
      <c r="C81" s="3211"/>
      <c r="D81" s="3247"/>
      <c r="E81" s="3213"/>
      <c r="F81" s="3248"/>
      <c r="G81" s="662">
        <f t="shared" si="7"/>
        <v>0</v>
      </c>
      <c r="H81" s="3232"/>
      <c r="I81" s="3080">
        <f>SUBTOTAL(9,I82:I89)</f>
        <v>400000</v>
      </c>
      <c r="J81" s="3232"/>
      <c r="K81" s="3080">
        <f>SUBTOTAL(9,K82:K89)</f>
        <v>400000</v>
      </c>
      <c r="L81" s="3232"/>
      <c r="M81" s="3080">
        <f>SUBTOTAL(9,M82:M89)</f>
        <v>400000</v>
      </c>
      <c r="N81" s="3232"/>
      <c r="O81" s="3080">
        <f>SUBTOTAL(9,O82:O89)</f>
        <v>400000</v>
      </c>
      <c r="P81" s="3232"/>
      <c r="Q81" s="3080">
        <f>SUBTOTAL(9,Q82:Q89)</f>
        <v>0</v>
      </c>
      <c r="R81" s="3232"/>
      <c r="S81" s="3080">
        <f>SUBTOTAL(9,S82:S89)</f>
        <v>0</v>
      </c>
    </row>
    <row r="82" spans="1:19" s="175" customFormat="1" ht="45">
      <c r="A82" s="3114" t="s">
        <v>2587</v>
      </c>
      <c r="B82" s="3250" t="s">
        <v>2679</v>
      </c>
      <c r="C82" s="2056"/>
      <c r="D82" s="3013">
        <v>1</v>
      </c>
      <c r="E82" s="3014" t="s">
        <v>2818</v>
      </c>
      <c r="F82" s="3023">
        <v>400000</v>
      </c>
      <c r="G82" s="653">
        <f t="shared" si="7"/>
        <v>400000</v>
      </c>
      <c r="H82" s="3112"/>
      <c r="I82" s="3113">
        <f>$G82</f>
        <v>400000</v>
      </c>
      <c r="J82" s="3112"/>
      <c r="K82" s="3113">
        <f>$G82</f>
        <v>400000</v>
      </c>
      <c r="L82" s="3112"/>
      <c r="M82" s="3113">
        <f>$G82</f>
        <v>400000</v>
      </c>
      <c r="N82" s="3112"/>
      <c r="O82" s="3113">
        <f>$G82</f>
        <v>400000</v>
      </c>
      <c r="P82" s="3112"/>
      <c r="Q82" s="3113"/>
      <c r="R82" s="3112"/>
      <c r="S82" s="3113"/>
    </row>
    <row r="83" spans="1:19">
      <c r="A83" s="3234"/>
      <c r="B83" s="3246"/>
      <c r="C83" s="3211"/>
      <c r="D83" s="3247"/>
      <c r="E83" s="3213"/>
      <c r="F83" s="3248"/>
      <c r="G83" s="662">
        <f t="shared" si="7"/>
        <v>0</v>
      </c>
      <c r="H83" s="3232"/>
      <c r="I83" s="3079"/>
      <c r="J83" s="3232"/>
      <c r="K83" s="3079"/>
      <c r="L83" s="3232"/>
      <c r="M83" s="3079"/>
      <c r="N83" s="3232"/>
      <c r="O83" s="3079"/>
      <c r="P83" s="3232"/>
      <c r="Q83" s="3079"/>
      <c r="R83" s="3232"/>
      <c r="S83" s="3079"/>
    </row>
    <row r="84" spans="1:19">
      <c r="A84" s="3234"/>
      <c r="B84" s="3246"/>
      <c r="C84" s="3211"/>
      <c r="D84" s="3247"/>
      <c r="E84" s="3213"/>
      <c r="F84" s="3248"/>
      <c r="G84" s="662">
        <f t="shared" si="7"/>
        <v>0</v>
      </c>
      <c r="H84" s="3232"/>
      <c r="I84" s="3079"/>
      <c r="J84" s="3232"/>
      <c r="K84" s="3079"/>
      <c r="L84" s="3232"/>
      <c r="M84" s="3079"/>
      <c r="N84" s="3232"/>
      <c r="O84" s="3079"/>
      <c r="P84" s="3232"/>
      <c r="Q84" s="3079"/>
      <c r="R84" s="3232"/>
      <c r="S84" s="3079"/>
    </row>
    <row r="85" spans="1:19">
      <c r="A85" s="3234"/>
      <c r="B85" s="3246"/>
      <c r="C85" s="3211"/>
      <c r="D85" s="3247"/>
      <c r="E85" s="3213"/>
      <c r="F85" s="3248"/>
      <c r="G85" s="662">
        <f t="shared" si="7"/>
        <v>0</v>
      </c>
      <c r="H85" s="3232"/>
      <c r="I85" s="3079"/>
      <c r="J85" s="3232"/>
      <c r="K85" s="3079"/>
      <c r="L85" s="3232"/>
      <c r="M85" s="3079"/>
      <c r="N85" s="3232"/>
      <c r="O85" s="3079"/>
      <c r="P85" s="3232"/>
      <c r="Q85" s="3079"/>
      <c r="R85" s="3232"/>
      <c r="S85" s="3079"/>
    </row>
    <row r="86" spans="1:19">
      <c r="A86" s="3234"/>
      <c r="B86" s="3246"/>
      <c r="C86" s="3211"/>
      <c r="D86" s="3247"/>
      <c r="E86" s="3213"/>
      <c r="F86" s="3248"/>
      <c r="G86" s="662">
        <f t="shared" si="7"/>
        <v>0</v>
      </c>
      <c r="H86" s="3232"/>
      <c r="I86" s="3079"/>
      <c r="J86" s="3232"/>
      <c r="K86" s="3079"/>
      <c r="L86" s="3232"/>
      <c r="M86" s="3079"/>
      <c r="N86" s="3232"/>
      <c r="O86" s="3079"/>
      <c r="P86" s="3232"/>
      <c r="Q86" s="3079"/>
      <c r="R86" s="3232"/>
      <c r="S86" s="3079"/>
    </row>
    <row r="87" spans="1:19">
      <c r="A87" s="3234"/>
      <c r="B87" s="3246"/>
      <c r="C87" s="3211"/>
      <c r="D87" s="3247"/>
      <c r="E87" s="3213"/>
      <c r="F87" s="3248"/>
      <c r="G87" s="662">
        <f t="shared" si="7"/>
        <v>0</v>
      </c>
      <c r="H87" s="3232"/>
      <c r="I87" s="3079"/>
      <c r="J87" s="3232"/>
      <c r="K87" s="3079"/>
      <c r="L87" s="3232"/>
      <c r="M87" s="3079"/>
      <c r="N87" s="3232"/>
      <c r="O87" s="3079"/>
      <c r="P87" s="3232"/>
      <c r="Q87" s="3079"/>
      <c r="R87" s="3232"/>
      <c r="S87" s="3079"/>
    </row>
    <row r="88" spans="1:19">
      <c r="A88" s="3234"/>
      <c r="B88" s="3246"/>
      <c r="C88" s="3211"/>
      <c r="D88" s="3247"/>
      <c r="E88" s="3213"/>
      <c r="F88" s="3248"/>
      <c r="G88" s="662">
        <f t="shared" si="7"/>
        <v>0</v>
      </c>
      <c r="H88" s="3232"/>
      <c r="I88" s="3079"/>
      <c r="J88" s="3232"/>
      <c r="K88" s="3079"/>
      <c r="L88" s="3232"/>
      <c r="M88" s="3079"/>
      <c r="N88" s="3232"/>
      <c r="O88" s="3079"/>
      <c r="P88" s="3232"/>
      <c r="Q88" s="3079"/>
      <c r="R88" s="3232"/>
      <c r="S88" s="3079"/>
    </row>
    <row r="89" spans="1:19" ht="15.75" thickBot="1">
      <c r="A89" s="3234"/>
      <c r="B89" s="3256"/>
      <c r="C89" s="2205"/>
      <c r="D89" s="2206"/>
      <c r="E89" s="3213"/>
      <c r="F89" s="2207"/>
      <c r="G89" s="662"/>
      <c r="H89" s="3232"/>
      <c r="I89" s="3079"/>
      <c r="J89" s="3232"/>
      <c r="K89" s="3079"/>
      <c r="L89" s="3232"/>
      <c r="M89" s="3079"/>
      <c r="N89" s="3232"/>
      <c r="O89" s="3079"/>
      <c r="P89" s="3232"/>
      <c r="Q89" s="3079"/>
      <c r="R89" s="3232"/>
      <c r="S89" s="3079"/>
    </row>
    <row r="90" spans="1:19" ht="15.75" thickTop="1">
      <c r="A90" s="13"/>
      <c r="B90" s="226" t="s">
        <v>3265</v>
      </c>
      <c r="C90" s="15"/>
      <c r="D90" s="233"/>
      <c r="E90" s="176"/>
      <c r="F90" s="17"/>
      <c r="G90" s="227">
        <f>SUBTOTAL(9,G23:G89)</f>
        <v>730625</v>
      </c>
      <c r="H90" s="19"/>
      <c r="I90" s="225">
        <f>SUBTOTAL(9,I20:I89)</f>
        <v>5656677</v>
      </c>
      <c r="J90" s="19"/>
      <c r="K90" s="225">
        <f>SUBTOTAL(9,K20:K89)</f>
        <v>5687350</v>
      </c>
      <c r="L90" s="19"/>
      <c r="M90" s="225">
        <f>SUBTOTAL(9,M20:M89)</f>
        <v>6338331.8151397733</v>
      </c>
      <c r="N90" s="19"/>
      <c r="O90" s="225">
        <f>SUBTOTAL(9,O20:O89)</f>
        <v>6424193</v>
      </c>
      <c r="P90" s="19"/>
      <c r="Q90" s="225">
        <f>SUBTOTAL(9,Q20:Q89)</f>
        <v>0</v>
      </c>
      <c r="R90" s="19"/>
      <c r="S90" s="225">
        <f>SUBTOTAL(9,S20:S89)</f>
        <v>0</v>
      </c>
    </row>
    <row r="91" spans="1:19">
      <c r="A91" s="3116"/>
      <c r="B91" s="2208" t="s">
        <v>2976</v>
      </c>
      <c r="C91" s="2138"/>
      <c r="D91" s="3257"/>
      <c r="E91" s="2210"/>
      <c r="F91" s="2140"/>
      <c r="G91" s="654"/>
      <c r="H91" s="3118">
        <v>0</v>
      </c>
      <c r="I91" s="645"/>
      <c r="J91" s="3118">
        <v>0</v>
      </c>
      <c r="K91" s="645"/>
      <c r="L91" s="3118">
        <v>0</v>
      </c>
      <c r="M91" s="645"/>
      <c r="N91" s="3118">
        <v>0</v>
      </c>
      <c r="O91" s="645"/>
      <c r="P91" s="3118">
        <v>0</v>
      </c>
      <c r="Q91" s="645"/>
      <c r="R91" s="3118">
        <v>0</v>
      </c>
      <c r="S91" s="645"/>
    </row>
    <row r="92" spans="1:19">
      <c r="A92" s="3116"/>
      <c r="B92" s="2208" t="s">
        <v>2977</v>
      </c>
      <c r="C92" s="2138"/>
      <c r="D92" s="3257"/>
      <c r="E92" s="2210"/>
      <c r="F92" s="2140"/>
      <c r="G92" s="654">
        <f>F91*G90</f>
        <v>0</v>
      </c>
      <c r="H92" s="3119"/>
      <c r="I92" s="3120">
        <f>H91*I90</f>
        <v>0</v>
      </c>
      <c r="J92" s="3119"/>
      <c r="K92" s="3120">
        <f>J91*K90</f>
        <v>0</v>
      </c>
      <c r="L92" s="3119"/>
      <c r="M92" s="3120">
        <f>L91*M90</f>
        <v>0</v>
      </c>
      <c r="N92" s="3119"/>
      <c r="O92" s="3120">
        <f>N91*O90</f>
        <v>0</v>
      </c>
      <c r="P92" s="3119"/>
      <c r="Q92" s="3120">
        <f>P91*Q90</f>
        <v>0</v>
      </c>
      <c r="R92" s="3119"/>
      <c r="S92" s="3120">
        <f>R91*S90</f>
        <v>0</v>
      </c>
    </row>
    <row r="93" spans="1:19">
      <c r="A93" s="3116"/>
      <c r="B93" s="2208"/>
      <c r="C93" s="2138"/>
      <c r="D93" s="3257"/>
      <c r="E93" s="2210"/>
      <c r="F93" s="2140"/>
      <c r="G93" s="654"/>
      <c r="H93" s="3119"/>
      <c r="I93" s="3120"/>
      <c r="J93" s="3119"/>
      <c r="K93" s="3120"/>
      <c r="L93" s="3119"/>
      <c r="M93" s="3120"/>
      <c r="N93" s="3119"/>
      <c r="O93" s="3120"/>
      <c r="P93" s="3119"/>
      <c r="Q93" s="3120"/>
      <c r="R93" s="3119"/>
      <c r="S93" s="3120"/>
    </row>
    <row r="94" spans="1:19">
      <c r="A94" s="3116"/>
      <c r="B94" s="2208" t="s">
        <v>2978</v>
      </c>
      <c r="C94" s="2138"/>
      <c r="D94" s="3257"/>
      <c r="E94" s="2210"/>
      <c r="F94" s="2140"/>
      <c r="G94" s="654">
        <f>SUM(G90:G92)</f>
        <v>730625</v>
      </c>
      <c r="H94" s="3121"/>
      <c r="I94" s="3120">
        <f>SUM(I90:I92)</f>
        <v>5656677</v>
      </c>
      <c r="J94" s="3121"/>
      <c r="K94" s="3120">
        <f>SUM(K90:K92)</f>
        <v>5687350</v>
      </c>
      <c r="L94" s="3121"/>
      <c r="M94" s="3120">
        <f>SUM(M90:M92)</f>
        <v>6338331.8151397733</v>
      </c>
      <c r="N94" s="3121"/>
      <c r="O94" s="3120">
        <f>SUM(O90:O92)</f>
        <v>6424193</v>
      </c>
      <c r="P94" s="3121"/>
      <c r="Q94" s="3120">
        <f>SUM(Q90:Q92)</f>
        <v>0</v>
      </c>
      <c r="R94" s="3121"/>
      <c r="S94" s="3120">
        <f>SUM(S90:S92)</f>
        <v>0</v>
      </c>
    </row>
    <row r="95" spans="1:19">
      <c r="A95" s="3116"/>
      <c r="B95" s="2077" t="s">
        <v>2979</v>
      </c>
      <c r="C95" s="2138"/>
      <c r="D95" s="3257"/>
      <c r="E95" s="2210"/>
      <c r="F95" s="2077"/>
      <c r="G95" s="655">
        <v>0.79401931649331348</v>
      </c>
      <c r="H95" s="3122"/>
      <c r="I95" s="3123">
        <v>0</v>
      </c>
      <c r="J95" s="3122"/>
      <c r="K95" s="3123">
        <v>0</v>
      </c>
      <c r="L95" s="3122"/>
      <c r="M95" s="3123">
        <v>0</v>
      </c>
      <c r="N95" s="3122"/>
      <c r="O95" s="3123">
        <v>0</v>
      </c>
      <c r="P95" s="3122"/>
      <c r="Q95" s="3123">
        <v>0</v>
      </c>
      <c r="R95" s="3124"/>
      <c r="S95" s="3123">
        <v>0</v>
      </c>
    </row>
    <row r="96" spans="1:19">
      <c r="A96" s="3116"/>
      <c r="B96" s="2081"/>
      <c r="C96" s="2138"/>
      <c r="D96" s="3257"/>
      <c r="E96" s="2210"/>
      <c r="F96" s="2140"/>
      <c r="G96" s="656"/>
      <c r="H96" s="3125"/>
      <c r="I96" s="3126"/>
      <c r="J96" s="3125"/>
      <c r="K96" s="3126"/>
      <c r="L96" s="3125"/>
      <c r="M96" s="3126"/>
      <c r="N96" s="3125"/>
      <c r="O96" s="3126"/>
      <c r="P96" s="3125"/>
      <c r="Q96" s="3126"/>
      <c r="R96" s="3125"/>
      <c r="S96" s="3126"/>
    </row>
    <row r="97" spans="1:34" ht="16.5" hidden="1" thickTop="1" thickBot="1">
      <c r="A97" s="830" t="s">
        <v>2980</v>
      </c>
      <c r="B97" s="831"/>
      <c r="C97" s="12"/>
      <c r="D97" s="234"/>
      <c r="E97" s="177"/>
      <c r="F97" s="12"/>
      <c r="G97" s="228"/>
      <c r="H97" s="20"/>
      <c r="I97" s="20"/>
      <c r="J97" s="20"/>
      <c r="K97" s="20"/>
      <c r="L97" s="20"/>
      <c r="M97" s="20"/>
      <c r="N97" s="20"/>
      <c r="O97" s="20"/>
      <c r="P97" s="20"/>
      <c r="Q97" s="20"/>
      <c r="R97" s="20"/>
      <c r="S97" s="20"/>
    </row>
    <row r="98" spans="1:34" hidden="1">
      <c r="A98" s="3258"/>
      <c r="B98" s="3210"/>
      <c r="C98" s="3050"/>
      <c r="D98" s="3259"/>
      <c r="E98" s="3052"/>
      <c r="F98" s="3050"/>
      <c r="G98" s="3088"/>
      <c r="H98" s="3260"/>
      <c r="I98" s="3260"/>
      <c r="J98" s="3260"/>
      <c r="K98" s="3260"/>
      <c r="L98" s="3260"/>
      <c r="M98" s="3260"/>
      <c r="N98" s="3260"/>
      <c r="O98" s="3260"/>
      <c r="P98" s="3260"/>
      <c r="Q98" s="3260"/>
      <c r="R98" s="3260"/>
      <c r="S98" s="3260"/>
    </row>
    <row r="99" spans="1:34" hidden="1">
      <c r="A99" s="3258"/>
      <c r="B99" s="3210"/>
      <c r="C99" s="3050"/>
      <c r="D99" s="3259"/>
      <c r="E99" s="3052"/>
      <c r="F99" s="3050"/>
      <c r="G99" s="3088"/>
      <c r="H99" s="3260"/>
      <c r="I99" s="3260"/>
      <c r="J99" s="3260"/>
      <c r="K99" s="3260"/>
      <c r="L99" s="3260"/>
      <c r="M99" s="3260"/>
      <c r="N99" s="3260"/>
      <c r="O99" s="3260"/>
      <c r="P99" s="3260"/>
      <c r="Q99" s="3260"/>
      <c r="R99" s="3260"/>
      <c r="S99" s="3260"/>
    </row>
    <row r="100" spans="1:34" hidden="1">
      <c r="A100" s="3258"/>
      <c r="B100" s="3210"/>
      <c r="C100" s="3050"/>
      <c r="D100" s="3259"/>
      <c r="E100" s="3052"/>
      <c r="F100" s="3050"/>
      <c r="G100" s="3088"/>
      <c r="H100" s="3260"/>
      <c r="I100" s="3260"/>
      <c r="J100" s="3260"/>
      <c r="K100" s="3260"/>
      <c r="L100" s="3260"/>
      <c r="M100" s="3260"/>
      <c r="N100" s="3260"/>
      <c r="O100" s="3260"/>
      <c r="P100" s="3260"/>
      <c r="Q100" s="3260"/>
      <c r="R100" s="3260"/>
      <c r="S100" s="3260"/>
    </row>
    <row r="101" spans="1:34" s="2" customFormat="1" ht="16.5" hidden="1" thickTop="1" thickBot="1">
      <c r="A101" s="830" t="s">
        <v>2981</v>
      </c>
      <c r="B101" s="831"/>
      <c r="C101" s="12"/>
      <c r="D101" s="234"/>
      <c r="E101" s="177"/>
      <c r="F101" s="12"/>
      <c r="G101" s="228"/>
      <c r="H101" s="20"/>
      <c r="I101" s="20"/>
      <c r="J101" s="20"/>
      <c r="K101" s="20"/>
      <c r="L101" s="20"/>
      <c r="M101" s="20"/>
      <c r="N101" s="20"/>
      <c r="O101" s="20"/>
      <c r="P101" s="20"/>
      <c r="Q101" s="20"/>
      <c r="R101" s="20"/>
      <c r="S101" s="20"/>
      <c r="T101"/>
      <c r="U101"/>
      <c r="V101"/>
      <c r="W101"/>
      <c r="X101"/>
      <c r="Y101"/>
      <c r="Z101"/>
      <c r="AA101"/>
      <c r="AB101"/>
      <c r="AC101"/>
      <c r="AD101"/>
      <c r="AE101"/>
      <c r="AF101"/>
      <c r="AG101"/>
      <c r="AH101"/>
    </row>
    <row r="102" spans="1:34" s="2" customFormat="1" hidden="1">
      <c r="A102" s="3258"/>
      <c r="B102" s="3210"/>
      <c r="C102" s="3050"/>
      <c r="D102" s="3259"/>
      <c r="E102" s="3052"/>
      <c r="F102" s="3050"/>
      <c r="G102" s="3088"/>
      <c r="H102" s="3260"/>
      <c r="I102" s="3260"/>
      <c r="J102" s="3260"/>
      <c r="K102" s="3260"/>
      <c r="L102" s="3260"/>
      <c r="M102" s="3260"/>
      <c r="N102" s="3260"/>
      <c r="O102" s="3260"/>
      <c r="P102" s="3260"/>
      <c r="Q102" s="3260"/>
      <c r="R102" s="3260"/>
      <c r="S102" s="3260"/>
      <c r="T102"/>
      <c r="U102"/>
      <c r="V102"/>
      <c r="W102"/>
      <c r="X102"/>
      <c r="Y102"/>
      <c r="Z102"/>
      <c r="AA102"/>
      <c r="AB102"/>
      <c r="AC102"/>
      <c r="AD102"/>
      <c r="AE102"/>
      <c r="AF102"/>
      <c r="AG102"/>
      <c r="AH102"/>
    </row>
    <row r="103" spans="1:34" s="2" customFormat="1" hidden="1">
      <c r="A103" s="3258"/>
      <c r="B103" s="3210"/>
      <c r="C103" s="3050"/>
      <c r="D103" s="3259"/>
      <c r="E103" s="3052"/>
      <c r="F103" s="3050"/>
      <c r="G103" s="3088"/>
      <c r="H103" s="3260"/>
      <c r="I103" s="3260"/>
      <c r="J103" s="3260"/>
      <c r="K103" s="3260"/>
      <c r="L103" s="3260"/>
      <c r="M103" s="3260"/>
      <c r="N103" s="3260"/>
      <c r="O103" s="3260"/>
      <c r="P103" s="3260"/>
      <c r="Q103" s="3260"/>
      <c r="R103" s="3260"/>
      <c r="S103" s="3260"/>
      <c r="T103"/>
      <c r="U103"/>
      <c r="V103"/>
      <c r="W103"/>
      <c r="X103"/>
      <c r="Y103"/>
      <c r="Z103"/>
      <c r="AA103"/>
      <c r="AB103"/>
      <c r="AC103"/>
      <c r="AD103"/>
      <c r="AE103"/>
      <c r="AF103"/>
      <c r="AG103"/>
      <c r="AH103"/>
    </row>
    <row r="104" spans="1:34" hidden="1">
      <c r="A104" s="3258"/>
      <c r="B104" s="3210"/>
      <c r="C104" s="3050"/>
      <c r="D104" s="3259"/>
      <c r="E104" s="3052"/>
      <c r="F104" s="3050"/>
      <c r="G104" s="3088"/>
      <c r="H104" s="3260"/>
      <c r="I104" s="3260"/>
      <c r="J104" s="3260"/>
      <c r="K104" s="3260"/>
      <c r="L104" s="3260"/>
      <c r="M104" s="3260"/>
      <c r="N104" s="3260"/>
      <c r="O104" s="3260"/>
      <c r="P104" s="3260"/>
      <c r="Q104" s="3260"/>
      <c r="R104" s="3260"/>
      <c r="S104" s="3260"/>
    </row>
    <row r="105" spans="1:34" s="2" customFormat="1" ht="16.5" hidden="1" thickTop="1" thickBot="1">
      <c r="A105" s="830" t="s">
        <v>2982</v>
      </c>
      <c r="B105" s="831"/>
      <c r="C105" s="12"/>
      <c r="D105" s="234"/>
      <c r="E105" s="177"/>
      <c r="F105" s="12"/>
      <c r="G105" s="228"/>
      <c r="H105" s="20"/>
      <c r="I105" s="20"/>
      <c r="J105" s="20"/>
      <c r="K105" s="20"/>
      <c r="L105" s="20"/>
      <c r="M105" s="20"/>
      <c r="N105" s="20"/>
      <c r="O105" s="20"/>
      <c r="P105" s="20"/>
      <c r="Q105" s="20"/>
      <c r="R105" s="20"/>
      <c r="S105" s="20"/>
      <c r="T105"/>
      <c r="U105"/>
      <c r="V105"/>
      <c r="W105"/>
      <c r="X105"/>
      <c r="Y105"/>
      <c r="Z105"/>
      <c r="AA105"/>
      <c r="AB105"/>
      <c r="AC105"/>
      <c r="AD105"/>
      <c r="AE105"/>
      <c r="AF105"/>
      <c r="AG105"/>
      <c r="AH105"/>
    </row>
    <row r="106" spans="1:34" s="2" customFormat="1" hidden="1">
      <c r="A106" s="3258"/>
      <c r="B106" s="3210"/>
      <c r="C106" s="3050"/>
      <c r="D106" s="3259"/>
      <c r="E106" s="3052"/>
      <c r="F106" s="3050"/>
      <c r="G106" s="3088"/>
      <c r="H106" s="3260"/>
      <c r="I106" s="3260"/>
      <c r="J106" s="3260"/>
      <c r="K106" s="3260"/>
      <c r="L106" s="3260"/>
      <c r="M106" s="3260"/>
      <c r="N106" s="3260"/>
      <c r="O106" s="3260"/>
      <c r="P106" s="3260"/>
      <c r="Q106" s="3260"/>
      <c r="R106" s="3260"/>
      <c r="S106" s="3260"/>
      <c r="T106"/>
      <c r="U106"/>
      <c r="V106"/>
      <c r="W106"/>
      <c r="X106"/>
      <c r="Y106"/>
      <c r="Z106"/>
      <c r="AA106"/>
      <c r="AB106"/>
      <c r="AC106"/>
      <c r="AD106"/>
      <c r="AE106"/>
      <c r="AF106"/>
      <c r="AG106"/>
      <c r="AH106"/>
    </row>
    <row r="107" spans="1:34" s="2" customFormat="1" hidden="1">
      <c r="A107" s="3128"/>
      <c r="B107" s="3210"/>
      <c r="C107" s="3211"/>
      <c r="D107" s="3212"/>
      <c r="E107" s="3213"/>
      <c r="F107" s="3211"/>
      <c r="G107" s="2086"/>
      <c r="H107" s="3129"/>
      <c r="I107" s="3129"/>
      <c r="J107" s="3129"/>
      <c r="K107" s="3129"/>
      <c r="L107" s="3129"/>
      <c r="M107" s="3129"/>
      <c r="N107" s="3129"/>
      <c r="O107" s="3129"/>
      <c r="P107" s="3129"/>
      <c r="Q107" s="3129"/>
      <c r="R107" s="3129"/>
      <c r="S107" s="3129"/>
      <c r="T107"/>
      <c r="U107"/>
      <c r="V107"/>
      <c r="W107"/>
      <c r="X107"/>
      <c r="Y107"/>
      <c r="Z107"/>
      <c r="AA107"/>
      <c r="AB107"/>
      <c r="AC107"/>
      <c r="AD107"/>
      <c r="AE107"/>
      <c r="AF107"/>
      <c r="AG107"/>
      <c r="AH107"/>
    </row>
    <row r="108" spans="1:34" s="2" customFormat="1" hidden="1">
      <c r="A108" s="3130"/>
      <c r="B108" s="2089"/>
      <c r="C108" s="3211"/>
      <c r="D108" s="3212"/>
      <c r="E108" s="3213"/>
      <c r="F108" s="3211"/>
      <c r="G108" s="2086"/>
      <c r="H108" s="3131"/>
      <c r="I108" s="3131"/>
      <c r="J108" s="3131"/>
      <c r="K108" s="3131"/>
      <c r="L108" s="3131"/>
      <c r="M108" s="3131"/>
      <c r="N108" s="3131"/>
      <c r="O108" s="3131"/>
      <c r="P108" s="3131"/>
      <c r="Q108" s="3131"/>
      <c r="R108" s="3131"/>
      <c r="S108" s="3131"/>
    </row>
    <row r="109" spans="1:34" s="2" customFormat="1" ht="16.5" hidden="1" thickTop="1" thickBot="1">
      <c r="A109" s="830" t="s">
        <v>2983</v>
      </c>
      <c r="B109" s="831"/>
      <c r="C109" s="12"/>
      <c r="D109" s="234"/>
      <c r="E109" s="177"/>
      <c r="F109" s="12"/>
      <c r="G109" s="228"/>
      <c r="H109" s="20"/>
      <c r="I109" s="20"/>
      <c r="J109" s="20"/>
      <c r="K109" s="20"/>
      <c r="L109" s="20"/>
      <c r="M109" s="20"/>
      <c r="N109" s="20"/>
      <c r="O109" s="20"/>
      <c r="P109" s="20"/>
      <c r="Q109" s="20"/>
      <c r="R109" s="20"/>
      <c r="S109" s="20"/>
      <c r="T109"/>
      <c r="U109"/>
      <c r="V109"/>
      <c r="W109"/>
      <c r="X109"/>
      <c r="Y109"/>
      <c r="Z109"/>
      <c r="AA109"/>
      <c r="AB109"/>
      <c r="AC109"/>
      <c r="AD109"/>
      <c r="AE109"/>
      <c r="AF109"/>
      <c r="AG109"/>
      <c r="AH109"/>
    </row>
    <row r="110" spans="1:34" hidden="1">
      <c r="A110" s="3261"/>
      <c r="B110" s="3060"/>
      <c r="C110" s="3050"/>
      <c r="D110" s="3259"/>
      <c r="E110" s="3052"/>
      <c r="F110" s="3050"/>
      <c r="G110" s="3088"/>
      <c r="H110" s="3260"/>
      <c r="I110" s="3260"/>
      <c r="J110" s="3260"/>
      <c r="K110" s="3260"/>
      <c r="L110" s="3260"/>
      <c r="M110" s="3260"/>
      <c r="N110" s="3260"/>
      <c r="O110" s="3260"/>
      <c r="P110" s="3260"/>
      <c r="Q110" s="3260"/>
      <c r="R110" s="3260"/>
      <c r="S110" s="3260"/>
      <c r="T110" s="2"/>
      <c r="U110" s="2"/>
      <c r="V110" s="2"/>
      <c r="W110" s="2"/>
      <c r="X110" s="2"/>
      <c r="Y110" s="2"/>
      <c r="Z110" s="2"/>
      <c r="AA110" s="2"/>
      <c r="AB110" s="2"/>
      <c r="AC110" s="2"/>
      <c r="AD110" s="2"/>
      <c r="AE110" s="2"/>
      <c r="AF110" s="2"/>
      <c r="AG110" s="2"/>
      <c r="AH110" s="2"/>
    </row>
    <row r="111" spans="1:34" hidden="1">
      <c r="A111" s="3130"/>
      <c r="B111" s="2089"/>
      <c r="C111" s="3211"/>
      <c r="D111" s="3212"/>
      <c r="E111" s="3213"/>
      <c r="F111" s="3211"/>
      <c r="G111" s="2086"/>
      <c r="H111" s="3132"/>
      <c r="I111" s="3132"/>
      <c r="J111" s="3132"/>
      <c r="K111" s="3132"/>
      <c r="L111" s="3132"/>
      <c r="M111" s="3132"/>
      <c r="N111" s="3132"/>
      <c r="O111" s="3132"/>
      <c r="P111" s="3132"/>
      <c r="Q111" s="3132"/>
      <c r="R111" s="3132"/>
      <c r="S111" s="3132"/>
      <c r="T111" s="2"/>
      <c r="U111" s="2"/>
      <c r="V111" s="2"/>
      <c r="W111" s="2"/>
      <c r="X111" s="2"/>
      <c r="Y111" s="2"/>
      <c r="Z111" s="2"/>
      <c r="AA111" s="2"/>
      <c r="AB111" s="2"/>
      <c r="AC111" s="2"/>
      <c r="AD111" s="2"/>
      <c r="AE111" s="2"/>
      <c r="AF111" s="2"/>
      <c r="AG111" s="2"/>
      <c r="AH111" s="2"/>
    </row>
    <row r="112" spans="1:34" hidden="1">
      <c r="A112" s="3130"/>
      <c r="B112" s="2089"/>
      <c r="C112" s="3211"/>
      <c r="D112" s="3212"/>
      <c r="E112" s="3213"/>
      <c r="F112" s="3211"/>
      <c r="G112" s="2086"/>
      <c r="H112" s="3132"/>
      <c r="I112" s="3132"/>
      <c r="J112" s="3132"/>
      <c r="K112" s="3132"/>
      <c r="L112" s="3132"/>
      <c r="M112" s="3132"/>
      <c r="N112" s="3132"/>
      <c r="O112" s="3132"/>
      <c r="P112" s="3132"/>
      <c r="Q112" s="3132"/>
      <c r="R112" s="3132"/>
      <c r="S112" s="3132"/>
      <c r="T112" s="2"/>
      <c r="U112" s="2"/>
      <c r="V112" s="2"/>
      <c r="W112" s="2"/>
      <c r="X112" s="2"/>
      <c r="Y112" s="2"/>
      <c r="Z112" s="2"/>
      <c r="AA112" s="2"/>
      <c r="AB112" s="2"/>
      <c r="AC112" s="2"/>
      <c r="AD112" s="2"/>
      <c r="AE112" s="2"/>
      <c r="AF112" s="2"/>
      <c r="AG112" s="2"/>
      <c r="AH112" s="2"/>
    </row>
    <row r="113" spans="1:19" ht="16.5" hidden="1" thickTop="1" thickBot="1">
      <c r="A113" s="830" t="s">
        <v>2984</v>
      </c>
      <c r="B113" s="831"/>
      <c r="C113" s="12"/>
      <c r="D113" s="234"/>
      <c r="E113" s="177"/>
      <c r="F113" s="12"/>
      <c r="G113" s="228"/>
      <c r="H113" s="20"/>
      <c r="I113" s="20"/>
      <c r="J113" s="20"/>
      <c r="K113" s="20"/>
      <c r="L113" s="20"/>
      <c r="M113" s="20"/>
      <c r="N113" s="20"/>
      <c r="O113" s="20"/>
      <c r="P113" s="20"/>
      <c r="Q113" s="20"/>
      <c r="R113" s="20"/>
      <c r="S113" s="20"/>
    </row>
    <row r="114" spans="1:19" hidden="1">
      <c r="A114" s="3128"/>
      <c r="B114" s="3210" t="s">
        <v>2985</v>
      </c>
      <c r="C114" s="3211"/>
      <c r="D114" s="3212"/>
      <c r="E114" s="3213"/>
      <c r="F114" s="3211"/>
      <c r="G114" s="2086"/>
      <c r="H114" s="3132"/>
      <c r="I114" s="3132"/>
      <c r="J114" s="3132"/>
      <c r="K114" s="3132"/>
      <c r="L114" s="3132"/>
      <c r="M114" s="3132"/>
      <c r="N114" s="3132"/>
      <c r="O114" s="3132"/>
      <c r="P114" s="3132"/>
      <c r="Q114" s="3132"/>
      <c r="R114" s="3132"/>
      <c r="S114" s="3132"/>
    </row>
    <row r="115" spans="1:19" hidden="1">
      <c r="A115" s="3128"/>
      <c r="B115" s="3210" t="s">
        <v>2986</v>
      </c>
      <c r="C115" s="3211"/>
      <c r="D115" s="3212"/>
      <c r="E115" s="3213"/>
      <c r="F115" s="3211"/>
      <c r="G115" s="2086"/>
      <c r="H115" s="3132"/>
      <c r="I115" s="3132"/>
      <c r="J115" s="3132"/>
      <c r="K115" s="3132"/>
      <c r="L115" s="3132"/>
      <c r="M115" s="3132"/>
      <c r="N115" s="3132"/>
      <c r="O115" s="3132"/>
      <c r="P115" s="3132"/>
      <c r="Q115" s="3132"/>
      <c r="R115" s="3132"/>
      <c r="S115" s="3132"/>
    </row>
    <row r="116" spans="1:19" hidden="1">
      <c r="A116" s="3128"/>
      <c r="B116" s="3210" t="s">
        <v>2987</v>
      </c>
      <c r="C116" s="3211"/>
      <c r="D116" s="3212"/>
      <c r="E116" s="3213"/>
      <c r="F116" s="3211"/>
      <c r="G116" s="2086"/>
      <c r="H116" s="3132"/>
      <c r="I116" s="3132"/>
      <c r="J116" s="3132"/>
      <c r="K116" s="3132"/>
      <c r="L116" s="3132"/>
      <c r="M116" s="3132"/>
      <c r="N116" s="3132"/>
      <c r="O116" s="3132"/>
      <c r="P116" s="3132"/>
      <c r="Q116" s="3132"/>
      <c r="R116" s="3132"/>
      <c r="S116" s="3132"/>
    </row>
    <row r="117" spans="1:19" hidden="1">
      <c r="A117" s="3128"/>
      <c r="B117" s="3210" t="s">
        <v>2988</v>
      </c>
      <c r="C117" s="3211"/>
      <c r="D117" s="3212"/>
      <c r="E117" s="3213"/>
      <c r="F117" s="3211"/>
      <c r="G117" s="2086"/>
      <c r="H117" s="3132"/>
      <c r="I117" s="3132"/>
      <c r="J117" s="3132"/>
      <c r="K117" s="3132"/>
      <c r="L117" s="3132"/>
      <c r="M117" s="3132"/>
      <c r="N117" s="3132"/>
      <c r="O117" s="3132"/>
      <c r="P117" s="3132"/>
      <c r="Q117" s="3132"/>
      <c r="R117" s="3132"/>
      <c r="S117" s="3132"/>
    </row>
    <row r="118" spans="1:19" hidden="1">
      <c r="A118" s="646"/>
      <c r="B118" s="619"/>
      <c r="C118" s="616"/>
      <c r="D118" s="617"/>
      <c r="E118" s="622"/>
      <c r="F118" s="616"/>
      <c r="G118" s="620"/>
      <c r="H118" s="647"/>
      <c r="I118" s="647"/>
      <c r="J118" s="647"/>
      <c r="K118" s="647"/>
      <c r="L118" s="647"/>
      <c r="M118" s="647"/>
      <c r="N118" s="647"/>
      <c r="O118" s="647"/>
      <c r="P118" s="647"/>
      <c r="Q118" s="647"/>
      <c r="R118" s="647"/>
      <c r="S118" s="647"/>
    </row>
    <row r="119" spans="1:19" ht="16.5" hidden="1" thickTop="1" thickBot="1">
      <c r="A119" s="7" t="s">
        <v>2989</v>
      </c>
      <c r="B119" s="8"/>
      <c r="C119" s="12"/>
      <c r="D119" s="234"/>
      <c r="E119" s="177"/>
      <c r="F119" s="12"/>
      <c r="G119" s="228"/>
      <c r="H119" s="20"/>
      <c r="I119" s="20"/>
      <c r="J119" s="20"/>
      <c r="K119" s="20"/>
      <c r="L119" s="20"/>
      <c r="M119" s="20"/>
      <c r="N119" s="20"/>
      <c r="O119" s="20"/>
      <c r="P119" s="20"/>
      <c r="Q119" s="20"/>
      <c r="R119" s="20"/>
      <c r="S119" s="20"/>
    </row>
    <row r="120" spans="1:19" hidden="1">
      <c r="A120" s="3258"/>
      <c r="B120" s="3061" t="s">
        <v>2990</v>
      </c>
      <c r="C120" s="3050"/>
      <c r="D120" s="3259"/>
      <c r="E120" s="3052"/>
      <c r="F120" s="3050"/>
      <c r="G120" s="3088"/>
      <c r="H120" s="3196"/>
      <c r="I120" s="3196"/>
      <c r="J120" s="3196"/>
      <c r="K120" s="3196"/>
      <c r="L120" s="3196"/>
      <c r="M120" s="3196"/>
      <c r="N120" s="3196"/>
      <c r="O120" s="3196"/>
      <c r="P120" s="3196"/>
      <c r="Q120" s="3196"/>
      <c r="R120" s="3196"/>
      <c r="S120" s="3196"/>
    </row>
    <row r="121" spans="1:19" hidden="1">
      <c r="A121" s="3128"/>
      <c r="B121" s="3210" t="s">
        <v>2991</v>
      </c>
      <c r="C121" s="3211"/>
      <c r="D121" s="3212"/>
      <c r="E121" s="3213"/>
      <c r="F121" s="3211"/>
      <c r="G121" s="2086"/>
      <c r="H121" s="3133"/>
      <c r="I121" s="3133"/>
      <c r="J121" s="3133"/>
      <c r="K121" s="3133"/>
      <c r="L121" s="3133"/>
      <c r="M121" s="3133"/>
      <c r="N121" s="3133"/>
      <c r="O121" s="3133"/>
      <c r="P121" s="3133"/>
      <c r="Q121" s="3133"/>
      <c r="R121" s="3133"/>
      <c r="S121" s="3133"/>
    </row>
    <row r="122" spans="1:19" ht="15.75" hidden="1" thickBot="1">
      <c r="A122" s="3262"/>
      <c r="B122" s="3224" t="s">
        <v>2992</v>
      </c>
      <c r="C122" s="3225"/>
      <c r="D122" s="3263"/>
      <c r="E122" s="3264"/>
      <c r="F122" s="3225"/>
      <c r="G122" s="3265"/>
      <c r="H122" s="3266"/>
      <c r="I122" s="3266"/>
      <c r="J122" s="3266"/>
      <c r="K122" s="3266"/>
      <c r="L122" s="3266"/>
      <c r="M122" s="3266"/>
      <c r="N122" s="3266"/>
      <c r="O122" s="3266"/>
      <c r="P122" s="3266"/>
      <c r="Q122" s="3266"/>
      <c r="R122" s="3266"/>
      <c r="S122" s="3266"/>
    </row>
    <row r="123" spans="1:19" ht="15.75" thickBot="1"/>
    <row r="124" spans="1:19" ht="16.5" thickTop="1" thickBot="1">
      <c r="A124" s="59" t="s">
        <v>2993</v>
      </c>
      <c r="B124" s="61"/>
      <c r="G124" s="2" t="s">
        <v>3584</v>
      </c>
      <c r="I124" s="236"/>
      <c r="J124" s="236"/>
      <c r="K124" s="236"/>
      <c r="M124" s="236">
        <f>M143</f>
        <v>5180985.7</v>
      </c>
      <c r="O124" s="236"/>
    </row>
    <row r="125" spans="1:19" ht="15.75" thickTop="1">
      <c r="A125" s="60" t="s">
        <v>2936</v>
      </c>
      <c r="B125" s="3139"/>
      <c r="I125" s="236"/>
      <c r="K125" s="236"/>
      <c r="M125" s="236"/>
      <c r="O125" s="236"/>
    </row>
    <row r="126" spans="1:19">
      <c r="A126" s="3140" t="s">
        <v>2939</v>
      </c>
      <c r="B126" s="3139"/>
      <c r="G126" s="2" t="s">
        <v>3585</v>
      </c>
      <c r="I126" s="529"/>
      <c r="J126" s="236"/>
      <c r="K126" s="529"/>
      <c r="M126" s="529"/>
      <c r="O126" s="529"/>
    </row>
    <row r="127" spans="1:19">
      <c r="A127" s="3141" t="s">
        <v>2941</v>
      </c>
      <c r="B127" s="3142"/>
      <c r="G127" s="2" t="s">
        <v>3586</v>
      </c>
      <c r="I127" s="527"/>
      <c r="J127" s="236"/>
      <c r="K127" s="527"/>
      <c r="M127" s="527"/>
      <c r="O127" s="527"/>
    </row>
    <row r="128" spans="1:19">
      <c r="A128" s="3141" t="s">
        <v>2943</v>
      </c>
      <c r="B128" s="3143"/>
      <c r="G128" s="2" t="s">
        <v>3587</v>
      </c>
      <c r="I128" s="528"/>
      <c r="J128" s="236"/>
      <c r="K128" s="528"/>
      <c r="M128" s="528"/>
      <c r="O128" s="528"/>
    </row>
    <row r="129" spans="1:17" ht="15.75" thickBot="1">
      <c r="A129" s="3267" t="s">
        <v>2994</v>
      </c>
      <c r="B129" s="3268">
        <f>I94</f>
        <v>5656677</v>
      </c>
      <c r="G129" s="2" t="s">
        <v>3588</v>
      </c>
      <c r="I129" s="3146"/>
      <c r="J129" s="236"/>
      <c r="K129" s="3146"/>
      <c r="M129" s="3146"/>
      <c r="O129" s="3146"/>
    </row>
    <row r="130" spans="1:17" ht="15.75" thickTop="1">
      <c r="G130" s="2" t="s">
        <v>3589</v>
      </c>
      <c r="I130" s="236">
        <f>SUM(I124:I129)</f>
        <v>0</v>
      </c>
      <c r="J130" s="236"/>
      <c r="K130" s="236">
        <f>SUM(K124:K129)</f>
        <v>0</v>
      </c>
      <c r="M130" s="236">
        <f>SUM(M124:M129)</f>
        <v>5180985.7</v>
      </c>
      <c r="O130" s="236">
        <f>SUM(O124:O129)</f>
        <v>0</v>
      </c>
    </row>
    <row r="131" spans="1:17">
      <c r="A131" s="62"/>
      <c r="B131" s="1" t="s">
        <v>2995</v>
      </c>
      <c r="G131" s="2" t="s">
        <v>3590</v>
      </c>
      <c r="I131" s="3147">
        <f>I90</f>
        <v>5656677</v>
      </c>
      <c r="J131" s="236"/>
      <c r="K131" s="3147">
        <f>K90</f>
        <v>5687350</v>
      </c>
      <c r="M131" s="3147">
        <f>M90</f>
        <v>6338331.8151397733</v>
      </c>
      <c r="O131" s="3147">
        <f>O90</f>
        <v>6424193</v>
      </c>
    </row>
    <row r="132" spans="1:17">
      <c r="A132" s="63"/>
      <c r="B132" s="1" t="s">
        <v>2996</v>
      </c>
      <c r="G132" s="2" t="s">
        <v>3591</v>
      </c>
      <c r="I132" s="236">
        <f>I131-I130</f>
        <v>5656677</v>
      </c>
      <c r="J132" s="236"/>
      <c r="K132" s="236">
        <f>K131-K130</f>
        <v>5687350</v>
      </c>
      <c r="M132" s="236">
        <f>M131-M130</f>
        <v>1157346.1151397731</v>
      </c>
      <c r="O132" s="236">
        <f>O131-O130</f>
        <v>6424193</v>
      </c>
    </row>
    <row r="134" spans="1:17">
      <c r="H134" s="236"/>
      <c r="I134" s="236"/>
      <c r="K134" s="236"/>
      <c r="L134" s="236"/>
      <c r="M134" s="236">
        <v>281750</v>
      </c>
      <c r="N134" s="236"/>
      <c r="O134" s="236"/>
    </row>
    <row r="135" spans="1:17">
      <c r="H135" s="236"/>
      <c r="I135" s="236"/>
      <c r="K135" s="236"/>
      <c r="L135" s="236"/>
      <c r="M135" s="236">
        <v>559450</v>
      </c>
      <c r="N135" s="236"/>
      <c r="O135" s="236"/>
    </row>
    <row r="136" spans="1:17">
      <c r="H136" s="236"/>
      <c r="I136" s="236"/>
      <c r="K136" s="236"/>
      <c r="L136" s="236"/>
      <c r="M136" s="236">
        <v>55375</v>
      </c>
      <c r="N136" s="236"/>
      <c r="O136" s="236"/>
    </row>
    <row r="137" spans="1:17">
      <c r="H137" s="236"/>
      <c r="I137" s="236"/>
      <c r="K137" s="236"/>
      <c r="L137" s="236"/>
      <c r="M137" s="236">
        <v>651250</v>
      </c>
      <c r="N137" s="236"/>
      <c r="O137" s="236"/>
    </row>
    <row r="138" spans="1:17">
      <c r="H138" s="236"/>
      <c r="I138" s="236"/>
      <c r="K138" s="236"/>
      <c r="L138" s="236"/>
      <c r="M138" s="236">
        <v>158969.5</v>
      </c>
      <c r="N138" s="236"/>
      <c r="O138" s="236"/>
    </row>
    <row r="139" spans="1:17">
      <c r="H139" s="236"/>
      <c r="I139" s="236"/>
      <c r="K139" s="236"/>
      <c r="L139" s="236"/>
      <c r="M139" s="236">
        <v>276014.49</v>
      </c>
      <c r="N139" s="236"/>
      <c r="O139" s="236"/>
    </row>
    <row r="140" spans="1:17">
      <c r="H140" s="236"/>
      <c r="I140" s="236"/>
      <c r="K140" s="236"/>
      <c r="L140" s="236"/>
      <c r="M140" s="236">
        <v>1986292.71</v>
      </c>
      <c r="N140" s="236"/>
      <c r="O140" s="236"/>
    </row>
    <row r="141" spans="1:17">
      <c r="H141" s="236"/>
      <c r="I141" s="236"/>
      <c r="K141" s="236"/>
      <c r="L141" s="236"/>
      <c r="M141" s="236">
        <v>830164</v>
      </c>
      <c r="N141" s="236"/>
      <c r="O141" s="236"/>
      <c r="Q141" s="2" t="s">
        <v>2804</v>
      </c>
    </row>
    <row r="142" spans="1:17">
      <c r="H142" s="236"/>
      <c r="I142" s="236"/>
      <c r="K142" s="236"/>
      <c r="L142" s="236"/>
      <c r="M142" s="3147">
        <v>381720</v>
      </c>
      <c r="N142" s="236"/>
      <c r="O142" s="236"/>
    </row>
    <row r="143" spans="1:17">
      <c r="H143" s="236"/>
      <c r="I143" s="236"/>
      <c r="K143" s="236"/>
      <c r="L143" s="236"/>
      <c r="M143" s="447">
        <f>SUM(M134:M142)</f>
        <v>5180985.7</v>
      </c>
      <c r="N143" s="236"/>
      <c r="O143" s="236"/>
    </row>
    <row r="145" spans="13:13">
      <c r="M145" s="447">
        <f>M143-M142</f>
        <v>4799265.7</v>
      </c>
    </row>
    <row r="146" spans="13:13">
      <c r="M146" s="563">
        <f>M142/M145</f>
        <v>7.9537167529607697E-2</v>
      </c>
    </row>
  </sheetData>
  <mergeCells count="35">
    <mergeCell ref="A97:B97"/>
    <mergeCell ref="J6:K6"/>
    <mergeCell ref="H6:I6"/>
    <mergeCell ref="P6:Q6"/>
    <mergeCell ref="P7:Q7"/>
    <mergeCell ref="L6:M6"/>
    <mergeCell ref="N6:O6"/>
    <mergeCell ref="J8:K8"/>
    <mergeCell ref="H8:I8"/>
    <mergeCell ref="N8:O8"/>
    <mergeCell ref="N7:O7"/>
    <mergeCell ref="J7:K7"/>
    <mergeCell ref="L7:M7"/>
    <mergeCell ref="J5:K5"/>
    <mergeCell ref="H5:I5"/>
    <mergeCell ref="P5:Q5"/>
    <mergeCell ref="H7:I7"/>
    <mergeCell ref="L5:M5"/>
    <mergeCell ref="N5:O5"/>
    <mergeCell ref="A101:B101"/>
    <mergeCell ref="A105:B105"/>
    <mergeCell ref="A109:B109"/>
    <mergeCell ref="A113:B113"/>
    <mergeCell ref="R5:S5"/>
    <mergeCell ref="R6:S6"/>
    <mergeCell ref="R7:S7"/>
    <mergeCell ref="R8:S8"/>
    <mergeCell ref="J9:K9"/>
    <mergeCell ref="N9:O9"/>
    <mergeCell ref="H9:I9"/>
    <mergeCell ref="L9:M9"/>
    <mergeCell ref="P9:Q9"/>
    <mergeCell ref="R9:S9"/>
    <mergeCell ref="L8:M8"/>
    <mergeCell ref="P8:Q8"/>
  </mergeCells>
  <conditionalFormatting sqref="H11:H18 J11:J18 L11:L18 N11:N18 P11:P18 R11:R18 H20:H89 J20:J89 L20:L89 N20:N89 P20:P89 R20:R89">
    <cfRule type="cellIs" dxfId="59" priority="15" operator="equal">
      <formula>"X"</formula>
    </cfRule>
    <cfRule type="cellIs" dxfId="58" priority="16" operator="equal">
      <formula>"I"</formula>
    </cfRule>
  </conditionalFormatting>
  <hyperlinks>
    <hyperlink ref="B4" location="'Cost Summary'!A1" display="BACK TO SUMMARY SHEET" xr:uid="{82FAED9F-65E0-4E7E-8245-8799C9290E8E}"/>
    <hyperlink ref="N8" r:id="rId1" xr:uid="{FA740474-3DC2-4B59-9846-C16E51E38CA1}"/>
    <hyperlink ref="J8" r:id="rId2" xr:uid="{25A4643E-9B9B-45DA-972A-656BFD7ABD5B}"/>
    <hyperlink ref="H8" r:id="rId3" xr:uid="{B07933F3-E5BD-44F8-B684-9A233E16CD79}"/>
    <hyperlink ref="L8" r:id="rId4" xr:uid="{EFCCCC67-9151-4DFF-A9BE-0B67159ABC80}"/>
  </hyperlinks>
  <printOptions horizontalCentered="1"/>
  <pageMargins left="0.2" right="0.2" top="0.5" bottom="0.75" header="0.3" footer="0.3"/>
  <pageSetup paperSize="3" scale="77" orientation="landscape" r:id="rId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BEA4A-DCCD-47D1-A4FD-9C299778295E}">
  <sheetPr>
    <tabColor rgb="FF00B050"/>
    <pageSetUpPr fitToPage="1"/>
  </sheetPr>
  <dimension ref="A1:AH183"/>
  <sheetViews>
    <sheetView zoomScale="90" zoomScaleNormal="90" workbookViewId="0">
      <pane xSplit="6" ySplit="10" topLeftCell="G82" activePane="bottomRight" state="frozen"/>
      <selection pane="bottomRight" activeCell="J9" sqref="J9:K9"/>
      <selection pane="bottomLeft" activeCell="M154" sqref="M154"/>
      <selection pane="topRight" activeCell="M154" sqref="M154"/>
    </sheetView>
  </sheetViews>
  <sheetFormatPr defaultColWidth="8.85546875" defaultRowHeight="15"/>
  <cols>
    <col min="1" max="1" width="10.85546875" customWidth="1"/>
    <col min="2" max="2" width="70.7109375" style="1" customWidth="1"/>
    <col min="3" max="3" width="10.85546875" style="2" hidden="1" customWidth="1"/>
    <col min="4" max="4" width="15.7109375" style="454" customWidth="1"/>
    <col min="5" max="5" width="7.42578125" style="79" customWidth="1"/>
    <col min="6" max="6" width="16.42578125" style="2" bestFit="1" customWidth="1"/>
    <col min="7" max="7" width="16.42578125" style="236"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2" max="22" width="20.42578125" bestFit="1" customWidth="1"/>
  </cols>
  <sheetData>
    <row r="1" spans="1:19">
      <c r="F1" s="178"/>
      <c r="G1" s="302" t="s">
        <v>2928</v>
      </c>
    </row>
    <row r="2" spans="1:19">
      <c r="F2" s="179" t="s">
        <v>2929</v>
      </c>
      <c r="G2" s="302" t="s">
        <v>2930</v>
      </c>
    </row>
    <row r="3" spans="1:19">
      <c r="F3" s="180" t="s">
        <v>2931</v>
      </c>
      <c r="G3" s="302" t="s">
        <v>2932</v>
      </c>
    </row>
    <row r="4" spans="1:19" ht="15.75" thickBot="1">
      <c r="B4" s="181" t="s">
        <v>2933</v>
      </c>
      <c r="F4" s="170"/>
      <c r="G4" s="236" t="s">
        <v>2934</v>
      </c>
    </row>
    <row r="5" spans="1:19" ht="15.75" customHeight="1" thickTop="1">
      <c r="A5" s="3" t="s">
        <v>2935</v>
      </c>
      <c r="B5" s="4" t="s">
        <v>84</v>
      </c>
      <c r="C5" s="5"/>
      <c r="D5" s="455"/>
      <c r="E5" s="171"/>
      <c r="F5" s="5"/>
      <c r="G5" s="303" t="s">
        <v>2936</v>
      </c>
      <c r="H5" s="837" t="s">
        <v>6774</v>
      </c>
      <c r="I5" s="838"/>
      <c r="J5" s="837" t="s">
        <v>6775</v>
      </c>
      <c r="K5" s="838"/>
      <c r="L5" s="837" t="s">
        <v>6776</v>
      </c>
      <c r="M5" s="838"/>
      <c r="N5" s="837" t="s">
        <v>6777</v>
      </c>
      <c r="O5" s="838"/>
      <c r="P5" s="841"/>
      <c r="Q5" s="842"/>
      <c r="R5" s="841"/>
      <c r="S5" s="842"/>
    </row>
    <row r="6" spans="1:19">
      <c r="A6" s="3148" t="s">
        <v>2938</v>
      </c>
      <c r="B6" s="2106" t="s">
        <v>6778</v>
      </c>
      <c r="C6" s="2049"/>
      <c r="D6" s="3269"/>
      <c r="E6" s="2051"/>
      <c r="F6" s="2049"/>
      <c r="G6" s="663" t="s">
        <v>2939</v>
      </c>
      <c r="H6" s="3149" t="s">
        <v>6779</v>
      </c>
      <c r="I6" s="839"/>
      <c r="J6" s="3149" t="s">
        <v>6780</v>
      </c>
      <c r="K6" s="839"/>
      <c r="L6" s="3149" t="s">
        <v>6781</v>
      </c>
      <c r="M6" s="839"/>
      <c r="N6" s="3270"/>
      <c r="O6" s="843"/>
      <c r="P6" s="3270"/>
      <c r="Q6" s="843"/>
      <c r="R6" s="3270"/>
      <c r="S6" s="843"/>
    </row>
    <row r="7" spans="1:19">
      <c r="A7" s="3148" t="s">
        <v>2940</v>
      </c>
      <c r="B7" s="2108" t="s">
        <v>2728</v>
      </c>
      <c r="C7" s="2049"/>
      <c r="D7" s="3269"/>
      <c r="E7" s="2051"/>
      <c r="F7" s="2049"/>
      <c r="G7" s="3271" t="s">
        <v>2941</v>
      </c>
      <c r="H7" s="3150" t="s">
        <v>6782</v>
      </c>
      <c r="I7" s="840"/>
      <c r="J7" s="3150" t="s">
        <v>6783</v>
      </c>
      <c r="K7" s="840"/>
      <c r="L7" s="3150" t="s">
        <v>6784</v>
      </c>
      <c r="M7" s="840"/>
      <c r="N7" s="3272"/>
      <c r="O7" s="844"/>
      <c r="P7" s="3272"/>
      <c r="Q7" s="844"/>
      <c r="R7" s="3272"/>
      <c r="S7" s="844"/>
    </row>
    <row r="8" spans="1:19">
      <c r="A8" s="3148" t="s">
        <v>2942</v>
      </c>
      <c r="B8" s="2111"/>
      <c r="C8" s="2049"/>
      <c r="D8" s="3269"/>
      <c r="E8" s="2051"/>
      <c r="F8" s="2049"/>
      <c r="G8" s="3271" t="s">
        <v>2943</v>
      </c>
      <c r="H8" s="3151" t="s">
        <v>6785</v>
      </c>
      <c r="I8" s="836"/>
      <c r="J8" s="3151" t="s">
        <v>6786</v>
      </c>
      <c r="K8" s="836"/>
      <c r="L8" s="3151" t="s">
        <v>6787</v>
      </c>
      <c r="M8" s="836"/>
      <c r="N8" s="3273"/>
      <c r="O8" s="845"/>
      <c r="P8" s="3273"/>
      <c r="Q8" s="845"/>
      <c r="R8" s="3273"/>
      <c r="S8" s="845"/>
    </row>
    <row r="9" spans="1:19" ht="15.75" thickBot="1">
      <c r="A9" s="3274"/>
      <c r="B9" s="3275"/>
      <c r="C9" s="616"/>
      <c r="D9" s="639"/>
      <c r="E9" s="622"/>
      <c r="F9" s="3276"/>
      <c r="G9" s="3277" t="s">
        <v>2944</v>
      </c>
      <c r="H9" s="3278">
        <f>I$127</f>
        <v>411508.93999999994</v>
      </c>
      <c r="I9" s="3279"/>
      <c r="J9" s="3280">
        <f>K$127</f>
        <v>285510.55000000005</v>
      </c>
      <c r="K9" s="3281"/>
      <c r="L9" s="3278">
        <f t="shared" ref="L9" si="0">M$127</f>
        <v>404826</v>
      </c>
      <c r="M9" s="3279"/>
      <c r="N9" s="3278">
        <f t="shared" ref="N9" si="1">O$127</f>
        <v>440518</v>
      </c>
      <c r="O9" s="3279"/>
      <c r="P9" s="3278">
        <f t="shared" ref="P9" si="2">Q$127</f>
        <v>0</v>
      </c>
      <c r="Q9" s="3279"/>
      <c r="R9" s="3278">
        <f t="shared" ref="R9" si="3">S$127</f>
        <v>0</v>
      </c>
      <c r="S9" s="3279"/>
    </row>
    <row r="10" spans="1:19" s="175" customFormat="1" ht="31.5" thickTop="1" thickBot="1">
      <c r="A10" s="160" t="s">
        <v>2945</v>
      </c>
      <c r="B10" s="172"/>
      <c r="C10" s="173" t="s">
        <v>2946</v>
      </c>
      <c r="D10" s="381" t="s">
        <v>2947</v>
      </c>
      <c r="E10" s="173" t="s">
        <v>2948</v>
      </c>
      <c r="F10" s="173" t="s">
        <v>2949</v>
      </c>
      <c r="G10" s="30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231"/>
      <c r="B11" s="2889" t="s">
        <v>2953</v>
      </c>
      <c r="C11" s="659"/>
      <c r="D11" s="3269"/>
      <c r="E11" s="2051"/>
      <c r="F11" s="2049"/>
      <c r="G11" s="662"/>
      <c r="H11" s="3158"/>
      <c r="I11" s="182"/>
      <c r="J11" s="3158"/>
      <c r="K11" s="3068"/>
      <c r="L11" s="3158"/>
      <c r="M11" s="3069"/>
      <c r="N11" s="3158"/>
      <c r="O11" s="3069"/>
      <c r="P11" s="3158"/>
      <c r="Q11" s="3069"/>
      <c r="R11" s="3158"/>
      <c r="S11" s="3069"/>
    </row>
    <row r="12" spans="1:19">
      <c r="A12" s="3233"/>
      <c r="B12" s="2963" t="s">
        <v>2954</v>
      </c>
      <c r="C12" s="2049"/>
      <c r="D12" s="3269"/>
      <c r="E12" s="2051"/>
      <c r="F12" s="2049"/>
      <c r="G12" s="662"/>
      <c r="H12" s="3158"/>
      <c r="I12" s="3069"/>
      <c r="J12" s="3158"/>
      <c r="K12" s="3068"/>
      <c r="L12" s="3158"/>
      <c r="M12" s="3069"/>
      <c r="N12" s="3158"/>
      <c r="O12" s="3069"/>
      <c r="P12" s="3158"/>
      <c r="Q12" s="3069"/>
      <c r="R12" s="3158"/>
      <c r="S12" s="3069"/>
    </row>
    <row r="13" spans="1:19">
      <c r="A13" s="3159"/>
      <c r="B13" s="3235" t="s">
        <v>2955</v>
      </c>
      <c r="C13" s="2049"/>
      <c r="D13" s="3269"/>
      <c r="E13" s="2051"/>
      <c r="F13" s="2049"/>
      <c r="G13" s="662"/>
      <c r="H13" s="3158"/>
      <c r="I13" s="3069"/>
      <c r="J13" s="3158"/>
      <c r="K13" s="3068"/>
      <c r="L13" s="3158"/>
      <c r="M13" s="3069"/>
      <c r="N13" s="3158"/>
      <c r="O13" s="3069"/>
      <c r="P13" s="3158"/>
      <c r="Q13" s="3069"/>
      <c r="R13" s="3158"/>
      <c r="S13" s="3069"/>
    </row>
    <row r="14" spans="1:19">
      <c r="A14" s="3159"/>
      <c r="B14" s="3236" t="s">
        <v>2956</v>
      </c>
      <c r="C14" s="2049"/>
      <c r="D14" s="3269"/>
      <c r="E14" s="2051"/>
      <c r="F14" s="2049"/>
      <c r="G14" s="662"/>
      <c r="H14" s="3158"/>
      <c r="I14" s="3069"/>
      <c r="J14" s="3158"/>
      <c r="K14" s="3068"/>
      <c r="L14" s="3158"/>
      <c r="M14" s="3069"/>
      <c r="N14" s="3158"/>
      <c r="O14" s="3069"/>
      <c r="P14" s="3158"/>
      <c r="Q14" s="3069"/>
      <c r="R14" s="3158"/>
      <c r="S14" s="3069"/>
    </row>
    <row r="15" spans="1:19">
      <c r="A15" s="3159"/>
      <c r="B15" s="3236" t="s">
        <v>2957</v>
      </c>
      <c r="C15" s="2049"/>
      <c r="D15" s="3269"/>
      <c r="E15" s="2051"/>
      <c r="F15" s="2049"/>
      <c r="G15" s="662"/>
      <c r="H15" s="3158"/>
      <c r="I15" s="3068"/>
      <c r="J15" s="3158"/>
      <c r="K15" s="3068"/>
      <c r="L15" s="3158"/>
      <c r="M15" s="3068"/>
      <c r="N15" s="3158"/>
      <c r="O15" s="3068"/>
      <c r="P15" s="3158"/>
      <c r="Q15" s="3068"/>
      <c r="R15" s="3158"/>
      <c r="S15" s="3068"/>
    </row>
    <row r="16" spans="1:19">
      <c r="A16" s="3159"/>
      <c r="B16" s="3236" t="s">
        <v>2958</v>
      </c>
      <c r="C16" s="2049"/>
      <c r="D16" s="3269"/>
      <c r="E16" s="2051"/>
      <c r="F16" s="2049"/>
      <c r="G16" s="662"/>
      <c r="H16" s="3158"/>
      <c r="I16" s="3069"/>
      <c r="J16" s="3158"/>
      <c r="K16" s="3068"/>
      <c r="L16" s="3158"/>
      <c r="M16" s="3069"/>
      <c r="N16" s="3158"/>
      <c r="O16" s="3069"/>
      <c r="P16" s="3158"/>
      <c r="Q16" s="3069"/>
      <c r="R16" s="3158"/>
      <c r="S16" s="3069"/>
    </row>
    <row r="17" spans="1:19">
      <c r="A17" s="3159"/>
      <c r="B17" s="3236" t="s">
        <v>2959</v>
      </c>
      <c r="C17" s="2049"/>
      <c r="D17" s="3269"/>
      <c r="E17" s="2051"/>
      <c r="F17" s="2049"/>
      <c r="G17" s="662"/>
      <c r="H17" s="3158"/>
      <c r="I17" s="3069"/>
      <c r="J17" s="3158"/>
      <c r="K17" s="3068"/>
      <c r="L17" s="3158"/>
      <c r="M17" s="3069"/>
      <c r="N17" s="3158"/>
      <c r="O17" s="3069"/>
      <c r="P17" s="3158"/>
      <c r="Q17" s="3069"/>
      <c r="R17" s="3158"/>
      <c r="S17" s="3069"/>
    </row>
    <row r="18" spans="1:19">
      <c r="A18" s="3159"/>
      <c r="B18" s="3238" t="s">
        <v>2960</v>
      </c>
      <c r="C18" s="2049"/>
      <c r="D18" s="3269"/>
      <c r="E18" s="2051"/>
      <c r="F18" s="2049"/>
      <c r="G18" s="662"/>
      <c r="H18" s="3158"/>
      <c r="I18" s="3069"/>
      <c r="J18" s="3158"/>
      <c r="K18" s="3068"/>
      <c r="L18" s="3158"/>
      <c r="M18" s="3069"/>
      <c r="N18" s="3158"/>
      <c r="O18" s="3069"/>
      <c r="P18" s="3158"/>
      <c r="Q18" s="3069"/>
      <c r="R18" s="3158"/>
      <c r="S18" s="3069"/>
    </row>
    <row r="19" spans="1:19">
      <c r="A19" s="3159"/>
      <c r="B19" s="3240" t="s">
        <v>2961</v>
      </c>
      <c r="C19" s="2127"/>
      <c r="D19" s="3282"/>
      <c r="E19" s="2191"/>
      <c r="F19" s="2192"/>
      <c r="G19" s="665"/>
      <c r="H19" s="3160"/>
      <c r="I19" s="3075"/>
      <c r="J19" s="3160"/>
      <c r="K19" s="3076"/>
      <c r="L19" s="3160"/>
      <c r="M19" s="3075"/>
      <c r="N19" s="3160"/>
      <c r="O19" s="3075"/>
      <c r="P19" s="3160"/>
      <c r="Q19" s="3075"/>
      <c r="R19" s="3160"/>
      <c r="S19" s="3075"/>
    </row>
    <row r="20" spans="1:19">
      <c r="A20" s="3159"/>
      <c r="B20" s="3246"/>
      <c r="C20" s="2049"/>
      <c r="D20" s="2050"/>
      <c r="E20" s="2051"/>
      <c r="F20" s="2052"/>
      <c r="G20" s="662"/>
      <c r="H20" s="3158"/>
      <c r="I20" s="3079"/>
      <c r="J20" s="3158"/>
      <c r="K20" s="3078"/>
      <c r="L20" s="3158"/>
      <c r="M20" s="3078">
        <v>399530</v>
      </c>
      <c r="N20" s="3158"/>
      <c r="O20" s="3078"/>
      <c r="P20" s="3158"/>
      <c r="Q20" s="3078"/>
      <c r="R20" s="3158"/>
      <c r="S20" s="3078"/>
    </row>
    <row r="21" spans="1:19">
      <c r="A21" s="3159"/>
      <c r="B21" s="3249" t="s">
        <v>2695</v>
      </c>
      <c r="C21" s="2049"/>
      <c r="D21" s="3247"/>
      <c r="E21" s="2051"/>
      <c r="F21" s="3283"/>
      <c r="G21" s="662"/>
      <c r="H21" s="3158"/>
      <c r="I21" s="3080">
        <f>SUBTOTAL(9,I22:I91)</f>
        <v>358290.72</v>
      </c>
      <c r="J21" s="3158"/>
      <c r="K21" s="3080">
        <f>SUBTOTAL(9,K22:K91)</f>
        <v>274079.27</v>
      </c>
      <c r="L21" s="3158"/>
      <c r="M21" s="3080">
        <f>SUBTOTAL(9,M22:M91)</f>
        <v>4453</v>
      </c>
      <c r="N21" s="3158"/>
      <c r="O21" s="3080">
        <f>SUBTOTAL(9,O22:O91)</f>
        <v>373077</v>
      </c>
      <c r="P21" s="3158"/>
      <c r="Q21" s="3080">
        <f>SUBTOTAL(9,Q22:Q91)</f>
        <v>0</v>
      </c>
      <c r="R21" s="3158"/>
      <c r="S21" s="3080">
        <f>SUBTOTAL(9,S22:S91)</f>
        <v>0</v>
      </c>
    </row>
    <row r="22" spans="1:19">
      <c r="A22" s="3166"/>
      <c r="B22" s="3246" t="s">
        <v>2994</v>
      </c>
      <c r="C22" s="659"/>
      <c r="D22" s="3247"/>
      <c r="E22" s="2051"/>
      <c r="F22" s="3283"/>
      <c r="G22" s="662">
        <f>ROUND(D22*F22,0)</f>
        <v>0</v>
      </c>
      <c r="H22" s="3158"/>
      <c r="I22" s="3079">
        <v>353837.72</v>
      </c>
      <c r="J22" s="3158"/>
      <c r="K22" s="3079"/>
      <c r="L22" s="3158"/>
      <c r="M22" s="3079"/>
      <c r="N22" s="3158"/>
      <c r="O22" s="3079"/>
      <c r="P22" s="3158"/>
      <c r="Q22" s="3079"/>
      <c r="R22" s="3158"/>
      <c r="S22" s="3079"/>
    </row>
    <row r="23" spans="1:19">
      <c r="A23" s="3159"/>
      <c r="B23" s="3246" t="s">
        <v>3029</v>
      </c>
      <c r="C23" s="2049"/>
      <c r="D23" s="2050"/>
      <c r="E23" s="2051"/>
      <c r="F23" s="2052"/>
      <c r="G23" s="662">
        <f t="shared" ref="G23:G85" si="4">ROUND(D23*F23,0)</f>
        <v>0</v>
      </c>
      <c r="H23" s="3158"/>
      <c r="I23" s="3079"/>
      <c r="J23" s="3158"/>
      <c r="K23" s="3079"/>
      <c r="L23" s="3158"/>
      <c r="M23" s="3079"/>
      <c r="N23" s="3158"/>
      <c r="O23" s="3079">
        <v>127332</v>
      </c>
      <c r="P23" s="3158"/>
      <c r="Q23" s="3079"/>
      <c r="R23" s="3158"/>
      <c r="S23" s="3079"/>
    </row>
    <row r="24" spans="1:19">
      <c r="A24" s="3159"/>
      <c r="B24" s="3284" t="s">
        <v>6788</v>
      </c>
      <c r="C24" s="2049"/>
      <c r="D24" s="2050"/>
      <c r="E24" s="2051"/>
      <c r="F24" s="2052"/>
      <c r="G24" s="662">
        <f t="shared" si="4"/>
        <v>0</v>
      </c>
      <c r="H24" s="3158"/>
      <c r="I24" s="3079"/>
      <c r="J24" s="3158"/>
      <c r="K24" s="3079">
        <v>63086.66</v>
      </c>
      <c r="L24" s="3158"/>
      <c r="M24" s="3079"/>
      <c r="N24" s="3158"/>
      <c r="O24" s="3079"/>
      <c r="P24" s="3158"/>
      <c r="Q24" s="3079"/>
      <c r="R24" s="3158"/>
      <c r="S24" s="3079"/>
    </row>
    <row r="25" spans="1:19">
      <c r="A25" s="3159"/>
      <c r="B25" s="3284" t="s">
        <v>6789</v>
      </c>
      <c r="C25" s="2049"/>
      <c r="D25" s="2050"/>
      <c r="E25" s="2051"/>
      <c r="F25" s="2052"/>
      <c r="G25" s="662">
        <f t="shared" si="4"/>
        <v>0</v>
      </c>
      <c r="H25" s="3158"/>
      <c r="I25" s="3079"/>
      <c r="J25" s="3158"/>
      <c r="K25" s="3079"/>
      <c r="L25" s="3158"/>
      <c r="M25" s="3079"/>
      <c r="N25" s="3158"/>
      <c r="O25" s="3079"/>
      <c r="P25" s="3158"/>
      <c r="Q25" s="3079"/>
      <c r="R25" s="3158"/>
      <c r="S25" s="3079"/>
    </row>
    <row r="26" spans="1:19">
      <c r="A26" s="3159"/>
      <c r="B26" s="3285" t="s">
        <v>6790</v>
      </c>
      <c r="C26" s="2049"/>
      <c r="D26" s="2050">
        <v>1</v>
      </c>
      <c r="E26" s="2051" t="s">
        <v>2803</v>
      </c>
      <c r="F26" s="2052">
        <v>3000</v>
      </c>
      <c r="G26" s="662">
        <f t="shared" si="4"/>
        <v>3000</v>
      </c>
      <c r="H26" s="3158"/>
      <c r="I26" s="3079"/>
      <c r="J26" s="3158"/>
      <c r="K26" s="3087">
        <f>$G26</f>
        <v>3000</v>
      </c>
      <c r="L26" s="3158"/>
      <c r="M26" s="3079"/>
      <c r="N26" s="3158"/>
      <c r="O26" s="3079"/>
      <c r="P26" s="3158"/>
      <c r="Q26" s="3079"/>
      <c r="R26" s="3158"/>
      <c r="S26" s="3079"/>
    </row>
    <row r="27" spans="1:19">
      <c r="A27" s="3159"/>
      <c r="B27" s="3285" t="s">
        <v>6791</v>
      </c>
      <c r="C27" s="2049"/>
      <c r="D27" s="2050">
        <v>1</v>
      </c>
      <c r="E27" s="2051" t="s">
        <v>2803</v>
      </c>
      <c r="F27" s="2052">
        <v>3000</v>
      </c>
      <c r="G27" s="662">
        <f t="shared" si="4"/>
        <v>3000</v>
      </c>
      <c r="H27" s="3158"/>
      <c r="I27" s="3079"/>
      <c r="J27" s="3158"/>
      <c r="K27" s="3087">
        <f>$G27</f>
        <v>3000</v>
      </c>
      <c r="L27" s="3158"/>
      <c r="M27" s="3079"/>
      <c r="N27" s="3158"/>
      <c r="O27" s="3079"/>
      <c r="P27" s="3158"/>
      <c r="Q27" s="3079"/>
      <c r="R27" s="3158"/>
      <c r="S27" s="3079"/>
    </row>
    <row r="28" spans="1:19">
      <c r="A28" s="3159"/>
      <c r="B28" s="3285" t="s">
        <v>6792</v>
      </c>
      <c r="C28" s="2049"/>
      <c r="D28" s="2050">
        <v>2</v>
      </c>
      <c r="E28" s="2051" t="s">
        <v>2803</v>
      </c>
      <c r="F28" s="2052">
        <v>2800</v>
      </c>
      <c r="G28" s="662">
        <f t="shared" si="4"/>
        <v>5600</v>
      </c>
      <c r="H28" s="3158"/>
      <c r="I28" s="3079"/>
      <c r="J28" s="3158"/>
      <c r="K28" s="3087">
        <f>$G28</f>
        <v>5600</v>
      </c>
      <c r="L28" s="3158"/>
      <c r="M28" s="3079"/>
      <c r="N28" s="3158"/>
      <c r="O28" s="3079"/>
      <c r="P28" s="3158"/>
      <c r="Q28" s="3079"/>
      <c r="R28" s="3158"/>
      <c r="S28" s="3079"/>
    </row>
    <row r="29" spans="1:19">
      <c r="A29" s="3159"/>
      <c r="B29" s="3285" t="s">
        <v>6793</v>
      </c>
      <c r="C29" s="2049"/>
      <c r="D29" s="2050">
        <v>2</v>
      </c>
      <c r="E29" s="2051" t="s">
        <v>2803</v>
      </c>
      <c r="F29" s="2052">
        <v>300</v>
      </c>
      <c r="G29" s="662">
        <f t="shared" si="4"/>
        <v>600</v>
      </c>
      <c r="H29" s="3158"/>
      <c r="I29" s="3079"/>
      <c r="J29" s="3158"/>
      <c r="K29" s="3087">
        <f>$G29</f>
        <v>600</v>
      </c>
      <c r="L29" s="3158"/>
      <c r="M29" s="3079"/>
      <c r="N29" s="3158"/>
      <c r="O29" s="3079"/>
      <c r="P29" s="3158"/>
      <c r="Q29" s="3079"/>
      <c r="R29" s="3158"/>
      <c r="S29" s="3079"/>
    </row>
    <row r="30" spans="1:19">
      <c r="A30" s="3159"/>
      <c r="B30" s="3285" t="s">
        <v>6794</v>
      </c>
      <c r="C30" s="2049"/>
      <c r="D30" s="2050">
        <v>1</v>
      </c>
      <c r="E30" s="2051" t="s">
        <v>2803</v>
      </c>
      <c r="F30" s="2052"/>
      <c r="G30" s="662">
        <f t="shared" si="4"/>
        <v>0</v>
      </c>
      <c r="H30" s="3158"/>
      <c r="I30" s="3079"/>
      <c r="J30" s="3158"/>
      <c r="K30" s="3079"/>
      <c r="L30" s="3158"/>
      <c r="M30" s="3079"/>
      <c r="N30" s="3158"/>
      <c r="O30" s="3079"/>
      <c r="P30" s="3158"/>
      <c r="Q30" s="3079"/>
      <c r="R30" s="3158"/>
      <c r="S30" s="3079"/>
    </row>
    <row r="31" spans="1:19">
      <c r="A31" s="3159"/>
      <c r="B31" s="3285" t="s">
        <v>6795</v>
      </c>
      <c r="C31" s="2049"/>
      <c r="D31" s="2050">
        <v>7</v>
      </c>
      <c r="E31" s="2051" t="s">
        <v>2864</v>
      </c>
      <c r="F31" s="2052"/>
      <c r="G31" s="662">
        <f t="shared" si="4"/>
        <v>0</v>
      </c>
      <c r="H31" s="3158"/>
      <c r="I31" s="3079"/>
      <c r="J31" s="3158"/>
      <c r="K31" s="3079"/>
      <c r="L31" s="3158"/>
      <c r="M31" s="3079"/>
      <c r="N31" s="3158"/>
      <c r="O31" s="3079"/>
      <c r="P31" s="3158"/>
      <c r="Q31" s="3079"/>
      <c r="R31" s="3158"/>
      <c r="S31" s="3079"/>
    </row>
    <row r="32" spans="1:19">
      <c r="A32" s="3159">
        <f>7.17+7.17+7.42</f>
        <v>21.759999999999998</v>
      </c>
      <c r="B32" s="3285" t="s">
        <v>6796</v>
      </c>
      <c r="C32" s="2049"/>
      <c r="D32" s="2050">
        <f>A32*8</f>
        <v>174.07999999999998</v>
      </c>
      <c r="E32" s="2051" t="s">
        <v>2845</v>
      </c>
      <c r="F32" s="2052">
        <v>5</v>
      </c>
      <c r="G32" s="662">
        <f t="shared" si="4"/>
        <v>870</v>
      </c>
      <c r="H32" s="3158"/>
      <c r="I32" s="3087">
        <f>$G32</f>
        <v>870</v>
      </c>
      <c r="J32" s="3158"/>
      <c r="K32" s="3087">
        <f>$G32</f>
        <v>870</v>
      </c>
      <c r="L32" s="3158"/>
      <c r="M32" s="3087">
        <f>$G32</f>
        <v>870</v>
      </c>
      <c r="N32" s="3158"/>
      <c r="O32" s="3079"/>
      <c r="P32" s="3158"/>
      <c r="Q32" s="3079"/>
      <c r="R32" s="3158"/>
      <c r="S32" s="3079"/>
    </row>
    <row r="33" spans="1:19">
      <c r="A33" s="3159"/>
      <c r="B33" s="3284" t="s">
        <v>6797</v>
      </c>
      <c r="C33" s="2049"/>
      <c r="D33" s="2050"/>
      <c r="E33" s="2051"/>
      <c r="F33" s="2052"/>
      <c r="G33" s="662">
        <f t="shared" si="4"/>
        <v>0</v>
      </c>
      <c r="H33" s="3158"/>
      <c r="I33" s="3079"/>
      <c r="J33" s="3158"/>
      <c r="K33" s="3079"/>
      <c r="L33" s="3158"/>
      <c r="M33" s="3079"/>
      <c r="N33" s="3158"/>
      <c r="O33" s="3079"/>
      <c r="P33" s="3158"/>
      <c r="Q33" s="3079"/>
      <c r="R33" s="3158"/>
      <c r="S33" s="3079"/>
    </row>
    <row r="34" spans="1:19">
      <c r="A34" s="3159"/>
      <c r="B34" s="3285" t="s">
        <v>6791</v>
      </c>
      <c r="C34" s="2049"/>
      <c r="D34" s="2050">
        <v>1</v>
      </c>
      <c r="E34" s="2051" t="s">
        <v>2803</v>
      </c>
      <c r="F34" s="2052">
        <v>3000</v>
      </c>
      <c r="G34" s="662">
        <f t="shared" si="4"/>
        <v>3000</v>
      </c>
      <c r="H34" s="3158"/>
      <c r="I34" s="3079"/>
      <c r="J34" s="3158"/>
      <c r="K34" s="3079"/>
      <c r="L34" s="3158"/>
      <c r="M34" s="3079"/>
      <c r="N34" s="3158"/>
      <c r="O34" s="3079"/>
      <c r="P34" s="3158"/>
      <c r="Q34" s="3079"/>
      <c r="R34" s="3158"/>
      <c r="S34" s="3079"/>
    </row>
    <row r="35" spans="1:19">
      <c r="A35" s="3159"/>
      <c r="B35" s="3285" t="s">
        <v>6793</v>
      </c>
      <c r="C35" s="2049"/>
      <c r="D35" s="2050">
        <v>2</v>
      </c>
      <c r="E35" s="2051" t="s">
        <v>2803</v>
      </c>
      <c r="F35" s="2052">
        <v>2800</v>
      </c>
      <c r="G35" s="662">
        <f t="shared" si="4"/>
        <v>5600</v>
      </c>
      <c r="H35" s="3158"/>
      <c r="I35" s="3079"/>
      <c r="J35" s="3158"/>
      <c r="K35" s="3087">
        <f>$G35</f>
        <v>5600</v>
      </c>
      <c r="L35" s="3158"/>
      <c r="M35" s="3079"/>
      <c r="N35" s="3158"/>
      <c r="O35" s="3079"/>
      <c r="P35" s="3158"/>
      <c r="Q35" s="3079"/>
      <c r="R35" s="3158"/>
      <c r="S35" s="3079"/>
    </row>
    <row r="36" spans="1:19">
      <c r="A36" s="3159"/>
      <c r="B36" s="3285" t="s">
        <v>6794</v>
      </c>
      <c r="C36" s="2049"/>
      <c r="D36" s="2050">
        <v>1</v>
      </c>
      <c r="E36" s="2051" t="s">
        <v>2803</v>
      </c>
      <c r="F36" s="2052"/>
      <c r="G36" s="662">
        <f t="shared" si="4"/>
        <v>0</v>
      </c>
      <c r="H36" s="3158"/>
      <c r="I36" s="3079"/>
      <c r="J36" s="3158"/>
      <c r="K36" s="3079"/>
      <c r="L36" s="3158"/>
      <c r="M36" s="3079"/>
      <c r="N36" s="3158"/>
      <c r="O36" s="3079"/>
      <c r="P36" s="3158"/>
      <c r="Q36" s="3079"/>
      <c r="R36" s="3158"/>
      <c r="S36" s="3079"/>
    </row>
    <row r="37" spans="1:19">
      <c r="A37" s="3159"/>
      <c r="B37" s="3285" t="s">
        <v>6795</v>
      </c>
      <c r="C37" s="2049"/>
      <c r="D37" s="2050">
        <v>7</v>
      </c>
      <c r="E37" s="2051" t="s">
        <v>2864</v>
      </c>
      <c r="F37" s="2052"/>
      <c r="G37" s="662">
        <f t="shared" si="4"/>
        <v>0</v>
      </c>
      <c r="H37" s="3158"/>
      <c r="I37" s="3079"/>
      <c r="J37" s="3158"/>
      <c r="K37" s="3079"/>
      <c r="L37" s="3158"/>
      <c r="M37" s="3079"/>
      <c r="N37" s="3158"/>
      <c r="O37" s="3079"/>
      <c r="P37" s="3158"/>
      <c r="Q37" s="3079"/>
      <c r="R37" s="3158"/>
      <c r="S37" s="3079"/>
    </row>
    <row r="38" spans="1:19">
      <c r="A38" s="3159">
        <f>4.42+4.42+7.25</f>
        <v>16.09</v>
      </c>
      <c r="B38" s="3285" t="s">
        <v>6796</v>
      </c>
      <c r="C38" s="2049"/>
      <c r="D38" s="2050">
        <f>A38*8</f>
        <v>128.72</v>
      </c>
      <c r="E38" s="2051" t="s">
        <v>2845</v>
      </c>
      <c r="F38" s="2052">
        <v>5</v>
      </c>
      <c r="G38" s="662">
        <f t="shared" si="4"/>
        <v>644</v>
      </c>
      <c r="H38" s="3158"/>
      <c r="I38" s="3087">
        <f>$G38</f>
        <v>644</v>
      </c>
      <c r="J38" s="3158"/>
      <c r="K38" s="3087">
        <f>$G38</f>
        <v>644</v>
      </c>
      <c r="L38" s="3158"/>
      <c r="M38" s="3087">
        <f>$G38</f>
        <v>644</v>
      </c>
      <c r="N38" s="3158"/>
      <c r="O38" s="3079"/>
      <c r="P38" s="3158"/>
      <c r="Q38" s="3079"/>
      <c r="R38" s="3158"/>
      <c r="S38" s="3079"/>
    </row>
    <row r="39" spans="1:19">
      <c r="A39" s="3159"/>
      <c r="B39" s="3284" t="s">
        <v>6798</v>
      </c>
      <c r="C39" s="2049"/>
      <c r="D39" s="2050"/>
      <c r="E39" s="2051"/>
      <c r="F39" s="2052"/>
      <c r="G39" s="662">
        <f t="shared" si="4"/>
        <v>0</v>
      </c>
      <c r="H39" s="3158"/>
      <c r="I39" s="3079"/>
      <c r="J39" s="3158"/>
      <c r="K39" s="3079">
        <v>52082.21</v>
      </c>
      <c r="L39" s="3158"/>
      <c r="M39" s="3079"/>
      <c r="N39" s="3158"/>
      <c r="O39" s="3079"/>
      <c r="P39" s="3158"/>
      <c r="Q39" s="3079"/>
      <c r="R39" s="3158"/>
      <c r="S39" s="3079"/>
    </row>
    <row r="40" spans="1:19">
      <c r="A40" s="3159"/>
      <c r="B40" s="3285" t="s">
        <v>6799</v>
      </c>
      <c r="C40" s="2049"/>
      <c r="D40" s="2050">
        <v>1</v>
      </c>
      <c r="E40" s="2051" t="s">
        <v>2803</v>
      </c>
      <c r="F40" s="2052"/>
      <c r="G40" s="662">
        <f t="shared" si="4"/>
        <v>0</v>
      </c>
      <c r="H40" s="3158"/>
      <c r="I40" s="3079"/>
      <c r="J40" s="3158"/>
      <c r="K40" s="3079"/>
      <c r="L40" s="3158"/>
      <c r="M40" s="3079"/>
      <c r="N40" s="3158"/>
      <c r="O40" s="3079"/>
      <c r="P40" s="3158"/>
      <c r="Q40" s="3079"/>
      <c r="R40" s="3158"/>
      <c r="S40" s="3079"/>
    </row>
    <row r="41" spans="1:19">
      <c r="A41" s="3159"/>
      <c r="B41" s="3285" t="s">
        <v>6800</v>
      </c>
      <c r="C41" s="2049"/>
      <c r="D41" s="2050">
        <v>15</v>
      </c>
      <c r="E41" s="2051" t="s">
        <v>2803</v>
      </c>
      <c r="F41" s="2052"/>
      <c r="G41" s="662">
        <f t="shared" si="4"/>
        <v>0</v>
      </c>
      <c r="H41" s="3158"/>
      <c r="I41" s="3079"/>
      <c r="J41" s="3158"/>
      <c r="K41" s="3079"/>
      <c r="L41" s="3158"/>
      <c r="M41" s="3079"/>
      <c r="N41" s="3158"/>
      <c r="O41" s="3079"/>
      <c r="P41" s="3158"/>
      <c r="Q41" s="3079"/>
      <c r="R41" s="3158"/>
      <c r="S41" s="3079"/>
    </row>
    <row r="42" spans="1:19">
      <c r="A42" s="3159"/>
      <c r="B42" s="3285" t="s">
        <v>6801</v>
      </c>
      <c r="C42" s="2049"/>
      <c r="D42" s="2050">
        <v>1</v>
      </c>
      <c r="E42" s="2051" t="s">
        <v>2803</v>
      </c>
      <c r="F42" s="2052"/>
      <c r="G42" s="662">
        <f t="shared" si="4"/>
        <v>0</v>
      </c>
      <c r="H42" s="3158"/>
      <c r="I42" s="3079"/>
      <c r="J42" s="3158"/>
      <c r="K42" s="3079"/>
      <c r="L42" s="3158"/>
      <c r="M42" s="3079"/>
      <c r="N42" s="3158"/>
      <c r="O42" s="3079"/>
      <c r="P42" s="3158"/>
      <c r="Q42" s="3079"/>
      <c r="R42" s="3158"/>
      <c r="S42" s="3079"/>
    </row>
    <row r="43" spans="1:19">
      <c r="A43" s="3159"/>
      <c r="B43" s="3285" t="s">
        <v>6802</v>
      </c>
      <c r="C43" s="2049"/>
      <c r="D43" s="2050">
        <v>47</v>
      </c>
      <c r="E43" s="2051" t="s">
        <v>2803</v>
      </c>
      <c r="F43" s="2052"/>
      <c r="G43" s="662">
        <f t="shared" si="4"/>
        <v>0</v>
      </c>
      <c r="H43" s="3158"/>
      <c r="I43" s="3079"/>
      <c r="J43" s="3158"/>
      <c r="K43" s="3079"/>
      <c r="L43" s="3158"/>
      <c r="M43" s="3079"/>
      <c r="N43" s="3158"/>
      <c r="O43" s="3079"/>
      <c r="P43" s="3158"/>
      <c r="Q43" s="3079"/>
      <c r="R43" s="3158"/>
      <c r="S43" s="3079"/>
    </row>
    <row r="44" spans="1:19">
      <c r="A44" s="3159"/>
      <c r="B44" s="3285" t="s">
        <v>6803</v>
      </c>
      <c r="C44" s="2049"/>
      <c r="D44" s="2050">
        <v>8</v>
      </c>
      <c r="E44" s="2051" t="s">
        <v>2803</v>
      </c>
      <c r="F44" s="2052"/>
      <c r="G44" s="662">
        <f t="shared" si="4"/>
        <v>0</v>
      </c>
      <c r="H44" s="3158"/>
      <c r="I44" s="3079"/>
      <c r="J44" s="3158"/>
      <c r="K44" s="3079"/>
      <c r="L44" s="3158"/>
      <c r="M44" s="3079"/>
      <c r="N44" s="3158"/>
      <c r="O44" s="3079"/>
      <c r="P44" s="3158"/>
      <c r="Q44" s="3079"/>
      <c r="R44" s="3158"/>
      <c r="S44" s="3079"/>
    </row>
    <row r="45" spans="1:19">
      <c r="A45" s="3159"/>
      <c r="B45" s="3286" t="s">
        <v>6804</v>
      </c>
      <c r="C45" s="2049"/>
      <c r="D45" s="2050">
        <v>14</v>
      </c>
      <c r="E45" s="2051" t="s">
        <v>2803</v>
      </c>
      <c r="F45" s="2052"/>
      <c r="G45" s="662">
        <f t="shared" si="4"/>
        <v>0</v>
      </c>
      <c r="H45" s="3158"/>
      <c r="I45" s="3079"/>
      <c r="J45" s="3158"/>
      <c r="K45" s="3079">
        <v>36371.83</v>
      </c>
      <c r="L45" s="3158"/>
      <c r="M45" s="3079"/>
      <c r="N45" s="3158"/>
      <c r="O45" s="3079"/>
      <c r="P45" s="3158"/>
      <c r="Q45" s="3079"/>
      <c r="R45" s="3158"/>
      <c r="S45" s="3079"/>
    </row>
    <row r="46" spans="1:19">
      <c r="A46" s="3159"/>
      <c r="B46" s="3028" t="s">
        <v>3080</v>
      </c>
      <c r="C46" s="2049"/>
      <c r="D46" s="2050"/>
      <c r="E46" s="2051"/>
      <c r="F46" s="2052"/>
      <c r="G46" s="662">
        <f t="shared" si="4"/>
        <v>0</v>
      </c>
      <c r="H46" s="3158"/>
      <c r="I46" s="3079"/>
      <c r="J46" s="3158"/>
      <c r="K46" s="3079"/>
      <c r="L46" s="3158"/>
      <c r="M46" s="3079"/>
      <c r="N46" s="3158"/>
      <c r="O46" s="3079">
        <v>72133</v>
      </c>
      <c r="P46" s="3158"/>
      <c r="Q46" s="3079"/>
      <c r="R46" s="3158"/>
      <c r="S46" s="3079"/>
    </row>
    <row r="47" spans="1:19">
      <c r="A47" s="3159"/>
      <c r="B47" s="3284" t="s">
        <v>6788</v>
      </c>
      <c r="C47" s="2049"/>
      <c r="D47" s="2050"/>
      <c r="E47" s="2051"/>
      <c r="F47" s="2052"/>
      <c r="G47" s="662">
        <f t="shared" si="4"/>
        <v>0</v>
      </c>
      <c r="H47" s="3158"/>
      <c r="I47" s="3079"/>
      <c r="J47" s="3158" t="s">
        <v>2931</v>
      </c>
      <c r="K47" s="3079"/>
      <c r="L47" s="3158"/>
      <c r="M47" s="3079"/>
      <c r="N47" s="3158"/>
      <c r="O47" s="3079"/>
      <c r="P47" s="3158"/>
      <c r="Q47" s="3079"/>
      <c r="R47" s="3158"/>
      <c r="S47" s="3079"/>
    </row>
    <row r="48" spans="1:19">
      <c r="A48" s="3159"/>
      <c r="B48" s="3284" t="s">
        <v>6805</v>
      </c>
      <c r="C48" s="2049"/>
      <c r="D48" s="2050"/>
      <c r="E48" s="2051"/>
      <c r="F48" s="2052"/>
      <c r="G48" s="662">
        <f t="shared" si="4"/>
        <v>0</v>
      </c>
      <c r="H48" s="3158"/>
      <c r="I48" s="3079"/>
      <c r="J48" s="3158"/>
      <c r="K48" s="3079"/>
      <c r="L48" s="3158"/>
      <c r="M48" s="3079"/>
      <c r="N48" s="3158"/>
      <c r="O48" s="3079"/>
      <c r="P48" s="3158"/>
      <c r="Q48" s="3079"/>
      <c r="R48" s="3158"/>
      <c r="S48" s="3079"/>
    </row>
    <row r="49" spans="1:19">
      <c r="A49" s="3159"/>
      <c r="B49" s="3285" t="s">
        <v>6790</v>
      </c>
      <c r="C49" s="2049"/>
      <c r="D49" s="2050">
        <v>1</v>
      </c>
      <c r="E49" s="2051" t="s">
        <v>2803</v>
      </c>
      <c r="F49" s="2052">
        <v>3000</v>
      </c>
      <c r="G49" s="662">
        <f>ROUND(D49*F49,0)</f>
        <v>3000</v>
      </c>
      <c r="H49" s="3158"/>
      <c r="I49" s="3079"/>
      <c r="J49" s="3158"/>
      <c r="K49" s="3087">
        <f>$G49</f>
        <v>3000</v>
      </c>
      <c r="L49" s="3158"/>
      <c r="M49" s="3079"/>
      <c r="N49" s="3158"/>
      <c r="O49" s="3079"/>
      <c r="P49" s="3158"/>
      <c r="Q49" s="3079"/>
      <c r="R49" s="3158"/>
      <c r="S49" s="3079"/>
    </row>
    <row r="50" spans="1:19">
      <c r="A50" s="3159"/>
      <c r="B50" s="3285" t="s">
        <v>6791</v>
      </c>
      <c r="C50" s="2049"/>
      <c r="D50" s="2050">
        <v>1</v>
      </c>
      <c r="E50" s="2051" t="s">
        <v>2803</v>
      </c>
      <c r="F50" s="2052">
        <v>3000</v>
      </c>
      <c r="G50" s="662">
        <f>ROUND(D50*F50,0)</f>
        <v>3000</v>
      </c>
      <c r="H50" s="3158"/>
      <c r="I50" s="3079"/>
      <c r="J50" s="3158"/>
      <c r="K50" s="3087">
        <f>$G50</f>
        <v>3000</v>
      </c>
      <c r="L50" s="3158"/>
      <c r="M50" s="3079"/>
      <c r="N50" s="3158"/>
      <c r="O50" s="3079"/>
      <c r="P50" s="3158"/>
      <c r="Q50" s="3079"/>
      <c r="R50" s="3158"/>
      <c r="S50" s="3079"/>
    </row>
    <row r="51" spans="1:19">
      <c r="A51" s="2037"/>
      <c r="B51" s="3286" t="s">
        <v>6792</v>
      </c>
      <c r="C51" s="2049"/>
      <c r="D51" s="2050">
        <v>2</v>
      </c>
      <c r="E51" s="2051" t="s">
        <v>2803</v>
      </c>
      <c r="F51" s="2052">
        <v>2800</v>
      </c>
      <c r="G51" s="662">
        <f>ROUND(D51*F51,0)</f>
        <v>5600</v>
      </c>
      <c r="H51" s="3158"/>
      <c r="I51" s="3079"/>
      <c r="J51" s="3158"/>
      <c r="K51" s="3087">
        <f>$G51</f>
        <v>5600</v>
      </c>
      <c r="L51" s="3158"/>
      <c r="M51" s="3079"/>
      <c r="N51" s="3158"/>
      <c r="O51" s="3079"/>
      <c r="P51" s="3158"/>
      <c r="Q51" s="3079"/>
      <c r="R51" s="3158"/>
      <c r="S51" s="3079"/>
    </row>
    <row r="52" spans="1:19">
      <c r="A52" s="2037"/>
      <c r="B52" s="3036" t="s">
        <v>6793</v>
      </c>
      <c r="C52" s="2049"/>
      <c r="D52" s="2050">
        <v>2</v>
      </c>
      <c r="E52" s="2051" t="s">
        <v>2803</v>
      </c>
      <c r="F52" s="2052">
        <v>300</v>
      </c>
      <c r="G52" s="662">
        <f>ROUND(D52*F52,0)</f>
        <v>600</v>
      </c>
      <c r="H52" s="3158"/>
      <c r="I52" s="3079"/>
      <c r="J52" s="3158"/>
      <c r="K52" s="3087">
        <f>$G52</f>
        <v>600</v>
      </c>
      <c r="L52" s="3158"/>
      <c r="M52" s="3079"/>
      <c r="N52" s="3158"/>
      <c r="O52" s="3079"/>
      <c r="P52" s="3158"/>
      <c r="Q52" s="3079"/>
      <c r="R52" s="3158"/>
      <c r="S52" s="3079"/>
    </row>
    <row r="53" spans="1:19">
      <c r="A53" s="3159"/>
      <c r="B53" s="3285" t="s">
        <v>6794</v>
      </c>
      <c r="C53" s="2049"/>
      <c r="D53" s="2050">
        <v>1</v>
      </c>
      <c r="E53" s="2051" t="s">
        <v>2803</v>
      </c>
      <c r="F53" s="2052"/>
      <c r="G53" s="662">
        <f t="shared" si="4"/>
        <v>0</v>
      </c>
      <c r="H53" s="3158"/>
      <c r="I53" s="3079"/>
      <c r="J53" s="3158"/>
      <c r="K53" s="3079"/>
      <c r="L53" s="3158"/>
      <c r="M53" s="3079"/>
      <c r="N53" s="3158"/>
      <c r="O53" s="3079"/>
      <c r="P53" s="3158"/>
      <c r="Q53" s="3079"/>
      <c r="R53" s="3158"/>
      <c r="S53" s="3079"/>
    </row>
    <row r="54" spans="1:19">
      <c r="A54" s="3159"/>
      <c r="B54" s="3285" t="s">
        <v>6795</v>
      </c>
      <c r="C54" s="2049"/>
      <c r="D54" s="2050">
        <v>6</v>
      </c>
      <c r="E54" s="2051" t="s">
        <v>2864</v>
      </c>
      <c r="F54" s="2052"/>
      <c r="G54" s="662">
        <f t="shared" si="4"/>
        <v>0</v>
      </c>
      <c r="H54" s="3158"/>
      <c r="I54" s="3079"/>
      <c r="J54" s="3158"/>
      <c r="K54" s="3079"/>
      <c r="L54" s="3158"/>
      <c r="M54" s="3079"/>
      <c r="N54" s="3158"/>
      <c r="O54" s="3079"/>
      <c r="P54" s="3158"/>
      <c r="Q54" s="3079"/>
      <c r="R54" s="3158"/>
      <c r="S54" s="3079"/>
    </row>
    <row r="55" spans="1:19">
      <c r="A55" s="3159">
        <f>10+10+8</f>
        <v>28</v>
      </c>
      <c r="B55" s="3285" t="s">
        <v>6796</v>
      </c>
      <c r="C55" s="2049"/>
      <c r="D55" s="2050">
        <f>A55*8</f>
        <v>224</v>
      </c>
      <c r="E55" s="2051" t="s">
        <v>2845</v>
      </c>
      <c r="F55" s="2052">
        <v>5</v>
      </c>
      <c r="G55" s="662">
        <f t="shared" si="4"/>
        <v>1120</v>
      </c>
      <c r="H55" s="3158"/>
      <c r="I55" s="3087">
        <f>$G55</f>
        <v>1120</v>
      </c>
      <c r="J55" s="3158"/>
      <c r="K55" s="3087">
        <f>$G55</f>
        <v>1120</v>
      </c>
      <c r="L55" s="3158"/>
      <c r="M55" s="3087">
        <f>$G55</f>
        <v>1120</v>
      </c>
      <c r="N55" s="3158"/>
      <c r="O55" s="3079"/>
      <c r="P55" s="3158"/>
      <c r="Q55" s="3079"/>
      <c r="R55" s="3158"/>
      <c r="S55" s="3079"/>
    </row>
    <row r="56" spans="1:19">
      <c r="A56" s="3159"/>
      <c r="B56" s="3284" t="s">
        <v>6798</v>
      </c>
      <c r="C56" s="2049"/>
      <c r="D56" s="2050"/>
      <c r="E56" s="2051"/>
      <c r="F56" s="2052"/>
      <c r="G56" s="662">
        <f t="shared" si="4"/>
        <v>0</v>
      </c>
      <c r="H56" s="3158"/>
      <c r="I56" s="3079"/>
      <c r="J56" s="3158" t="s">
        <v>2931</v>
      </c>
      <c r="K56" s="3079"/>
      <c r="L56" s="3158"/>
      <c r="M56" s="3079"/>
      <c r="N56" s="3158"/>
      <c r="O56" s="3079"/>
      <c r="P56" s="3158"/>
      <c r="Q56" s="3079"/>
      <c r="R56" s="3158"/>
      <c r="S56" s="3079"/>
    </row>
    <row r="57" spans="1:19">
      <c r="A57" s="3159"/>
      <c r="B57" s="3285" t="s">
        <v>6806</v>
      </c>
      <c r="C57" s="2049"/>
      <c r="D57" s="2050">
        <v>1</v>
      </c>
      <c r="E57" s="2051" t="s">
        <v>2803</v>
      </c>
      <c r="F57" s="2052"/>
      <c r="G57" s="662">
        <f t="shared" si="4"/>
        <v>0</v>
      </c>
      <c r="H57" s="3158"/>
      <c r="I57" s="3079"/>
      <c r="J57" s="3158"/>
      <c r="K57" s="3079"/>
      <c r="L57" s="3158"/>
      <c r="M57" s="3079"/>
      <c r="N57" s="3158"/>
      <c r="O57" s="3079"/>
      <c r="P57" s="3158"/>
      <c r="Q57" s="3079"/>
      <c r="R57" s="3158"/>
      <c r="S57" s="3079"/>
    </row>
    <row r="58" spans="1:19">
      <c r="A58" s="3159"/>
      <c r="B58" s="3285" t="s">
        <v>6807</v>
      </c>
      <c r="C58" s="2049"/>
      <c r="D58" s="2050">
        <v>3</v>
      </c>
      <c r="E58" s="2051" t="s">
        <v>2803</v>
      </c>
      <c r="F58" s="2052"/>
      <c r="G58" s="662">
        <f t="shared" si="4"/>
        <v>0</v>
      </c>
      <c r="H58" s="3158"/>
      <c r="I58" s="3079"/>
      <c r="J58" s="3158"/>
      <c r="K58" s="3079"/>
      <c r="L58" s="3158"/>
      <c r="M58" s="3079"/>
      <c r="N58" s="3158"/>
      <c r="O58" s="3079"/>
      <c r="P58" s="3158"/>
      <c r="Q58" s="3079"/>
      <c r="R58" s="3158"/>
      <c r="S58" s="3079"/>
    </row>
    <row r="59" spans="1:19">
      <c r="A59" s="3159"/>
      <c r="B59" s="3285" t="s">
        <v>6808</v>
      </c>
      <c r="C59" s="2049"/>
      <c r="D59" s="2050">
        <v>9</v>
      </c>
      <c r="E59" s="2051" t="s">
        <v>2803</v>
      </c>
      <c r="F59" s="2052"/>
      <c r="G59" s="662">
        <f t="shared" si="4"/>
        <v>0</v>
      </c>
      <c r="H59" s="3158"/>
      <c r="I59" s="3079"/>
      <c r="J59" s="3158"/>
      <c r="K59" s="3079"/>
      <c r="L59" s="3158"/>
      <c r="M59" s="3079"/>
      <c r="N59" s="3158"/>
      <c r="O59" s="3079"/>
      <c r="P59" s="3158"/>
      <c r="Q59" s="3079"/>
      <c r="R59" s="3158"/>
      <c r="S59" s="3079"/>
    </row>
    <row r="60" spans="1:19">
      <c r="A60" s="3159"/>
      <c r="B60" s="3285" t="s">
        <v>6809</v>
      </c>
      <c r="C60" s="2049"/>
      <c r="D60" s="2050">
        <v>12</v>
      </c>
      <c r="E60" s="2051" t="s">
        <v>2803</v>
      </c>
      <c r="F60" s="2052"/>
      <c r="G60" s="662">
        <f t="shared" si="4"/>
        <v>0</v>
      </c>
      <c r="H60" s="3158"/>
      <c r="I60" s="3079"/>
      <c r="J60" s="3158"/>
      <c r="K60" s="3079"/>
      <c r="L60" s="3158"/>
      <c r="M60" s="3079"/>
      <c r="N60" s="3158"/>
      <c r="O60" s="3079"/>
      <c r="P60" s="3158"/>
      <c r="Q60" s="3079"/>
      <c r="R60" s="3158"/>
      <c r="S60" s="3079"/>
    </row>
    <row r="61" spans="1:19">
      <c r="A61" s="3159"/>
      <c r="B61" s="3285" t="s">
        <v>6810</v>
      </c>
      <c r="C61" s="2049"/>
      <c r="D61" s="2050">
        <v>4</v>
      </c>
      <c r="E61" s="2051" t="s">
        <v>2803</v>
      </c>
      <c r="F61" s="2052"/>
      <c r="G61" s="662">
        <f t="shared" si="4"/>
        <v>0</v>
      </c>
      <c r="H61" s="3158"/>
      <c r="I61" s="3079"/>
      <c r="J61" s="3158"/>
      <c r="K61" s="3079"/>
      <c r="L61" s="3158"/>
      <c r="M61" s="3079"/>
      <c r="N61" s="3158"/>
      <c r="O61" s="3079"/>
      <c r="P61" s="3158"/>
      <c r="Q61" s="3079"/>
      <c r="R61" s="3158"/>
      <c r="S61" s="3079"/>
    </row>
    <row r="62" spans="1:19">
      <c r="A62" s="3159"/>
      <c r="B62" s="3285" t="s">
        <v>6811</v>
      </c>
      <c r="C62" s="2049"/>
      <c r="D62" s="2050">
        <v>7</v>
      </c>
      <c r="E62" s="2051" t="s">
        <v>2803</v>
      </c>
      <c r="F62" s="2052"/>
      <c r="G62" s="662">
        <f t="shared" si="4"/>
        <v>0</v>
      </c>
      <c r="H62" s="3158"/>
      <c r="I62" s="3079"/>
      <c r="J62" s="3158" t="s">
        <v>2931</v>
      </c>
      <c r="K62" s="3079"/>
      <c r="L62" s="3158"/>
      <c r="M62" s="3079"/>
      <c r="N62" s="3158"/>
      <c r="O62" s="3079"/>
      <c r="P62" s="3158"/>
      <c r="Q62" s="3079"/>
      <c r="R62" s="3158"/>
      <c r="S62" s="3079"/>
    </row>
    <row r="63" spans="1:19">
      <c r="A63" s="3159"/>
      <c r="B63" s="3246" t="s">
        <v>3113</v>
      </c>
      <c r="C63" s="2049"/>
      <c r="D63" s="2050"/>
      <c r="E63" s="2051"/>
      <c r="F63" s="2052"/>
      <c r="G63" s="662">
        <f t="shared" si="4"/>
        <v>0</v>
      </c>
      <c r="H63" s="3158"/>
      <c r="I63" s="3079"/>
      <c r="J63" s="3158"/>
      <c r="K63" s="3079"/>
      <c r="L63" s="3158"/>
      <c r="M63" s="3079"/>
      <c r="N63" s="3158"/>
      <c r="O63" s="3079">
        <v>173612</v>
      </c>
      <c r="P63" s="3158"/>
      <c r="Q63" s="3079"/>
      <c r="R63" s="3158"/>
      <c r="S63" s="3079"/>
    </row>
    <row r="64" spans="1:19">
      <c r="A64" s="3159"/>
      <c r="B64" s="3246" t="s">
        <v>6788</v>
      </c>
      <c r="C64" s="2049"/>
      <c r="D64" s="2050"/>
      <c r="E64" s="2051"/>
      <c r="F64" s="2052"/>
      <c r="G64" s="662">
        <f t="shared" si="4"/>
        <v>0</v>
      </c>
      <c r="H64" s="3158"/>
      <c r="I64" s="3079"/>
      <c r="J64" s="3158" t="s">
        <v>2931</v>
      </c>
      <c r="K64" s="3079"/>
      <c r="L64" s="3158"/>
      <c r="M64" s="3079"/>
      <c r="N64" s="3158"/>
      <c r="O64" s="3079"/>
      <c r="P64" s="3158"/>
      <c r="Q64" s="3079"/>
      <c r="R64" s="3158"/>
      <c r="S64" s="3079"/>
    </row>
    <row r="65" spans="1:19">
      <c r="A65" s="3159"/>
      <c r="B65" s="3284" t="s">
        <v>6812</v>
      </c>
      <c r="C65" s="2049"/>
      <c r="D65" s="2050"/>
      <c r="E65" s="2051"/>
      <c r="F65" s="2052"/>
      <c r="G65" s="662">
        <f t="shared" si="4"/>
        <v>0</v>
      </c>
      <c r="H65" s="3158"/>
      <c r="I65" s="3079"/>
      <c r="J65" s="3158"/>
      <c r="K65" s="3079"/>
      <c r="L65" s="3158"/>
      <c r="M65" s="3079"/>
      <c r="N65" s="3158"/>
      <c r="O65" s="3079"/>
      <c r="P65" s="3158"/>
      <c r="Q65" s="3079"/>
      <c r="R65" s="3158"/>
      <c r="S65" s="3079"/>
    </row>
    <row r="66" spans="1:19">
      <c r="A66" s="3159"/>
      <c r="B66" s="3285" t="s">
        <v>6790</v>
      </c>
      <c r="C66" s="2049"/>
      <c r="D66" s="2050">
        <v>2</v>
      </c>
      <c r="E66" s="2051" t="s">
        <v>2803</v>
      </c>
      <c r="F66" s="2052">
        <v>3000</v>
      </c>
      <c r="G66" s="662">
        <f>ROUND(D66*F66,0)</f>
        <v>6000</v>
      </c>
      <c r="H66" s="3158"/>
      <c r="I66" s="3079"/>
      <c r="J66" s="3158"/>
      <c r="K66" s="3087">
        <f>$G66</f>
        <v>6000</v>
      </c>
      <c r="L66" s="3158"/>
      <c r="M66" s="3079"/>
      <c r="N66" s="3158"/>
      <c r="O66" s="3079"/>
      <c r="P66" s="3158"/>
      <c r="Q66" s="3079"/>
      <c r="R66" s="3158"/>
      <c r="S66" s="3079"/>
    </row>
    <row r="67" spans="1:19">
      <c r="A67" s="3159"/>
      <c r="B67" s="3285" t="s">
        <v>6791</v>
      </c>
      <c r="C67" s="2049"/>
      <c r="D67" s="2050">
        <v>1</v>
      </c>
      <c r="E67" s="2051" t="s">
        <v>2803</v>
      </c>
      <c r="F67" s="2052">
        <v>3000</v>
      </c>
      <c r="G67" s="662">
        <f>ROUND(D67*F67,0)</f>
        <v>3000</v>
      </c>
      <c r="H67" s="3158"/>
      <c r="I67" s="3079"/>
      <c r="J67" s="3158"/>
      <c r="K67" s="3087">
        <f>$G67</f>
        <v>3000</v>
      </c>
      <c r="L67" s="3158"/>
      <c r="M67" s="3079"/>
      <c r="N67" s="3158"/>
      <c r="O67" s="3079"/>
      <c r="P67" s="3158"/>
      <c r="Q67" s="3079"/>
      <c r="R67" s="3158"/>
      <c r="S67" s="3079"/>
    </row>
    <row r="68" spans="1:19">
      <c r="A68" s="3159"/>
      <c r="B68" s="3285" t="s">
        <v>6792</v>
      </c>
      <c r="C68" s="2049"/>
      <c r="D68" s="2050">
        <v>4</v>
      </c>
      <c r="E68" s="2051" t="s">
        <v>2803</v>
      </c>
      <c r="F68" s="2052">
        <v>2800</v>
      </c>
      <c r="G68" s="662">
        <f>ROUND(D68*F68,0)</f>
        <v>11200</v>
      </c>
      <c r="H68" s="3158"/>
      <c r="I68" s="3079"/>
      <c r="J68" s="3158"/>
      <c r="K68" s="3087">
        <f>$G68</f>
        <v>11200</v>
      </c>
      <c r="L68" s="3158"/>
      <c r="M68" s="3079"/>
      <c r="N68" s="3158"/>
      <c r="O68" s="3079"/>
      <c r="P68" s="3158"/>
      <c r="Q68" s="3079"/>
      <c r="R68" s="3158"/>
      <c r="S68" s="3079"/>
    </row>
    <row r="69" spans="1:19">
      <c r="A69" s="3159"/>
      <c r="B69" s="3285" t="s">
        <v>6793</v>
      </c>
      <c r="C69" s="2049"/>
      <c r="D69" s="2050">
        <v>2</v>
      </c>
      <c r="E69" s="2051" t="s">
        <v>2803</v>
      </c>
      <c r="F69" s="2052">
        <v>300</v>
      </c>
      <c r="G69" s="662">
        <f>ROUND(D69*F69,0)</f>
        <v>600</v>
      </c>
      <c r="H69" s="3158"/>
      <c r="I69" s="3079"/>
      <c r="J69" s="3158"/>
      <c r="K69" s="3087">
        <f>$G69</f>
        <v>600</v>
      </c>
      <c r="L69" s="3158"/>
      <c r="M69" s="3079"/>
      <c r="N69" s="3158"/>
      <c r="O69" s="3079"/>
      <c r="P69" s="3158"/>
      <c r="Q69" s="3079"/>
      <c r="R69" s="3158"/>
      <c r="S69" s="3079"/>
    </row>
    <row r="70" spans="1:19">
      <c r="A70" s="3159"/>
      <c r="B70" s="3285" t="s">
        <v>6794</v>
      </c>
      <c r="C70" s="2049"/>
      <c r="D70" s="2050">
        <v>1</v>
      </c>
      <c r="E70" s="2051" t="s">
        <v>2803</v>
      </c>
      <c r="F70" s="2052"/>
      <c r="G70" s="662">
        <f t="shared" si="4"/>
        <v>0</v>
      </c>
      <c r="H70" s="3158"/>
      <c r="I70" s="3079"/>
      <c r="J70" s="3158"/>
      <c r="K70" s="3079"/>
      <c r="L70" s="3158"/>
      <c r="M70" s="3079"/>
      <c r="N70" s="3158"/>
      <c r="O70" s="3079"/>
      <c r="P70" s="3158"/>
      <c r="Q70" s="3079"/>
      <c r="R70" s="3158"/>
      <c r="S70" s="3079"/>
    </row>
    <row r="71" spans="1:19">
      <c r="A71" s="3159"/>
      <c r="B71" s="3285" t="s">
        <v>6795</v>
      </c>
      <c r="C71" s="2049"/>
      <c r="D71" s="2050">
        <v>12</v>
      </c>
      <c r="E71" s="2051" t="s">
        <v>2864</v>
      </c>
      <c r="F71" s="2052"/>
      <c r="G71" s="662">
        <f t="shared" si="4"/>
        <v>0</v>
      </c>
      <c r="H71" s="3158"/>
      <c r="I71" s="3079"/>
      <c r="J71" s="3158"/>
      <c r="K71" s="3079"/>
      <c r="L71" s="3158"/>
      <c r="M71" s="3079"/>
      <c r="N71" s="3158"/>
      <c r="O71" s="3079"/>
      <c r="P71" s="3158"/>
      <c r="Q71" s="3079"/>
      <c r="R71" s="3158"/>
      <c r="S71" s="3079"/>
    </row>
    <row r="72" spans="1:19">
      <c r="A72" s="3159">
        <f>12.42+12.42+12.08+8.56</f>
        <v>45.480000000000004</v>
      </c>
      <c r="B72" s="3285" t="s">
        <v>6796</v>
      </c>
      <c r="C72" s="2049"/>
      <c r="D72" s="2050">
        <f>A72*8</f>
        <v>363.84000000000003</v>
      </c>
      <c r="E72" s="2051" t="s">
        <v>2845</v>
      </c>
      <c r="F72" s="2052">
        <v>5</v>
      </c>
      <c r="G72" s="662">
        <f t="shared" si="4"/>
        <v>1819</v>
      </c>
      <c r="H72" s="3158"/>
      <c r="I72" s="3087">
        <f>$G72</f>
        <v>1819</v>
      </c>
      <c r="J72" s="3158"/>
      <c r="K72" s="3087">
        <f>$G72</f>
        <v>1819</v>
      </c>
      <c r="L72" s="3158"/>
      <c r="M72" s="3087">
        <f>$G72</f>
        <v>1819</v>
      </c>
      <c r="N72" s="3158"/>
      <c r="O72" s="3079"/>
      <c r="P72" s="3158"/>
      <c r="Q72" s="3079"/>
      <c r="R72" s="3158"/>
      <c r="S72" s="3079"/>
    </row>
    <row r="73" spans="1:19">
      <c r="A73" s="3159"/>
      <c r="B73" s="3284" t="s">
        <v>6813</v>
      </c>
      <c r="C73" s="2049"/>
      <c r="D73" s="2050"/>
      <c r="E73" s="2051"/>
      <c r="F73" s="2052"/>
      <c r="G73" s="662">
        <f t="shared" si="4"/>
        <v>0</v>
      </c>
      <c r="H73" s="3158"/>
      <c r="I73" s="3079"/>
      <c r="J73" s="3158"/>
      <c r="K73" s="3079"/>
      <c r="L73" s="3158"/>
      <c r="M73" s="3079"/>
      <c r="N73" s="3158"/>
      <c r="O73" s="3079"/>
      <c r="P73" s="3158"/>
      <c r="Q73" s="3079"/>
      <c r="R73" s="3158"/>
      <c r="S73" s="3079"/>
    </row>
    <row r="74" spans="1:19">
      <c r="A74" s="3159"/>
      <c r="B74" s="3285" t="s">
        <v>6790</v>
      </c>
      <c r="C74" s="2049"/>
      <c r="D74" s="2050">
        <v>1</v>
      </c>
      <c r="E74" s="2051" t="s">
        <v>2803</v>
      </c>
      <c r="F74" s="2052">
        <v>3000</v>
      </c>
      <c r="G74" s="662">
        <f>ROUND(D74*F74,0)</f>
        <v>3000</v>
      </c>
      <c r="H74" s="3158"/>
      <c r="I74" s="3079"/>
      <c r="J74" s="3158"/>
      <c r="K74" s="3087">
        <f>$G74</f>
        <v>3000</v>
      </c>
      <c r="L74" s="3158"/>
      <c r="M74" s="3079"/>
      <c r="N74" s="3158"/>
      <c r="O74" s="3079"/>
      <c r="P74" s="3158"/>
      <c r="Q74" s="3079"/>
      <c r="R74" s="3158"/>
      <c r="S74" s="3079"/>
    </row>
    <row r="75" spans="1:19">
      <c r="A75" s="3159"/>
      <c r="B75" s="3285" t="s">
        <v>6791</v>
      </c>
      <c r="C75" s="2049"/>
      <c r="D75" s="2050">
        <v>1</v>
      </c>
      <c r="E75" s="2051" t="s">
        <v>2803</v>
      </c>
      <c r="F75" s="2052">
        <v>3000</v>
      </c>
      <c r="G75" s="662">
        <f>ROUND(D75*F75,0)</f>
        <v>3000</v>
      </c>
      <c r="H75" s="3158"/>
      <c r="I75" s="3079"/>
      <c r="J75" s="3158"/>
      <c r="K75" s="3087">
        <f>$G75</f>
        <v>3000</v>
      </c>
      <c r="L75" s="3158"/>
      <c r="M75" s="3079"/>
      <c r="N75" s="3158"/>
      <c r="O75" s="3079"/>
      <c r="P75" s="3158"/>
      <c r="Q75" s="3079"/>
      <c r="R75" s="3158"/>
      <c r="S75" s="3079"/>
    </row>
    <row r="76" spans="1:19">
      <c r="A76" s="3159"/>
      <c r="B76" s="3285" t="s">
        <v>6792</v>
      </c>
      <c r="C76" s="2049"/>
      <c r="D76" s="2050">
        <v>2</v>
      </c>
      <c r="E76" s="2051" t="s">
        <v>2803</v>
      </c>
      <c r="F76" s="2052">
        <v>2800</v>
      </c>
      <c r="G76" s="662">
        <f>ROUND(D76*F76,0)</f>
        <v>5600</v>
      </c>
      <c r="H76" s="3158"/>
      <c r="I76" s="3079"/>
      <c r="J76" s="3158"/>
      <c r="K76" s="3087">
        <f>$G76</f>
        <v>5600</v>
      </c>
      <c r="L76" s="3158"/>
      <c r="M76" s="3079"/>
      <c r="N76" s="3158"/>
      <c r="O76" s="3079"/>
      <c r="P76" s="3158"/>
      <c r="Q76" s="3079"/>
      <c r="R76" s="3158"/>
      <c r="S76" s="3079"/>
    </row>
    <row r="77" spans="1:19">
      <c r="A77" s="3159"/>
      <c r="B77" s="3285" t="s">
        <v>6793</v>
      </c>
      <c r="C77" s="2049"/>
      <c r="D77" s="2050">
        <v>2</v>
      </c>
      <c r="E77" s="2051" t="s">
        <v>2803</v>
      </c>
      <c r="F77" s="2052">
        <v>300</v>
      </c>
      <c r="G77" s="662">
        <f>ROUND(D77*F77,0)</f>
        <v>600</v>
      </c>
      <c r="H77" s="3158"/>
      <c r="I77" s="3079"/>
      <c r="J77" s="3158"/>
      <c r="K77" s="3087">
        <f>$G77</f>
        <v>600</v>
      </c>
      <c r="L77" s="3158"/>
      <c r="M77" s="3079"/>
      <c r="N77" s="3158"/>
      <c r="O77" s="3079"/>
      <c r="P77" s="3158"/>
      <c r="Q77" s="3079"/>
      <c r="R77" s="3158"/>
      <c r="S77" s="3079"/>
    </row>
    <row r="78" spans="1:19">
      <c r="A78" s="3159"/>
      <c r="B78" s="3285" t="s">
        <v>6794</v>
      </c>
      <c r="C78" s="2049"/>
      <c r="D78" s="2050">
        <v>1</v>
      </c>
      <c r="E78" s="2051" t="s">
        <v>2803</v>
      </c>
      <c r="F78" s="2052"/>
      <c r="G78" s="662">
        <f t="shared" si="4"/>
        <v>0</v>
      </c>
      <c r="H78" s="3158"/>
      <c r="I78" s="3079"/>
      <c r="J78" s="3158"/>
      <c r="K78" s="3079"/>
      <c r="L78" s="3158"/>
      <c r="M78" s="3079"/>
      <c r="N78" s="3158"/>
      <c r="O78" s="3079"/>
      <c r="P78" s="3158"/>
      <c r="Q78" s="3079"/>
      <c r="R78" s="3158"/>
      <c r="S78" s="3079"/>
    </row>
    <row r="79" spans="1:19">
      <c r="A79" s="3159"/>
      <c r="B79" s="3285" t="s">
        <v>6795</v>
      </c>
      <c r="C79" s="2049"/>
      <c r="D79" s="2050">
        <v>6</v>
      </c>
      <c r="E79" s="2051" t="s">
        <v>2864</v>
      </c>
      <c r="F79" s="2052"/>
      <c r="G79" s="662">
        <f t="shared" si="4"/>
        <v>0</v>
      </c>
      <c r="H79" s="3158"/>
      <c r="I79" s="3079"/>
      <c r="J79" s="3158"/>
      <c r="K79" s="3079"/>
      <c r="L79" s="3158"/>
      <c r="M79" s="3079"/>
      <c r="N79" s="3158"/>
      <c r="O79" s="3079"/>
      <c r="P79" s="3158"/>
      <c r="Q79" s="3079"/>
      <c r="R79" s="3158"/>
      <c r="S79" s="3079"/>
    </row>
    <row r="80" spans="1:19">
      <c r="A80" s="3159">
        <f>3.67+3.67+6.33</f>
        <v>13.67</v>
      </c>
      <c r="B80" s="3285" t="s">
        <v>6796</v>
      </c>
      <c r="C80" s="2049"/>
      <c r="D80" s="2050">
        <f>A80*8</f>
        <v>109.36</v>
      </c>
      <c r="E80" s="2051" t="s">
        <v>2845</v>
      </c>
      <c r="F80" s="2052"/>
      <c r="G80" s="662">
        <f t="shared" si="4"/>
        <v>0</v>
      </c>
      <c r="H80" s="3158"/>
      <c r="I80" s="3079"/>
      <c r="J80" s="3158"/>
      <c r="K80" s="3079"/>
      <c r="L80" s="3158"/>
      <c r="M80" s="3079"/>
      <c r="N80" s="3158"/>
      <c r="O80" s="3079"/>
      <c r="P80" s="3158"/>
      <c r="Q80" s="3079"/>
      <c r="R80" s="3158"/>
      <c r="S80" s="3079"/>
    </row>
    <row r="81" spans="1:30">
      <c r="A81" s="3159"/>
      <c r="B81" s="3284" t="s">
        <v>6798</v>
      </c>
      <c r="C81" s="2049"/>
      <c r="D81" s="2050"/>
      <c r="E81" s="2051"/>
      <c r="F81" s="2052"/>
      <c r="G81" s="662">
        <f t="shared" si="4"/>
        <v>0</v>
      </c>
      <c r="H81" s="3158"/>
      <c r="I81" s="3079"/>
      <c r="J81" s="3158" t="s">
        <v>2931</v>
      </c>
      <c r="K81" s="3079"/>
      <c r="L81" s="3158"/>
      <c r="M81" s="3079"/>
      <c r="N81" s="3158"/>
      <c r="O81" s="3079"/>
      <c r="P81" s="3158"/>
      <c r="Q81" s="3079"/>
      <c r="R81" s="3158"/>
      <c r="S81" s="3079"/>
    </row>
    <row r="82" spans="1:30">
      <c r="A82" s="3159"/>
      <c r="B82" s="3285" t="s">
        <v>6814</v>
      </c>
      <c r="C82" s="2049"/>
      <c r="D82" s="2050">
        <v>7</v>
      </c>
      <c r="E82" s="2051" t="s">
        <v>2803</v>
      </c>
      <c r="F82" s="2052"/>
      <c r="G82" s="662">
        <f t="shared" si="4"/>
        <v>0</v>
      </c>
      <c r="H82" s="3158"/>
      <c r="I82" s="3079"/>
      <c r="J82" s="3158"/>
      <c r="K82" s="3079"/>
      <c r="L82" s="3158"/>
      <c r="M82" s="3079"/>
      <c r="N82" s="3158"/>
      <c r="O82" s="3079"/>
      <c r="P82" s="3158"/>
      <c r="Q82" s="3079"/>
      <c r="R82" s="3158"/>
      <c r="S82" s="3079"/>
    </row>
    <row r="83" spans="1:30">
      <c r="A83" s="3159"/>
      <c r="B83" s="3285" t="s">
        <v>6815</v>
      </c>
      <c r="C83" s="2049"/>
      <c r="D83" s="2050">
        <v>12</v>
      </c>
      <c r="E83" s="2051" t="s">
        <v>2803</v>
      </c>
      <c r="F83" s="2052"/>
      <c r="G83" s="662">
        <f t="shared" si="4"/>
        <v>0</v>
      </c>
      <c r="H83" s="3158"/>
      <c r="I83" s="3079"/>
      <c r="J83" s="3158"/>
      <c r="K83" s="3079"/>
      <c r="L83" s="3158"/>
      <c r="M83" s="3079"/>
      <c r="N83" s="3158"/>
      <c r="O83" s="3079"/>
      <c r="P83" s="3158"/>
      <c r="Q83" s="3079"/>
      <c r="R83" s="3158"/>
      <c r="S83" s="3079"/>
    </row>
    <row r="84" spans="1:30">
      <c r="A84" s="3159"/>
      <c r="B84" s="3285" t="s">
        <v>6816</v>
      </c>
      <c r="C84" s="2049"/>
      <c r="D84" s="2050">
        <v>42</v>
      </c>
      <c r="E84" s="2051" t="s">
        <v>2803</v>
      </c>
      <c r="F84" s="2052"/>
      <c r="G84" s="662">
        <f t="shared" si="4"/>
        <v>0</v>
      </c>
      <c r="H84" s="3158"/>
      <c r="I84" s="3079"/>
      <c r="J84" s="3158"/>
      <c r="K84" s="3079"/>
      <c r="L84" s="3158"/>
      <c r="M84" s="3079"/>
      <c r="N84" s="3158"/>
      <c r="O84" s="3079"/>
      <c r="P84" s="3158"/>
      <c r="Q84" s="3079"/>
      <c r="R84" s="3158"/>
      <c r="S84" s="3079"/>
    </row>
    <row r="85" spans="1:30">
      <c r="A85" s="3159"/>
      <c r="B85" s="3285" t="s">
        <v>6817</v>
      </c>
      <c r="C85" s="2049"/>
      <c r="D85" s="2050">
        <v>17</v>
      </c>
      <c r="E85" s="2051" t="s">
        <v>2803</v>
      </c>
      <c r="F85" s="2052"/>
      <c r="G85" s="662">
        <f t="shared" si="4"/>
        <v>0</v>
      </c>
      <c r="H85" s="3158"/>
      <c r="I85" s="3079"/>
      <c r="J85" s="3158"/>
      <c r="K85" s="3079"/>
      <c r="L85" s="3158"/>
      <c r="M85" s="3079"/>
      <c r="N85" s="3158"/>
      <c r="O85" s="3079"/>
      <c r="P85" s="3158"/>
      <c r="Q85" s="3079"/>
      <c r="R85" s="3158"/>
      <c r="S85" s="3079"/>
      <c r="AD85" t="s">
        <v>2795</v>
      </c>
    </row>
    <row r="86" spans="1:30">
      <c r="A86" s="3159"/>
      <c r="B86" s="3285" t="s">
        <v>6818</v>
      </c>
      <c r="C86" s="2049"/>
      <c r="D86" s="2050">
        <v>27</v>
      </c>
      <c r="E86" s="2051" t="s">
        <v>2803</v>
      </c>
      <c r="F86" s="2052"/>
      <c r="G86" s="662">
        <f t="shared" ref="G86:G116" si="5">ROUND(D86*F86,0)</f>
        <v>0</v>
      </c>
      <c r="H86" s="3158"/>
      <c r="I86" s="3079"/>
      <c r="J86" s="3158" t="s">
        <v>2931</v>
      </c>
      <c r="K86" s="3079"/>
      <c r="L86" s="3158"/>
      <c r="M86" s="3079"/>
      <c r="N86" s="3158"/>
      <c r="O86" s="3079"/>
      <c r="P86" s="3158"/>
      <c r="Q86" s="3079"/>
      <c r="R86" s="3158"/>
      <c r="S86" s="3079"/>
      <c r="AD86" t="s">
        <v>2795</v>
      </c>
    </row>
    <row r="87" spans="1:30">
      <c r="A87" s="3159"/>
      <c r="B87" s="3246"/>
      <c r="C87" s="2049"/>
      <c r="D87" s="2050"/>
      <c r="E87" s="2051"/>
      <c r="F87" s="2052"/>
      <c r="G87" s="662"/>
      <c r="H87" s="3158"/>
      <c r="I87" s="3079"/>
      <c r="J87" s="3158"/>
      <c r="K87" s="3079"/>
      <c r="L87" s="3158"/>
      <c r="M87" s="3079"/>
      <c r="N87" s="3158"/>
      <c r="O87" s="3079"/>
      <c r="P87" s="3158"/>
      <c r="Q87" s="3079"/>
      <c r="R87" s="3158"/>
      <c r="S87" s="3079"/>
    </row>
    <row r="88" spans="1:30" s="175" customFormat="1">
      <c r="A88" s="3159"/>
      <c r="B88" s="3287" t="s">
        <v>6819</v>
      </c>
      <c r="C88" s="3288" t="s">
        <v>1485</v>
      </c>
      <c r="D88" s="3288">
        <v>1</v>
      </c>
      <c r="E88" s="3289" t="s">
        <v>6820</v>
      </c>
      <c r="F88" s="3290"/>
      <c r="G88" s="668"/>
      <c r="H88" s="3291"/>
      <c r="I88" s="3079"/>
      <c r="J88" s="3291"/>
      <c r="K88" s="3079">
        <v>55085.57</v>
      </c>
      <c r="L88" s="3291"/>
      <c r="M88" s="3079"/>
      <c r="N88" s="3291"/>
      <c r="O88" s="3079"/>
      <c r="P88" s="3291"/>
      <c r="Q88" s="3079"/>
      <c r="R88" s="3291"/>
      <c r="S88" s="3079"/>
    </row>
    <row r="89" spans="1:30" s="175" customFormat="1">
      <c r="A89" s="2037"/>
      <c r="B89" s="3287"/>
      <c r="C89" s="3288"/>
      <c r="D89" s="3288"/>
      <c r="E89" s="3289"/>
      <c r="F89" s="3290"/>
      <c r="G89" s="668"/>
      <c r="H89" s="3291" t="s">
        <v>2931</v>
      </c>
      <c r="I89" s="3079"/>
      <c r="J89" s="3291"/>
      <c r="K89" s="3079"/>
      <c r="L89" s="3291"/>
      <c r="M89" s="3079"/>
      <c r="N89" s="3291"/>
      <c r="O89" s="3079"/>
      <c r="P89" s="3291"/>
      <c r="Q89" s="3079"/>
      <c r="R89" s="3291"/>
      <c r="S89" s="3079"/>
    </row>
    <row r="90" spans="1:30" s="175" customFormat="1">
      <c r="A90" s="2037"/>
      <c r="B90" s="3287" t="s">
        <v>6821</v>
      </c>
      <c r="C90" s="3288"/>
      <c r="D90" s="3288"/>
      <c r="E90" s="3289"/>
      <c r="F90" s="3290"/>
      <c r="G90" s="668"/>
      <c r="H90" s="3291"/>
      <c r="I90" s="3079"/>
      <c r="J90" s="3291"/>
      <c r="K90" s="3079"/>
      <c r="L90" s="3291"/>
      <c r="M90" s="3079"/>
      <c r="N90" s="3291"/>
      <c r="O90" s="3079"/>
      <c r="P90" s="3291"/>
      <c r="Q90" s="3079"/>
      <c r="R90" s="3291"/>
      <c r="S90" s="3079"/>
    </row>
    <row r="91" spans="1:30">
      <c r="A91" s="3159"/>
      <c r="B91" s="3246"/>
      <c r="C91" s="2049"/>
      <c r="D91" s="2050"/>
      <c r="E91" s="2051"/>
      <c r="F91" s="2052"/>
      <c r="G91" s="662">
        <f t="shared" si="5"/>
        <v>0</v>
      </c>
      <c r="H91" s="3158"/>
      <c r="I91" s="3079"/>
      <c r="J91" s="3158"/>
      <c r="K91" s="3079"/>
      <c r="L91" s="3158"/>
      <c r="M91" s="3079"/>
      <c r="N91" s="3158"/>
      <c r="O91" s="3079"/>
      <c r="P91" s="3158"/>
      <c r="Q91" s="3079"/>
      <c r="R91" s="3158"/>
      <c r="S91" s="3079"/>
    </row>
    <row r="92" spans="1:30">
      <c r="A92" s="3159"/>
      <c r="B92" s="452" t="s">
        <v>6097</v>
      </c>
      <c r="C92" s="2049"/>
      <c r="D92" s="2050"/>
      <c r="E92" s="2051"/>
      <c r="F92" s="2052"/>
      <c r="G92" s="662">
        <f t="shared" si="5"/>
        <v>0</v>
      </c>
      <c r="H92" s="3158"/>
      <c r="I92" s="3080">
        <f>SUBTOTAL(9,I93:I105)</f>
        <v>27213.11</v>
      </c>
      <c r="J92" s="3158"/>
      <c r="K92" s="3080">
        <f>SUBTOTAL(9,K93:K105)</f>
        <v>7431.2800000000007</v>
      </c>
      <c r="L92" s="3158"/>
      <c r="M92" s="3080">
        <f>SUBTOTAL(9,M93:M105)</f>
        <v>443</v>
      </c>
      <c r="N92" s="3158"/>
      <c r="O92" s="3080">
        <f>SUBTOTAL(9,O93:O105)</f>
        <v>27992</v>
      </c>
      <c r="P92" s="3158"/>
      <c r="Q92" s="3080">
        <f>SUBTOTAL(9,Q93:Q105)</f>
        <v>0</v>
      </c>
      <c r="R92" s="3158"/>
      <c r="S92" s="3080">
        <f>SUBTOTAL(9,S93:S105)</f>
        <v>0</v>
      </c>
      <c r="AD92" t="s">
        <v>2795</v>
      </c>
    </row>
    <row r="93" spans="1:30">
      <c r="A93" s="3159"/>
      <c r="B93" s="3246" t="s">
        <v>2994</v>
      </c>
      <c r="C93" s="2049"/>
      <c r="D93" s="3247"/>
      <c r="E93" s="2051"/>
      <c r="F93" s="3283"/>
      <c r="G93" s="662"/>
      <c r="H93" s="3158"/>
      <c r="I93" s="3079">
        <v>26770.11</v>
      </c>
      <c r="J93" s="3158"/>
      <c r="K93" s="3079"/>
      <c r="L93" s="3158"/>
      <c r="M93" s="3079"/>
      <c r="N93" s="3158"/>
      <c r="O93" s="3079">
        <v>27992</v>
      </c>
      <c r="P93" s="3158"/>
      <c r="Q93" s="3079"/>
      <c r="R93" s="3158"/>
      <c r="S93" s="3079"/>
    </row>
    <row r="94" spans="1:30">
      <c r="A94" s="3159"/>
      <c r="B94" s="3292" t="s">
        <v>6788</v>
      </c>
      <c r="C94" s="2049"/>
      <c r="D94" s="2050"/>
      <c r="E94" s="2051"/>
      <c r="F94" s="2052"/>
      <c r="G94" s="662">
        <f t="shared" si="5"/>
        <v>0</v>
      </c>
      <c r="H94" s="3158"/>
      <c r="I94" s="3079"/>
      <c r="J94" s="3158"/>
      <c r="K94" s="3079"/>
      <c r="L94" s="3158"/>
      <c r="M94" s="3079"/>
      <c r="N94" s="3158"/>
      <c r="O94" s="3079"/>
      <c r="P94" s="3158"/>
      <c r="Q94" s="3079"/>
      <c r="R94" s="3158"/>
      <c r="S94" s="3079"/>
    </row>
    <row r="95" spans="1:30">
      <c r="A95" s="3159"/>
      <c r="B95" s="3036" t="s">
        <v>6791</v>
      </c>
      <c r="C95" s="2049"/>
      <c r="D95" s="2050">
        <v>1</v>
      </c>
      <c r="E95" s="2051" t="s">
        <v>2803</v>
      </c>
      <c r="F95" s="2052">
        <v>3000</v>
      </c>
      <c r="G95" s="662">
        <f>ROUND(D95*F95,0)</f>
        <v>3000</v>
      </c>
      <c r="H95" s="3158"/>
      <c r="I95" s="3079"/>
      <c r="J95" s="3158"/>
      <c r="K95" s="3087">
        <f>$G95</f>
        <v>3000</v>
      </c>
      <c r="L95" s="3158"/>
      <c r="M95" s="3079"/>
      <c r="N95" s="3158"/>
      <c r="O95" s="3079"/>
      <c r="P95" s="3158"/>
      <c r="Q95" s="3079"/>
      <c r="R95" s="3158"/>
      <c r="S95" s="3079"/>
    </row>
    <row r="96" spans="1:30">
      <c r="A96" s="3159"/>
      <c r="B96" s="3285" t="s">
        <v>6793</v>
      </c>
      <c r="C96" s="2049"/>
      <c r="D96" s="2050">
        <v>2</v>
      </c>
      <c r="E96" s="2051" t="s">
        <v>2803</v>
      </c>
      <c r="F96" s="2052">
        <v>300</v>
      </c>
      <c r="G96" s="662">
        <f>ROUND(D96*F96,0)</f>
        <v>600</v>
      </c>
      <c r="H96" s="3158"/>
      <c r="I96" s="3079"/>
      <c r="J96" s="3158"/>
      <c r="K96" s="3087">
        <f>$G96</f>
        <v>600</v>
      </c>
      <c r="L96" s="3158"/>
      <c r="M96" s="3079"/>
      <c r="N96" s="3158"/>
      <c r="O96" s="3079"/>
      <c r="P96" s="3158"/>
      <c r="Q96" s="3079"/>
      <c r="R96" s="3158"/>
      <c r="S96" s="3079"/>
    </row>
    <row r="97" spans="1:30">
      <c r="A97" s="3159"/>
      <c r="B97" s="3285" t="s">
        <v>6794</v>
      </c>
      <c r="C97" s="2049"/>
      <c r="D97" s="2050">
        <v>1</v>
      </c>
      <c r="E97" s="2051" t="s">
        <v>2803</v>
      </c>
      <c r="F97" s="2052"/>
      <c r="G97" s="662">
        <f t="shared" si="5"/>
        <v>0</v>
      </c>
      <c r="H97" s="3158"/>
      <c r="I97" s="3079"/>
      <c r="J97" s="3158"/>
      <c r="K97" s="3079"/>
      <c r="L97" s="3158"/>
      <c r="M97" s="3079"/>
      <c r="N97" s="3158"/>
      <c r="O97" s="3079"/>
      <c r="P97" s="3158"/>
      <c r="Q97" s="3079"/>
      <c r="R97" s="3158"/>
      <c r="S97" s="3079"/>
    </row>
    <row r="98" spans="1:30">
      <c r="A98" s="3159">
        <f>3.83+3.83+3.42</f>
        <v>11.08</v>
      </c>
      <c r="B98" s="3285" t="s">
        <v>6796</v>
      </c>
      <c r="C98" s="2049"/>
      <c r="D98" s="2050">
        <f>A98*8</f>
        <v>88.64</v>
      </c>
      <c r="E98" s="2051" t="s">
        <v>2845</v>
      </c>
      <c r="F98" s="2052">
        <v>5</v>
      </c>
      <c r="G98" s="662">
        <f t="shared" si="5"/>
        <v>443</v>
      </c>
      <c r="H98" s="3158"/>
      <c r="I98" s="3087">
        <f>$G98</f>
        <v>443</v>
      </c>
      <c r="J98" s="3158"/>
      <c r="K98" s="3087">
        <f>$G98</f>
        <v>443</v>
      </c>
      <c r="L98" s="3158"/>
      <c r="M98" s="3087">
        <f>$G98</f>
        <v>443</v>
      </c>
      <c r="N98" s="3158"/>
      <c r="O98" s="3079"/>
      <c r="P98" s="3158"/>
      <c r="Q98" s="3079"/>
      <c r="R98" s="3158"/>
      <c r="S98" s="3079"/>
    </row>
    <row r="99" spans="1:30">
      <c r="A99" s="3159"/>
      <c r="B99" s="3284" t="s">
        <v>6798</v>
      </c>
      <c r="C99" s="2049"/>
      <c r="D99" s="2050"/>
      <c r="E99" s="2051"/>
      <c r="F99" s="2052"/>
      <c r="G99" s="662">
        <f t="shared" si="5"/>
        <v>0</v>
      </c>
      <c r="H99" s="3158"/>
      <c r="I99" s="3079"/>
      <c r="J99" s="3158"/>
      <c r="K99" s="3079">
        <v>3388.28</v>
      </c>
      <c r="L99" s="3158"/>
      <c r="M99" s="3079"/>
      <c r="N99" s="3158"/>
      <c r="O99" s="3079"/>
      <c r="P99" s="3158"/>
      <c r="Q99" s="3079"/>
      <c r="R99" s="3158"/>
      <c r="S99" s="3079"/>
    </row>
    <row r="100" spans="1:30">
      <c r="A100" s="3159"/>
      <c r="B100" s="3285" t="s">
        <v>6822</v>
      </c>
      <c r="C100" s="2049"/>
      <c r="D100" s="2050">
        <v>2</v>
      </c>
      <c r="E100" s="2051" t="s">
        <v>2803</v>
      </c>
      <c r="F100" s="2052"/>
      <c r="G100" s="662">
        <f t="shared" ref="G100:G113" si="6">ROUND(D100*F100,0)</f>
        <v>0</v>
      </c>
      <c r="H100" s="3158"/>
      <c r="I100" s="3079"/>
      <c r="J100" s="3158"/>
      <c r="K100" s="3079"/>
      <c r="L100" s="3158"/>
      <c r="M100" s="3079"/>
      <c r="N100" s="3158"/>
      <c r="O100" s="3079"/>
      <c r="P100" s="3158"/>
      <c r="Q100" s="3079"/>
      <c r="R100" s="3158"/>
      <c r="S100" s="3079"/>
    </row>
    <row r="101" spans="1:30">
      <c r="A101" s="3159"/>
      <c r="B101" s="3285" t="s">
        <v>6817</v>
      </c>
      <c r="C101" s="2049"/>
      <c r="D101" s="2050">
        <v>2</v>
      </c>
      <c r="E101" s="2051" t="s">
        <v>2803</v>
      </c>
      <c r="F101" s="2052"/>
      <c r="G101" s="662">
        <f t="shared" si="6"/>
        <v>0</v>
      </c>
      <c r="H101" s="3158"/>
      <c r="I101" s="3079"/>
      <c r="J101" s="3158"/>
      <c r="K101" s="3079"/>
      <c r="L101" s="3158"/>
      <c r="M101" s="3079"/>
      <c r="N101" s="3158"/>
      <c r="O101" s="3079"/>
      <c r="P101" s="3158"/>
      <c r="Q101" s="3079"/>
      <c r="R101" s="3158"/>
      <c r="S101" s="3079"/>
      <c r="AD101" t="s">
        <v>2795</v>
      </c>
    </row>
    <row r="102" spans="1:30">
      <c r="A102" s="3159"/>
      <c r="B102" s="3285" t="s">
        <v>6818</v>
      </c>
      <c r="C102" s="2049"/>
      <c r="D102" s="2050">
        <v>1</v>
      </c>
      <c r="E102" s="2051" t="s">
        <v>2803</v>
      </c>
      <c r="F102" s="2052"/>
      <c r="G102" s="662">
        <f t="shared" si="6"/>
        <v>0</v>
      </c>
      <c r="H102" s="3158"/>
      <c r="I102" s="3079"/>
      <c r="J102" s="3158" t="s">
        <v>2931</v>
      </c>
      <c r="K102" s="3079"/>
      <c r="L102" s="3158"/>
      <c r="M102" s="3079"/>
      <c r="N102" s="3158"/>
      <c r="O102" s="3079"/>
      <c r="P102" s="3158"/>
      <c r="Q102" s="3079"/>
      <c r="R102" s="3158"/>
      <c r="S102" s="3079"/>
      <c r="AD102" t="s">
        <v>2795</v>
      </c>
    </row>
    <row r="103" spans="1:30">
      <c r="A103" s="3159"/>
      <c r="B103" s="3285"/>
      <c r="C103" s="2049"/>
      <c r="D103" s="2050"/>
      <c r="E103" s="2051"/>
      <c r="F103" s="2052"/>
      <c r="G103" s="662"/>
      <c r="H103" s="3158"/>
      <c r="I103" s="3079"/>
      <c r="J103" s="3158"/>
      <c r="K103" s="3079"/>
      <c r="L103" s="3158"/>
      <c r="M103" s="3079"/>
      <c r="N103" s="3158"/>
      <c r="O103" s="3079"/>
      <c r="P103" s="3158"/>
      <c r="Q103" s="3079"/>
      <c r="R103" s="3158"/>
      <c r="S103" s="3079"/>
    </row>
    <row r="104" spans="1:30" s="175" customFormat="1">
      <c r="A104" s="3159"/>
      <c r="B104" s="3287" t="s">
        <v>6823</v>
      </c>
      <c r="C104" s="3288" t="s">
        <v>1485</v>
      </c>
      <c r="D104" s="3288">
        <v>1</v>
      </c>
      <c r="E104" s="3289" t="s">
        <v>6820</v>
      </c>
      <c r="F104" s="3290"/>
      <c r="G104" s="662">
        <f t="shared" si="6"/>
        <v>0</v>
      </c>
      <c r="H104" s="3291"/>
      <c r="I104" s="3079"/>
      <c r="J104" s="3158" t="s">
        <v>2931</v>
      </c>
      <c r="K104" s="3079"/>
      <c r="L104" s="3291"/>
      <c r="M104" s="3079"/>
      <c r="N104" s="3291"/>
      <c r="O104" s="3079"/>
      <c r="P104" s="3291"/>
      <c r="Q104" s="3079"/>
      <c r="R104" s="3291"/>
      <c r="S104" s="3079"/>
    </row>
    <row r="105" spans="1:30">
      <c r="A105" s="2037"/>
      <c r="B105" s="3293"/>
      <c r="C105" s="2049"/>
      <c r="D105" s="2050"/>
      <c r="E105" s="2051"/>
      <c r="F105" s="2052"/>
      <c r="G105" s="662">
        <f t="shared" si="6"/>
        <v>0</v>
      </c>
      <c r="H105" s="3158"/>
      <c r="I105" s="3079"/>
      <c r="J105" s="3158"/>
      <c r="K105" s="3079"/>
      <c r="L105" s="3158"/>
      <c r="M105" s="3079"/>
      <c r="N105" s="3158"/>
      <c r="O105" s="3079"/>
      <c r="P105" s="3158"/>
      <c r="Q105" s="3079"/>
      <c r="R105" s="3158"/>
      <c r="S105" s="3079"/>
      <c r="AD105" t="s">
        <v>2795</v>
      </c>
    </row>
    <row r="106" spans="1:30">
      <c r="A106" s="2037"/>
      <c r="B106" s="3294" t="s">
        <v>6425</v>
      </c>
      <c r="C106" s="2049"/>
      <c r="D106" s="2050"/>
      <c r="E106" s="2051"/>
      <c r="F106" s="2052"/>
      <c r="G106" s="662">
        <f t="shared" si="6"/>
        <v>0</v>
      </c>
      <c r="H106" s="3158"/>
      <c r="I106" s="3080">
        <f>SUBTOTAL(9,I107:I122)</f>
        <v>26005.11</v>
      </c>
      <c r="J106" s="3158"/>
      <c r="K106" s="3080">
        <f>SUBTOTAL(9,K107:K122)</f>
        <v>4000</v>
      </c>
      <c r="L106" s="3158"/>
      <c r="M106" s="3080">
        <f>SUBTOTAL(9,M107:M122)</f>
        <v>400</v>
      </c>
      <c r="N106" s="3158"/>
      <c r="O106" s="3080">
        <f>SUBTOTAL(9,O107:O122)</f>
        <v>39449</v>
      </c>
      <c r="P106" s="3158"/>
      <c r="Q106" s="3080">
        <f>SUBTOTAL(9,Q107:Q122)</f>
        <v>0</v>
      </c>
      <c r="R106" s="3158"/>
      <c r="S106" s="3080">
        <f>SUBTOTAL(9,S107:S122)</f>
        <v>0</v>
      </c>
      <c r="AD106" t="s">
        <v>2795</v>
      </c>
    </row>
    <row r="107" spans="1:30">
      <c r="A107" s="3159"/>
      <c r="B107" s="3246" t="s">
        <v>2994</v>
      </c>
      <c r="C107" s="2049"/>
      <c r="D107" s="3247"/>
      <c r="E107" s="2051"/>
      <c r="F107" s="3283"/>
      <c r="G107" s="662"/>
      <c r="H107" s="3158"/>
      <c r="I107" s="3079">
        <v>25605.11</v>
      </c>
      <c r="J107" s="3158"/>
      <c r="K107" s="3079"/>
      <c r="L107" s="3158"/>
      <c r="M107" s="3079"/>
      <c r="N107" s="3158"/>
      <c r="O107" s="3079">
        <v>39449</v>
      </c>
      <c r="P107" s="3158"/>
      <c r="Q107" s="3079"/>
      <c r="R107" s="3158"/>
      <c r="S107" s="3079"/>
    </row>
    <row r="108" spans="1:30">
      <c r="A108" s="3159"/>
      <c r="B108" s="3284" t="s">
        <v>6788</v>
      </c>
      <c r="C108" s="2049"/>
      <c r="D108" s="2050"/>
      <c r="E108" s="2051"/>
      <c r="F108" s="2052"/>
      <c r="G108" s="662">
        <f t="shared" si="6"/>
        <v>0</v>
      </c>
      <c r="H108" s="3158"/>
      <c r="I108" s="3079"/>
      <c r="J108" s="3158"/>
      <c r="K108" s="3079"/>
      <c r="L108" s="3158"/>
      <c r="M108" s="3079"/>
      <c r="N108" s="3158"/>
      <c r="O108" s="3079"/>
      <c r="P108" s="3158"/>
      <c r="Q108" s="3079"/>
      <c r="R108" s="3158"/>
      <c r="S108" s="3079"/>
      <c r="AD108" t="s">
        <v>2795</v>
      </c>
    </row>
    <row r="109" spans="1:30">
      <c r="A109" s="3159"/>
      <c r="B109" s="3284" t="s">
        <v>6824</v>
      </c>
      <c r="C109" s="2049"/>
      <c r="D109" s="2050"/>
      <c r="E109" s="2051"/>
      <c r="F109" s="2052"/>
      <c r="G109" s="662">
        <f t="shared" si="6"/>
        <v>0</v>
      </c>
      <c r="H109" s="3158"/>
      <c r="I109" s="3079"/>
      <c r="J109" s="3158"/>
      <c r="K109" s="3079"/>
      <c r="L109" s="3158"/>
      <c r="M109" s="3079"/>
      <c r="N109" s="3158"/>
      <c r="O109" s="3079"/>
      <c r="P109" s="3158"/>
      <c r="Q109" s="3079"/>
      <c r="R109" s="3158"/>
      <c r="S109" s="3079"/>
    </row>
    <row r="110" spans="1:30">
      <c r="A110" s="3159"/>
      <c r="B110" s="3285" t="s">
        <v>6791</v>
      </c>
      <c r="C110" s="2049"/>
      <c r="D110" s="2050">
        <v>1</v>
      </c>
      <c r="E110" s="2051" t="s">
        <v>2803</v>
      </c>
      <c r="F110" s="2052">
        <v>3000</v>
      </c>
      <c r="G110" s="662">
        <f>ROUND(D110*F110,0)</f>
        <v>3000</v>
      </c>
      <c r="H110" s="3158"/>
      <c r="I110" s="3079"/>
      <c r="J110" s="3158"/>
      <c r="K110" s="3087">
        <f>$G110</f>
        <v>3000</v>
      </c>
      <c r="L110" s="3158"/>
      <c r="M110" s="3079"/>
      <c r="N110" s="3158"/>
      <c r="O110" s="3079"/>
      <c r="P110" s="3158"/>
      <c r="Q110" s="3079"/>
      <c r="R110" s="3158"/>
      <c r="S110" s="3079"/>
      <c r="AD110" t="s">
        <v>2795</v>
      </c>
    </row>
    <row r="111" spans="1:30">
      <c r="A111" s="3159"/>
      <c r="B111" s="3285" t="s">
        <v>6793</v>
      </c>
      <c r="C111" s="2049"/>
      <c r="D111" s="2050">
        <v>2</v>
      </c>
      <c r="E111" s="2051" t="s">
        <v>2803</v>
      </c>
      <c r="F111" s="2052">
        <v>300</v>
      </c>
      <c r="G111" s="662">
        <f>ROUND(D111*F111,0)</f>
        <v>600</v>
      </c>
      <c r="H111" s="3158"/>
      <c r="I111" s="3079"/>
      <c r="J111" s="3158"/>
      <c r="K111" s="3087">
        <f>$G111</f>
        <v>600</v>
      </c>
      <c r="L111" s="3158"/>
      <c r="M111" s="3079"/>
      <c r="N111" s="3158"/>
      <c r="O111" s="3079"/>
      <c r="P111" s="3158"/>
      <c r="Q111" s="3079"/>
      <c r="R111" s="3158"/>
      <c r="S111" s="3079"/>
      <c r="AD111" t="s">
        <v>2795</v>
      </c>
    </row>
    <row r="112" spans="1:30">
      <c r="A112" s="3159"/>
      <c r="B112" s="3285" t="s">
        <v>6794</v>
      </c>
      <c r="C112" s="2049"/>
      <c r="D112" s="2050">
        <v>1</v>
      </c>
      <c r="E112" s="2051" t="s">
        <v>2803</v>
      </c>
      <c r="F112" s="2052"/>
      <c r="G112" s="662">
        <f t="shared" si="6"/>
        <v>0</v>
      </c>
      <c r="H112" s="3158"/>
      <c r="I112" s="3079"/>
      <c r="J112" s="3158"/>
      <c r="K112" s="3079"/>
      <c r="L112" s="3158"/>
      <c r="M112" s="3079"/>
      <c r="N112" s="3158"/>
      <c r="O112" s="3079"/>
      <c r="P112" s="3158"/>
      <c r="Q112" s="3079"/>
      <c r="R112" s="3158"/>
      <c r="S112" s="3079"/>
      <c r="AD112" t="s">
        <v>2795</v>
      </c>
    </row>
    <row r="113" spans="1:30">
      <c r="A113" s="3159">
        <v>10</v>
      </c>
      <c r="B113" s="3285" t="s">
        <v>6796</v>
      </c>
      <c r="C113" s="2049"/>
      <c r="D113" s="2050">
        <f>A113*8</f>
        <v>80</v>
      </c>
      <c r="E113" s="2051" t="s">
        <v>2845</v>
      </c>
      <c r="F113" s="2052">
        <v>5</v>
      </c>
      <c r="G113" s="662">
        <f t="shared" si="6"/>
        <v>400</v>
      </c>
      <c r="H113" s="3158"/>
      <c r="I113" s="3087">
        <f>$G113</f>
        <v>400</v>
      </c>
      <c r="J113" s="3158"/>
      <c r="K113" s="3087">
        <f>$G113</f>
        <v>400</v>
      </c>
      <c r="L113" s="3158"/>
      <c r="M113" s="3087">
        <f>$G113</f>
        <v>400</v>
      </c>
      <c r="N113" s="3158"/>
      <c r="O113" s="3079"/>
      <c r="P113" s="3158"/>
      <c r="Q113" s="3079"/>
      <c r="R113" s="3158"/>
      <c r="S113" s="3079"/>
      <c r="AD113" t="s">
        <v>2795</v>
      </c>
    </row>
    <row r="114" spans="1:30">
      <c r="A114" s="3159"/>
      <c r="B114" s="3284" t="s">
        <v>6798</v>
      </c>
      <c r="C114" s="2049"/>
      <c r="D114" s="2050"/>
      <c r="E114" s="2051"/>
      <c r="F114" s="2052"/>
      <c r="G114" s="662">
        <f t="shared" si="5"/>
        <v>0</v>
      </c>
      <c r="H114" s="3158"/>
      <c r="I114" s="3079"/>
      <c r="J114" s="3158"/>
      <c r="K114" s="3079"/>
      <c r="L114" s="3158"/>
      <c r="M114" s="3079"/>
      <c r="N114" s="3158"/>
      <c r="O114" s="3079"/>
      <c r="P114" s="3158"/>
      <c r="Q114" s="3079"/>
      <c r="R114" s="3158"/>
      <c r="S114" s="3079"/>
      <c r="AD114" t="s">
        <v>2795</v>
      </c>
    </row>
    <row r="115" spans="1:30">
      <c r="A115" s="3159"/>
      <c r="B115" s="3285" t="s">
        <v>6825</v>
      </c>
      <c r="C115" s="2049"/>
      <c r="D115" s="2050">
        <v>6</v>
      </c>
      <c r="E115" s="2051" t="s">
        <v>2803</v>
      </c>
      <c r="F115" s="2052"/>
      <c r="G115" s="662">
        <f t="shared" si="5"/>
        <v>0</v>
      </c>
      <c r="H115" s="3158"/>
      <c r="I115" s="3079"/>
      <c r="J115" s="3158"/>
      <c r="K115" s="3079"/>
      <c r="L115" s="3158"/>
      <c r="M115" s="3079"/>
      <c r="N115" s="3158"/>
      <c r="O115" s="3079"/>
      <c r="P115" s="3158"/>
      <c r="Q115" s="3079"/>
      <c r="R115" s="3158"/>
      <c r="S115" s="3079"/>
      <c r="AD115" t="s">
        <v>2795</v>
      </c>
    </row>
    <row r="116" spans="1:30">
      <c r="A116" s="3159"/>
      <c r="B116" s="3285" t="s">
        <v>6826</v>
      </c>
      <c r="C116" s="2049"/>
      <c r="D116" s="2050">
        <v>1</v>
      </c>
      <c r="E116" s="2051" t="s">
        <v>2803</v>
      </c>
      <c r="F116" s="2052"/>
      <c r="G116" s="662">
        <f t="shared" si="5"/>
        <v>0</v>
      </c>
      <c r="H116" s="3158"/>
      <c r="I116" s="3079"/>
      <c r="J116" s="3158"/>
      <c r="K116" s="3079"/>
      <c r="L116" s="3158"/>
      <c r="M116" s="3079"/>
      <c r="N116" s="3158"/>
      <c r="O116" s="3079"/>
      <c r="P116" s="3158"/>
      <c r="Q116" s="3079"/>
      <c r="R116" s="3158"/>
      <c r="S116" s="3079"/>
      <c r="AD116" t="s">
        <v>2795</v>
      </c>
    </row>
    <row r="117" spans="1:30">
      <c r="A117" s="3159"/>
      <c r="B117" s="3285" t="s">
        <v>6827</v>
      </c>
      <c r="C117" s="2049"/>
      <c r="D117" s="2050">
        <v>2</v>
      </c>
      <c r="E117" s="2051" t="s">
        <v>2803</v>
      </c>
      <c r="F117" s="2052"/>
      <c r="G117" s="662">
        <f t="shared" ref="G117:G122" si="7">ROUND(D117*F117,0)</f>
        <v>0</v>
      </c>
      <c r="H117" s="3158"/>
      <c r="I117" s="3079"/>
      <c r="J117" s="3158" t="s">
        <v>2931</v>
      </c>
      <c r="K117" s="3079"/>
      <c r="L117" s="3158"/>
      <c r="M117" s="3079"/>
      <c r="N117" s="3158"/>
      <c r="O117" s="3079"/>
      <c r="P117" s="3158"/>
      <c r="Q117" s="3079"/>
      <c r="R117" s="3158"/>
      <c r="S117" s="3079"/>
      <c r="AD117" t="s">
        <v>2795</v>
      </c>
    </row>
    <row r="118" spans="1:30">
      <c r="A118" s="3159"/>
      <c r="B118" s="3285"/>
      <c r="C118" s="2049"/>
      <c r="D118" s="2050"/>
      <c r="E118" s="2051"/>
      <c r="F118" s="2052"/>
      <c r="G118" s="662"/>
      <c r="H118" s="3158"/>
      <c r="I118" s="3079"/>
      <c r="J118" s="3158"/>
      <c r="K118" s="3079"/>
      <c r="L118" s="3158"/>
      <c r="M118" s="3079"/>
      <c r="N118" s="3158"/>
      <c r="O118" s="3079"/>
      <c r="P118" s="3158"/>
      <c r="Q118" s="3079"/>
      <c r="R118" s="3158"/>
      <c r="S118" s="3079"/>
    </row>
    <row r="119" spans="1:30" s="175" customFormat="1">
      <c r="A119" s="3159"/>
      <c r="B119" s="3287" t="s">
        <v>6823</v>
      </c>
      <c r="C119" s="3288" t="s">
        <v>1485</v>
      </c>
      <c r="D119" s="3288">
        <v>1</v>
      </c>
      <c r="E119" s="3289" t="s">
        <v>6820</v>
      </c>
      <c r="F119" s="3290"/>
      <c r="G119" s="662">
        <f t="shared" si="7"/>
        <v>0</v>
      </c>
      <c r="H119" s="3291"/>
      <c r="I119" s="3079"/>
      <c r="J119" s="3158" t="s">
        <v>2931</v>
      </c>
      <c r="K119" s="3079"/>
      <c r="L119" s="3291"/>
      <c r="M119" s="3079"/>
      <c r="N119" s="3291"/>
      <c r="O119" s="3079"/>
      <c r="P119" s="3291"/>
      <c r="Q119" s="3079"/>
      <c r="R119" s="3291"/>
      <c r="S119" s="3079"/>
    </row>
    <row r="120" spans="1:30">
      <c r="A120" s="3159"/>
      <c r="B120" s="3246"/>
      <c r="C120" s="2049"/>
      <c r="D120" s="2050"/>
      <c r="E120" s="2051"/>
      <c r="F120" s="2052"/>
      <c r="G120" s="662">
        <f t="shared" si="7"/>
        <v>0</v>
      </c>
      <c r="H120" s="3158"/>
      <c r="I120" s="3079"/>
      <c r="J120" s="3158"/>
      <c r="K120" s="3079"/>
      <c r="L120" s="3158"/>
      <c r="M120" s="3079"/>
      <c r="N120" s="3158"/>
      <c r="O120" s="3079"/>
      <c r="P120" s="3158"/>
      <c r="Q120" s="3079"/>
      <c r="R120" s="3158"/>
      <c r="S120" s="3079"/>
    </row>
    <row r="121" spans="1:30">
      <c r="A121" s="3159"/>
      <c r="B121" s="3295" t="s">
        <v>6828</v>
      </c>
      <c r="C121" s="2049"/>
      <c r="D121" s="2050"/>
      <c r="E121" s="2051"/>
      <c r="F121" s="2052"/>
      <c r="G121" s="662">
        <f t="shared" si="7"/>
        <v>0</v>
      </c>
      <c r="H121" s="3158"/>
      <c r="I121" s="3079"/>
      <c r="J121" s="3158"/>
      <c r="K121" s="3087"/>
      <c r="L121" s="3158"/>
      <c r="M121" s="3079"/>
      <c r="N121" s="3158"/>
      <c r="O121" s="3079"/>
      <c r="P121" s="3158"/>
      <c r="Q121" s="3079"/>
      <c r="R121" s="3158"/>
      <c r="S121" s="3079"/>
    </row>
    <row r="122" spans="1:30" ht="15.75" thickBot="1">
      <c r="A122" s="3159"/>
      <c r="B122" s="3246"/>
      <c r="C122" s="2049"/>
      <c r="D122" s="2050"/>
      <c r="E122" s="2051"/>
      <c r="F122" s="2052"/>
      <c r="G122" s="662">
        <f t="shared" si="7"/>
        <v>0</v>
      </c>
      <c r="H122" s="3158"/>
      <c r="I122" s="3079"/>
      <c r="J122" s="3158"/>
      <c r="K122" s="3079"/>
      <c r="L122" s="3158"/>
      <c r="M122" s="3079"/>
      <c r="N122" s="3158"/>
      <c r="O122" s="3079"/>
      <c r="P122" s="3158"/>
      <c r="Q122" s="3079"/>
      <c r="R122" s="3158"/>
      <c r="S122" s="3079"/>
    </row>
    <row r="123" spans="1:30" ht="15.75" thickTop="1">
      <c r="A123" s="13"/>
      <c r="B123" s="226" t="s">
        <v>3265</v>
      </c>
      <c r="C123" s="15"/>
      <c r="D123" s="453"/>
      <c r="E123" s="176"/>
      <c r="F123" s="17"/>
      <c r="G123" s="227">
        <f>SUBTOTAL(9,G21:G122)</f>
        <v>78496</v>
      </c>
      <c r="H123" s="19"/>
      <c r="I123" s="225">
        <f>SUBTOTAL(9,I20:I122)</f>
        <v>411508.93999999994</v>
      </c>
      <c r="J123" s="19"/>
      <c r="K123" s="225">
        <f>SUBTOTAL(9,K20:K122)</f>
        <v>285510.55000000005</v>
      </c>
      <c r="L123" s="19"/>
      <c r="M123" s="225">
        <f>SUBTOTAL(9,M20:M122)</f>
        <v>404826</v>
      </c>
      <c r="N123" s="19"/>
      <c r="O123" s="225">
        <f>SUBTOTAL(9,O20:O122)</f>
        <v>440518</v>
      </c>
      <c r="P123" s="19"/>
      <c r="Q123" s="225">
        <f>SUBTOTAL(9,Q20:Q122)</f>
        <v>0</v>
      </c>
      <c r="R123" s="19"/>
      <c r="S123" s="225">
        <f>SUBTOTAL(9,S20:S122)</f>
        <v>0</v>
      </c>
    </row>
    <row r="124" spans="1:30">
      <c r="A124" s="1980"/>
      <c r="B124" s="1981" t="s">
        <v>2976</v>
      </c>
      <c r="C124" s="1982"/>
      <c r="D124" s="3296"/>
      <c r="E124" s="1984"/>
      <c r="F124" s="1985"/>
      <c r="G124" s="654"/>
      <c r="H124" s="1986">
        <v>0</v>
      </c>
      <c r="I124" s="645"/>
      <c r="J124" s="1986">
        <v>0</v>
      </c>
      <c r="K124" s="645"/>
      <c r="L124" s="1986">
        <v>0</v>
      </c>
      <c r="M124" s="645"/>
      <c r="N124" s="1986">
        <v>0</v>
      </c>
      <c r="O124" s="645"/>
      <c r="P124" s="1986">
        <v>0</v>
      </c>
      <c r="Q124" s="645"/>
      <c r="R124" s="1986">
        <v>0</v>
      </c>
      <c r="S124" s="645"/>
    </row>
    <row r="125" spans="1:30">
      <c r="A125" s="1980"/>
      <c r="B125" s="1981" t="s">
        <v>2977</v>
      </c>
      <c r="C125" s="1982"/>
      <c r="D125" s="3296"/>
      <c r="E125" s="1984"/>
      <c r="F125" s="1985"/>
      <c r="G125" s="654">
        <f>F124*G123</f>
        <v>0</v>
      </c>
      <c r="H125" s="1987"/>
      <c r="I125" s="1988">
        <f>H124*I123</f>
        <v>0</v>
      </c>
      <c r="J125" s="1987"/>
      <c r="K125" s="1988">
        <f>J124*K123</f>
        <v>0</v>
      </c>
      <c r="L125" s="1987"/>
      <c r="M125" s="1988">
        <f>L124*M123</f>
        <v>0</v>
      </c>
      <c r="N125" s="1987"/>
      <c r="O125" s="1988">
        <f>N124*O123</f>
        <v>0</v>
      </c>
      <c r="P125" s="1987"/>
      <c r="Q125" s="1988">
        <f>P124*Q123</f>
        <v>0</v>
      </c>
      <c r="R125" s="1987"/>
      <c r="S125" s="1988">
        <f>R124*S123</f>
        <v>0</v>
      </c>
    </row>
    <row r="126" spans="1:30">
      <c r="A126" s="1980"/>
      <c r="B126" s="1981"/>
      <c r="C126" s="1982"/>
      <c r="D126" s="3296"/>
      <c r="E126" s="1984"/>
      <c r="F126" s="1985"/>
      <c r="G126" s="654"/>
      <c r="H126" s="1987"/>
      <c r="I126" s="1988"/>
      <c r="J126" s="1987"/>
      <c r="K126" s="1988"/>
      <c r="L126" s="1987"/>
      <c r="M126" s="1988"/>
      <c r="N126" s="1987"/>
      <c r="O126" s="1988"/>
      <c r="P126" s="1987"/>
      <c r="Q126" s="1988"/>
      <c r="R126" s="1987"/>
      <c r="S126" s="1988"/>
    </row>
    <row r="127" spans="1:30">
      <c r="A127" s="1980"/>
      <c r="B127" s="1981" t="s">
        <v>2978</v>
      </c>
      <c r="C127" s="1982"/>
      <c r="D127" s="3296"/>
      <c r="E127" s="1984"/>
      <c r="F127" s="1985"/>
      <c r="G127" s="654">
        <f>SUM(G123:G125)</f>
        <v>78496</v>
      </c>
      <c r="H127" s="1989"/>
      <c r="I127" s="1988">
        <f>SUM(I123:I125)</f>
        <v>411508.93999999994</v>
      </c>
      <c r="J127" s="1989"/>
      <c r="K127" s="1988">
        <f>SUM(K123:K125)</f>
        <v>285510.55000000005</v>
      </c>
      <c r="L127" s="1989"/>
      <c r="M127" s="1988">
        <f>SUM(M123:M125)</f>
        <v>404826</v>
      </c>
      <c r="N127" s="1989"/>
      <c r="O127" s="1988">
        <f>SUM(O123:O125)</f>
        <v>440518</v>
      </c>
      <c r="P127" s="1989"/>
      <c r="Q127" s="1988">
        <f>SUM(Q123:Q125)</f>
        <v>0</v>
      </c>
      <c r="R127" s="1989"/>
      <c r="S127" s="1988">
        <f>SUM(S123:S125)</f>
        <v>0</v>
      </c>
    </row>
    <row r="128" spans="1:30">
      <c r="A128" s="1980"/>
      <c r="B128" s="1990" t="s">
        <v>2979</v>
      </c>
      <c r="C128" s="1982"/>
      <c r="D128" s="3296"/>
      <c r="E128" s="1984"/>
      <c r="F128" s="1990"/>
      <c r="G128" s="678">
        <v>0</v>
      </c>
      <c r="H128" s="1991"/>
      <c r="I128" s="1992">
        <v>0</v>
      </c>
      <c r="J128" s="1991"/>
      <c r="K128" s="1992">
        <v>0</v>
      </c>
      <c r="L128" s="1991"/>
      <c r="M128" s="1992">
        <v>0</v>
      </c>
      <c r="N128" s="1991"/>
      <c r="O128" s="1992">
        <v>0</v>
      </c>
      <c r="P128" s="1991"/>
      <c r="Q128" s="1992">
        <v>0</v>
      </c>
      <c r="R128" s="1993"/>
      <c r="S128" s="1992">
        <v>0</v>
      </c>
    </row>
    <row r="129" spans="1:34">
      <c r="A129" s="1980"/>
      <c r="B129" s="1994"/>
      <c r="C129" s="1982"/>
      <c r="D129" s="3296"/>
      <c r="E129" s="1984"/>
      <c r="F129" s="1985"/>
      <c r="G129" s="654"/>
      <c r="H129" s="1995"/>
      <c r="I129" s="1995"/>
      <c r="J129" s="1995"/>
      <c r="K129" s="1996"/>
      <c r="L129" s="1995"/>
      <c r="M129" s="1995"/>
      <c r="N129" s="1995"/>
      <c r="O129" s="1995"/>
      <c r="P129" s="1995"/>
      <c r="Q129" s="1995"/>
      <c r="R129" s="1995"/>
      <c r="S129" s="1995"/>
    </row>
    <row r="130" spans="1:34" ht="16.5" hidden="1" thickTop="1" thickBot="1">
      <c r="A130" s="830" t="s">
        <v>2980</v>
      </c>
      <c r="B130" s="831"/>
      <c r="C130" s="12"/>
      <c r="D130" s="456"/>
      <c r="E130" s="177"/>
      <c r="F130" s="12"/>
      <c r="G130" s="305"/>
      <c r="H130" s="20"/>
      <c r="I130" s="20"/>
      <c r="J130" s="20"/>
      <c r="K130" s="20"/>
      <c r="L130" s="20"/>
      <c r="M130" s="20"/>
      <c r="N130" s="20"/>
      <c r="O130" s="20"/>
      <c r="P130" s="20"/>
      <c r="Q130" s="20"/>
      <c r="R130" s="20"/>
      <c r="S130" s="20"/>
    </row>
    <row r="131" spans="1:34" hidden="1">
      <c r="A131" s="3297"/>
      <c r="B131" s="2106"/>
      <c r="C131" s="3298"/>
      <c r="D131" s="3299"/>
      <c r="E131" s="3300"/>
      <c r="F131" s="3298"/>
      <c r="G131" s="3301"/>
      <c r="H131" s="3302"/>
      <c r="I131" s="3302"/>
      <c r="J131" s="3302"/>
      <c r="K131" s="3302"/>
      <c r="L131" s="3302"/>
      <c r="M131" s="3302"/>
      <c r="N131" s="3302"/>
      <c r="O131" s="3302"/>
      <c r="P131" s="3302"/>
      <c r="Q131" s="3302"/>
      <c r="R131" s="3302"/>
      <c r="S131" s="3302"/>
    </row>
    <row r="132" spans="1:34" hidden="1">
      <c r="A132" s="3297"/>
      <c r="B132" s="2106"/>
      <c r="C132" s="3298"/>
      <c r="D132" s="3299"/>
      <c r="E132" s="3300"/>
      <c r="F132" s="3298"/>
      <c r="G132" s="3301"/>
      <c r="H132" s="3302"/>
      <c r="I132" s="3302"/>
      <c r="J132" s="3302"/>
      <c r="K132" s="3302"/>
      <c r="L132" s="3302"/>
      <c r="M132" s="3302"/>
      <c r="N132" s="3302"/>
      <c r="O132" s="3302"/>
      <c r="P132" s="3302"/>
      <c r="Q132" s="3302"/>
      <c r="R132" s="3302"/>
      <c r="S132" s="3302"/>
    </row>
    <row r="133" spans="1:34" hidden="1">
      <c r="A133" s="3297"/>
      <c r="B133" s="2106"/>
      <c r="C133" s="3298"/>
      <c r="D133" s="3299"/>
      <c r="E133" s="3300"/>
      <c r="F133" s="3298"/>
      <c r="G133" s="3301"/>
      <c r="H133" s="3302"/>
      <c r="I133" s="3302"/>
      <c r="J133" s="3302"/>
      <c r="K133" s="3302"/>
      <c r="L133" s="3302"/>
      <c r="M133" s="3302"/>
      <c r="N133" s="3302"/>
      <c r="O133" s="3302"/>
      <c r="P133" s="3302"/>
      <c r="Q133" s="3302"/>
      <c r="R133" s="3302"/>
      <c r="S133" s="3302"/>
    </row>
    <row r="134" spans="1:34" s="2" customFormat="1" ht="16.5" hidden="1" thickTop="1" thickBot="1">
      <c r="A134" s="830" t="s">
        <v>2981</v>
      </c>
      <c r="B134" s="831"/>
      <c r="C134" s="12"/>
      <c r="D134" s="456"/>
      <c r="E134" s="177"/>
      <c r="F134" s="12"/>
      <c r="G134" s="305"/>
      <c r="H134" s="20"/>
      <c r="I134" s="20"/>
      <c r="J134" s="20"/>
      <c r="K134" s="20"/>
      <c r="L134" s="20"/>
      <c r="M134" s="20"/>
      <c r="N134" s="20"/>
      <c r="O134" s="20"/>
      <c r="P134" s="20"/>
      <c r="Q134" s="20"/>
      <c r="R134" s="20"/>
      <c r="S134" s="20"/>
      <c r="T134"/>
      <c r="U134"/>
      <c r="V134"/>
      <c r="W134"/>
      <c r="X134"/>
      <c r="Y134"/>
      <c r="Z134"/>
      <c r="AA134"/>
      <c r="AB134"/>
      <c r="AC134"/>
      <c r="AD134"/>
      <c r="AE134"/>
      <c r="AF134"/>
      <c r="AG134"/>
      <c r="AH134"/>
    </row>
    <row r="135" spans="1:34" s="2" customFormat="1" hidden="1">
      <c r="A135" s="3297"/>
      <c r="B135" s="2106"/>
      <c r="C135" s="3298"/>
      <c r="D135" s="3299"/>
      <c r="E135" s="3300"/>
      <c r="F135" s="3298"/>
      <c r="G135" s="3301"/>
      <c r="H135" s="3302"/>
      <c r="I135" s="3302"/>
      <c r="J135" s="3302"/>
      <c r="K135" s="3302"/>
      <c r="L135" s="3302"/>
      <c r="M135" s="3302"/>
      <c r="N135" s="3302"/>
      <c r="O135" s="3302"/>
      <c r="P135" s="3302"/>
      <c r="Q135" s="3302"/>
      <c r="R135" s="3302"/>
      <c r="S135" s="3302"/>
      <c r="T135"/>
      <c r="U135"/>
      <c r="V135"/>
      <c r="W135"/>
      <c r="X135"/>
      <c r="Y135"/>
      <c r="Z135"/>
      <c r="AA135"/>
      <c r="AB135"/>
      <c r="AC135"/>
      <c r="AD135"/>
      <c r="AE135"/>
      <c r="AF135"/>
      <c r="AG135"/>
      <c r="AH135"/>
    </row>
    <row r="136" spans="1:34" s="2" customFormat="1" hidden="1">
      <c r="A136" s="3297"/>
      <c r="B136" s="2106"/>
      <c r="C136" s="3298"/>
      <c r="D136" s="3299"/>
      <c r="E136" s="3300"/>
      <c r="F136" s="3298"/>
      <c r="G136" s="3301"/>
      <c r="H136" s="3302"/>
      <c r="I136" s="3302"/>
      <c r="J136" s="3302"/>
      <c r="K136" s="3302"/>
      <c r="L136" s="3302"/>
      <c r="M136" s="3302"/>
      <c r="N136" s="3302"/>
      <c r="O136" s="3302"/>
      <c r="P136" s="3302"/>
      <c r="Q136" s="3302"/>
      <c r="R136" s="3302"/>
      <c r="S136" s="3302"/>
      <c r="T136"/>
      <c r="U136"/>
      <c r="V136"/>
      <c r="W136"/>
      <c r="X136"/>
      <c r="Y136"/>
      <c r="Z136"/>
      <c r="AA136"/>
      <c r="AB136"/>
      <c r="AC136"/>
      <c r="AD136"/>
      <c r="AE136"/>
      <c r="AF136"/>
      <c r="AG136"/>
      <c r="AH136"/>
    </row>
    <row r="137" spans="1:34" hidden="1">
      <c r="A137" s="3297"/>
      <c r="B137" s="2106"/>
      <c r="C137" s="3298"/>
      <c r="D137" s="3299"/>
      <c r="E137" s="3300"/>
      <c r="F137" s="3298"/>
      <c r="G137" s="3301"/>
      <c r="H137" s="3302"/>
      <c r="I137" s="3302"/>
      <c r="J137" s="3302"/>
      <c r="K137" s="3302"/>
      <c r="L137" s="3302"/>
      <c r="M137" s="3302"/>
      <c r="N137" s="3302"/>
      <c r="O137" s="3302"/>
      <c r="P137" s="3302"/>
      <c r="Q137" s="3302"/>
      <c r="R137" s="3302"/>
      <c r="S137" s="3302"/>
    </row>
    <row r="138" spans="1:34" s="2" customFormat="1" ht="16.5" hidden="1" thickTop="1" thickBot="1">
      <c r="A138" s="830" t="s">
        <v>2982</v>
      </c>
      <c r="B138" s="831"/>
      <c r="C138" s="12"/>
      <c r="D138" s="456"/>
      <c r="E138" s="177"/>
      <c r="F138" s="12"/>
      <c r="G138" s="305"/>
      <c r="H138" s="20"/>
      <c r="I138" s="20"/>
      <c r="J138" s="20"/>
      <c r="K138" s="20"/>
      <c r="L138" s="20"/>
      <c r="M138" s="20"/>
      <c r="N138" s="20"/>
      <c r="O138" s="20"/>
      <c r="P138" s="20"/>
      <c r="Q138" s="20"/>
      <c r="R138" s="20"/>
      <c r="S138" s="20"/>
      <c r="T138"/>
      <c r="U138"/>
      <c r="V138"/>
      <c r="W138"/>
      <c r="X138"/>
      <c r="Y138"/>
      <c r="Z138"/>
      <c r="AA138"/>
      <c r="AB138"/>
      <c r="AC138"/>
      <c r="AD138"/>
      <c r="AE138"/>
      <c r="AF138"/>
      <c r="AG138"/>
      <c r="AH138"/>
    </row>
    <row r="139" spans="1:34" s="2" customFormat="1" hidden="1">
      <c r="A139" s="3297"/>
      <c r="B139" s="2106"/>
      <c r="C139" s="3298"/>
      <c r="D139" s="3299"/>
      <c r="E139" s="3300"/>
      <c r="F139" s="3298"/>
      <c r="G139" s="3301"/>
      <c r="H139" s="3302"/>
      <c r="I139" s="3302"/>
      <c r="J139" s="3302"/>
      <c r="K139" s="3302"/>
      <c r="L139" s="3302"/>
      <c r="M139" s="3302"/>
      <c r="N139" s="3302"/>
      <c r="O139" s="3302"/>
      <c r="P139" s="3302"/>
      <c r="Q139" s="3302"/>
      <c r="R139" s="3302"/>
      <c r="S139" s="3302"/>
      <c r="T139"/>
      <c r="U139"/>
      <c r="V139"/>
      <c r="W139"/>
      <c r="X139"/>
      <c r="Y139"/>
      <c r="Z139"/>
      <c r="AA139"/>
      <c r="AB139"/>
      <c r="AC139"/>
      <c r="AD139"/>
      <c r="AE139"/>
      <c r="AF139"/>
      <c r="AG139"/>
      <c r="AH139"/>
    </row>
    <row r="140" spans="1:34" s="2" customFormat="1" hidden="1">
      <c r="A140" s="1997"/>
      <c r="B140" s="2106"/>
      <c r="C140" s="2049"/>
      <c r="D140" s="3269"/>
      <c r="E140" s="2051"/>
      <c r="F140" s="2049"/>
      <c r="G140" s="2047"/>
      <c r="H140" s="1999"/>
      <c r="I140" s="1999"/>
      <c r="J140" s="1999"/>
      <c r="K140" s="1999"/>
      <c r="L140" s="1999"/>
      <c r="M140" s="1999"/>
      <c r="N140" s="1999"/>
      <c r="O140" s="1999"/>
      <c r="P140" s="1999"/>
      <c r="Q140" s="1999"/>
      <c r="R140" s="1999"/>
      <c r="S140" s="1999"/>
      <c r="T140"/>
      <c r="U140"/>
      <c r="V140"/>
      <c r="W140"/>
      <c r="X140"/>
      <c r="Y140"/>
      <c r="Z140"/>
      <c r="AA140"/>
      <c r="AB140"/>
      <c r="AC140"/>
      <c r="AD140"/>
      <c r="AE140"/>
      <c r="AF140"/>
      <c r="AG140"/>
      <c r="AH140"/>
    </row>
    <row r="141" spans="1:34" s="2" customFormat="1" hidden="1">
      <c r="A141" s="2000"/>
      <c r="B141" s="2001"/>
      <c r="C141" s="2049"/>
      <c r="D141" s="3269"/>
      <c r="E141" s="2051"/>
      <c r="F141" s="2049"/>
      <c r="G141" s="2047"/>
      <c r="H141" s="2002"/>
      <c r="I141" s="2002"/>
      <c r="J141" s="2002"/>
      <c r="K141" s="2002"/>
      <c r="L141" s="2002"/>
      <c r="M141" s="2002"/>
      <c r="N141" s="2002"/>
      <c r="O141" s="2002"/>
      <c r="P141" s="2002"/>
      <c r="Q141" s="2002"/>
      <c r="R141" s="2002"/>
      <c r="S141" s="2002"/>
    </row>
    <row r="142" spans="1:34" s="2" customFormat="1" ht="16.5" hidden="1" thickTop="1" thickBot="1">
      <c r="A142" s="830" t="s">
        <v>2983</v>
      </c>
      <c r="B142" s="831"/>
      <c r="C142" s="12"/>
      <c r="D142" s="456"/>
      <c r="E142" s="177"/>
      <c r="F142" s="12"/>
      <c r="G142" s="305"/>
      <c r="H142" s="20"/>
      <c r="I142" s="20"/>
      <c r="J142" s="20"/>
      <c r="K142" s="20"/>
      <c r="L142" s="20"/>
      <c r="M142" s="20"/>
      <c r="N142" s="20"/>
      <c r="O142" s="20"/>
      <c r="P142" s="20"/>
      <c r="Q142" s="20"/>
      <c r="R142" s="20"/>
      <c r="S142" s="20"/>
      <c r="T142"/>
      <c r="U142"/>
      <c r="V142"/>
      <c r="W142"/>
      <c r="X142"/>
      <c r="Y142"/>
      <c r="Z142"/>
      <c r="AA142"/>
      <c r="AB142"/>
      <c r="AC142"/>
      <c r="AD142"/>
      <c r="AE142"/>
      <c r="AF142"/>
      <c r="AG142"/>
      <c r="AH142"/>
    </row>
    <row r="143" spans="1:34" hidden="1">
      <c r="A143" s="3303"/>
      <c r="B143" s="3304"/>
      <c r="C143" s="3298"/>
      <c r="D143" s="3299"/>
      <c r="E143" s="3300"/>
      <c r="F143" s="3298"/>
      <c r="G143" s="3301"/>
      <c r="H143" s="3302"/>
      <c r="I143" s="3302"/>
      <c r="J143" s="3302"/>
      <c r="K143" s="3302"/>
      <c r="L143" s="3302"/>
      <c r="M143" s="3302"/>
      <c r="N143" s="3302"/>
      <c r="O143" s="3302"/>
      <c r="P143" s="3302"/>
      <c r="Q143" s="3302"/>
      <c r="R143" s="3302"/>
      <c r="S143" s="3302"/>
      <c r="T143" s="2"/>
      <c r="U143" s="2"/>
      <c r="V143" s="2"/>
      <c r="W143" s="2"/>
      <c r="X143" s="2"/>
      <c r="Y143" s="2"/>
      <c r="Z143" s="2"/>
      <c r="AA143" s="2"/>
      <c r="AB143" s="2"/>
      <c r="AC143" s="2"/>
      <c r="AD143" s="2"/>
      <c r="AE143" s="2"/>
      <c r="AF143" s="2"/>
      <c r="AG143" s="2"/>
      <c r="AH143" s="2"/>
    </row>
    <row r="144" spans="1:34" hidden="1">
      <c r="A144" s="2000"/>
      <c r="B144" s="2001"/>
      <c r="C144" s="2049"/>
      <c r="D144" s="3269"/>
      <c r="E144" s="2051"/>
      <c r="F144" s="2049"/>
      <c r="G144" s="2047"/>
      <c r="H144" s="2003"/>
      <c r="I144" s="2003"/>
      <c r="J144" s="2003"/>
      <c r="K144" s="2003"/>
      <c r="L144" s="2003"/>
      <c r="M144" s="2003"/>
      <c r="N144" s="2003"/>
      <c r="O144" s="2003"/>
      <c r="P144" s="2003"/>
      <c r="Q144" s="2003"/>
      <c r="R144" s="2003"/>
      <c r="S144" s="2003"/>
      <c r="T144" s="2"/>
      <c r="U144" s="2"/>
      <c r="V144" s="2"/>
      <c r="W144" s="2"/>
      <c r="X144" s="2"/>
      <c r="Y144" s="2"/>
      <c r="Z144" s="2"/>
      <c r="AA144" s="2"/>
      <c r="AB144" s="2"/>
      <c r="AC144" s="2"/>
      <c r="AD144" s="2"/>
      <c r="AE144" s="2"/>
      <c r="AF144" s="2"/>
      <c r="AG144" s="2"/>
      <c r="AH144" s="2"/>
    </row>
    <row r="145" spans="1:34" hidden="1">
      <c r="A145" s="2000"/>
      <c r="B145" s="2001"/>
      <c r="C145" s="2049"/>
      <c r="D145" s="3269"/>
      <c r="E145" s="2051"/>
      <c r="F145" s="2049"/>
      <c r="G145" s="2047"/>
      <c r="H145" s="2003"/>
      <c r="I145" s="2003"/>
      <c r="J145" s="2003"/>
      <c r="K145" s="2003"/>
      <c r="L145" s="2003"/>
      <c r="M145" s="2003"/>
      <c r="N145" s="2003"/>
      <c r="O145" s="2003"/>
      <c r="P145" s="2003"/>
      <c r="Q145" s="2003"/>
      <c r="R145" s="2003"/>
      <c r="S145" s="2003"/>
      <c r="T145" s="2"/>
      <c r="U145" s="2"/>
      <c r="V145" s="2"/>
      <c r="W145" s="2"/>
      <c r="X145" s="2"/>
      <c r="Y145" s="2"/>
      <c r="Z145" s="2"/>
      <c r="AA145" s="2"/>
      <c r="AB145" s="2"/>
      <c r="AC145" s="2"/>
      <c r="AD145" s="2"/>
      <c r="AE145" s="2"/>
      <c r="AF145" s="2"/>
      <c r="AG145" s="2"/>
      <c r="AH145" s="2"/>
    </row>
    <row r="146" spans="1:34" ht="16.5" hidden="1" thickTop="1" thickBot="1">
      <c r="A146" s="830" t="s">
        <v>2984</v>
      </c>
      <c r="B146" s="831"/>
      <c r="C146" s="12"/>
      <c r="D146" s="456"/>
      <c r="E146" s="177"/>
      <c r="F146" s="12"/>
      <c r="G146" s="305"/>
      <c r="H146" s="20"/>
      <c r="I146" s="20"/>
      <c r="J146" s="20"/>
      <c r="K146" s="20"/>
      <c r="L146" s="20"/>
      <c r="M146" s="20"/>
      <c r="N146" s="20"/>
      <c r="O146" s="20"/>
      <c r="P146" s="20"/>
      <c r="Q146" s="20"/>
      <c r="R146" s="20"/>
      <c r="S146" s="20"/>
    </row>
    <row r="147" spans="1:34" hidden="1">
      <c r="A147" s="1997"/>
      <c r="B147" s="2106" t="s">
        <v>2985</v>
      </c>
      <c r="C147" s="2049"/>
      <c r="D147" s="3269"/>
      <c r="E147" s="2051"/>
      <c r="F147" s="2049"/>
      <c r="G147" s="2047"/>
      <c r="H147" s="2003"/>
      <c r="I147" s="2003"/>
      <c r="J147" s="2003"/>
      <c r="K147" s="2003"/>
      <c r="L147" s="2003"/>
      <c r="M147" s="2003"/>
      <c r="N147" s="2003"/>
      <c r="O147" s="2003"/>
      <c r="P147" s="2003"/>
      <c r="Q147" s="2003"/>
      <c r="R147" s="2003"/>
      <c r="S147" s="2003"/>
    </row>
    <row r="148" spans="1:34" hidden="1">
      <c r="A148" s="1997"/>
      <c r="B148" s="2106" t="s">
        <v>2986</v>
      </c>
      <c r="C148" s="2049"/>
      <c r="D148" s="3269"/>
      <c r="E148" s="2051"/>
      <c r="F148" s="2049"/>
      <c r="G148" s="2047"/>
      <c r="H148" s="2003"/>
      <c r="I148" s="2003"/>
      <c r="J148" s="2003"/>
      <c r="K148" s="2003"/>
      <c r="L148" s="2003"/>
      <c r="M148" s="2003"/>
      <c r="N148" s="2003"/>
      <c r="O148" s="2003"/>
      <c r="P148" s="2003"/>
      <c r="Q148" s="2003"/>
      <c r="R148" s="2003"/>
      <c r="S148" s="2003"/>
    </row>
    <row r="149" spans="1:34" hidden="1">
      <c r="A149" s="1997"/>
      <c r="B149" s="2106" t="s">
        <v>2987</v>
      </c>
      <c r="C149" s="2049"/>
      <c r="D149" s="3269"/>
      <c r="E149" s="2051"/>
      <c r="F149" s="2049"/>
      <c r="G149" s="2047"/>
      <c r="H149" s="2003"/>
      <c r="I149" s="2003"/>
      <c r="J149" s="2003"/>
      <c r="K149" s="2003"/>
      <c r="L149" s="2003"/>
      <c r="M149" s="2003"/>
      <c r="N149" s="2003"/>
      <c r="O149" s="2003"/>
      <c r="P149" s="2003"/>
      <c r="Q149" s="2003"/>
      <c r="R149" s="2003"/>
      <c r="S149" s="2003"/>
    </row>
    <row r="150" spans="1:34" hidden="1">
      <c r="A150" s="1997"/>
      <c r="B150" s="2106" t="s">
        <v>2988</v>
      </c>
      <c r="C150" s="2049"/>
      <c r="D150" s="3269"/>
      <c r="E150" s="2051"/>
      <c r="F150" s="2049"/>
      <c r="G150" s="2047"/>
      <c r="H150" s="2003"/>
      <c r="I150" s="2003"/>
      <c r="J150" s="2003"/>
      <c r="K150" s="2003"/>
      <c r="L150" s="2003"/>
      <c r="M150" s="2003"/>
      <c r="N150" s="2003"/>
      <c r="O150" s="2003"/>
      <c r="P150" s="2003"/>
      <c r="Q150" s="2003"/>
      <c r="R150" s="2003"/>
      <c r="S150" s="2003"/>
    </row>
    <row r="151" spans="1:34" hidden="1">
      <c r="A151" s="646"/>
      <c r="B151" s="619"/>
      <c r="C151" s="616"/>
      <c r="D151" s="639"/>
      <c r="E151" s="622"/>
      <c r="F151" s="616"/>
      <c r="G151" s="627"/>
      <c r="H151" s="647"/>
      <c r="I151" s="647"/>
      <c r="J151" s="647"/>
      <c r="K151" s="647"/>
      <c r="L151" s="647"/>
      <c r="M151" s="647"/>
      <c r="N151" s="647"/>
      <c r="O151" s="647"/>
      <c r="P151" s="647"/>
      <c r="Q151" s="647"/>
      <c r="R151" s="647"/>
      <c r="S151" s="647"/>
    </row>
    <row r="152" spans="1:34" ht="16.5" hidden="1" thickTop="1" thickBot="1">
      <c r="A152" s="7" t="s">
        <v>2989</v>
      </c>
      <c r="B152" s="8"/>
      <c r="C152" s="12"/>
      <c r="D152" s="456"/>
      <c r="E152" s="177"/>
      <c r="F152" s="12"/>
      <c r="G152" s="305"/>
      <c r="H152" s="20"/>
      <c r="I152" s="20"/>
      <c r="J152" s="20"/>
      <c r="K152" s="20"/>
      <c r="L152" s="20"/>
      <c r="M152" s="20"/>
      <c r="N152" s="20"/>
      <c r="O152" s="20"/>
      <c r="P152" s="20"/>
      <c r="Q152" s="20"/>
      <c r="R152" s="20"/>
      <c r="S152" s="20"/>
    </row>
    <row r="153" spans="1:34" hidden="1">
      <c r="A153" s="3297"/>
      <c r="B153" s="3305" t="s">
        <v>2990</v>
      </c>
      <c r="C153" s="3298"/>
      <c r="D153" s="3299"/>
      <c r="E153" s="3300"/>
      <c r="F153" s="3298"/>
      <c r="G153" s="3301"/>
      <c r="H153" s="3306"/>
      <c r="I153" s="3306"/>
      <c r="J153" s="3306"/>
      <c r="K153" s="3306"/>
      <c r="L153" s="3306"/>
      <c r="M153" s="3306"/>
      <c r="N153" s="3306"/>
      <c r="O153" s="3306"/>
      <c r="P153" s="3306"/>
      <c r="Q153" s="3306"/>
      <c r="R153" s="3306"/>
      <c r="S153" s="3306"/>
    </row>
    <row r="154" spans="1:34" hidden="1">
      <c r="A154" s="1997"/>
      <c r="B154" s="2106" t="s">
        <v>2991</v>
      </c>
      <c r="C154" s="2049"/>
      <c r="D154" s="3269"/>
      <c r="E154" s="2051"/>
      <c r="F154" s="2049"/>
      <c r="G154" s="2047"/>
      <c r="H154" s="2004"/>
      <c r="I154" s="2004"/>
      <c r="J154" s="2004"/>
      <c r="K154" s="2004"/>
      <c r="L154" s="2004"/>
      <c r="M154" s="2004"/>
      <c r="N154" s="2004"/>
      <c r="O154" s="2004"/>
      <c r="P154" s="2004"/>
      <c r="Q154" s="2004"/>
      <c r="R154" s="2004"/>
      <c r="S154" s="2004"/>
    </row>
    <row r="155" spans="1:34" ht="15.75" hidden="1" thickBot="1">
      <c r="A155" s="3262"/>
      <c r="B155" s="3275" t="s">
        <v>2992</v>
      </c>
      <c r="C155" s="3276"/>
      <c r="D155" s="3307"/>
      <c r="E155" s="3264"/>
      <c r="F155" s="3276"/>
      <c r="G155" s="3308"/>
      <c r="H155" s="3266"/>
      <c r="I155" s="3266"/>
      <c r="J155" s="3266"/>
      <c r="K155" s="3266"/>
      <c r="L155" s="3266"/>
      <c r="M155" s="3266"/>
      <c r="N155" s="3266"/>
      <c r="O155" s="3266"/>
      <c r="P155" s="3266"/>
      <c r="Q155" s="3266"/>
      <c r="R155" s="3266"/>
      <c r="S155" s="3266"/>
    </row>
    <row r="156" spans="1:34" ht="15.75" thickBot="1"/>
    <row r="157" spans="1:34" ht="16.5" thickTop="1" thickBot="1">
      <c r="A157" s="59" t="s">
        <v>2993</v>
      </c>
      <c r="B157" s="61"/>
      <c r="G157" s="534" t="s">
        <v>3584</v>
      </c>
      <c r="H157" s="236"/>
      <c r="I157" s="236">
        <v>406212.94</v>
      </c>
      <c r="J157" s="236"/>
      <c r="L157" s="236"/>
      <c r="M157" s="236"/>
      <c r="N157" s="236"/>
      <c r="O157" s="236"/>
      <c r="P157" s="236"/>
      <c r="Q157" s="236"/>
      <c r="R157" s="236"/>
      <c r="S157" s="236"/>
      <c r="T157" s="58"/>
    </row>
    <row r="158" spans="1:34" ht="15.75" thickTop="1">
      <c r="A158" s="60" t="s">
        <v>2936</v>
      </c>
      <c r="B158" s="2010"/>
      <c r="G158" s="534" t="s">
        <v>6829</v>
      </c>
      <c r="H158" s="236"/>
      <c r="I158" s="236"/>
      <c r="J158" s="236"/>
      <c r="L158" s="236"/>
      <c r="M158" s="236"/>
      <c r="N158" s="236"/>
      <c r="O158" s="236"/>
      <c r="P158" s="236"/>
      <c r="Q158" s="236"/>
      <c r="R158" s="236"/>
      <c r="S158" s="236"/>
      <c r="T158" s="58"/>
    </row>
    <row r="159" spans="1:34">
      <c r="A159" s="2011" t="s">
        <v>2939</v>
      </c>
      <c r="B159" s="2010"/>
      <c r="G159" s="534" t="s">
        <v>3586</v>
      </c>
      <c r="H159" s="236"/>
      <c r="I159" s="527">
        <f>I32+I38+I55+I72+I98+I113</f>
        <v>5296</v>
      </c>
      <c r="J159" s="236"/>
      <c r="L159" s="236"/>
      <c r="M159" s="236"/>
      <c r="N159" s="236"/>
      <c r="O159" s="236"/>
      <c r="P159" s="236"/>
      <c r="Q159" s="236"/>
      <c r="R159" s="236"/>
      <c r="S159" s="236"/>
      <c r="T159" s="58"/>
    </row>
    <row r="160" spans="1:34">
      <c r="A160" s="2012" t="s">
        <v>2941</v>
      </c>
      <c r="B160" s="2013"/>
      <c r="G160" s="534"/>
      <c r="H160" s="236"/>
      <c r="I160" s="3309"/>
      <c r="J160" s="236"/>
      <c r="L160" s="236"/>
      <c r="M160" s="236"/>
      <c r="N160" s="236"/>
      <c r="O160" s="236"/>
      <c r="P160" s="236"/>
      <c r="Q160" s="236"/>
      <c r="R160" s="236"/>
      <c r="S160" s="236"/>
      <c r="T160" s="58"/>
    </row>
    <row r="161" spans="1:20">
      <c r="A161" s="2012" t="s">
        <v>2943</v>
      </c>
      <c r="B161" s="2014"/>
      <c r="G161" s="534" t="s">
        <v>3589</v>
      </c>
      <c r="H161" s="236"/>
      <c r="I161" s="236">
        <f>SUM(I157:I160)</f>
        <v>411508.94</v>
      </c>
      <c r="J161" s="236"/>
      <c r="L161" s="236"/>
      <c r="M161" s="236"/>
      <c r="N161" s="236"/>
      <c r="O161" s="236"/>
      <c r="P161" s="236"/>
      <c r="Q161" s="236"/>
      <c r="R161" s="236"/>
      <c r="S161" s="236"/>
      <c r="T161" s="58"/>
    </row>
    <row r="162" spans="1:20" ht="15.75" thickBot="1">
      <c r="A162" s="3267" t="s">
        <v>2994</v>
      </c>
      <c r="B162" s="3268">
        <f>I127</f>
        <v>411508.93999999994</v>
      </c>
      <c r="G162" s="534" t="s">
        <v>6830</v>
      </c>
      <c r="H162" s="236"/>
      <c r="I162" s="236">
        <f>I123</f>
        <v>411508.93999999994</v>
      </c>
      <c r="J162" s="236"/>
      <c r="K162" s="236"/>
      <c r="L162" s="236"/>
      <c r="M162" s="236"/>
      <c r="N162" s="236"/>
      <c r="O162" s="236"/>
      <c r="P162" s="236"/>
      <c r="Q162" s="236"/>
      <c r="R162" s="236"/>
      <c r="S162" s="236"/>
      <c r="T162" s="58"/>
    </row>
    <row r="163" spans="1:20" ht="15.75" thickTop="1">
      <c r="G163" s="534" t="s">
        <v>3591</v>
      </c>
      <c r="H163" s="236"/>
      <c r="I163" s="236">
        <f>I162-I161</f>
        <v>0</v>
      </c>
      <c r="J163" s="236"/>
      <c r="K163" s="236"/>
      <c r="L163" s="236"/>
      <c r="M163" s="236"/>
      <c r="N163" s="236"/>
      <c r="O163" s="236"/>
      <c r="P163" s="236"/>
      <c r="Q163" s="236"/>
      <c r="R163" s="236"/>
      <c r="S163" s="236"/>
      <c r="T163" s="58"/>
    </row>
    <row r="164" spans="1:20">
      <c r="A164" s="62"/>
      <c r="B164" s="1" t="s">
        <v>2995</v>
      </c>
      <c r="G164" s="534"/>
      <c r="H164" s="236"/>
      <c r="I164" s="236"/>
      <c r="J164" s="236"/>
      <c r="K164" s="236"/>
      <c r="L164" s="236"/>
      <c r="M164" s="236"/>
      <c r="N164" s="236"/>
      <c r="O164" s="236"/>
      <c r="P164" s="236"/>
      <c r="Q164" s="236"/>
      <c r="R164" s="236"/>
      <c r="S164" s="236"/>
      <c r="T164" s="58"/>
    </row>
    <row r="165" spans="1:20">
      <c r="A165" s="63"/>
      <c r="B165" s="1" t="s">
        <v>2996</v>
      </c>
      <c r="G165" s="534"/>
      <c r="H165" s="236"/>
      <c r="I165" s="236"/>
      <c r="J165" s="236"/>
      <c r="K165" s="236"/>
      <c r="L165" s="236"/>
      <c r="M165" s="236"/>
      <c r="N165" s="236"/>
      <c r="O165" s="236"/>
      <c r="P165" s="236"/>
      <c r="Q165" s="236"/>
      <c r="R165" s="236"/>
      <c r="S165" s="236"/>
      <c r="T165" s="58"/>
    </row>
    <row r="166" spans="1:20">
      <c r="G166" s="534"/>
      <c r="H166" s="236"/>
      <c r="I166" s="236"/>
      <c r="J166" s="236"/>
      <c r="K166" s="236"/>
      <c r="L166" s="236"/>
      <c r="M166" s="236"/>
      <c r="N166" s="236"/>
      <c r="O166" s="236"/>
      <c r="P166" s="236"/>
      <c r="Q166" s="236"/>
      <c r="R166" s="236"/>
      <c r="S166" s="236"/>
      <c r="T166" s="58"/>
    </row>
    <row r="167" spans="1:20">
      <c r="G167" s="534" t="s">
        <v>3584</v>
      </c>
      <c r="H167" s="236"/>
      <c r="I167" s="236">
        <v>1669500.31</v>
      </c>
      <c r="J167" s="236"/>
      <c r="K167" s="236"/>
      <c r="L167" s="236"/>
      <c r="M167" s="236"/>
      <c r="N167" s="236"/>
      <c r="O167" s="236"/>
      <c r="P167" s="236"/>
      <c r="Q167" s="236"/>
      <c r="R167" s="236"/>
      <c r="S167" s="236"/>
      <c r="T167" s="58"/>
    </row>
    <row r="168" spans="1:20">
      <c r="G168" s="534" t="s">
        <v>6831</v>
      </c>
      <c r="H168" s="236"/>
      <c r="I168" s="236">
        <f>I161-I159</f>
        <v>406212.94</v>
      </c>
      <c r="J168" s="236"/>
      <c r="K168" s="236"/>
      <c r="L168" s="236"/>
      <c r="M168" s="236"/>
      <c r="N168" s="236"/>
      <c r="O168" s="236"/>
      <c r="P168" s="236"/>
      <c r="Q168" s="236"/>
      <c r="R168" s="236"/>
      <c r="S168" s="236"/>
      <c r="T168" s="58"/>
    </row>
    <row r="169" spans="1:20">
      <c r="G169" s="534" t="s">
        <v>6832</v>
      </c>
      <c r="H169" s="236"/>
      <c r="I169" s="236">
        <f>'27 40 AV System'!I265-'27 40 AV System'!I263</f>
        <v>843804.5</v>
      </c>
      <c r="J169" s="236"/>
      <c r="K169" s="236"/>
      <c r="L169" s="236"/>
      <c r="M169" s="236"/>
      <c r="N169" s="236"/>
      <c r="O169" s="236"/>
      <c r="P169" s="236"/>
      <c r="Q169" s="236"/>
      <c r="R169" s="236"/>
      <c r="S169" s="236"/>
      <c r="T169" s="58"/>
    </row>
    <row r="170" spans="1:20">
      <c r="G170" s="534" t="s">
        <v>6833</v>
      </c>
      <c r="H170" s="236"/>
      <c r="I170" s="3309">
        <f>'28 10 Security'!I149-'28 10 Security'!I147</f>
        <v>401795.28</v>
      </c>
      <c r="J170" s="236"/>
      <c r="K170" s="236"/>
      <c r="L170" s="236"/>
      <c r="M170" s="236"/>
      <c r="N170" s="236"/>
      <c r="O170" s="236"/>
      <c r="P170" s="236"/>
      <c r="Q170" s="236"/>
      <c r="R170" s="236"/>
      <c r="S170" s="236"/>
      <c r="T170" s="58"/>
    </row>
    <row r="171" spans="1:20">
      <c r="G171" s="534" t="s">
        <v>3589</v>
      </c>
      <c r="H171" s="236"/>
      <c r="I171" s="236">
        <f>SUM(I168:I170)</f>
        <v>1651812.72</v>
      </c>
      <c r="J171" s="236"/>
      <c r="K171" s="236"/>
      <c r="L171" s="236"/>
      <c r="M171" s="236"/>
      <c r="N171" s="236"/>
      <c r="O171" s="236"/>
      <c r="P171" s="236"/>
      <c r="Q171" s="236"/>
      <c r="R171" s="236"/>
      <c r="S171" s="236"/>
      <c r="T171" s="58"/>
    </row>
    <row r="172" spans="1:20">
      <c r="G172" s="534" t="s">
        <v>3591</v>
      </c>
      <c r="H172" s="236"/>
      <c r="I172" s="236">
        <f>I171-I167</f>
        <v>-17687.590000000084</v>
      </c>
      <c r="J172" s="236"/>
      <c r="K172" s="236"/>
      <c r="L172" s="236"/>
      <c r="M172" s="236"/>
      <c r="N172" s="236"/>
      <c r="O172" s="236"/>
      <c r="P172" s="236"/>
      <c r="Q172" s="236"/>
      <c r="R172" s="236"/>
      <c r="S172" s="236"/>
      <c r="T172" s="58"/>
    </row>
    <row r="173" spans="1:20">
      <c r="H173" s="236"/>
      <c r="I173" s="236"/>
      <c r="J173" s="236"/>
      <c r="K173" s="236"/>
      <c r="L173" s="236"/>
      <c r="M173" s="236"/>
      <c r="N173" s="236"/>
      <c r="O173" s="236"/>
      <c r="P173" s="236"/>
      <c r="Q173" s="236"/>
      <c r="R173" s="236"/>
      <c r="S173" s="236"/>
      <c r="T173" s="58"/>
    </row>
    <row r="174" spans="1:20">
      <c r="H174" s="236"/>
      <c r="I174" s="236"/>
      <c r="J174" s="236"/>
      <c r="K174" s="236"/>
      <c r="L174" s="236"/>
      <c r="M174" s="236"/>
      <c r="N174" s="236"/>
      <c r="O174" s="236"/>
      <c r="P174" s="236"/>
      <c r="Q174" s="236"/>
      <c r="R174" s="236"/>
      <c r="S174" s="236"/>
      <c r="T174" s="58"/>
    </row>
    <row r="175" spans="1:20">
      <c r="H175" s="236"/>
      <c r="I175" s="236"/>
      <c r="J175" s="236"/>
      <c r="K175" s="236"/>
      <c r="L175" s="236"/>
      <c r="M175" s="236"/>
      <c r="N175" s="236"/>
      <c r="O175" s="236"/>
      <c r="P175" s="236"/>
      <c r="Q175" s="236"/>
      <c r="R175" s="236"/>
      <c r="S175" s="236"/>
      <c r="T175" s="58"/>
    </row>
    <row r="176" spans="1:20">
      <c r="H176" s="583"/>
      <c r="I176" s="583" t="s">
        <v>6834</v>
      </c>
      <c r="J176" s="236"/>
      <c r="K176" s="583" t="s">
        <v>6775</v>
      </c>
      <c r="L176" s="236"/>
      <c r="M176" s="236"/>
      <c r="N176" s="236"/>
      <c r="O176" s="236"/>
      <c r="P176" s="236"/>
      <c r="Q176" s="236"/>
      <c r="R176" s="236"/>
      <c r="S176" s="236"/>
      <c r="T176" s="58"/>
    </row>
    <row r="177" spans="7:20">
      <c r="G177" s="236" t="s">
        <v>6778</v>
      </c>
      <c r="H177" s="236"/>
      <c r="I177" s="236">
        <f>H9</f>
        <v>411508.93999999994</v>
      </c>
      <c r="J177" s="236"/>
      <c r="K177" s="236">
        <f>J9</f>
        <v>285510.55000000005</v>
      </c>
      <c r="L177" s="236"/>
      <c r="M177" s="236"/>
      <c r="N177" s="236"/>
      <c r="O177" s="236"/>
      <c r="P177" s="236"/>
      <c r="Q177" s="236"/>
      <c r="R177" s="236"/>
      <c r="S177" s="236"/>
      <c r="T177" s="58"/>
    </row>
    <row r="178" spans="7:20">
      <c r="G178" s="236" t="s">
        <v>6835</v>
      </c>
      <c r="H178" s="236"/>
      <c r="I178" s="581">
        <f>'27 40 AV System'!H9</f>
        <v>843804.5</v>
      </c>
      <c r="J178" s="236"/>
      <c r="K178" s="236">
        <f>'27 40 AV System'!J9</f>
        <v>476259.51000000007</v>
      </c>
      <c r="L178" s="236"/>
      <c r="M178" s="236"/>
      <c r="N178" s="236"/>
      <c r="O178" s="236"/>
      <c r="P178" s="236"/>
      <c r="Q178" s="236"/>
      <c r="R178" s="236"/>
      <c r="S178" s="236"/>
      <c r="T178" s="58"/>
    </row>
    <row r="179" spans="7:20">
      <c r="G179" s="236" t="s">
        <v>2871</v>
      </c>
      <c r="I179" s="447">
        <f>'28 10 Security'!H9</f>
        <v>401795.27999999997</v>
      </c>
      <c r="K179" s="447">
        <f>'28 10 Security'!J9</f>
        <v>272804.38</v>
      </c>
    </row>
    <row r="181" spans="7:20">
      <c r="G181" s="583" t="s">
        <v>3589</v>
      </c>
      <c r="H181" s="584"/>
      <c r="I181" s="585">
        <f>SUM(I177:I179)</f>
        <v>1657108.72</v>
      </c>
      <c r="J181" s="584"/>
      <c r="K181" s="585">
        <f>SUM(K177:K179)</f>
        <v>1034574.4400000001</v>
      </c>
    </row>
    <row r="183" spans="7:20">
      <c r="G183" s="236" t="s">
        <v>6836</v>
      </c>
      <c r="K183" s="582">
        <f>I181-K181</f>
        <v>622534.27999999991</v>
      </c>
    </row>
  </sheetData>
  <mergeCells count="35">
    <mergeCell ref="R9:S9"/>
    <mergeCell ref="J8:K8"/>
    <mergeCell ref="H8:I8"/>
    <mergeCell ref="L8:M8"/>
    <mergeCell ref="N8:O8"/>
    <mergeCell ref="P8:Q8"/>
    <mergeCell ref="R8:S8"/>
    <mergeCell ref="J9:K9"/>
    <mergeCell ref="H9:I9"/>
    <mergeCell ref="L9:M9"/>
    <mergeCell ref="N9:O9"/>
    <mergeCell ref="P9:Q9"/>
    <mergeCell ref="R7:S7"/>
    <mergeCell ref="J6:K6"/>
    <mergeCell ref="H6:I6"/>
    <mergeCell ref="L6:M6"/>
    <mergeCell ref="N6:O6"/>
    <mergeCell ref="P6:Q6"/>
    <mergeCell ref="R6:S6"/>
    <mergeCell ref="J7:K7"/>
    <mergeCell ref="H7:I7"/>
    <mergeCell ref="L7:M7"/>
    <mergeCell ref="N7:O7"/>
    <mergeCell ref="P7:Q7"/>
    <mergeCell ref="R5:S5"/>
    <mergeCell ref="J5:K5"/>
    <mergeCell ref="H5:I5"/>
    <mergeCell ref="L5:M5"/>
    <mergeCell ref="N5:O5"/>
    <mergeCell ref="P5:Q5"/>
    <mergeCell ref="A130:B130"/>
    <mergeCell ref="A134:B134"/>
    <mergeCell ref="A138:B138"/>
    <mergeCell ref="A142:B142"/>
    <mergeCell ref="A146:B146"/>
  </mergeCells>
  <conditionalFormatting sqref="H11:H18 J11:J18 L11:L18 N11:N18 P11:P18 R11:R18">
    <cfRule type="cellIs" dxfId="57" priority="13" operator="equal">
      <formula>"X"</formula>
    </cfRule>
    <cfRule type="cellIs" dxfId="56" priority="14" operator="equal">
      <formula>"I"</formula>
    </cfRule>
  </conditionalFormatting>
  <conditionalFormatting sqref="H20:H122 J20:J122 L20:L122 N20:N122 P20:P122 R20:R122">
    <cfRule type="cellIs" dxfId="55" priority="1" operator="equal">
      <formula>"X"</formula>
    </cfRule>
    <cfRule type="cellIs" dxfId="54" priority="2" operator="equal">
      <formula>"I"</formula>
    </cfRule>
  </conditionalFormatting>
  <hyperlinks>
    <hyperlink ref="B4" location="'Cost Summary'!A1" display="BACK TO SUMMARY SHEET" xr:uid="{748A3348-23BC-4505-8430-24CA7221DA3F}"/>
    <hyperlink ref="J8" r:id="rId1" xr:uid="{35575A90-27A8-42D8-A079-0E85C28C48BA}"/>
    <hyperlink ref="H8" r:id="rId2" xr:uid="{FD061804-8E21-4BB3-BB96-85948251C58C}"/>
    <hyperlink ref="L8" r:id="rId3" xr:uid="{5887299D-30D8-4ACD-8C97-4DD7686F2FCF}"/>
  </hyperlinks>
  <pageMargins left="0.2" right="0.2" top="0.25" bottom="0.25" header="0.3" footer="0.3"/>
  <pageSetup scale="98" fitToHeight="0" orientation="portrait" r:id="rId4"/>
  <rowBreaks count="1" manualBreakCount="1">
    <brk id="105" max="4" man="1"/>
  </rowBreaks>
  <drawing r:id="rId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117B-4CD8-4F18-900C-569DBBAD066E}">
  <sheetPr>
    <tabColor rgb="FF00B050"/>
    <pageSetUpPr fitToPage="1"/>
  </sheetPr>
  <dimension ref="A1:AH277"/>
  <sheetViews>
    <sheetView zoomScale="90" zoomScaleNormal="90" workbookViewId="0">
      <pane xSplit="6" ySplit="10" topLeftCell="G221" activePane="bottomRight" state="frozen"/>
      <selection pane="bottomRight" activeCell="E31" sqref="E31"/>
      <selection pane="bottomLeft" activeCell="M154" sqref="M154"/>
      <selection pane="topRight" activeCell="M154" sqref="M154"/>
    </sheetView>
  </sheetViews>
  <sheetFormatPr defaultColWidth="8.85546875" defaultRowHeight="15"/>
  <cols>
    <col min="1" max="1" width="10.85546875" customWidth="1"/>
    <col min="2" max="2" width="70.7109375" style="1" customWidth="1"/>
    <col min="3" max="3" width="10.85546875" style="2" hidden="1" customWidth="1"/>
    <col min="4" max="4" width="15.7109375" style="454"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
        <v>84</v>
      </c>
      <c r="C5" s="5"/>
      <c r="D5" s="455"/>
      <c r="E5" s="171"/>
      <c r="F5" s="5"/>
      <c r="G5" s="6" t="s">
        <v>2936</v>
      </c>
      <c r="H5" s="837" t="s">
        <v>6774</v>
      </c>
      <c r="I5" s="838"/>
      <c r="J5" s="837" t="s">
        <v>6775</v>
      </c>
      <c r="K5" s="838"/>
      <c r="L5" s="837" t="s">
        <v>6837</v>
      </c>
      <c r="M5" s="838"/>
      <c r="N5" s="841" t="s">
        <v>6838</v>
      </c>
      <c r="O5" s="842"/>
      <c r="P5" s="841"/>
      <c r="Q5" s="842"/>
      <c r="R5" s="841"/>
      <c r="S5" s="842"/>
    </row>
    <row r="6" spans="1:19">
      <c r="A6" s="2017" t="s">
        <v>2938</v>
      </c>
      <c r="B6" s="2018" t="s">
        <v>2603</v>
      </c>
      <c r="C6" s="2019"/>
      <c r="D6" s="3310"/>
      <c r="E6" s="2021"/>
      <c r="F6" s="2019"/>
      <c r="G6" s="657" t="s">
        <v>2939</v>
      </c>
      <c r="H6" s="3311" t="s">
        <v>6779</v>
      </c>
      <c r="I6" s="839"/>
      <c r="J6" s="3311" t="s">
        <v>6780</v>
      </c>
      <c r="K6" s="839"/>
      <c r="L6" s="3311" t="s">
        <v>6839</v>
      </c>
      <c r="M6" s="839"/>
      <c r="N6" s="2022"/>
      <c r="O6" s="843"/>
      <c r="P6" s="2022"/>
      <c r="Q6" s="843"/>
      <c r="R6" s="2022"/>
      <c r="S6" s="843"/>
    </row>
    <row r="7" spans="1:19">
      <c r="A7" s="2017" t="s">
        <v>2940</v>
      </c>
      <c r="B7" s="2023" t="s">
        <v>2729</v>
      </c>
      <c r="C7" s="2019"/>
      <c r="D7" s="3310"/>
      <c r="E7" s="2021"/>
      <c r="F7" s="2019"/>
      <c r="G7" s="2024" t="s">
        <v>2941</v>
      </c>
      <c r="H7" s="3312" t="s">
        <v>6782</v>
      </c>
      <c r="I7" s="840"/>
      <c r="J7" s="3312" t="s">
        <v>6783</v>
      </c>
      <c r="K7" s="840"/>
      <c r="L7" s="3312" t="s">
        <v>6840</v>
      </c>
      <c r="M7" s="840"/>
      <c r="N7" s="2025"/>
      <c r="O7" s="844"/>
      <c r="P7" s="2025"/>
      <c r="Q7" s="844"/>
      <c r="R7" s="2025"/>
      <c r="S7" s="844"/>
    </row>
    <row r="8" spans="1:19">
      <c r="A8" s="2017" t="s">
        <v>2942</v>
      </c>
      <c r="B8" s="2026"/>
      <c r="C8" s="2019"/>
      <c r="D8" s="3310"/>
      <c r="E8" s="2021"/>
      <c r="F8" s="2019"/>
      <c r="G8" s="2024" t="s">
        <v>2943</v>
      </c>
      <c r="H8" s="3313" t="s">
        <v>6785</v>
      </c>
      <c r="I8" s="836"/>
      <c r="J8" s="3313" t="s">
        <v>6786</v>
      </c>
      <c r="K8" s="836"/>
      <c r="L8" s="3313" t="s">
        <v>6841</v>
      </c>
      <c r="M8" s="836"/>
      <c r="N8" s="2027"/>
      <c r="O8" s="845"/>
      <c r="P8" s="2027"/>
      <c r="Q8" s="845"/>
      <c r="R8" s="2027"/>
      <c r="S8" s="845"/>
    </row>
    <row r="9" spans="1:19" ht="15.75" thickBot="1">
      <c r="A9" s="3274"/>
      <c r="B9" s="3275"/>
      <c r="C9" s="616"/>
      <c r="D9" s="639"/>
      <c r="E9" s="622"/>
      <c r="F9" s="3276"/>
      <c r="G9" s="3314" t="s">
        <v>2944</v>
      </c>
      <c r="H9" s="3278">
        <f>I$231</f>
        <v>843804.5</v>
      </c>
      <c r="I9" s="3279"/>
      <c r="J9" s="3280">
        <f>K$231</f>
        <v>476259.51000000007</v>
      </c>
      <c r="K9" s="3281"/>
      <c r="L9" s="3278">
        <f>M$231</f>
        <v>733743.06259999995</v>
      </c>
      <c r="M9" s="3279"/>
      <c r="N9" s="3278">
        <f t="shared" ref="N9" si="0">O$231</f>
        <v>946485.87999999989</v>
      </c>
      <c r="O9" s="3279"/>
      <c r="P9" s="3278">
        <f t="shared" ref="P9" si="1">Q$231</f>
        <v>0</v>
      </c>
      <c r="Q9" s="3279"/>
      <c r="R9" s="3278">
        <f t="shared" ref="R9" si="2">S$231</f>
        <v>0</v>
      </c>
      <c r="S9" s="3279"/>
    </row>
    <row r="10" spans="1:19" s="175" customFormat="1" ht="31.5" thickTop="1" thickBot="1">
      <c r="A10" s="160" t="s">
        <v>2945</v>
      </c>
      <c r="B10" s="172"/>
      <c r="C10" s="173" t="s">
        <v>2946</v>
      </c>
      <c r="D10" s="381"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315"/>
      <c r="B11" s="2889" t="s">
        <v>2953</v>
      </c>
      <c r="C11" s="659"/>
      <c r="D11" s="3310"/>
      <c r="E11" s="2021"/>
      <c r="F11" s="2019"/>
      <c r="G11" s="660"/>
      <c r="H11" s="2036"/>
      <c r="I11" s="182"/>
      <c r="J11" s="2036"/>
      <c r="K11" s="3316"/>
      <c r="L11" s="2036"/>
      <c r="M11" s="3317"/>
      <c r="N11" s="2036"/>
      <c r="O11" s="3317"/>
      <c r="P11" s="2036"/>
      <c r="Q11" s="3317"/>
      <c r="R11" s="2036"/>
      <c r="S11" s="3317"/>
    </row>
    <row r="12" spans="1:19">
      <c r="A12" s="3318"/>
      <c r="B12" s="2963" t="s">
        <v>2954</v>
      </c>
      <c r="C12" s="2019"/>
      <c r="D12" s="3310"/>
      <c r="E12" s="2021"/>
      <c r="F12" s="2019"/>
      <c r="G12" s="660"/>
      <c r="H12" s="2036"/>
      <c r="I12" s="3317"/>
      <c r="J12" s="2036"/>
      <c r="K12" s="3316"/>
      <c r="L12" s="2036"/>
      <c r="M12" s="3317"/>
      <c r="N12" s="2036"/>
      <c r="O12" s="3317"/>
      <c r="P12" s="2036"/>
      <c r="Q12" s="3317"/>
      <c r="R12" s="2036"/>
      <c r="S12" s="3317"/>
    </row>
    <row r="13" spans="1:19">
      <c r="A13" s="2037"/>
      <c r="B13" s="3319" t="s">
        <v>2955</v>
      </c>
      <c r="C13" s="2019"/>
      <c r="D13" s="3310"/>
      <c r="E13" s="2021"/>
      <c r="F13" s="2019"/>
      <c r="G13" s="660"/>
      <c r="H13" s="2036"/>
      <c r="I13" s="3317"/>
      <c r="J13" s="2036"/>
      <c r="K13" s="3316"/>
      <c r="L13" s="2036"/>
      <c r="M13" s="3317"/>
      <c r="N13" s="2036"/>
      <c r="O13" s="3320"/>
      <c r="P13" s="2036"/>
      <c r="Q13" s="3317"/>
      <c r="R13" s="2036"/>
      <c r="S13" s="3317"/>
    </row>
    <row r="14" spans="1:19">
      <c r="A14" s="2037"/>
      <c r="B14" s="3321" t="s">
        <v>2956</v>
      </c>
      <c r="C14" s="2019"/>
      <c r="D14" s="3310"/>
      <c r="E14" s="2021"/>
      <c r="F14" s="2019"/>
      <c r="G14" s="660"/>
      <c r="H14" s="2036"/>
      <c r="I14" s="3317"/>
      <c r="J14" s="2036"/>
      <c r="K14" s="3316"/>
      <c r="L14" s="2036"/>
      <c r="M14" s="3317"/>
      <c r="N14" s="2036"/>
      <c r="O14" s="3320"/>
      <c r="P14" s="2036"/>
      <c r="Q14" s="3317"/>
      <c r="R14" s="2036"/>
      <c r="S14" s="3317"/>
    </row>
    <row r="15" spans="1:19">
      <c r="A15" s="2037"/>
      <c r="B15" s="3321" t="s">
        <v>2957</v>
      </c>
      <c r="C15" s="2019"/>
      <c r="D15" s="3310"/>
      <c r="E15" s="2021"/>
      <c r="F15" s="2019"/>
      <c r="G15" s="660"/>
      <c r="H15" s="2036"/>
      <c r="I15" s="3316"/>
      <c r="J15" s="2036"/>
      <c r="K15" s="3316"/>
      <c r="L15" s="2036"/>
      <c r="M15" s="3316"/>
      <c r="N15" s="2036"/>
      <c r="O15" s="3322"/>
      <c r="P15" s="2036"/>
      <c r="Q15" s="3316"/>
      <c r="R15" s="2036"/>
      <c r="S15" s="3316"/>
    </row>
    <row r="16" spans="1:19">
      <c r="A16" s="2037"/>
      <c r="B16" s="3321" t="s">
        <v>2958</v>
      </c>
      <c r="C16" s="2019"/>
      <c r="D16" s="3310"/>
      <c r="E16" s="2021"/>
      <c r="F16" s="2019"/>
      <c r="G16" s="660"/>
      <c r="H16" s="2036"/>
      <c r="I16" s="3317"/>
      <c r="J16" s="2036"/>
      <c r="K16" s="3316"/>
      <c r="L16" s="2036"/>
      <c r="M16" s="3317"/>
      <c r="N16" s="2036"/>
      <c r="O16" s="3320"/>
      <c r="P16" s="2036"/>
      <c r="Q16" s="3317"/>
      <c r="R16" s="2036"/>
      <c r="S16" s="3317"/>
    </row>
    <row r="17" spans="1:19">
      <c r="A17" s="2037"/>
      <c r="B17" s="3321" t="s">
        <v>2959</v>
      </c>
      <c r="C17" s="2019"/>
      <c r="D17" s="3310"/>
      <c r="E17" s="2021"/>
      <c r="F17" s="2019"/>
      <c r="G17" s="660"/>
      <c r="H17" s="2036"/>
      <c r="I17" s="3317"/>
      <c r="J17" s="2036"/>
      <c r="K17" s="3316"/>
      <c r="L17" s="2036"/>
      <c r="M17" s="3317"/>
      <c r="N17" s="2036"/>
      <c r="O17" s="3317"/>
      <c r="P17" s="2036"/>
      <c r="Q17" s="3317"/>
      <c r="R17" s="2036"/>
      <c r="S17" s="3317"/>
    </row>
    <row r="18" spans="1:19">
      <c r="A18" s="2037"/>
      <c r="B18" s="3323" t="s">
        <v>2960</v>
      </c>
      <c r="C18" s="2019"/>
      <c r="D18" s="3310"/>
      <c r="E18" s="2021"/>
      <c r="F18" s="2019"/>
      <c r="G18" s="660"/>
      <c r="H18" s="2036"/>
      <c r="I18" s="3317"/>
      <c r="J18" s="2036"/>
      <c r="K18" s="3316"/>
      <c r="L18" s="2036"/>
      <c r="M18" s="3317"/>
      <c r="N18" s="2036"/>
      <c r="O18" s="3317"/>
      <c r="P18" s="2036"/>
      <c r="Q18" s="3317"/>
      <c r="R18" s="2036"/>
      <c r="S18" s="3317"/>
    </row>
    <row r="19" spans="1:19">
      <c r="A19" s="2037"/>
      <c r="B19" s="3324" t="s">
        <v>2961</v>
      </c>
      <c r="C19" s="2038"/>
      <c r="D19" s="3325"/>
      <c r="E19" s="2040"/>
      <c r="F19" s="2041"/>
      <c r="G19" s="661"/>
      <c r="H19" s="2042"/>
      <c r="I19" s="3326"/>
      <c r="J19" s="2042"/>
      <c r="K19" s="3327"/>
      <c r="L19" s="2042"/>
      <c r="M19" s="3326"/>
      <c r="N19" s="2042"/>
      <c r="O19" s="3326"/>
      <c r="P19" s="2042"/>
      <c r="Q19" s="3326"/>
      <c r="R19" s="2042"/>
      <c r="S19" s="3326"/>
    </row>
    <row r="20" spans="1:19">
      <c r="A20" s="2037"/>
      <c r="B20" s="3328"/>
      <c r="C20" s="2019"/>
      <c r="D20" s="2020"/>
      <c r="E20" s="2021"/>
      <c r="F20" s="2043"/>
      <c r="G20" s="660"/>
      <c r="H20" s="2036"/>
      <c r="I20" s="3322"/>
      <c r="J20" s="2036"/>
      <c r="K20" s="3320"/>
      <c r="L20" s="2036"/>
      <c r="M20" s="3320"/>
      <c r="N20" s="2036"/>
      <c r="O20" s="3320"/>
      <c r="P20" s="2036"/>
      <c r="Q20" s="3320"/>
      <c r="R20" s="2036"/>
      <c r="S20" s="3320"/>
    </row>
    <row r="21" spans="1:19">
      <c r="A21" s="2037"/>
      <c r="B21" s="1975" t="s">
        <v>2695</v>
      </c>
      <c r="C21" s="2019"/>
      <c r="D21" s="2044"/>
      <c r="E21" s="2021"/>
      <c r="F21" s="1979"/>
      <c r="G21" s="660"/>
      <c r="H21" s="2036"/>
      <c r="I21" s="3329">
        <f>SUBTOTAL(9,I22:I188)</f>
        <v>728428.08</v>
      </c>
      <c r="J21" s="2036"/>
      <c r="K21" s="3329">
        <f>SUBTOTAL(9,K22:K188)</f>
        <v>394771.32000000007</v>
      </c>
      <c r="L21" s="2036"/>
      <c r="M21" s="3329">
        <f>SUBTOTAL(9,M22:M188)</f>
        <v>628894.31043999991</v>
      </c>
      <c r="N21" s="2036"/>
      <c r="O21" s="3329">
        <f>SUBTOTAL(9,O22:O188)</f>
        <v>763927.37</v>
      </c>
      <c r="P21" s="2036"/>
      <c r="Q21" s="3329">
        <f>SUBTOTAL(9,Q22:Q188)</f>
        <v>0</v>
      </c>
      <c r="R21" s="2036"/>
      <c r="S21" s="3329">
        <f>SUBTOTAL(9,S22:S188)</f>
        <v>0</v>
      </c>
    </row>
    <row r="22" spans="1:19">
      <c r="A22" s="2037"/>
      <c r="B22" s="3328" t="s">
        <v>2994</v>
      </c>
      <c r="C22" s="2019"/>
      <c r="D22" s="2044"/>
      <c r="E22" s="2021"/>
      <c r="F22" s="1979"/>
      <c r="G22" s="662">
        <f>ROUND(D22*F22,0)</f>
        <v>0</v>
      </c>
      <c r="H22" s="2036"/>
      <c r="I22" s="3322"/>
      <c r="J22" s="2036"/>
      <c r="K22" s="3322"/>
      <c r="L22" s="2036"/>
      <c r="M22" s="3322"/>
      <c r="N22" s="2036"/>
      <c r="O22" s="3322">
        <v>763927.37</v>
      </c>
      <c r="P22" s="2036"/>
      <c r="Q22" s="3322"/>
      <c r="R22" s="2036"/>
      <c r="S22" s="3322"/>
    </row>
    <row r="23" spans="1:19">
      <c r="A23" s="2037"/>
      <c r="B23" s="3328" t="s">
        <v>3029</v>
      </c>
      <c r="C23" s="2019"/>
      <c r="D23" s="2020"/>
      <c r="E23" s="2021"/>
      <c r="F23" s="2043"/>
      <c r="G23" s="662">
        <f t="shared" ref="G23:G225" si="3">ROUND(D23*F23,0)</f>
        <v>0</v>
      </c>
      <c r="H23" s="2036"/>
      <c r="I23" s="3322">
        <v>203868.63</v>
      </c>
      <c r="J23" s="2036"/>
      <c r="K23" s="3322"/>
      <c r="L23" s="2036"/>
      <c r="M23" s="3322">
        <v>165679.5</v>
      </c>
      <c r="N23" s="2036"/>
      <c r="O23" s="3322"/>
      <c r="P23" s="2036"/>
      <c r="Q23" s="3322"/>
      <c r="R23" s="2036"/>
      <c r="S23" s="3322"/>
    </row>
    <row r="24" spans="1:19">
      <c r="A24" s="2037"/>
      <c r="B24" s="3328" t="s">
        <v>5772</v>
      </c>
      <c r="C24" s="2019"/>
      <c r="D24" s="2020"/>
      <c r="E24" s="2021"/>
      <c r="F24" s="2043"/>
      <c r="G24" s="662">
        <f t="shared" si="3"/>
        <v>0</v>
      </c>
      <c r="H24" s="2036"/>
      <c r="I24" s="3322"/>
      <c r="J24" s="2036"/>
      <c r="K24" s="3322">
        <v>9007.0499999999993</v>
      </c>
      <c r="L24" s="2036"/>
      <c r="M24" s="3322"/>
      <c r="N24" s="2036"/>
      <c r="O24" s="3322"/>
      <c r="P24" s="2036"/>
      <c r="Q24" s="3322"/>
      <c r="R24" s="2036"/>
      <c r="S24" s="3322"/>
    </row>
    <row r="25" spans="1:19">
      <c r="A25" s="2037"/>
      <c r="B25" s="3330" t="s">
        <v>6842</v>
      </c>
      <c r="C25" s="2019"/>
      <c r="D25" s="2020">
        <v>3</v>
      </c>
      <c r="E25" s="2021" t="s">
        <v>2803</v>
      </c>
      <c r="F25" s="2043"/>
      <c r="G25" s="662">
        <f t="shared" si="3"/>
        <v>0</v>
      </c>
      <c r="H25" s="2036"/>
      <c r="I25" s="3322"/>
      <c r="J25" s="2036"/>
      <c r="K25" s="3322"/>
      <c r="L25" s="2036"/>
      <c r="M25" s="3322"/>
      <c r="N25" s="2036"/>
      <c r="O25" s="3322"/>
      <c r="P25" s="2036"/>
      <c r="Q25" s="3322"/>
      <c r="R25" s="2036"/>
      <c r="S25" s="3322"/>
    </row>
    <row r="26" spans="1:19">
      <c r="A26" s="2037"/>
      <c r="B26" s="3330" t="s">
        <v>6843</v>
      </c>
      <c r="C26" s="2019"/>
      <c r="D26" s="2020">
        <v>3</v>
      </c>
      <c r="E26" s="2021" t="s">
        <v>2803</v>
      </c>
      <c r="F26" s="2043"/>
      <c r="G26" s="662">
        <f t="shared" si="3"/>
        <v>0</v>
      </c>
      <c r="H26" s="2036"/>
      <c r="I26" s="3322"/>
      <c r="J26" s="2036"/>
      <c r="K26" s="3322"/>
      <c r="L26" s="2036"/>
      <c r="M26" s="3322"/>
      <c r="N26" s="2036"/>
      <c r="O26" s="3322"/>
      <c r="P26" s="2036"/>
      <c r="Q26" s="3322"/>
      <c r="R26" s="2036"/>
      <c r="S26" s="3322"/>
    </row>
    <row r="27" spans="1:19">
      <c r="A27" s="2037"/>
      <c r="B27" s="3330" t="s">
        <v>6844</v>
      </c>
      <c r="C27" s="2019"/>
      <c r="D27" s="2020">
        <v>2</v>
      </c>
      <c r="E27" s="2021" t="s">
        <v>2803</v>
      </c>
      <c r="F27" s="2043"/>
      <c r="G27" s="662">
        <f t="shared" si="3"/>
        <v>0</v>
      </c>
      <c r="H27" s="2036"/>
      <c r="I27" s="3322"/>
      <c r="J27" s="2036"/>
      <c r="K27" s="3322"/>
      <c r="L27" s="2036"/>
      <c r="M27" s="3322"/>
      <c r="N27" s="2036"/>
      <c r="O27" s="3322"/>
      <c r="P27" s="2036"/>
      <c r="Q27" s="3322"/>
      <c r="R27" s="2036"/>
      <c r="S27" s="3322"/>
    </row>
    <row r="28" spans="1:19">
      <c r="A28" s="2037"/>
      <c r="B28" s="3330" t="s">
        <v>6845</v>
      </c>
      <c r="C28" s="2019"/>
      <c r="D28" s="2020">
        <v>3</v>
      </c>
      <c r="E28" s="2021" t="s">
        <v>2803</v>
      </c>
      <c r="F28" s="2043"/>
      <c r="G28" s="662">
        <f t="shared" si="3"/>
        <v>0</v>
      </c>
      <c r="H28" s="2036"/>
      <c r="I28" s="3322"/>
      <c r="J28" s="2036"/>
      <c r="K28" s="3322"/>
      <c r="L28" s="2036"/>
      <c r="M28" s="3322"/>
      <c r="N28" s="2036"/>
      <c r="O28" s="3322"/>
      <c r="P28" s="2036"/>
      <c r="Q28" s="3322"/>
      <c r="R28" s="2036"/>
      <c r="S28" s="3322"/>
    </row>
    <row r="29" spans="1:19">
      <c r="A29" s="2037"/>
      <c r="B29" s="3330" t="s">
        <v>6846</v>
      </c>
      <c r="C29" s="2019"/>
      <c r="D29" s="2020">
        <v>4</v>
      </c>
      <c r="E29" s="2021" t="s">
        <v>2803</v>
      </c>
      <c r="F29" s="2043"/>
      <c r="G29" s="662">
        <f t="shared" si="3"/>
        <v>0</v>
      </c>
      <c r="H29" s="2036"/>
      <c r="I29" s="3322"/>
      <c r="J29" s="2036"/>
      <c r="K29" s="3322"/>
      <c r="L29" s="2036"/>
      <c r="M29" s="3322"/>
      <c r="N29" s="2036"/>
      <c r="O29" s="3322"/>
      <c r="P29" s="2036"/>
      <c r="Q29" s="3322"/>
      <c r="R29" s="2036"/>
      <c r="S29" s="3322"/>
    </row>
    <row r="30" spans="1:19">
      <c r="A30" s="2037"/>
      <c r="B30" s="3330" t="s">
        <v>6847</v>
      </c>
      <c r="C30" s="2019"/>
      <c r="D30" s="2020">
        <v>3</v>
      </c>
      <c r="E30" s="2021" t="s">
        <v>2803</v>
      </c>
      <c r="F30" s="2043"/>
      <c r="G30" s="662">
        <f t="shared" si="3"/>
        <v>0</v>
      </c>
      <c r="H30" s="2036"/>
      <c r="I30" s="3322"/>
      <c r="J30" s="2036"/>
      <c r="K30" s="3322"/>
      <c r="L30" s="2036"/>
      <c r="M30" s="3322"/>
      <c r="N30" s="2036"/>
      <c r="O30" s="3322"/>
      <c r="P30" s="2036"/>
      <c r="Q30" s="3322"/>
      <c r="R30" s="2036"/>
      <c r="S30" s="3322"/>
    </row>
    <row r="31" spans="1:19">
      <c r="A31" s="2037"/>
      <c r="B31" s="3331" t="s">
        <v>6848</v>
      </c>
      <c r="C31" s="2019"/>
      <c r="D31" s="2020"/>
      <c r="E31" s="2021"/>
      <c r="F31" s="2043"/>
      <c r="G31" s="662">
        <f t="shared" si="3"/>
        <v>0</v>
      </c>
      <c r="H31" s="2036"/>
      <c r="I31" s="3322"/>
      <c r="J31" s="2036"/>
      <c r="K31" s="3322">
        <v>17832.990000000002</v>
      </c>
      <c r="L31" s="2036"/>
      <c r="M31" s="3322"/>
      <c r="N31" s="2036"/>
      <c r="O31" s="3322"/>
      <c r="P31" s="2036"/>
      <c r="Q31" s="3322"/>
      <c r="R31" s="2036"/>
      <c r="S31" s="3322"/>
    </row>
    <row r="32" spans="1:19">
      <c r="A32" s="2037"/>
      <c r="B32" s="3330" t="s">
        <v>6849</v>
      </c>
      <c r="C32" s="2019"/>
      <c r="D32" s="2020">
        <v>1</v>
      </c>
      <c r="E32" s="2021" t="s">
        <v>2803</v>
      </c>
      <c r="F32" s="2043"/>
      <c r="G32" s="662">
        <f t="shared" si="3"/>
        <v>0</v>
      </c>
      <c r="H32" s="2036"/>
      <c r="I32" s="3322"/>
      <c r="J32" s="2036"/>
      <c r="K32" s="3322"/>
      <c r="L32" s="2036"/>
      <c r="M32" s="3322"/>
      <c r="N32" s="2036"/>
      <c r="O32" s="3322"/>
      <c r="P32" s="2036"/>
      <c r="Q32" s="3322"/>
      <c r="R32" s="2036"/>
      <c r="S32" s="3322"/>
    </row>
    <row r="33" spans="1:19">
      <c r="A33" s="2037"/>
      <c r="B33" s="3330" t="s">
        <v>6843</v>
      </c>
      <c r="C33" s="2019"/>
      <c r="D33" s="2020">
        <v>1</v>
      </c>
      <c r="E33" s="2021" t="s">
        <v>2803</v>
      </c>
      <c r="F33" s="2043"/>
      <c r="G33" s="662">
        <f t="shared" si="3"/>
        <v>0</v>
      </c>
      <c r="H33" s="2036"/>
      <c r="I33" s="3322"/>
      <c r="J33" s="2036"/>
      <c r="K33" s="3322"/>
      <c r="L33" s="2036"/>
      <c r="M33" s="3322"/>
      <c r="N33" s="2036"/>
      <c r="O33" s="3322"/>
      <c r="P33" s="2036"/>
      <c r="Q33" s="3322"/>
      <c r="R33" s="2036"/>
      <c r="S33" s="3322"/>
    </row>
    <row r="34" spans="1:19">
      <c r="A34" s="2037"/>
      <c r="B34" s="3330" t="s">
        <v>6844</v>
      </c>
      <c r="C34" s="2019"/>
      <c r="D34" s="2020">
        <v>1</v>
      </c>
      <c r="E34" s="2021" t="s">
        <v>2803</v>
      </c>
      <c r="F34" s="2043"/>
      <c r="G34" s="662">
        <f t="shared" si="3"/>
        <v>0</v>
      </c>
      <c r="H34" s="2036"/>
      <c r="I34" s="3322"/>
      <c r="J34" s="2036"/>
      <c r="K34" s="3322"/>
      <c r="L34" s="2036"/>
      <c r="M34" s="3322"/>
      <c r="N34" s="2036"/>
      <c r="O34" s="3322"/>
      <c r="P34" s="2036"/>
      <c r="Q34" s="3322"/>
      <c r="R34" s="2036"/>
      <c r="S34" s="3322"/>
    </row>
    <row r="35" spans="1:19">
      <c r="A35" s="2037"/>
      <c r="B35" s="3330" t="s">
        <v>6850</v>
      </c>
      <c r="C35" s="2019"/>
      <c r="D35" s="2020">
        <v>1</v>
      </c>
      <c r="E35" s="2021" t="s">
        <v>2803</v>
      </c>
      <c r="F35" s="2043"/>
      <c r="G35" s="662">
        <f t="shared" si="3"/>
        <v>0</v>
      </c>
      <c r="H35" s="2036"/>
      <c r="I35" s="3322"/>
      <c r="J35" s="2036"/>
      <c r="K35" s="3322"/>
      <c r="L35" s="2036"/>
      <c r="M35" s="3322"/>
      <c r="N35" s="2036"/>
      <c r="O35" s="3322"/>
      <c r="P35" s="2036"/>
      <c r="Q35" s="3322"/>
      <c r="R35" s="2036"/>
      <c r="S35" s="3322"/>
    </row>
    <row r="36" spans="1:19">
      <c r="A36" s="2037"/>
      <c r="B36" s="3330" t="s">
        <v>6851</v>
      </c>
      <c r="C36" s="2019"/>
      <c r="D36" s="2020">
        <v>1</v>
      </c>
      <c r="E36" s="2021" t="s">
        <v>2803</v>
      </c>
      <c r="F36" s="2043"/>
      <c r="G36" s="662">
        <f t="shared" si="3"/>
        <v>0</v>
      </c>
      <c r="H36" s="2036"/>
      <c r="I36" s="3322"/>
      <c r="J36" s="2036"/>
      <c r="K36" s="3322"/>
      <c r="L36" s="2036"/>
      <c r="M36" s="3322"/>
      <c r="N36" s="2036"/>
      <c r="O36" s="3322"/>
      <c r="P36" s="2036"/>
      <c r="Q36" s="3322"/>
      <c r="R36" s="2036"/>
      <c r="S36" s="3322"/>
    </row>
    <row r="37" spans="1:19">
      <c r="A37" s="2037"/>
      <c r="B37" s="3330" t="s">
        <v>6852</v>
      </c>
      <c r="C37" s="2019"/>
      <c r="D37" s="2020">
        <v>1</v>
      </c>
      <c r="E37" s="2021" t="s">
        <v>2803</v>
      </c>
      <c r="F37" s="2043"/>
      <c r="G37" s="662">
        <f t="shared" si="3"/>
        <v>0</v>
      </c>
      <c r="H37" s="2036"/>
      <c r="I37" s="3322"/>
      <c r="J37" s="2036"/>
      <c r="K37" s="3322"/>
      <c r="L37" s="2036"/>
      <c r="M37" s="3322"/>
      <c r="N37" s="2036"/>
      <c r="O37" s="3322"/>
      <c r="P37" s="2036"/>
      <c r="Q37" s="3322"/>
      <c r="R37" s="2036"/>
      <c r="S37" s="3322"/>
    </row>
    <row r="38" spans="1:19">
      <c r="A38" s="2037"/>
      <c r="B38" s="3330" t="s">
        <v>6853</v>
      </c>
      <c r="C38" s="2019"/>
      <c r="D38" s="2020">
        <v>1</v>
      </c>
      <c r="E38" s="2021" t="s">
        <v>2803</v>
      </c>
      <c r="F38" s="2043"/>
      <c r="G38" s="662">
        <f t="shared" si="3"/>
        <v>0</v>
      </c>
      <c r="H38" s="2036"/>
      <c r="I38" s="3322"/>
      <c r="J38" s="2036"/>
      <c r="K38" s="3322"/>
      <c r="L38" s="2036"/>
      <c r="M38" s="3322"/>
      <c r="N38" s="2036"/>
      <c r="O38" s="3322"/>
      <c r="P38" s="2036"/>
      <c r="Q38" s="3322"/>
      <c r="R38" s="2036"/>
      <c r="S38" s="3322"/>
    </row>
    <row r="39" spans="1:19">
      <c r="A39" s="2037"/>
      <c r="B39" s="3330" t="s">
        <v>6854</v>
      </c>
      <c r="C39" s="2019"/>
      <c r="D39" s="2020">
        <v>2</v>
      </c>
      <c r="E39" s="2021" t="s">
        <v>2803</v>
      </c>
      <c r="F39" s="2043"/>
      <c r="G39" s="662">
        <f t="shared" si="3"/>
        <v>0</v>
      </c>
      <c r="H39" s="2036"/>
      <c r="I39" s="3322"/>
      <c r="J39" s="2036"/>
      <c r="K39" s="3322"/>
      <c r="L39" s="2036"/>
      <c r="M39" s="3322"/>
      <c r="N39" s="2036"/>
      <c r="O39" s="3322"/>
      <c r="P39" s="2036"/>
      <c r="Q39" s="3322"/>
      <c r="R39" s="2036"/>
      <c r="S39" s="3322"/>
    </row>
    <row r="40" spans="1:19">
      <c r="A40" s="2037"/>
      <c r="B40" s="3330" t="s">
        <v>6855</v>
      </c>
      <c r="C40" s="2019"/>
      <c r="D40" s="2020">
        <v>1</v>
      </c>
      <c r="E40" s="2021" t="s">
        <v>2803</v>
      </c>
      <c r="F40" s="2043"/>
      <c r="G40" s="662">
        <f t="shared" si="3"/>
        <v>0</v>
      </c>
      <c r="H40" s="2036"/>
      <c r="I40" s="3322"/>
      <c r="J40" s="2036"/>
      <c r="K40" s="3322"/>
      <c r="L40" s="2036"/>
      <c r="M40" s="3322"/>
      <c r="N40" s="2036"/>
      <c r="O40" s="3322"/>
      <c r="P40" s="2036"/>
      <c r="Q40" s="3322"/>
      <c r="R40" s="2036"/>
      <c r="S40" s="3322"/>
    </row>
    <row r="41" spans="1:19">
      <c r="A41" s="2037"/>
      <c r="B41" s="3331" t="s">
        <v>6789</v>
      </c>
      <c r="C41" s="2019"/>
      <c r="D41" s="2020"/>
      <c r="E41" s="2021"/>
      <c r="F41" s="2043"/>
      <c r="G41" s="662">
        <f t="shared" si="3"/>
        <v>0</v>
      </c>
      <c r="H41" s="2036"/>
      <c r="I41" s="3322"/>
      <c r="J41" s="2036"/>
      <c r="K41" s="3322">
        <v>22068.91</v>
      </c>
      <c r="L41" s="2036"/>
      <c r="M41" s="3322"/>
      <c r="N41" s="2036"/>
      <c r="O41" s="3322"/>
      <c r="P41" s="2036"/>
      <c r="Q41" s="3322"/>
      <c r="R41" s="2036"/>
      <c r="S41" s="3322"/>
    </row>
    <row r="42" spans="1:19">
      <c r="A42" s="2037"/>
      <c r="B42" s="3330" t="s">
        <v>6856</v>
      </c>
      <c r="C42" s="2019"/>
      <c r="D42" s="2020">
        <v>1</v>
      </c>
      <c r="E42" s="2021" t="s">
        <v>2803</v>
      </c>
      <c r="F42" s="2043"/>
      <c r="G42" s="662">
        <f t="shared" si="3"/>
        <v>0</v>
      </c>
      <c r="H42" s="2036"/>
      <c r="I42" s="3322"/>
      <c r="J42" s="2036"/>
      <c r="K42" s="3322"/>
      <c r="L42" s="2036"/>
      <c r="M42" s="3322"/>
      <c r="N42" s="2036"/>
      <c r="O42" s="3322"/>
      <c r="P42" s="2036"/>
      <c r="Q42" s="3322"/>
      <c r="R42" s="2036"/>
      <c r="S42" s="3322"/>
    </row>
    <row r="43" spans="1:19">
      <c r="A43" s="2037"/>
      <c r="B43" s="3330" t="s">
        <v>6857</v>
      </c>
      <c r="C43" s="2019"/>
      <c r="D43" s="2020">
        <v>1</v>
      </c>
      <c r="E43" s="2021" t="s">
        <v>2803</v>
      </c>
      <c r="F43" s="2043"/>
      <c r="G43" s="662">
        <f t="shared" si="3"/>
        <v>0</v>
      </c>
      <c r="H43" s="2036"/>
      <c r="I43" s="3322"/>
      <c r="J43" s="2036"/>
      <c r="K43" s="3322"/>
      <c r="L43" s="2036"/>
      <c r="M43" s="3322"/>
      <c r="N43" s="2036"/>
      <c r="O43" s="3322"/>
      <c r="P43" s="2036"/>
      <c r="Q43" s="3322"/>
      <c r="R43" s="2036"/>
      <c r="S43" s="3322"/>
    </row>
    <row r="44" spans="1:19">
      <c r="A44" s="2037"/>
      <c r="B44" s="3330" t="s">
        <v>6858</v>
      </c>
      <c r="C44" s="2019"/>
      <c r="D44" s="2020">
        <v>1</v>
      </c>
      <c r="E44" s="2021" t="s">
        <v>2803</v>
      </c>
      <c r="F44" s="2043"/>
      <c r="G44" s="662">
        <f t="shared" si="3"/>
        <v>0</v>
      </c>
      <c r="H44" s="2036"/>
      <c r="I44" s="3322"/>
      <c r="J44" s="2036"/>
      <c r="K44" s="3322"/>
      <c r="L44" s="2036"/>
      <c r="M44" s="3322"/>
      <c r="N44" s="2036"/>
      <c r="O44" s="3322"/>
      <c r="P44" s="2036"/>
      <c r="Q44" s="3322"/>
      <c r="R44" s="2036"/>
      <c r="S44" s="3322"/>
    </row>
    <row r="45" spans="1:19">
      <c r="A45" s="2037"/>
      <c r="B45" s="3330" t="s">
        <v>6859</v>
      </c>
      <c r="C45" s="2019"/>
      <c r="D45" s="2020">
        <v>1</v>
      </c>
      <c r="E45" s="2021" t="s">
        <v>2803</v>
      </c>
      <c r="F45" s="2043"/>
      <c r="G45" s="662">
        <f t="shared" si="3"/>
        <v>0</v>
      </c>
      <c r="H45" s="2036"/>
      <c r="I45" s="3322"/>
      <c r="J45" s="2036"/>
      <c r="K45" s="3322"/>
      <c r="L45" s="2036"/>
      <c r="M45" s="3322"/>
      <c r="N45" s="2036"/>
      <c r="O45" s="3322"/>
      <c r="P45" s="2036"/>
      <c r="Q45" s="3322"/>
      <c r="R45" s="2036"/>
      <c r="S45" s="3322"/>
    </row>
    <row r="46" spans="1:19">
      <c r="A46" s="2037"/>
      <c r="B46" s="3330" t="s">
        <v>6860</v>
      </c>
      <c r="C46" s="2019"/>
      <c r="D46" s="2020">
        <v>2</v>
      </c>
      <c r="E46" s="2021" t="s">
        <v>2803</v>
      </c>
      <c r="F46" s="2043"/>
      <c r="G46" s="662">
        <f t="shared" si="3"/>
        <v>0</v>
      </c>
      <c r="H46" s="2036"/>
      <c r="I46" s="3322"/>
      <c r="J46" s="2036"/>
      <c r="K46" s="3322"/>
      <c r="L46" s="2036"/>
      <c r="M46" s="3322"/>
      <c r="N46" s="2036"/>
      <c r="O46" s="3322"/>
      <c r="P46" s="2036"/>
      <c r="Q46" s="3322"/>
      <c r="R46" s="2036"/>
      <c r="S46" s="3322"/>
    </row>
    <row r="47" spans="1:19">
      <c r="A47" s="2037"/>
      <c r="B47" s="3330" t="s">
        <v>6861</v>
      </c>
      <c r="C47" s="2019"/>
      <c r="D47" s="2020">
        <v>1</v>
      </c>
      <c r="E47" s="2021" t="s">
        <v>2803</v>
      </c>
      <c r="F47" s="2043"/>
      <c r="G47" s="662">
        <f t="shared" si="3"/>
        <v>0</v>
      </c>
      <c r="H47" s="2036"/>
      <c r="I47" s="3322"/>
      <c r="J47" s="2036"/>
      <c r="K47" s="3322"/>
      <c r="L47" s="2036"/>
      <c r="M47" s="3322"/>
      <c r="N47" s="2036"/>
      <c r="O47" s="3322"/>
      <c r="P47" s="2036"/>
      <c r="Q47" s="3322"/>
      <c r="R47" s="2036"/>
      <c r="S47" s="3322"/>
    </row>
    <row r="48" spans="1:19">
      <c r="A48" s="2037"/>
      <c r="B48" s="3330" t="s">
        <v>6862</v>
      </c>
      <c r="C48" s="2019"/>
      <c r="D48" s="2020">
        <v>5</v>
      </c>
      <c r="E48" s="2021" t="s">
        <v>2803</v>
      </c>
      <c r="F48" s="2043"/>
      <c r="G48" s="662">
        <f t="shared" si="3"/>
        <v>0</v>
      </c>
      <c r="H48" s="2036"/>
      <c r="I48" s="3322"/>
      <c r="J48" s="2036"/>
      <c r="K48" s="3322"/>
      <c r="L48" s="2036"/>
      <c r="M48" s="3322"/>
      <c r="N48" s="2036"/>
      <c r="O48" s="3322"/>
      <c r="P48" s="2036"/>
      <c r="Q48" s="3322"/>
      <c r="R48" s="2036"/>
      <c r="S48" s="3322"/>
    </row>
    <row r="49" spans="1:19">
      <c r="A49" s="2037"/>
      <c r="B49" s="3330" t="s">
        <v>6863</v>
      </c>
      <c r="C49" s="2019"/>
      <c r="D49" s="2020">
        <v>2</v>
      </c>
      <c r="E49" s="2021" t="s">
        <v>2803</v>
      </c>
      <c r="F49" s="2043"/>
      <c r="G49" s="662">
        <f t="shared" si="3"/>
        <v>0</v>
      </c>
      <c r="H49" s="2036"/>
      <c r="I49" s="3322"/>
      <c r="J49" s="2036"/>
      <c r="K49" s="3322"/>
      <c r="L49" s="2036"/>
      <c r="M49" s="3322"/>
      <c r="N49" s="2036"/>
      <c r="O49" s="3322"/>
      <c r="P49" s="2036"/>
      <c r="Q49" s="3322"/>
      <c r="R49" s="2036"/>
      <c r="S49" s="3322"/>
    </row>
    <row r="50" spans="1:19">
      <c r="A50" s="2037"/>
      <c r="B50" s="3330" t="s">
        <v>6854</v>
      </c>
      <c r="C50" s="2019"/>
      <c r="D50" s="2020">
        <v>7</v>
      </c>
      <c r="E50" s="2021" t="s">
        <v>2803</v>
      </c>
      <c r="F50" s="2043"/>
      <c r="G50" s="662">
        <f t="shared" si="3"/>
        <v>0</v>
      </c>
      <c r="H50" s="2036"/>
      <c r="I50" s="3322"/>
      <c r="J50" s="2036"/>
      <c r="K50" s="3322"/>
      <c r="L50" s="2036"/>
      <c r="M50" s="3322"/>
      <c r="N50" s="2036"/>
      <c r="O50" s="3322"/>
      <c r="P50" s="2036"/>
      <c r="Q50" s="3322"/>
      <c r="R50" s="2036"/>
      <c r="S50" s="3322"/>
    </row>
    <row r="51" spans="1:19">
      <c r="A51" s="2037"/>
      <c r="B51" s="3332" t="s">
        <v>6864</v>
      </c>
      <c r="C51" s="2019"/>
      <c r="D51" s="2020">
        <v>6</v>
      </c>
      <c r="E51" s="2021" t="s">
        <v>2803</v>
      </c>
      <c r="F51" s="2043"/>
      <c r="G51" s="662">
        <f t="shared" si="3"/>
        <v>0</v>
      </c>
      <c r="H51" s="2036"/>
      <c r="I51" s="3322"/>
      <c r="J51" s="2036"/>
      <c r="K51" s="3322"/>
      <c r="L51" s="2036"/>
      <c r="M51" s="3322"/>
      <c r="N51" s="2036"/>
      <c r="O51" s="3322"/>
      <c r="P51" s="2036"/>
      <c r="Q51" s="3322"/>
      <c r="R51" s="2036"/>
      <c r="S51" s="3322"/>
    </row>
    <row r="52" spans="1:19">
      <c r="A52" s="2037"/>
      <c r="B52" s="3333" t="s">
        <v>6865</v>
      </c>
      <c r="C52" s="2019"/>
      <c r="D52" s="2020"/>
      <c r="E52" s="2021"/>
      <c r="F52" s="2043"/>
      <c r="G52" s="662">
        <f t="shared" si="3"/>
        <v>0</v>
      </c>
      <c r="H52" s="2036"/>
      <c r="I52" s="3322"/>
      <c r="J52" s="2036"/>
      <c r="K52" s="3322">
        <v>18864.63</v>
      </c>
      <c r="L52" s="2036"/>
      <c r="M52" s="3322"/>
      <c r="N52" s="2036"/>
      <c r="O52" s="3322"/>
      <c r="P52" s="2036"/>
      <c r="Q52" s="3322"/>
      <c r="R52" s="2036"/>
      <c r="S52" s="3322"/>
    </row>
    <row r="53" spans="1:19">
      <c r="A53" s="2037"/>
      <c r="B53" s="3330" t="s">
        <v>6849</v>
      </c>
      <c r="C53" s="2019"/>
      <c r="D53" s="2020">
        <v>1</v>
      </c>
      <c r="E53" s="2021" t="s">
        <v>2803</v>
      </c>
      <c r="F53" s="2043"/>
      <c r="G53" s="662">
        <f t="shared" si="3"/>
        <v>0</v>
      </c>
      <c r="H53" s="2036"/>
      <c r="I53" s="3322"/>
      <c r="J53" s="2036"/>
      <c r="K53" s="3322"/>
      <c r="L53" s="2036"/>
      <c r="M53" s="3322"/>
      <c r="N53" s="2036"/>
      <c r="O53" s="3322"/>
      <c r="P53" s="2036"/>
      <c r="Q53" s="3322"/>
      <c r="R53" s="2036"/>
      <c r="S53" s="3322"/>
    </row>
    <row r="54" spans="1:19">
      <c r="A54" s="2037"/>
      <c r="B54" s="3330" t="s">
        <v>6843</v>
      </c>
      <c r="C54" s="2019"/>
      <c r="D54" s="2020">
        <v>1</v>
      </c>
      <c r="E54" s="2021" t="s">
        <v>2803</v>
      </c>
      <c r="F54" s="2043"/>
      <c r="G54" s="662">
        <f t="shared" si="3"/>
        <v>0</v>
      </c>
      <c r="H54" s="2036"/>
      <c r="I54" s="3322"/>
      <c r="J54" s="2036"/>
      <c r="K54" s="3322"/>
      <c r="L54" s="2036"/>
      <c r="M54" s="3322"/>
      <c r="N54" s="2036"/>
      <c r="O54" s="3322"/>
      <c r="P54" s="2036"/>
      <c r="Q54" s="3322"/>
      <c r="R54" s="2036"/>
      <c r="S54" s="3322"/>
    </row>
    <row r="55" spans="1:19">
      <c r="A55" s="2037"/>
      <c r="B55" s="3330" t="s">
        <v>6844</v>
      </c>
      <c r="C55" s="2019"/>
      <c r="D55" s="2020">
        <v>1</v>
      </c>
      <c r="E55" s="2021" t="s">
        <v>2803</v>
      </c>
      <c r="F55" s="2043"/>
      <c r="G55" s="662">
        <f t="shared" si="3"/>
        <v>0</v>
      </c>
      <c r="H55" s="2036"/>
      <c r="I55" s="3322"/>
      <c r="J55" s="2036"/>
      <c r="K55" s="3322"/>
      <c r="L55" s="2036"/>
      <c r="M55" s="3322"/>
      <c r="N55" s="2036"/>
      <c r="O55" s="3322"/>
      <c r="P55" s="2036"/>
      <c r="Q55" s="3322"/>
      <c r="R55" s="2036"/>
      <c r="S55" s="3322"/>
    </row>
    <row r="56" spans="1:19">
      <c r="A56" s="2037"/>
      <c r="B56" s="3330" t="s">
        <v>6866</v>
      </c>
      <c r="C56" s="2019"/>
      <c r="D56" s="2020">
        <v>2</v>
      </c>
      <c r="E56" s="2021" t="s">
        <v>2803</v>
      </c>
      <c r="F56" s="2043"/>
      <c r="G56" s="662">
        <f t="shared" si="3"/>
        <v>0</v>
      </c>
      <c r="H56" s="2036"/>
      <c r="I56" s="3322"/>
      <c r="J56" s="2036"/>
      <c r="K56" s="3322"/>
      <c r="L56" s="2036"/>
      <c r="M56" s="3322"/>
      <c r="N56" s="2036"/>
      <c r="O56" s="3322"/>
      <c r="P56" s="2036"/>
      <c r="Q56" s="3322"/>
      <c r="R56" s="2036"/>
      <c r="S56" s="3322"/>
    </row>
    <row r="57" spans="1:19">
      <c r="A57" s="2037"/>
      <c r="B57" s="3330" t="s">
        <v>6867</v>
      </c>
      <c r="C57" s="2019"/>
      <c r="D57" s="2020">
        <v>2</v>
      </c>
      <c r="E57" s="2021" t="s">
        <v>2803</v>
      </c>
      <c r="F57" s="2043"/>
      <c r="G57" s="662">
        <f t="shared" si="3"/>
        <v>0</v>
      </c>
      <c r="H57" s="2036"/>
      <c r="I57" s="3322"/>
      <c r="J57" s="2036"/>
      <c r="K57" s="3322"/>
      <c r="L57" s="2036"/>
      <c r="M57" s="3322"/>
      <c r="N57" s="2036"/>
      <c r="O57" s="3322"/>
      <c r="P57" s="2036"/>
      <c r="Q57" s="3322"/>
      <c r="R57" s="2036"/>
      <c r="S57" s="3322"/>
    </row>
    <row r="58" spans="1:19">
      <c r="A58" s="2037"/>
      <c r="B58" s="3330" t="s">
        <v>6868</v>
      </c>
      <c r="C58" s="2019"/>
      <c r="D58" s="2020">
        <v>2</v>
      </c>
      <c r="E58" s="2021" t="s">
        <v>2803</v>
      </c>
      <c r="F58" s="2043"/>
      <c r="G58" s="662">
        <f t="shared" si="3"/>
        <v>0</v>
      </c>
      <c r="H58" s="2036"/>
      <c r="I58" s="3322"/>
      <c r="J58" s="2036"/>
      <c r="K58" s="3322"/>
      <c r="L58" s="2036"/>
      <c r="M58" s="3322"/>
      <c r="N58" s="2036"/>
      <c r="O58" s="3322"/>
      <c r="P58" s="2036"/>
      <c r="Q58" s="3322"/>
      <c r="R58" s="2036"/>
      <c r="S58" s="3322"/>
    </row>
    <row r="59" spans="1:19">
      <c r="A59" s="2037"/>
      <c r="B59" s="3330" t="s">
        <v>6853</v>
      </c>
      <c r="C59" s="2019"/>
      <c r="D59" s="2020">
        <v>1</v>
      </c>
      <c r="E59" s="2021" t="s">
        <v>2803</v>
      </c>
      <c r="F59" s="2043"/>
      <c r="G59" s="662">
        <f t="shared" si="3"/>
        <v>0</v>
      </c>
      <c r="H59" s="2036"/>
      <c r="I59" s="3322"/>
      <c r="J59" s="2036"/>
      <c r="K59" s="3322"/>
      <c r="L59" s="2036"/>
      <c r="M59" s="3322"/>
      <c r="N59" s="2036"/>
      <c r="O59" s="3322"/>
      <c r="P59" s="2036"/>
      <c r="Q59" s="3322"/>
      <c r="R59" s="2036"/>
      <c r="S59" s="3322"/>
    </row>
    <row r="60" spans="1:19">
      <c r="A60" s="2037"/>
      <c r="B60" s="3330" t="s">
        <v>6854</v>
      </c>
      <c r="C60" s="2019"/>
      <c r="D60" s="2020">
        <v>4</v>
      </c>
      <c r="E60" s="2021" t="s">
        <v>2803</v>
      </c>
      <c r="F60" s="2043"/>
      <c r="G60" s="662">
        <f t="shared" si="3"/>
        <v>0</v>
      </c>
      <c r="H60" s="2036"/>
      <c r="I60" s="3322"/>
      <c r="J60" s="2036"/>
      <c r="K60" s="3322"/>
      <c r="L60" s="2036"/>
      <c r="M60" s="3322"/>
      <c r="N60" s="2036"/>
      <c r="O60" s="3322"/>
      <c r="P60" s="2036"/>
      <c r="Q60" s="3322"/>
      <c r="R60" s="2036"/>
      <c r="S60" s="3322"/>
    </row>
    <row r="61" spans="1:19">
      <c r="A61" s="2037"/>
      <c r="B61" s="3330" t="s">
        <v>6869</v>
      </c>
      <c r="C61" s="2019"/>
      <c r="D61" s="2020">
        <v>1</v>
      </c>
      <c r="E61" s="2021" t="s">
        <v>2803</v>
      </c>
      <c r="F61" s="2043"/>
      <c r="G61" s="662">
        <f t="shared" si="3"/>
        <v>0</v>
      </c>
      <c r="H61" s="2036"/>
      <c r="I61" s="3322"/>
      <c r="J61" s="2036"/>
      <c r="K61" s="3322"/>
      <c r="L61" s="2036"/>
      <c r="M61" s="3322"/>
      <c r="N61" s="2036"/>
      <c r="O61" s="3322"/>
      <c r="P61" s="2036"/>
      <c r="Q61" s="3322"/>
      <c r="R61" s="2036"/>
      <c r="S61" s="3322"/>
    </row>
    <row r="62" spans="1:19">
      <c r="A62" s="2037"/>
      <c r="B62" s="3328" t="s">
        <v>4320</v>
      </c>
      <c r="C62" s="2019"/>
      <c r="D62" s="2020"/>
      <c r="E62" s="2021"/>
      <c r="F62" s="2043"/>
      <c r="G62" s="662">
        <f t="shared" si="3"/>
        <v>0</v>
      </c>
      <c r="H62" s="2036"/>
      <c r="I62" s="3322"/>
      <c r="J62" s="2036"/>
      <c r="K62" s="3322">
        <v>20145.419999999998</v>
      </c>
      <c r="L62" s="2036"/>
      <c r="M62" s="3322"/>
      <c r="N62" s="2036"/>
      <c r="O62" s="3322"/>
      <c r="P62" s="2036"/>
      <c r="Q62" s="3322"/>
      <c r="R62" s="2036"/>
      <c r="S62" s="3322"/>
    </row>
    <row r="63" spans="1:19">
      <c r="A63" s="2037"/>
      <c r="B63" s="3330" t="s">
        <v>6853</v>
      </c>
      <c r="C63" s="2019"/>
      <c r="D63" s="3310">
        <v>1</v>
      </c>
      <c r="E63" s="2021" t="s">
        <v>2803</v>
      </c>
      <c r="F63" s="2043"/>
      <c r="G63" s="662">
        <f t="shared" si="3"/>
        <v>0</v>
      </c>
      <c r="H63" s="2036"/>
      <c r="I63" s="3322"/>
      <c r="J63" s="2036"/>
      <c r="K63" s="3322"/>
      <c r="L63" s="2036"/>
      <c r="M63" s="3322"/>
      <c r="N63" s="2036"/>
      <c r="O63" s="3322"/>
      <c r="P63" s="2036"/>
      <c r="Q63" s="3322"/>
      <c r="R63" s="2036"/>
      <c r="S63" s="3322"/>
    </row>
    <row r="64" spans="1:19">
      <c r="A64" s="2037"/>
      <c r="B64" s="3330" t="s">
        <v>6854</v>
      </c>
      <c r="C64" s="2019"/>
      <c r="D64" s="3310">
        <v>20</v>
      </c>
      <c r="E64" s="2021" t="s">
        <v>2803</v>
      </c>
      <c r="F64" s="2043"/>
      <c r="G64" s="662">
        <f t="shared" si="3"/>
        <v>0</v>
      </c>
      <c r="H64" s="2036"/>
      <c r="I64" s="3322"/>
      <c r="J64" s="2036"/>
      <c r="K64" s="3322"/>
      <c r="L64" s="2036"/>
      <c r="M64" s="3322"/>
      <c r="N64" s="2036"/>
      <c r="O64" s="3322"/>
      <c r="P64" s="2036"/>
      <c r="Q64" s="3322"/>
      <c r="R64" s="2036"/>
      <c r="S64" s="3322"/>
    </row>
    <row r="65" spans="1:19">
      <c r="A65" s="2037"/>
      <c r="B65" s="3330" t="s">
        <v>6864</v>
      </c>
      <c r="C65" s="2019"/>
      <c r="D65" s="2020">
        <v>20</v>
      </c>
      <c r="E65" s="2021" t="s">
        <v>2803</v>
      </c>
      <c r="F65" s="2043"/>
      <c r="G65" s="662">
        <f t="shared" si="3"/>
        <v>0</v>
      </c>
      <c r="H65" s="2036"/>
      <c r="I65" s="3322"/>
      <c r="J65" s="2036"/>
      <c r="K65" s="3322"/>
      <c r="L65" s="2036"/>
      <c r="M65" s="3322"/>
      <c r="N65" s="2036"/>
      <c r="O65" s="3322"/>
      <c r="P65" s="2036"/>
      <c r="Q65" s="3322"/>
      <c r="R65" s="2036"/>
      <c r="S65" s="3322"/>
    </row>
    <row r="66" spans="1:19">
      <c r="A66" s="2037"/>
      <c r="B66" s="3328" t="s">
        <v>6190</v>
      </c>
      <c r="C66" s="2019"/>
      <c r="D66" s="2020"/>
      <c r="E66" s="2021"/>
      <c r="F66" s="2043"/>
      <c r="G66" s="662">
        <f t="shared" si="3"/>
        <v>0</v>
      </c>
      <c r="H66" s="2036"/>
      <c r="I66" s="3322"/>
      <c r="J66" s="2036"/>
      <c r="K66" s="3322">
        <v>4159.5600000000004</v>
      </c>
      <c r="L66" s="2036"/>
      <c r="M66" s="3322"/>
      <c r="N66" s="2036"/>
      <c r="O66" s="3322"/>
      <c r="P66" s="2036"/>
      <c r="Q66" s="3322"/>
      <c r="R66" s="2036"/>
      <c r="S66" s="3322"/>
    </row>
    <row r="67" spans="1:19">
      <c r="A67" s="2037"/>
      <c r="B67" s="3330" t="s">
        <v>6844</v>
      </c>
      <c r="C67" s="2019"/>
      <c r="D67" s="2020">
        <v>1</v>
      </c>
      <c r="E67" s="2021" t="s">
        <v>2803</v>
      </c>
      <c r="F67" s="2043"/>
      <c r="G67" s="662">
        <f t="shared" si="3"/>
        <v>0</v>
      </c>
      <c r="H67" s="2036"/>
      <c r="I67" s="3322"/>
      <c r="J67" s="2036"/>
      <c r="K67" s="3322"/>
      <c r="L67" s="2036"/>
      <c r="M67" s="3322"/>
      <c r="N67" s="2036"/>
      <c r="O67" s="3322"/>
      <c r="P67" s="2036"/>
      <c r="Q67" s="3322"/>
      <c r="R67" s="2036"/>
      <c r="S67" s="3322"/>
    </row>
    <row r="68" spans="1:19">
      <c r="A68" s="2037"/>
      <c r="B68" s="3330" t="s">
        <v>6853</v>
      </c>
      <c r="C68" s="2019"/>
      <c r="D68" s="2020">
        <v>1</v>
      </c>
      <c r="E68" s="2021" t="s">
        <v>2803</v>
      </c>
      <c r="F68" s="2043"/>
      <c r="G68" s="662">
        <f t="shared" si="3"/>
        <v>0</v>
      </c>
      <c r="H68" s="2036"/>
      <c r="I68" s="3322"/>
      <c r="J68" s="2036"/>
      <c r="K68" s="3322"/>
      <c r="L68" s="2036"/>
      <c r="M68" s="3322"/>
      <c r="N68" s="2036"/>
      <c r="O68" s="3322"/>
      <c r="P68" s="2036"/>
      <c r="Q68" s="3322"/>
      <c r="R68" s="2036"/>
      <c r="S68" s="3322"/>
    </row>
    <row r="69" spans="1:19">
      <c r="A69" s="2037"/>
      <c r="B69" s="3330" t="s">
        <v>6854</v>
      </c>
      <c r="C69" s="2019"/>
      <c r="D69" s="2020">
        <v>2</v>
      </c>
      <c r="E69" s="2021" t="s">
        <v>2803</v>
      </c>
      <c r="F69" s="2043"/>
      <c r="G69" s="662">
        <f t="shared" si="3"/>
        <v>0</v>
      </c>
      <c r="H69" s="2036"/>
      <c r="I69" s="3322"/>
      <c r="J69" s="2036"/>
      <c r="K69" s="3322"/>
      <c r="L69" s="2036"/>
      <c r="M69" s="3322"/>
      <c r="N69" s="2036"/>
      <c r="O69" s="3322"/>
      <c r="P69" s="2036"/>
      <c r="Q69" s="3322"/>
      <c r="R69" s="2036"/>
      <c r="S69" s="3322"/>
    </row>
    <row r="70" spans="1:19">
      <c r="A70" s="2037"/>
      <c r="B70" s="3331" t="s">
        <v>6870</v>
      </c>
      <c r="C70" s="2019"/>
      <c r="D70" s="2020"/>
      <c r="E70" s="2021"/>
      <c r="F70" s="2043"/>
      <c r="G70" s="662">
        <f t="shared" si="3"/>
        <v>0</v>
      </c>
      <c r="H70" s="2036"/>
      <c r="I70" s="3322"/>
      <c r="J70" s="2036"/>
      <c r="K70" s="3322">
        <v>19563.509999999998</v>
      </c>
      <c r="L70" s="2036"/>
      <c r="M70" s="3322"/>
      <c r="N70" s="2036"/>
      <c r="O70" s="3322"/>
      <c r="P70" s="2036"/>
      <c r="Q70" s="3322"/>
      <c r="R70" s="2036"/>
      <c r="S70" s="3322"/>
    </row>
    <row r="71" spans="1:19">
      <c r="A71" s="2037"/>
      <c r="B71" s="3330" t="s">
        <v>6871</v>
      </c>
      <c r="C71" s="2019"/>
      <c r="D71" s="2020">
        <v>1</v>
      </c>
      <c r="E71" s="2021" t="s">
        <v>2803</v>
      </c>
      <c r="F71" s="2043"/>
      <c r="G71" s="662">
        <f t="shared" si="3"/>
        <v>0</v>
      </c>
      <c r="H71" s="2036"/>
      <c r="I71" s="3322"/>
      <c r="J71" s="2036"/>
      <c r="K71" s="3322"/>
      <c r="L71" s="2036"/>
      <c r="M71" s="3322"/>
      <c r="N71" s="2036"/>
      <c r="O71" s="3322"/>
      <c r="P71" s="2036"/>
      <c r="Q71" s="3322"/>
      <c r="R71" s="2036"/>
      <c r="S71" s="3322"/>
    </row>
    <row r="72" spans="1:19">
      <c r="A72" s="2037"/>
      <c r="B72" s="3330" t="s">
        <v>6854</v>
      </c>
      <c r="C72" s="2019"/>
      <c r="D72" s="2020">
        <v>8</v>
      </c>
      <c r="E72" s="2021" t="s">
        <v>2803</v>
      </c>
      <c r="F72" s="2043"/>
      <c r="G72" s="662">
        <f t="shared" si="3"/>
        <v>0</v>
      </c>
      <c r="H72" s="2036"/>
      <c r="I72" s="3322"/>
      <c r="J72" s="2036"/>
      <c r="K72" s="3322"/>
      <c r="L72" s="2036"/>
      <c r="M72" s="3322"/>
      <c r="N72" s="2036"/>
      <c r="O72" s="3322"/>
      <c r="P72" s="2036"/>
      <c r="Q72" s="3322"/>
      <c r="R72" s="2036"/>
      <c r="S72" s="3322"/>
    </row>
    <row r="73" spans="1:19">
      <c r="A73" s="2037"/>
      <c r="B73" s="3330" t="s">
        <v>6864</v>
      </c>
      <c r="C73" s="2019"/>
      <c r="D73" s="2020">
        <v>11</v>
      </c>
      <c r="E73" s="2021" t="s">
        <v>2803</v>
      </c>
      <c r="F73" s="2043"/>
      <c r="G73" s="662">
        <f t="shared" si="3"/>
        <v>0</v>
      </c>
      <c r="H73" s="2036"/>
      <c r="I73" s="3322"/>
      <c r="J73" s="2036"/>
      <c r="K73" s="3322"/>
      <c r="L73" s="2036"/>
      <c r="M73" s="3322"/>
      <c r="N73" s="2036"/>
      <c r="O73" s="3322"/>
      <c r="P73" s="2036"/>
      <c r="Q73" s="3322"/>
      <c r="R73" s="2036"/>
      <c r="S73" s="3322"/>
    </row>
    <row r="74" spans="1:19">
      <c r="A74" s="2037"/>
      <c r="B74" s="3330" t="s">
        <v>6858</v>
      </c>
      <c r="C74" s="2019"/>
      <c r="D74" s="2020">
        <v>1</v>
      </c>
      <c r="E74" s="2021" t="s">
        <v>2803</v>
      </c>
      <c r="F74" s="2043"/>
      <c r="G74" s="662">
        <f t="shared" si="3"/>
        <v>0</v>
      </c>
      <c r="H74" s="2036"/>
      <c r="I74" s="3322"/>
      <c r="J74" s="2036"/>
      <c r="K74" s="3322"/>
      <c r="L74" s="2036"/>
      <c r="M74" s="3322"/>
      <c r="N74" s="2036"/>
      <c r="O74" s="3322"/>
      <c r="P74" s="2036"/>
      <c r="Q74" s="3322"/>
      <c r="R74" s="2036"/>
      <c r="S74" s="3322"/>
    </row>
    <row r="75" spans="1:19">
      <c r="A75" s="2037"/>
      <c r="B75" s="3330" t="s">
        <v>6859</v>
      </c>
      <c r="C75" s="2019"/>
      <c r="D75" s="2020">
        <v>1</v>
      </c>
      <c r="E75" s="2021" t="s">
        <v>2803</v>
      </c>
      <c r="F75" s="2043"/>
      <c r="G75" s="662">
        <f t="shared" si="3"/>
        <v>0</v>
      </c>
      <c r="H75" s="2036"/>
      <c r="I75" s="3322"/>
      <c r="J75" s="2036"/>
      <c r="K75" s="3322"/>
      <c r="L75" s="2036"/>
      <c r="M75" s="3322"/>
      <c r="N75" s="2036"/>
      <c r="O75" s="3322"/>
      <c r="P75" s="2036"/>
      <c r="Q75" s="3322"/>
      <c r="R75" s="2036"/>
      <c r="S75" s="3322"/>
    </row>
    <row r="76" spans="1:19">
      <c r="A76" s="2037"/>
      <c r="B76" s="3330" t="s">
        <v>6872</v>
      </c>
      <c r="C76" s="2019"/>
      <c r="D76" s="2020">
        <v>1</v>
      </c>
      <c r="E76" s="2021" t="s">
        <v>2803</v>
      </c>
      <c r="F76" s="2043"/>
      <c r="G76" s="662">
        <f t="shared" si="3"/>
        <v>0</v>
      </c>
      <c r="H76" s="2036"/>
      <c r="I76" s="3322"/>
      <c r="J76" s="2036"/>
      <c r="K76" s="3322"/>
      <c r="L76" s="2036"/>
      <c r="M76" s="3322"/>
      <c r="N76" s="2036"/>
      <c r="O76" s="3322"/>
      <c r="P76" s="2036"/>
      <c r="Q76" s="3322"/>
      <c r="R76" s="2036"/>
      <c r="S76" s="3322"/>
    </row>
    <row r="77" spans="1:19">
      <c r="A77" s="2037"/>
      <c r="B77" s="3330" t="s">
        <v>6861</v>
      </c>
      <c r="C77" s="2019"/>
      <c r="D77" s="2020">
        <v>1</v>
      </c>
      <c r="E77" s="2021" t="s">
        <v>2803</v>
      </c>
      <c r="F77" s="2043"/>
      <c r="G77" s="662">
        <f t="shared" si="3"/>
        <v>0</v>
      </c>
      <c r="H77" s="2036"/>
      <c r="I77" s="3322"/>
      <c r="J77" s="2036"/>
      <c r="K77" s="3322"/>
      <c r="L77" s="2036"/>
      <c r="M77" s="3322"/>
      <c r="N77" s="2036"/>
      <c r="O77" s="3322"/>
      <c r="P77" s="2036"/>
      <c r="Q77" s="3322"/>
      <c r="R77" s="2036"/>
      <c r="S77" s="3322"/>
    </row>
    <row r="78" spans="1:19">
      <c r="A78" s="2037"/>
      <c r="B78" s="3328" t="s">
        <v>3080</v>
      </c>
      <c r="C78" s="2019"/>
      <c r="D78" s="2020"/>
      <c r="E78" s="2021"/>
      <c r="F78" s="2043"/>
      <c r="G78" s="662">
        <f t="shared" si="3"/>
        <v>0</v>
      </c>
      <c r="H78" s="2036"/>
      <c r="I78" s="3322">
        <v>101737.79</v>
      </c>
      <c r="J78" s="2036"/>
      <c r="K78" s="3322"/>
      <c r="L78" s="2036"/>
      <c r="M78" s="3322">
        <v>82680.039999999994</v>
      </c>
      <c r="N78" s="2036"/>
      <c r="O78" s="3322"/>
      <c r="P78" s="2036"/>
      <c r="Q78" s="3322"/>
      <c r="R78" s="2036"/>
      <c r="S78" s="3322"/>
    </row>
    <row r="79" spans="1:19">
      <c r="A79" s="2037"/>
      <c r="B79" s="3328" t="s">
        <v>6805</v>
      </c>
      <c r="C79" s="2019"/>
      <c r="D79" s="2020"/>
      <c r="E79" s="2021"/>
      <c r="F79" s="2043"/>
      <c r="G79" s="662">
        <f t="shared" si="3"/>
        <v>0</v>
      </c>
      <c r="H79" s="2036"/>
      <c r="I79" s="3322"/>
      <c r="J79" s="2036"/>
      <c r="K79" s="3322">
        <v>19224.98</v>
      </c>
      <c r="L79" s="2036"/>
      <c r="M79" s="3322"/>
      <c r="N79" s="2036"/>
      <c r="O79" s="3322"/>
      <c r="P79" s="2036"/>
      <c r="Q79" s="3322"/>
      <c r="R79" s="2036"/>
      <c r="S79" s="3322"/>
    </row>
    <row r="80" spans="1:19">
      <c r="A80" s="2037"/>
      <c r="B80" s="3330" t="s">
        <v>6856</v>
      </c>
      <c r="C80" s="2019"/>
      <c r="D80" s="2020">
        <v>1</v>
      </c>
      <c r="E80" s="2021" t="s">
        <v>2803</v>
      </c>
      <c r="F80" s="2043"/>
      <c r="G80" s="662">
        <f t="shared" si="3"/>
        <v>0</v>
      </c>
      <c r="H80" s="2036"/>
      <c r="I80" s="3322"/>
      <c r="J80" s="2036"/>
      <c r="K80" s="3322"/>
      <c r="L80" s="2036"/>
      <c r="M80" s="3322"/>
      <c r="N80" s="2036"/>
      <c r="O80" s="3322"/>
      <c r="P80" s="2036"/>
      <c r="Q80" s="3322"/>
      <c r="R80" s="2036"/>
      <c r="S80" s="3322"/>
    </row>
    <row r="81" spans="1:19">
      <c r="A81" s="2037"/>
      <c r="B81" s="3330" t="s">
        <v>6857</v>
      </c>
      <c r="C81" s="2019"/>
      <c r="D81" s="2020">
        <v>1</v>
      </c>
      <c r="E81" s="2021" t="s">
        <v>2803</v>
      </c>
      <c r="F81" s="2043"/>
      <c r="G81" s="662">
        <f t="shared" si="3"/>
        <v>0</v>
      </c>
      <c r="H81" s="2036"/>
      <c r="I81" s="3322"/>
      <c r="J81" s="2036"/>
      <c r="K81" s="3322"/>
      <c r="L81" s="2036"/>
      <c r="M81" s="3322"/>
      <c r="N81" s="2036"/>
      <c r="O81" s="3322"/>
      <c r="P81" s="2036"/>
      <c r="Q81" s="3322"/>
      <c r="R81" s="2036"/>
      <c r="S81" s="3322"/>
    </row>
    <row r="82" spans="1:19">
      <c r="A82" s="2037"/>
      <c r="B82" s="3330" t="s">
        <v>6858</v>
      </c>
      <c r="C82" s="2019"/>
      <c r="D82" s="2020">
        <v>1</v>
      </c>
      <c r="E82" s="2021" t="s">
        <v>2803</v>
      </c>
      <c r="F82" s="2043"/>
      <c r="G82" s="662">
        <f t="shared" si="3"/>
        <v>0</v>
      </c>
      <c r="H82" s="2036"/>
      <c r="I82" s="3322"/>
      <c r="J82" s="2036"/>
      <c r="K82" s="3322"/>
      <c r="L82" s="2036"/>
      <c r="M82" s="3322"/>
      <c r="N82" s="2036"/>
      <c r="O82" s="3322"/>
      <c r="P82" s="2036"/>
      <c r="Q82" s="3322"/>
      <c r="R82" s="2036"/>
      <c r="S82" s="3322"/>
    </row>
    <row r="83" spans="1:19">
      <c r="A83" s="2037"/>
      <c r="B83" s="3330" t="s">
        <v>6859</v>
      </c>
      <c r="C83" s="2019"/>
      <c r="D83" s="2020">
        <v>1</v>
      </c>
      <c r="E83" s="2021" t="s">
        <v>2803</v>
      </c>
      <c r="F83" s="2043"/>
      <c r="G83" s="662">
        <f t="shared" si="3"/>
        <v>0</v>
      </c>
      <c r="H83" s="2036"/>
      <c r="I83" s="3322"/>
      <c r="J83" s="2036"/>
      <c r="K83" s="3322"/>
      <c r="L83" s="2036"/>
      <c r="M83" s="3322"/>
      <c r="N83" s="2036"/>
      <c r="O83" s="3322"/>
      <c r="P83" s="2036"/>
      <c r="Q83" s="3322"/>
      <c r="R83" s="2036"/>
      <c r="S83" s="3322"/>
    </row>
    <row r="84" spans="1:19">
      <c r="A84" s="2037"/>
      <c r="B84" s="3330" t="s">
        <v>6860</v>
      </c>
      <c r="C84" s="2019"/>
      <c r="D84" s="2020">
        <v>1</v>
      </c>
      <c r="E84" s="2021" t="s">
        <v>2803</v>
      </c>
      <c r="F84" s="2043"/>
      <c r="G84" s="662">
        <f t="shared" si="3"/>
        <v>0</v>
      </c>
      <c r="H84" s="2036"/>
      <c r="I84" s="3322"/>
      <c r="J84" s="2036"/>
      <c r="K84" s="3322"/>
      <c r="L84" s="2036"/>
      <c r="M84" s="3322"/>
      <c r="N84" s="2036"/>
      <c r="O84" s="3322"/>
      <c r="P84" s="2036"/>
      <c r="Q84" s="3322"/>
      <c r="R84" s="2036"/>
      <c r="S84" s="3322"/>
    </row>
    <row r="85" spans="1:19">
      <c r="A85" s="2037"/>
      <c r="B85" s="3330" t="s">
        <v>6861</v>
      </c>
      <c r="C85" s="2019"/>
      <c r="D85" s="2020">
        <v>1</v>
      </c>
      <c r="E85" s="2021" t="s">
        <v>2803</v>
      </c>
      <c r="F85" s="2043"/>
      <c r="G85" s="662">
        <f t="shared" si="3"/>
        <v>0</v>
      </c>
      <c r="H85" s="2036"/>
      <c r="I85" s="3322"/>
      <c r="J85" s="2036"/>
      <c r="K85" s="3322"/>
      <c r="L85" s="2036"/>
      <c r="M85" s="3322"/>
      <c r="N85" s="2036"/>
      <c r="O85" s="3322"/>
      <c r="P85" s="2036"/>
      <c r="Q85" s="3322"/>
      <c r="R85" s="2036"/>
      <c r="S85" s="3322"/>
    </row>
    <row r="86" spans="1:19">
      <c r="A86" s="2037"/>
      <c r="B86" s="3330" t="s">
        <v>6854</v>
      </c>
      <c r="C86" s="2019"/>
      <c r="D86" s="2020">
        <v>9</v>
      </c>
      <c r="E86" s="2021" t="s">
        <v>2803</v>
      </c>
      <c r="F86" s="2043"/>
      <c r="G86" s="662">
        <f t="shared" si="3"/>
        <v>0</v>
      </c>
      <c r="H86" s="2036"/>
      <c r="I86" s="3322"/>
      <c r="J86" s="2036"/>
      <c r="K86" s="3322"/>
      <c r="L86" s="2036"/>
      <c r="M86" s="3322"/>
      <c r="N86" s="2036"/>
      <c r="O86" s="3322"/>
      <c r="P86" s="2036"/>
      <c r="Q86" s="3322"/>
      <c r="R86" s="2036"/>
      <c r="S86" s="3322"/>
    </row>
    <row r="87" spans="1:19">
      <c r="A87" s="2037"/>
      <c r="B87" s="3330" t="s">
        <v>6864</v>
      </c>
      <c r="C87" s="2019"/>
      <c r="D87" s="2020">
        <v>10</v>
      </c>
      <c r="E87" s="2021" t="s">
        <v>2803</v>
      </c>
      <c r="F87" s="2043"/>
      <c r="G87" s="662">
        <f t="shared" si="3"/>
        <v>0</v>
      </c>
      <c r="H87" s="2036"/>
      <c r="I87" s="3322"/>
      <c r="J87" s="2036"/>
      <c r="K87" s="3322"/>
      <c r="L87" s="2036"/>
      <c r="M87" s="3322"/>
      <c r="N87" s="2036"/>
      <c r="O87" s="3322"/>
      <c r="P87" s="2036"/>
      <c r="Q87" s="3322"/>
      <c r="R87" s="2036"/>
      <c r="S87" s="3322"/>
    </row>
    <row r="88" spans="1:19">
      <c r="A88" s="2037"/>
      <c r="B88" s="3328" t="s">
        <v>579</v>
      </c>
      <c r="C88" s="2019"/>
      <c r="D88" s="2020"/>
      <c r="E88" s="2021"/>
      <c r="F88" s="2043"/>
      <c r="G88" s="662">
        <f t="shared" si="3"/>
        <v>0</v>
      </c>
      <c r="H88" s="2036"/>
      <c r="I88" s="3322"/>
      <c r="J88" s="2036"/>
      <c r="K88" s="3322">
        <v>13890.36</v>
      </c>
      <c r="L88" s="2036"/>
      <c r="M88" s="3322"/>
      <c r="N88" s="2036"/>
      <c r="O88" s="3322"/>
      <c r="P88" s="2036"/>
      <c r="Q88" s="3322"/>
      <c r="R88" s="2036"/>
      <c r="S88" s="3322"/>
    </row>
    <row r="89" spans="1:19">
      <c r="A89" s="2037"/>
      <c r="B89" s="3330" t="s">
        <v>6842</v>
      </c>
      <c r="C89" s="2019"/>
      <c r="D89" s="2020">
        <v>2</v>
      </c>
      <c r="E89" s="2021" t="s">
        <v>2803</v>
      </c>
      <c r="F89" s="2043"/>
      <c r="G89" s="662">
        <f t="shared" si="3"/>
        <v>0</v>
      </c>
      <c r="H89" s="2036"/>
      <c r="I89" s="3322"/>
      <c r="J89" s="2036"/>
      <c r="K89" s="3322"/>
      <c r="L89" s="2036"/>
      <c r="M89" s="3322"/>
      <c r="N89" s="2036"/>
      <c r="O89" s="3322"/>
      <c r="P89" s="2036"/>
      <c r="Q89" s="3322"/>
      <c r="R89" s="2036"/>
      <c r="S89" s="3322"/>
    </row>
    <row r="90" spans="1:19">
      <c r="A90" s="2037"/>
      <c r="B90" s="3330" t="s">
        <v>6843</v>
      </c>
      <c r="C90" s="2019"/>
      <c r="D90" s="2020">
        <v>2</v>
      </c>
      <c r="E90" s="2021" t="s">
        <v>2803</v>
      </c>
      <c r="F90" s="2043"/>
      <c r="G90" s="662">
        <f t="shared" si="3"/>
        <v>0</v>
      </c>
      <c r="H90" s="2036"/>
      <c r="I90" s="3322"/>
      <c r="J90" s="2036"/>
      <c r="K90" s="3322"/>
      <c r="L90" s="2036"/>
      <c r="M90" s="3322"/>
      <c r="N90" s="2036"/>
      <c r="O90" s="3322"/>
      <c r="P90" s="2036"/>
      <c r="Q90" s="3322"/>
      <c r="R90" s="2036"/>
      <c r="S90" s="3322"/>
    </row>
    <row r="91" spans="1:19">
      <c r="A91" s="2037"/>
      <c r="B91" s="3330" t="s">
        <v>6844</v>
      </c>
      <c r="C91" s="2019"/>
      <c r="D91" s="2020">
        <v>2</v>
      </c>
      <c r="E91" s="2021" t="s">
        <v>2803</v>
      </c>
      <c r="F91" s="2043"/>
      <c r="G91" s="662">
        <f t="shared" si="3"/>
        <v>0</v>
      </c>
      <c r="H91" s="2036"/>
      <c r="I91" s="3322"/>
      <c r="J91" s="2036"/>
      <c r="K91" s="3322"/>
      <c r="L91" s="2036"/>
      <c r="M91" s="3322"/>
      <c r="N91" s="2036"/>
      <c r="O91" s="3322"/>
      <c r="P91" s="2036"/>
      <c r="Q91" s="3322"/>
      <c r="R91" s="2036"/>
      <c r="S91" s="3322"/>
    </row>
    <row r="92" spans="1:19">
      <c r="A92" s="2037"/>
      <c r="B92" s="3330" t="s">
        <v>6866</v>
      </c>
      <c r="C92" s="2019"/>
      <c r="D92" s="2020">
        <v>2</v>
      </c>
      <c r="E92" s="2021" t="s">
        <v>2803</v>
      </c>
      <c r="F92" s="2043"/>
      <c r="G92" s="662">
        <f t="shared" si="3"/>
        <v>0</v>
      </c>
      <c r="H92" s="2036"/>
      <c r="I92" s="3322"/>
      <c r="J92" s="2036"/>
      <c r="K92" s="3322"/>
      <c r="L92" s="2036"/>
      <c r="M92" s="3322"/>
      <c r="N92" s="2036"/>
      <c r="O92" s="3322"/>
      <c r="P92" s="2036"/>
      <c r="Q92" s="3322"/>
      <c r="R92" s="2036"/>
      <c r="S92" s="3322"/>
    </row>
    <row r="93" spans="1:19">
      <c r="A93" s="2037"/>
      <c r="B93" s="3330" t="s">
        <v>6867</v>
      </c>
      <c r="C93" s="2019"/>
      <c r="D93" s="2020">
        <v>2</v>
      </c>
      <c r="E93" s="2021" t="s">
        <v>2803</v>
      </c>
      <c r="F93" s="2043"/>
      <c r="G93" s="662">
        <f t="shared" si="3"/>
        <v>0</v>
      </c>
      <c r="H93" s="2036"/>
      <c r="I93" s="3322"/>
      <c r="J93" s="2036"/>
      <c r="K93" s="3322"/>
      <c r="L93" s="2036"/>
      <c r="M93" s="3322"/>
      <c r="N93" s="2036"/>
      <c r="O93" s="3322"/>
      <c r="P93" s="2036"/>
      <c r="Q93" s="3322"/>
      <c r="R93" s="2036"/>
      <c r="S93" s="3322"/>
    </row>
    <row r="94" spans="1:19">
      <c r="A94" s="2037"/>
      <c r="B94" s="3330" t="s">
        <v>6868</v>
      </c>
      <c r="C94" s="2019"/>
      <c r="D94" s="2020">
        <v>2</v>
      </c>
      <c r="E94" s="2021" t="s">
        <v>2803</v>
      </c>
      <c r="F94" s="2043"/>
      <c r="G94" s="662">
        <f t="shared" si="3"/>
        <v>0</v>
      </c>
      <c r="H94" s="2036"/>
      <c r="I94" s="3322"/>
      <c r="J94" s="2036"/>
      <c r="K94" s="3322"/>
      <c r="L94" s="2036"/>
      <c r="M94" s="3322"/>
      <c r="N94" s="2036"/>
      <c r="O94" s="3322"/>
      <c r="P94" s="2036"/>
      <c r="Q94" s="3322"/>
      <c r="R94" s="2036"/>
      <c r="S94" s="3322"/>
    </row>
    <row r="95" spans="1:19">
      <c r="A95" s="2037"/>
      <c r="B95" s="3330" t="s">
        <v>6853</v>
      </c>
      <c r="C95" s="2019"/>
      <c r="D95" s="2020">
        <v>1</v>
      </c>
      <c r="E95" s="2021" t="s">
        <v>2803</v>
      </c>
      <c r="F95" s="2043"/>
      <c r="G95" s="662">
        <f t="shared" si="3"/>
        <v>0</v>
      </c>
      <c r="H95" s="2036"/>
      <c r="I95" s="3322"/>
      <c r="J95" s="2036"/>
      <c r="K95" s="3322"/>
      <c r="L95" s="2036"/>
      <c r="M95" s="3322"/>
      <c r="N95" s="2036"/>
      <c r="O95" s="3322"/>
      <c r="P95" s="2036"/>
      <c r="Q95" s="3322"/>
      <c r="R95" s="2036"/>
      <c r="S95" s="3322"/>
    </row>
    <row r="96" spans="1:19">
      <c r="A96" s="2037"/>
      <c r="B96" s="3330" t="s">
        <v>6854</v>
      </c>
      <c r="C96" s="2019"/>
      <c r="D96" s="2020">
        <v>4</v>
      </c>
      <c r="E96" s="2021" t="s">
        <v>2803</v>
      </c>
      <c r="F96" s="2043"/>
      <c r="G96" s="662">
        <f t="shared" si="3"/>
        <v>0</v>
      </c>
      <c r="H96" s="2036"/>
      <c r="I96" s="3322"/>
      <c r="J96" s="2036"/>
      <c r="K96" s="3322"/>
      <c r="L96" s="2036"/>
      <c r="M96" s="3322"/>
      <c r="N96" s="2036"/>
      <c r="O96" s="3322"/>
      <c r="P96" s="2036"/>
      <c r="Q96" s="3322"/>
      <c r="R96" s="2036"/>
      <c r="S96" s="3322"/>
    </row>
    <row r="97" spans="1:19">
      <c r="A97" s="2037"/>
      <c r="B97" s="3330" t="s">
        <v>6869</v>
      </c>
      <c r="C97" s="2019"/>
      <c r="D97" s="2020">
        <v>1</v>
      </c>
      <c r="E97" s="2021" t="s">
        <v>2803</v>
      </c>
      <c r="F97" s="2043"/>
      <c r="G97" s="662">
        <f t="shared" si="3"/>
        <v>0</v>
      </c>
      <c r="H97" s="2036"/>
      <c r="I97" s="3322"/>
      <c r="J97" s="2036"/>
      <c r="K97" s="3322"/>
      <c r="L97" s="2036"/>
      <c r="M97" s="3322"/>
      <c r="N97" s="2036"/>
      <c r="O97" s="3322"/>
      <c r="P97" s="2036"/>
      <c r="Q97" s="3322"/>
      <c r="R97" s="2036"/>
      <c r="S97" s="3322"/>
    </row>
    <row r="98" spans="1:19">
      <c r="A98" s="2037"/>
      <c r="B98" s="3328" t="s">
        <v>4443</v>
      </c>
      <c r="C98" s="2019"/>
      <c r="D98" s="2020"/>
      <c r="E98" s="2021"/>
      <c r="F98" s="2043"/>
      <c r="G98" s="662">
        <f t="shared" si="3"/>
        <v>0</v>
      </c>
      <c r="H98" s="2036"/>
      <c r="I98" s="3322"/>
      <c r="J98" s="2036"/>
      <c r="K98" s="3322">
        <v>3403.57</v>
      </c>
      <c r="L98" s="2036"/>
      <c r="M98" s="3322"/>
      <c r="N98" s="2036"/>
      <c r="O98" s="3322"/>
      <c r="P98" s="2036"/>
      <c r="Q98" s="3322"/>
      <c r="R98" s="2036"/>
      <c r="S98" s="3322"/>
    </row>
    <row r="99" spans="1:19">
      <c r="A99" s="2037"/>
      <c r="B99" s="3330" t="s">
        <v>6853</v>
      </c>
      <c r="C99" s="2019"/>
      <c r="D99" s="2020">
        <v>1</v>
      </c>
      <c r="E99" s="2021" t="s">
        <v>2803</v>
      </c>
      <c r="F99" s="2043"/>
      <c r="G99" s="662">
        <f t="shared" si="3"/>
        <v>0</v>
      </c>
      <c r="H99" s="2036"/>
      <c r="I99" s="3322"/>
      <c r="J99" s="2036"/>
      <c r="K99" s="3322"/>
      <c r="L99" s="2036"/>
      <c r="M99" s="3322"/>
      <c r="N99" s="2036"/>
      <c r="O99" s="3322"/>
      <c r="P99" s="2036"/>
      <c r="Q99" s="3322"/>
      <c r="R99" s="2036"/>
      <c r="S99" s="3322"/>
    </row>
    <row r="100" spans="1:19">
      <c r="A100" s="2037"/>
      <c r="B100" s="3330" t="s">
        <v>6873</v>
      </c>
      <c r="C100" s="2019"/>
      <c r="D100" s="2020"/>
      <c r="E100" s="2021"/>
      <c r="F100" s="2043"/>
      <c r="G100" s="662">
        <f t="shared" si="3"/>
        <v>0</v>
      </c>
      <c r="H100" s="2036"/>
      <c r="I100" s="3322"/>
      <c r="J100" s="2036"/>
      <c r="K100" s="3322"/>
      <c r="L100" s="2036"/>
      <c r="M100" s="3322"/>
      <c r="N100" s="2036"/>
      <c r="O100" s="3322"/>
      <c r="P100" s="2036"/>
      <c r="Q100" s="3322"/>
      <c r="R100" s="2036"/>
      <c r="S100" s="3322"/>
    </row>
    <row r="101" spans="1:19">
      <c r="A101" s="2037"/>
      <c r="B101" s="3330" t="s">
        <v>6854</v>
      </c>
      <c r="C101" s="2019"/>
      <c r="D101" s="2020">
        <v>2</v>
      </c>
      <c r="E101" s="2021" t="s">
        <v>2803</v>
      </c>
      <c r="F101" s="2043"/>
      <c r="G101" s="662">
        <f t="shared" si="3"/>
        <v>0</v>
      </c>
      <c r="H101" s="2036"/>
      <c r="I101" s="3322"/>
      <c r="J101" s="2036"/>
      <c r="K101" s="3322"/>
      <c r="L101" s="2036"/>
      <c r="M101" s="3322"/>
      <c r="N101" s="2036"/>
      <c r="O101" s="3322"/>
      <c r="P101" s="2036"/>
      <c r="Q101" s="3322"/>
      <c r="R101" s="2036"/>
      <c r="S101" s="3322"/>
    </row>
    <row r="102" spans="1:19">
      <c r="A102" s="2037"/>
      <c r="B102" s="3330" t="s">
        <v>6874</v>
      </c>
      <c r="C102" s="2019"/>
      <c r="D102" s="2020">
        <v>1</v>
      </c>
      <c r="E102" s="2021" t="s">
        <v>2803</v>
      </c>
      <c r="F102" s="2043"/>
      <c r="G102" s="662">
        <f t="shared" si="3"/>
        <v>0</v>
      </c>
      <c r="H102" s="2036"/>
      <c r="I102" s="3322"/>
      <c r="J102" s="2036"/>
      <c r="K102" s="3322"/>
      <c r="L102" s="2036"/>
      <c r="M102" s="3322"/>
      <c r="N102" s="2036"/>
      <c r="O102" s="3322"/>
      <c r="P102" s="2036"/>
      <c r="Q102" s="3322"/>
      <c r="R102" s="2036"/>
      <c r="S102" s="3322"/>
    </row>
    <row r="103" spans="1:19">
      <c r="A103" s="2037"/>
      <c r="B103" s="3328" t="s">
        <v>6875</v>
      </c>
      <c r="C103" s="2019"/>
      <c r="D103" s="2020"/>
      <c r="E103" s="2021"/>
      <c r="F103" s="2043"/>
      <c r="G103" s="662">
        <f t="shared" si="3"/>
        <v>0</v>
      </c>
      <c r="H103" s="2036"/>
      <c r="I103" s="3322"/>
      <c r="J103" s="2036"/>
      <c r="K103" s="3322">
        <v>6023.46</v>
      </c>
      <c r="L103" s="2036"/>
      <c r="M103" s="3322"/>
      <c r="N103" s="2036"/>
      <c r="O103" s="3322"/>
      <c r="P103" s="2036"/>
      <c r="Q103" s="3322"/>
      <c r="R103" s="2036"/>
      <c r="S103" s="3322"/>
    </row>
    <row r="104" spans="1:19">
      <c r="A104" s="2037"/>
      <c r="B104" s="3332" t="s">
        <v>6876</v>
      </c>
      <c r="C104" s="2019"/>
      <c r="D104" s="2020">
        <v>1</v>
      </c>
      <c r="E104" s="2021" t="s">
        <v>2803</v>
      </c>
      <c r="F104" s="2043"/>
      <c r="G104" s="662">
        <f t="shared" si="3"/>
        <v>0</v>
      </c>
      <c r="H104" s="2036"/>
      <c r="I104" s="3322"/>
      <c r="J104" s="2036"/>
      <c r="K104" s="3322"/>
      <c r="L104" s="2036"/>
      <c r="M104" s="3322"/>
      <c r="N104" s="2036"/>
      <c r="O104" s="3322"/>
      <c r="P104" s="2036"/>
      <c r="Q104" s="3322"/>
      <c r="R104" s="2036"/>
      <c r="S104" s="3322"/>
    </row>
    <row r="105" spans="1:19">
      <c r="A105" s="2037"/>
      <c r="B105" s="3334" t="s">
        <v>6843</v>
      </c>
      <c r="C105" s="2019"/>
      <c r="D105" s="2020">
        <v>1</v>
      </c>
      <c r="E105" s="2021" t="s">
        <v>2803</v>
      </c>
      <c r="F105" s="2043"/>
      <c r="G105" s="662">
        <f t="shared" si="3"/>
        <v>0</v>
      </c>
      <c r="H105" s="2036"/>
      <c r="I105" s="3322"/>
      <c r="J105" s="2036"/>
      <c r="K105" s="3322"/>
      <c r="L105" s="2036"/>
      <c r="M105" s="3322"/>
      <c r="N105" s="2036"/>
      <c r="O105" s="3322"/>
      <c r="P105" s="2036"/>
      <c r="Q105" s="3322"/>
      <c r="R105" s="2036"/>
      <c r="S105" s="3322"/>
    </row>
    <row r="106" spans="1:19">
      <c r="A106" s="2037"/>
      <c r="B106" s="3330" t="s">
        <v>6844</v>
      </c>
      <c r="C106" s="2019"/>
      <c r="D106" s="2020">
        <v>1</v>
      </c>
      <c r="E106" s="2021" t="s">
        <v>2803</v>
      </c>
      <c r="F106" s="2043"/>
      <c r="G106" s="662">
        <f t="shared" si="3"/>
        <v>0</v>
      </c>
      <c r="H106" s="2036"/>
      <c r="I106" s="3322"/>
      <c r="J106" s="2036"/>
      <c r="K106" s="3322"/>
      <c r="L106" s="2036"/>
      <c r="M106" s="3322"/>
      <c r="N106" s="2036"/>
      <c r="O106" s="3322"/>
      <c r="P106" s="2036"/>
      <c r="Q106" s="3322"/>
      <c r="R106" s="2036"/>
      <c r="S106" s="3322"/>
    </row>
    <row r="107" spans="1:19">
      <c r="A107" s="2037"/>
      <c r="B107" s="3330" t="s">
        <v>6854</v>
      </c>
      <c r="C107" s="2019"/>
      <c r="D107" s="2020">
        <v>3</v>
      </c>
      <c r="E107" s="2021" t="s">
        <v>2803</v>
      </c>
      <c r="F107" s="2043"/>
      <c r="G107" s="662">
        <f t="shared" si="3"/>
        <v>0</v>
      </c>
      <c r="H107" s="2036"/>
      <c r="I107" s="3322"/>
      <c r="J107" s="2036"/>
      <c r="K107" s="3322"/>
      <c r="L107" s="2036"/>
      <c r="M107" s="3322"/>
      <c r="N107" s="2036"/>
      <c r="O107" s="3322"/>
      <c r="P107" s="2036"/>
      <c r="Q107" s="3322"/>
      <c r="R107" s="2036"/>
      <c r="S107" s="3322"/>
    </row>
    <row r="108" spans="1:19">
      <c r="A108" s="2037"/>
      <c r="B108" s="3330" t="s">
        <v>6869</v>
      </c>
      <c r="C108" s="2019"/>
      <c r="D108" s="2020">
        <v>1</v>
      </c>
      <c r="E108" s="2021" t="s">
        <v>2803</v>
      </c>
      <c r="F108" s="2043"/>
      <c r="G108" s="662">
        <f t="shared" si="3"/>
        <v>0</v>
      </c>
      <c r="H108" s="2036"/>
      <c r="I108" s="3322"/>
      <c r="J108" s="2036"/>
      <c r="K108" s="3322"/>
      <c r="L108" s="2036"/>
      <c r="M108" s="3322"/>
      <c r="N108" s="2036"/>
      <c r="O108" s="3322"/>
      <c r="P108" s="2036"/>
      <c r="Q108" s="3322"/>
      <c r="R108" s="2036"/>
      <c r="S108" s="3322"/>
    </row>
    <row r="109" spans="1:19">
      <c r="A109" s="2037"/>
      <c r="B109" s="3331" t="s">
        <v>6877</v>
      </c>
      <c r="C109" s="2019"/>
      <c r="D109" s="2020"/>
      <c r="E109" s="2021"/>
      <c r="F109" s="2043"/>
      <c r="G109" s="662">
        <f t="shared" si="3"/>
        <v>0</v>
      </c>
      <c r="H109" s="2036"/>
      <c r="I109" s="3322">
        <v>39870.28</v>
      </c>
      <c r="J109" s="2036"/>
      <c r="K109" s="3322">
        <v>20940.03</v>
      </c>
      <c r="L109" s="2036"/>
      <c r="M109" s="3322">
        <v>32401.7</v>
      </c>
      <c r="N109" s="2036"/>
      <c r="O109" s="3322"/>
      <c r="P109" s="2036"/>
      <c r="Q109" s="3322"/>
      <c r="R109" s="2036"/>
      <c r="S109" s="3322"/>
    </row>
    <row r="110" spans="1:19">
      <c r="A110" s="2037"/>
      <c r="B110" s="3330" t="s">
        <v>6878</v>
      </c>
      <c r="C110" s="2019"/>
      <c r="D110" s="2020">
        <v>4</v>
      </c>
      <c r="E110" s="2021" t="s">
        <v>2803</v>
      </c>
      <c r="F110" s="2043"/>
      <c r="G110" s="662">
        <f t="shared" si="3"/>
        <v>0</v>
      </c>
      <c r="H110" s="2036"/>
      <c r="I110" s="3322"/>
      <c r="J110" s="2036"/>
      <c r="K110" s="3322"/>
      <c r="L110" s="2036"/>
      <c r="M110" s="3322"/>
      <c r="N110" s="2036"/>
      <c r="O110" s="3322"/>
      <c r="P110" s="2036"/>
      <c r="Q110" s="3322"/>
      <c r="R110" s="2036"/>
      <c r="S110" s="3322"/>
    </row>
    <row r="111" spans="1:19">
      <c r="A111" s="2037"/>
      <c r="B111" s="3330" t="s">
        <v>6879</v>
      </c>
      <c r="C111" s="2019"/>
      <c r="D111" s="2020">
        <v>4</v>
      </c>
      <c r="E111" s="2021" t="s">
        <v>2803</v>
      </c>
      <c r="F111" s="2043"/>
      <c r="G111" s="662">
        <f t="shared" si="3"/>
        <v>0</v>
      </c>
      <c r="H111" s="2036"/>
      <c r="I111" s="3322"/>
      <c r="J111" s="2036"/>
      <c r="K111" s="3322"/>
      <c r="L111" s="2036"/>
      <c r="M111" s="3322"/>
      <c r="N111" s="2036"/>
      <c r="O111" s="3322"/>
      <c r="P111" s="2036"/>
      <c r="Q111" s="3322"/>
      <c r="R111" s="2036"/>
      <c r="S111" s="3322"/>
    </row>
    <row r="112" spans="1:19">
      <c r="A112" s="2037"/>
      <c r="B112" s="3330" t="s">
        <v>6880</v>
      </c>
      <c r="C112" s="2019"/>
      <c r="D112" s="2020">
        <v>12</v>
      </c>
      <c r="E112" s="2021" t="s">
        <v>2803</v>
      </c>
      <c r="F112" s="2043"/>
      <c r="G112" s="662">
        <f t="shared" si="3"/>
        <v>0</v>
      </c>
      <c r="H112" s="2036"/>
      <c r="I112" s="3322"/>
      <c r="J112" s="2036"/>
      <c r="K112" s="3322"/>
      <c r="L112" s="2036"/>
      <c r="M112" s="3322"/>
      <c r="N112" s="2036"/>
      <c r="O112" s="3322"/>
      <c r="P112" s="2036"/>
      <c r="Q112" s="3322"/>
      <c r="R112" s="2036"/>
      <c r="S112" s="3322"/>
    </row>
    <row r="113" spans="1:19">
      <c r="A113" s="2037"/>
      <c r="B113" s="3328" t="s">
        <v>3113</v>
      </c>
      <c r="C113" s="2019"/>
      <c r="D113" s="2020"/>
      <c r="E113" s="2021"/>
      <c r="F113" s="2043"/>
      <c r="G113" s="662">
        <f t="shared" si="3"/>
        <v>0</v>
      </c>
      <c r="H113" s="2036"/>
      <c r="I113" s="3322">
        <v>312003.71000000002</v>
      </c>
      <c r="J113" s="2036"/>
      <c r="K113" s="3322"/>
      <c r="L113" s="2036"/>
      <c r="M113" s="3322">
        <v>253558.48</v>
      </c>
      <c r="N113" s="2036"/>
      <c r="O113" s="3322"/>
      <c r="P113" s="2036"/>
      <c r="Q113" s="3322"/>
      <c r="R113" s="2036"/>
      <c r="S113" s="3322"/>
    </row>
    <row r="114" spans="1:19">
      <c r="A114" s="2037"/>
      <c r="B114" s="3328" t="s">
        <v>6812</v>
      </c>
      <c r="C114" s="2019"/>
      <c r="D114" s="2020"/>
      <c r="E114" s="2021"/>
      <c r="F114" s="2043"/>
      <c r="G114" s="662">
        <f t="shared" si="3"/>
        <v>0</v>
      </c>
      <c r="H114" s="2036"/>
      <c r="I114" s="3322"/>
      <c r="J114" s="2036"/>
      <c r="K114" s="3322">
        <v>31796</v>
      </c>
      <c r="L114" s="2036"/>
      <c r="M114" s="3322"/>
      <c r="N114" s="2036"/>
      <c r="O114" s="3322"/>
      <c r="P114" s="2036"/>
      <c r="Q114" s="3322"/>
      <c r="R114" s="2036"/>
      <c r="S114" s="3322"/>
    </row>
    <row r="115" spans="1:19">
      <c r="A115" s="2037"/>
      <c r="B115" s="3330" t="s">
        <v>6856</v>
      </c>
      <c r="C115" s="2019"/>
      <c r="D115" s="2020">
        <v>1</v>
      </c>
      <c r="E115" s="2021" t="s">
        <v>2803</v>
      </c>
      <c r="F115" s="2043"/>
      <c r="G115" s="662">
        <f t="shared" si="3"/>
        <v>0</v>
      </c>
      <c r="H115" s="2036"/>
      <c r="I115" s="3322"/>
      <c r="J115" s="2036"/>
      <c r="K115" s="3322"/>
      <c r="L115" s="2036"/>
      <c r="M115" s="3322"/>
      <c r="N115" s="2036"/>
      <c r="O115" s="3322"/>
      <c r="P115" s="2036"/>
      <c r="Q115" s="3322"/>
      <c r="R115" s="2036"/>
      <c r="S115" s="3322"/>
    </row>
    <row r="116" spans="1:19">
      <c r="A116" s="2037"/>
      <c r="B116" s="3330" t="s">
        <v>6857</v>
      </c>
      <c r="C116" s="2019"/>
      <c r="D116" s="2020">
        <v>1</v>
      </c>
      <c r="E116" s="2021" t="s">
        <v>2803</v>
      </c>
      <c r="F116" s="2043"/>
      <c r="G116" s="662">
        <f t="shared" si="3"/>
        <v>0</v>
      </c>
      <c r="H116" s="2036"/>
      <c r="I116" s="3322"/>
      <c r="J116" s="2036"/>
      <c r="K116" s="3322"/>
      <c r="L116" s="2036"/>
      <c r="M116" s="3322"/>
      <c r="N116" s="2036"/>
      <c r="O116" s="3322"/>
      <c r="P116" s="2036"/>
      <c r="Q116" s="3322"/>
      <c r="R116" s="2036"/>
      <c r="S116" s="3322"/>
    </row>
    <row r="117" spans="1:19">
      <c r="A117" s="2037"/>
      <c r="B117" s="3330" t="s">
        <v>6858</v>
      </c>
      <c r="C117" s="2019"/>
      <c r="D117" s="2020">
        <v>1</v>
      </c>
      <c r="E117" s="2021" t="s">
        <v>2803</v>
      </c>
      <c r="F117" s="2043"/>
      <c r="G117" s="662">
        <f t="shared" si="3"/>
        <v>0</v>
      </c>
      <c r="H117" s="2036"/>
      <c r="I117" s="3322"/>
      <c r="J117" s="2036"/>
      <c r="K117" s="3322"/>
      <c r="L117" s="2036"/>
      <c r="M117" s="3322"/>
      <c r="N117" s="2036"/>
      <c r="O117" s="3322"/>
      <c r="P117" s="2036"/>
      <c r="Q117" s="3322"/>
      <c r="R117" s="2036"/>
      <c r="S117" s="3322"/>
    </row>
    <row r="118" spans="1:19">
      <c r="A118" s="2037"/>
      <c r="B118" s="3330" t="s">
        <v>6859</v>
      </c>
      <c r="C118" s="2019"/>
      <c r="D118" s="2020">
        <v>1</v>
      </c>
      <c r="E118" s="2021" t="s">
        <v>2803</v>
      </c>
      <c r="F118" s="2043"/>
      <c r="G118" s="662">
        <f t="shared" si="3"/>
        <v>0</v>
      </c>
      <c r="H118" s="2036"/>
      <c r="I118" s="3322"/>
      <c r="J118" s="2036"/>
      <c r="K118" s="3322"/>
      <c r="L118" s="2036"/>
      <c r="M118" s="3322"/>
      <c r="N118" s="2036"/>
      <c r="O118" s="3322"/>
      <c r="P118" s="2036"/>
      <c r="Q118" s="3322"/>
      <c r="R118" s="2036"/>
      <c r="S118" s="3322"/>
    </row>
    <row r="119" spans="1:19">
      <c r="A119" s="2037"/>
      <c r="B119" s="3330" t="s">
        <v>6860</v>
      </c>
      <c r="C119" s="2019"/>
      <c r="D119" s="2020">
        <v>1</v>
      </c>
      <c r="E119" s="2021" t="s">
        <v>2803</v>
      </c>
      <c r="F119" s="2043"/>
      <c r="G119" s="662">
        <f t="shared" si="3"/>
        <v>0</v>
      </c>
      <c r="H119" s="2036"/>
      <c r="I119" s="3322"/>
      <c r="J119" s="2036"/>
      <c r="K119" s="3322"/>
      <c r="L119" s="2036"/>
      <c r="M119" s="3322"/>
      <c r="N119" s="2036"/>
      <c r="O119" s="3322"/>
      <c r="P119" s="2036"/>
      <c r="Q119" s="3322"/>
      <c r="R119" s="2036"/>
      <c r="S119" s="3322"/>
    </row>
    <row r="120" spans="1:19">
      <c r="A120" s="2037"/>
      <c r="B120" s="3330" t="s">
        <v>6861</v>
      </c>
      <c r="C120" s="2019"/>
      <c r="D120" s="2020">
        <v>1</v>
      </c>
      <c r="E120" s="2021" t="s">
        <v>2803</v>
      </c>
      <c r="F120" s="2043"/>
      <c r="G120" s="662">
        <f t="shared" si="3"/>
        <v>0</v>
      </c>
      <c r="H120" s="2036"/>
      <c r="I120" s="3322"/>
      <c r="J120" s="2036"/>
      <c r="K120" s="3322"/>
      <c r="L120" s="2036"/>
      <c r="M120" s="3322"/>
      <c r="N120" s="2036"/>
      <c r="O120" s="3322"/>
      <c r="P120" s="2036"/>
      <c r="Q120" s="3322"/>
      <c r="R120" s="2036"/>
      <c r="S120" s="3322"/>
    </row>
    <row r="121" spans="1:19">
      <c r="A121" s="2037"/>
      <c r="B121" s="3330" t="s">
        <v>6881</v>
      </c>
      <c r="C121" s="2019"/>
      <c r="D121" s="2020">
        <v>37</v>
      </c>
      <c r="E121" s="2021" t="s">
        <v>2803</v>
      </c>
      <c r="F121" s="2043"/>
      <c r="G121" s="662">
        <f t="shared" si="3"/>
        <v>0</v>
      </c>
      <c r="H121" s="2036"/>
      <c r="I121" s="3322"/>
      <c r="J121" s="2036"/>
      <c r="K121" s="3322"/>
      <c r="L121" s="2036"/>
      <c r="M121" s="3322"/>
      <c r="N121" s="2036"/>
      <c r="O121" s="3322"/>
      <c r="P121" s="2036"/>
      <c r="Q121" s="3322"/>
      <c r="R121" s="2036"/>
      <c r="S121" s="3322"/>
    </row>
    <row r="122" spans="1:19">
      <c r="A122" s="2037"/>
      <c r="B122" s="3330" t="s">
        <v>6882</v>
      </c>
      <c r="C122" s="2019"/>
      <c r="D122" s="2020">
        <v>13</v>
      </c>
      <c r="E122" s="2021" t="s">
        <v>2803</v>
      </c>
      <c r="F122" s="2043"/>
      <c r="G122" s="662">
        <f t="shared" si="3"/>
        <v>0</v>
      </c>
      <c r="H122" s="2036"/>
      <c r="I122" s="3322"/>
      <c r="J122" s="2036"/>
      <c r="K122" s="3322"/>
      <c r="L122" s="2036"/>
      <c r="M122" s="3322"/>
      <c r="N122" s="2036"/>
      <c r="O122" s="3322"/>
      <c r="P122" s="2036"/>
      <c r="Q122" s="3322"/>
      <c r="R122" s="2036"/>
      <c r="S122" s="3322"/>
    </row>
    <row r="123" spans="1:19">
      <c r="A123" s="2037"/>
      <c r="B123" s="3328" t="s">
        <v>3864</v>
      </c>
      <c r="C123" s="2019"/>
      <c r="D123" s="2020"/>
      <c r="E123" s="2021"/>
      <c r="F123" s="2043"/>
      <c r="G123" s="662">
        <f t="shared" si="3"/>
        <v>0</v>
      </c>
      <c r="H123" s="2036"/>
      <c r="I123" s="3322"/>
      <c r="J123" s="2036"/>
      <c r="K123" s="3322">
        <v>11242.44</v>
      </c>
      <c r="L123" s="2036"/>
      <c r="M123" s="3322"/>
      <c r="N123" s="2036"/>
      <c r="O123" s="3322"/>
      <c r="P123" s="2036"/>
      <c r="Q123" s="3322"/>
      <c r="R123" s="2036"/>
      <c r="S123" s="3322"/>
    </row>
    <row r="124" spans="1:19">
      <c r="A124" s="2037"/>
      <c r="B124" s="3330" t="s">
        <v>6883</v>
      </c>
      <c r="C124" s="2019"/>
      <c r="D124" s="3310">
        <v>1</v>
      </c>
      <c r="E124" s="2021" t="s">
        <v>2803</v>
      </c>
      <c r="F124" s="2043"/>
      <c r="G124" s="662">
        <f t="shared" si="3"/>
        <v>0</v>
      </c>
      <c r="H124" s="2036"/>
      <c r="I124" s="3322"/>
      <c r="J124" s="2036"/>
      <c r="K124" s="3322"/>
      <c r="L124" s="2036"/>
      <c r="M124" s="3322"/>
      <c r="N124" s="2036"/>
      <c r="O124" s="3322"/>
      <c r="P124" s="2036"/>
      <c r="Q124" s="3322"/>
      <c r="R124" s="2036"/>
      <c r="S124" s="3322"/>
    </row>
    <row r="125" spans="1:19">
      <c r="A125" s="2037"/>
      <c r="B125" s="3330" t="s">
        <v>6843</v>
      </c>
      <c r="C125" s="2019"/>
      <c r="D125" s="3310">
        <v>1</v>
      </c>
      <c r="E125" s="2021" t="s">
        <v>2803</v>
      </c>
      <c r="F125" s="2043"/>
      <c r="G125" s="662">
        <f t="shared" si="3"/>
        <v>0</v>
      </c>
      <c r="H125" s="2036"/>
      <c r="I125" s="3322"/>
      <c r="J125" s="2036"/>
      <c r="K125" s="3322"/>
      <c r="L125" s="2036"/>
      <c r="M125" s="3322"/>
      <c r="N125" s="2036"/>
      <c r="O125" s="3322"/>
      <c r="P125" s="2036"/>
      <c r="Q125" s="3322"/>
      <c r="R125" s="2036"/>
      <c r="S125" s="3322"/>
    </row>
    <row r="126" spans="1:19">
      <c r="A126" s="2037"/>
      <c r="B126" s="3330" t="s">
        <v>6844</v>
      </c>
      <c r="C126" s="2019"/>
      <c r="D126" s="3310">
        <v>1</v>
      </c>
      <c r="E126" s="2021" t="s">
        <v>2803</v>
      </c>
      <c r="F126" s="2043"/>
      <c r="G126" s="662">
        <f t="shared" si="3"/>
        <v>0</v>
      </c>
      <c r="H126" s="2036"/>
      <c r="I126" s="3322"/>
      <c r="J126" s="2036"/>
      <c r="K126" s="3322"/>
      <c r="L126" s="2036"/>
      <c r="M126" s="3322"/>
      <c r="N126" s="2036"/>
      <c r="O126" s="3322"/>
      <c r="P126" s="2036"/>
      <c r="Q126" s="3322"/>
      <c r="R126" s="2036"/>
      <c r="S126" s="3322"/>
    </row>
    <row r="127" spans="1:19">
      <c r="A127" s="2037"/>
      <c r="B127" s="3330" t="s">
        <v>6854</v>
      </c>
      <c r="C127" s="2019"/>
      <c r="D127" s="3335">
        <v>4</v>
      </c>
      <c r="E127" s="2021" t="s">
        <v>2803</v>
      </c>
      <c r="F127" s="2043"/>
      <c r="G127" s="662">
        <f t="shared" si="3"/>
        <v>0</v>
      </c>
      <c r="H127" s="2036"/>
      <c r="I127" s="3322"/>
      <c r="J127" s="2036"/>
      <c r="K127" s="3322"/>
      <c r="L127" s="2036"/>
      <c r="M127" s="3322"/>
      <c r="N127" s="2036"/>
      <c r="O127" s="3322"/>
      <c r="P127" s="2036"/>
      <c r="Q127" s="3322"/>
      <c r="R127" s="2036"/>
      <c r="S127" s="3322"/>
    </row>
    <row r="128" spans="1:19">
      <c r="A128" s="2037"/>
      <c r="B128" s="3330" t="s">
        <v>6853</v>
      </c>
      <c r="C128" s="2019"/>
      <c r="D128" s="3310">
        <v>1</v>
      </c>
      <c r="E128" s="2021" t="s">
        <v>2803</v>
      </c>
      <c r="F128" s="2043"/>
      <c r="G128" s="662">
        <f t="shared" si="3"/>
        <v>0</v>
      </c>
      <c r="H128" s="2036"/>
      <c r="I128" s="3322"/>
      <c r="J128" s="2036"/>
      <c r="K128" s="3322"/>
      <c r="L128" s="2036"/>
      <c r="M128" s="3322"/>
      <c r="N128" s="2036"/>
      <c r="O128" s="3322"/>
      <c r="P128" s="2036"/>
      <c r="Q128" s="3322"/>
      <c r="R128" s="2036"/>
      <c r="S128" s="3322"/>
    </row>
    <row r="129" spans="1:19">
      <c r="A129" s="2037"/>
      <c r="B129" s="3330" t="s">
        <v>6869</v>
      </c>
      <c r="C129" s="2019"/>
      <c r="D129" s="3310">
        <v>1</v>
      </c>
      <c r="E129" s="2021" t="s">
        <v>2803</v>
      </c>
      <c r="F129" s="2043"/>
      <c r="G129" s="662">
        <f t="shared" si="3"/>
        <v>0</v>
      </c>
      <c r="H129" s="2036"/>
      <c r="I129" s="3322"/>
      <c r="J129" s="2036"/>
      <c r="K129" s="3322"/>
      <c r="L129" s="2036"/>
      <c r="M129" s="3322"/>
      <c r="N129" s="2036"/>
      <c r="O129" s="3322"/>
      <c r="P129" s="2036"/>
      <c r="Q129" s="3322"/>
      <c r="R129" s="2036"/>
      <c r="S129" s="3322"/>
    </row>
    <row r="130" spans="1:19">
      <c r="A130" s="2037"/>
      <c r="B130" s="3330" t="s">
        <v>6874</v>
      </c>
      <c r="C130" s="2019"/>
      <c r="D130" s="3310">
        <v>1</v>
      </c>
      <c r="E130" s="2021" t="s">
        <v>2803</v>
      </c>
      <c r="F130" s="2043"/>
      <c r="G130" s="662">
        <f t="shared" si="3"/>
        <v>0</v>
      </c>
      <c r="H130" s="2036"/>
      <c r="I130" s="3322"/>
      <c r="J130" s="2036"/>
      <c r="K130" s="3322"/>
      <c r="L130" s="2036"/>
      <c r="M130" s="3322"/>
      <c r="N130" s="2036"/>
      <c r="O130" s="3322"/>
      <c r="P130" s="2036"/>
      <c r="Q130" s="3322"/>
      <c r="R130" s="2036"/>
      <c r="S130" s="3322"/>
    </row>
    <row r="131" spans="1:19">
      <c r="A131" s="2037"/>
      <c r="B131" s="3330" t="s">
        <v>6847</v>
      </c>
      <c r="C131" s="2019"/>
      <c r="D131" s="3310">
        <v>1</v>
      </c>
      <c r="E131" s="2021" t="s">
        <v>2803</v>
      </c>
      <c r="F131" s="2043"/>
      <c r="G131" s="662">
        <f t="shared" si="3"/>
        <v>0</v>
      </c>
      <c r="H131" s="2036"/>
      <c r="I131" s="3322"/>
      <c r="J131" s="2036"/>
      <c r="K131" s="3322"/>
      <c r="L131" s="2036"/>
      <c r="M131" s="3322"/>
      <c r="N131" s="2036"/>
      <c r="O131" s="3322"/>
      <c r="P131" s="2036"/>
      <c r="Q131" s="3322"/>
      <c r="R131" s="2036"/>
      <c r="S131" s="3322"/>
    </row>
    <row r="132" spans="1:19">
      <c r="A132" s="2037"/>
      <c r="B132" s="3331" t="s">
        <v>3937</v>
      </c>
      <c r="C132" s="2019"/>
      <c r="D132" s="3310"/>
      <c r="E132" s="2021"/>
      <c r="F132" s="2043"/>
      <c r="G132" s="662">
        <f t="shared" si="3"/>
        <v>0</v>
      </c>
      <c r="H132" s="2036"/>
      <c r="I132" s="3322"/>
      <c r="J132" s="2036"/>
      <c r="K132" s="3322">
        <v>9952.1</v>
      </c>
      <c r="L132" s="2036"/>
      <c r="M132" s="3322"/>
      <c r="N132" s="2036"/>
      <c r="O132" s="3322"/>
      <c r="P132" s="2036"/>
      <c r="Q132" s="3322"/>
      <c r="R132" s="2036"/>
      <c r="S132" s="3322"/>
    </row>
    <row r="133" spans="1:19">
      <c r="A133" s="2037"/>
      <c r="B133" s="3330" t="s">
        <v>6876</v>
      </c>
      <c r="C133" s="2019"/>
      <c r="D133" s="3310">
        <v>2</v>
      </c>
      <c r="E133" s="2021" t="s">
        <v>2803</v>
      </c>
      <c r="F133" s="2043"/>
      <c r="G133" s="662">
        <f t="shared" si="3"/>
        <v>0</v>
      </c>
      <c r="H133" s="2036"/>
      <c r="I133" s="3322"/>
      <c r="J133" s="2036"/>
      <c r="K133" s="3322"/>
      <c r="L133" s="2036"/>
      <c r="M133" s="3322"/>
      <c r="N133" s="2036"/>
      <c r="O133" s="3322"/>
      <c r="P133" s="2036"/>
      <c r="Q133" s="3322"/>
      <c r="R133" s="2036"/>
      <c r="S133" s="3322"/>
    </row>
    <row r="134" spans="1:19">
      <c r="A134" s="2037"/>
      <c r="B134" s="3330" t="s">
        <v>6843</v>
      </c>
      <c r="C134" s="2019"/>
      <c r="D134" s="3310">
        <v>2</v>
      </c>
      <c r="E134" s="2021" t="s">
        <v>2803</v>
      </c>
      <c r="F134" s="2043"/>
      <c r="G134" s="662">
        <f t="shared" si="3"/>
        <v>0</v>
      </c>
      <c r="H134" s="2036"/>
      <c r="I134" s="3322"/>
      <c r="J134" s="2036"/>
      <c r="K134" s="3322"/>
      <c r="L134" s="2036"/>
      <c r="M134" s="3322"/>
      <c r="N134" s="2036"/>
      <c r="O134" s="3322"/>
      <c r="P134" s="2036"/>
      <c r="Q134" s="3322"/>
      <c r="R134" s="2036"/>
      <c r="S134" s="3322"/>
    </row>
    <row r="135" spans="1:19">
      <c r="A135" s="2037"/>
      <c r="B135" s="3330" t="s">
        <v>6844</v>
      </c>
      <c r="C135" s="2019"/>
      <c r="D135" s="3310">
        <v>2</v>
      </c>
      <c r="E135" s="2021" t="s">
        <v>2803</v>
      </c>
      <c r="F135" s="2043"/>
      <c r="G135" s="662">
        <f t="shared" si="3"/>
        <v>0</v>
      </c>
      <c r="H135" s="2036"/>
      <c r="I135" s="3322"/>
      <c r="J135" s="2036"/>
      <c r="K135" s="3322"/>
      <c r="L135" s="2036"/>
      <c r="M135" s="3322"/>
      <c r="N135" s="2036"/>
      <c r="O135" s="3322"/>
      <c r="P135" s="2036"/>
      <c r="Q135" s="3322"/>
      <c r="R135" s="2036"/>
      <c r="S135" s="3322"/>
    </row>
    <row r="136" spans="1:19">
      <c r="A136" s="2037"/>
      <c r="B136" s="3330" t="s">
        <v>6854</v>
      </c>
      <c r="C136" s="2019"/>
      <c r="D136" s="3310">
        <v>1</v>
      </c>
      <c r="E136" s="2021" t="s">
        <v>2803</v>
      </c>
      <c r="F136" s="2043"/>
      <c r="G136" s="662">
        <f t="shared" si="3"/>
        <v>0</v>
      </c>
      <c r="H136" s="2036"/>
      <c r="I136" s="3322"/>
      <c r="J136" s="2036"/>
      <c r="K136" s="3322"/>
      <c r="L136" s="2036"/>
      <c r="M136" s="3322"/>
      <c r="N136" s="2036"/>
      <c r="O136" s="3322"/>
      <c r="P136" s="2036"/>
      <c r="Q136" s="3322"/>
      <c r="R136" s="2036"/>
      <c r="S136" s="3322"/>
    </row>
    <row r="137" spans="1:19">
      <c r="A137" s="2037"/>
      <c r="B137" s="3330" t="s">
        <v>6853</v>
      </c>
      <c r="C137" s="2019"/>
      <c r="D137" s="3310">
        <v>1</v>
      </c>
      <c r="E137" s="2021" t="s">
        <v>2803</v>
      </c>
      <c r="F137" s="2043"/>
      <c r="G137" s="662">
        <f t="shared" si="3"/>
        <v>0</v>
      </c>
      <c r="H137" s="2036"/>
      <c r="I137" s="3322"/>
      <c r="J137" s="2036"/>
      <c r="K137" s="3322"/>
      <c r="L137" s="2036"/>
      <c r="M137" s="3322"/>
      <c r="N137" s="2036"/>
      <c r="O137" s="3322"/>
      <c r="P137" s="2036"/>
      <c r="Q137" s="3322"/>
      <c r="R137" s="2036"/>
      <c r="S137" s="3322"/>
    </row>
    <row r="138" spans="1:19">
      <c r="A138" s="2037"/>
      <c r="B138" s="3330" t="s">
        <v>6869</v>
      </c>
      <c r="C138" s="2019"/>
      <c r="D138" s="3310">
        <v>1</v>
      </c>
      <c r="E138" s="2021" t="s">
        <v>2803</v>
      </c>
      <c r="F138" s="2043"/>
      <c r="G138" s="662">
        <f t="shared" si="3"/>
        <v>0</v>
      </c>
      <c r="H138" s="2036"/>
      <c r="I138" s="3322"/>
      <c r="J138" s="2036"/>
      <c r="K138" s="3322"/>
      <c r="L138" s="2036"/>
      <c r="M138" s="3322"/>
      <c r="N138" s="2036"/>
      <c r="O138" s="3322"/>
      <c r="P138" s="2036"/>
      <c r="Q138" s="3322"/>
      <c r="R138" s="2036"/>
      <c r="S138" s="3322"/>
    </row>
    <row r="139" spans="1:19">
      <c r="A139" s="2037"/>
      <c r="B139" s="3331" t="s">
        <v>3908</v>
      </c>
      <c r="C139" s="2019"/>
      <c r="D139" s="3310"/>
      <c r="E139" s="2021"/>
      <c r="F139" s="2043"/>
      <c r="G139" s="662">
        <f t="shared" si="3"/>
        <v>0</v>
      </c>
      <c r="H139" s="2036"/>
      <c r="I139" s="3322"/>
      <c r="J139" s="2036"/>
      <c r="K139" s="3336">
        <v>17579.23</v>
      </c>
      <c r="L139" s="2036"/>
      <c r="M139" s="3322"/>
      <c r="N139" s="2036"/>
      <c r="O139" s="3322"/>
      <c r="P139" s="2036"/>
      <c r="Q139" s="3322"/>
      <c r="R139" s="2036"/>
      <c r="S139" s="3322"/>
    </row>
    <row r="140" spans="1:19">
      <c r="A140" s="2037"/>
      <c r="B140" s="3330" t="s">
        <v>6884</v>
      </c>
      <c r="C140" s="2019"/>
      <c r="D140" s="3310">
        <v>2</v>
      </c>
      <c r="E140" s="2021" t="s">
        <v>2803</v>
      </c>
      <c r="F140" s="2043"/>
      <c r="G140" s="662">
        <f t="shared" si="3"/>
        <v>0</v>
      </c>
      <c r="H140" s="2036"/>
      <c r="I140" s="3322"/>
      <c r="J140" s="2036"/>
      <c r="K140" s="3322"/>
      <c r="L140" s="2036"/>
      <c r="M140" s="3322"/>
      <c r="N140" s="2036"/>
      <c r="O140" s="3322"/>
      <c r="P140" s="2036"/>
      <c r="Q140" s="3322"/>
      <c r="R140" s="2036"/>
      <c r="S140" s="3322"/>
    </row>
    <row r="141" spans="1:19">
      <c r="A141" s="2037"/>
      <c r="B141" s="3330" t="s">
        <v>6843</v>
      </c>
      <c r="C141" s="2019"/>
      <c r="D141" s="3310">
        <v>2</v>
      </c>
      <c r="E141" s="2021" t="s">
        <v>2803</v>
      </c>
      <c r="F141" s="2043"/>
      <c r="G141" s="662">
        <f t="shared" si="3"/>
        <v>0</v>
      </c>
      <c r="H141" s="2036"/>
      <c r="I141" s="3322"/>
      <c r="J141" s="2036"/>
      <c r="K141" s="3322"/>
      <c r="L141" s="2036"/>
      <c r="M141" s="3322"/>
      <c r="N141" s="2036"/>
      <c r="O141" s="3322"/>
      <c r="P141" s="2036"/>
      <c r="Q141" s="3322"/>
      <c r="R141" s="2036"/>
      <c r="S141" s="3322"/>
    </row>
    <row r="142" spans="1:19">
      <c r="A142" s="2037"/>
      <c r="B142" s="3330" t="s">
        <v>6844</v>
      </c>
      <c r="C142" s="2019"/>
      <c r="D142" s="3310">
        <v>2</v>
      </c>
      <c r="E142" s="2021" t="s">
        <v>2803</v>
      </c>
      <c r="F142" s="2043"/>
      <c r="G142" s="662">
        <f t="shared" si="3"/>
        <v>0</v>
      </c>
      <c r="H142" s="2036"/>
      <c r="I142" s="3322"/>
      <c r="J142" s="2036"/>
      <c r="K142" s="3322"/>
      <c r="L142" s="2036"/>
      <c r="M142" s="3322"/>
      <c r="N142" s="2036"/>
      <c r="O142" s="3322"/>
      <c r="P142" s="2036"/>
      <c r="Q142" s="3322"/>
      <c r="R142" s="2036"/>
      <c r="S142" s="3322"/>
    </row>
    <row r="143" spans="1:19">
      <c r="A143" s="2037"/>
      <c r="B143" s="3330" t="s">
        <v>6885</v>
      </c>
      <c r="C143" s="2019"/>
      <c r="D143" s="3310">
        <v>2</v>
      </c>
      <c r="E143" s="2021" t="s">
        <v>2803</v>
      </c>
      <c r="F143" s="2043"/>
      <c r="G143" s="662">
        <f t="shared" si="3"/>
        <v>0</v>
      </c>
      <c r="H143" s="2036"/>
      <c r="I143" s="3322"/>
      <c r="J143" s="2036"/>
      <c r="K143" s="3322"/>
      <c r="L143" s="2036"/>
      <c r="M143" s="3322"/>
      <c r="N143" s="2036"/>
      <c r="O143" s="3322"/>
      <c r="P143" s="2036"/>
      <c r="Q143" s="3322"/>
      <c r="R143" s="2036"/>
      <c r="S143" s="3322"/>
    </row>
    <row r="144" spans="1:19">
      <c r="A144" s="2037"/>
      <c r="B144" s="3331" t="s">
        <v>6886</v>
      </c>
      <c r="C144" s="2019"/>
      <c r="D144" s="3310"/>
      <c r="E144" s="2021"/>
      <c r="F144" s="2043"/>
      <c r="G144" s="662">
        <f t="shared" si="3"/>
        <v>0</v>
      </c>
      <c r="H144" s="2036"/>
      <c r="I144" s="3322"/>
      <c r="J144" s="2036"/>
      <c r="K144" s="3322">
        <v>26443.23</v>
      </c>
      <c r="L144" s="2036"/>
      <c r="M144" s="3322"/>
      <c r="N144" s="2036"/>
      <c r="O144" s="3322"/>
      <c r="P144" s="2036"/>
      <c r="Q144" s="3322"/>
      <c r="R144" s="2036"/>
      <c r="S144" s="3322"/>
    </row>
    <row r="145" spans="1:19">
      <c r="A145" s="2037"/>
      <c r="B145" s="3330" t="s">
        <v>6876</v>
      </c>
      <c r="C145" s="2019"/>
      <c r="D145" s="3310">
        <v>9</v>
      </c>
      <c r="E145" s="2021" t="s">
        <v>2803</v>
      </c>
      <c r="F145" s="2043"/>
      <c r="G145" s="662">
        <f t="shared" si="3"/>
        <v>0</v>
      </c>
      <c r="H145" s="2036"/>
      <c r="I145" s="3322"/>
      <c r="J145" s="2036"/>
      <c r="K145" s="3322"/>
      <c r="L145" s="2036"/>
      <c r="M145" s="3322"/>
      <c r="N145" s="2036"/>
      <c r="O145" s="3322"/>
      <c r="P145" s="2036"/>
      <c r="Q145" s="3322"/>
      <c r="R145" s="2036"/>
      <c r="S145" s="3322"/>
    </row>
    <row r="146" spans="1:19">
      <c r="A146" s="2037"/>
      <c r="B146" s="3330" t="s">
        <v>6887</v>
      </c>
      <c r="C146" s="2019"/>
      <c r="D146" s="3310">
        <v>9</v>
      </c>
      <c r="E146" s="2021" t="s">
        <v>2803</v>
      </c>
      <c r="F146" s="2043"/>
      <c r="G146" s="662">
        <f t="shared" si="3"/>
        <v>0</v>
      </c>
      <c r="H146" s="2036"/>
      <c r="I146" s="3322"/>
      <c r="J146" s="2036"/>
      <c r="K146" s="3322"/>
      <c r="L146" s="2036"/>
      <c r="M146" s="3322"/>
      <c r="N146" s="2036"/>
      <c r="O146" s="3322"/>
      <c r="P146" s="2036"/>
      <c r="Q146" s="3322"/>
      <c r="R146" s="2036"/>
      <c r="S146" s="3322"/>
    </row>
    <row r="147" spans="1:19">
      <c r="A147" s="2037"/>
      <c r="B147" s="3330" t="s">
        <v>6844</v>
      </c>
      <c r="C147" s="2019"/>
      <c r="D147" s="3310">
        <v>9</v>
      </c>
      <c r="E147" s="2021" t="s">
        <v>2803</v>
      </c>
      <c r="F147" s="2043"/>
      <c r="G147" s="662">
        <f t="shared" si="3"/>
        <v>0</v>
      </c>
      <c r="H147" s="2036"/>
      <c r="I147" s="3322"/>
      <c r="J147" s="2036"/>
      <c r="K147" s="3322"/>
      <c r="L147" s="2036"/>
      <c r="M147" s="3322"/>
      <c r="N147" s="2036"/>
      <c r="O147" s="3322"/>
      <c r="P147" s="2036"/>
      <c r="Q147" s="3322"/>
      <c r="R147" s="2036"/>
      <c r="S147" s="3322"/>
    </row>
    <row r="148" spans="1:19">
      <c r="A148" s="2037"/>
      <c r="B148" s="3330" t="s">
        <v>6853</v>
      </c>
      <c r="C148" s="2019"/>
      <c r="D148" s="3310">
        <v>1</v>
      </c>
      <c r="E148" s="2021" t="s">
        <v>2803</v>
      </c>
      <c r="F148" s="2043"/>
      <c r="G148" s="662">
        <f t="shared" si="3"/>
        <v>0</v>
      </c>
      <c r="H148" s="2036"/>
      <c r="I148" s="3322"/>
      <c r="J148" s="2036"/>
      <c r="K148" s="3322"/>
      <c r="L148" s="2036"/>
      <c r="M148" s="3322"/>
      <c r="N148" s="2036"/>
      <c r="O148" s="3322"/>
      <c r="P148" s="2036"/>
      <c r="Q148" s="3322"/>
      <c r="R148" s="2036"/>
      <c r="S148" s="3322"/>
    </row>
    <row r="149" spans="1:19">
      <c r="A149" s="2037"/>
      <c r="B149" s="3330" t="s">
        <v>6854</v>
      </c>
      <c r="C149" s="2019"/>
      <c r="D149" s="3310">
        <v>6</v>
      </c>
      <c r="E149" s="2021" t="s">
        <v>2803</v>
      </c>
      <c r="F149" s="2043"/>
      <c r="G149" s="662">
        <f t="shared" si="3"/>
        <v>0</v>
      </c>
      <c r="H149" s="2036"/>
      <c r="I149" s="3322"/>
      <c r="J149" s="2036"/>
      <c r="K149" s="3322"/>
      <c r="L149" s="2036"/>
      <c r="M149" s="3322"/>
      <c r="N149" s="2036"/>
      <c r="O149" s="3322"/>
      <c r="P149" s="2036"/>
      <c r="Q149" s="3322"/>
      <c r="R149" s="2036"/>
      <c r="S149" s="3322"/>
    </row>
    <row r="150" spans="1:19">
      <c r="A150" s="2037"/>
      <c r="B150" s="3331" t="s">
        <v>6888</v>
      </c>
      <c r="C150" s="2019"/>
      <c r="D150" s="3310"/>
      <c r="E150" s="2021"/>
      <c r="F150" s="2043"/>
      <c r="G150" s="662">
        <f t="shared" si="3"/>
        <v>0</v>
      </c>
      <c r="H150" s="2036"/>
      <c r="I150" s="3322"/>
      <c r="J150" s="2036"/>
      <c r="K150" s="3322">
        <v>9896.77</v>
      </c>
      <c r="L150" s="2036"/>
      <c r="M150" s="3322"/>
      <c r="N150" s="2036"/>
      <c r="O150" s="3322"/>
      <c r="P150" s="2036"/>
      <c r="Q150" s="3322"/>
      <c r="R150" s="2036"/>
      <c r="S150" s="3322"/>
    </row>
    <row r="151" spans="1:19">
      <c r="A151" s="2037"/>
      <c r="B151" s="3330" t="s">
        <v>6842</v>
      </c>
      <c r="C151" s="2019"/>
      <c r="D151" s="3310">
        <v>2</v>
      </c>
      <c r="E151" s="2021" t="s">
        <v>2803</v>
      </c>
      <c r="F151" s="2043"/>
      <c r="G151" s="662">
        <f t="shared" si="3"/>
        <v>0</v>
      </c>
      <c r="H151" s="2036"/>
      <c r="I151" s="3322"/>
      <c r="J151" s="2036"/>
      <c r="K151" s="3322"/>
      <c r="L151" s="2036"/>
      <c r="M151" s="3322"/>
      <c r="N151" s="2036"/>
      <c r="O151" s="3322"/>
      <c r="P151" s="2036"/>
      <c r="Q151" s="3322"/>
      <c r="R151" s="2036"/>
      <c r="S151" s="3322"/>
    </row>
    <row r="152" spans="1:19">
      <c r="A152" s="2037"/>
      <c r="B152" s="3330" t="s">
        <v>6843</v>
      </c>
      <c r="C152" s="2019"/>
      <c r="D152" s="3310">
        <v>2</v>
      </c>
      <c r="E152" s="2021" t="s">
        <v>2803</v>
      </c>
      <c r="F152" s="2043"/>
      <c r="G152" s="662">
        <f t="shared" si="3"/>
        <v>0</v>
      </c>
      <c r="H152" s="2036"/>
      <c r="I152" s="3322"/>
      <c r="J152" s="2036"/>
      <c r="K152" s="3322"/>
      <c r="L152" s="2036"/>
      <c r="M152" s="3322"/>
      <c r="N152" s="2036"/>
      <c r="O152" s="3322"/>
      <c r="P152" s="2036"/>
      <c r="Q152" s="3322"/>
      <c r="R152" s="2036"/>
      <c r="S152" s="3322"/>
    </row>
    <row r="153" spans="1:19">
      <c r="A153" s="2037"/>
      <c r="B153" s="3330" t="s">
        <v>6844</v>
      </c>
      <c r="C153" s="2019"/>
      <c r="D153" s="3310">
        <v>2</v>
      </c>
      <c r="E153" s="2021" t="s">
        <v>2803</v>
      </c>
      <c r="F153" s="2043"/>
      <c r="G153" s="662">
        <f t="shared" si="3"/>
        <v>0</v>
      </c>
      <c r="H153" s="2036"/>
      <c r="I153" s="3322"/>
      <c r="J153" s="2036"/>
      <c r="K153" s="3322"/>
      <c r="L153" s="2036"/>
      <c r="M153" s="3322"/>
      <c r="N153" s="2036"/>
      <c r="O153" s="3322"/>
      <c r="P153" s="2036"/>
      <c r="Q153" s="3322"/>
      <c r="R153" s="2036"/>
      <c r="S153" s="3322"/>
    </row>
    <row r="154" spans="1:19">
      <c r="A154" s="2037"/>
      <c r="B154" s="3330" t="s">
        <v>6853</v>
      </c>
      <c r="C154" s="2019"/>
      <c r="D154" s="3310">
        <v>1</v>
      </c>
      <c r="E154" s="2021" t="s">
        <v>2803</v>
      </c>
      <c r="F154" s="2043"/>
      <c r="G154" s="662">
        <f t="shared" si="3"/>
        <v>0</v>
      </c>
      <c r="H154" s="2036"/>
      <c r="I154" s="3322"/>
      <c r="J154" s="2036"/>
      <c r="K154" s="3322"/>
      <c r="L154" s="2036"/>
      <c r="M154" s="3322"/>
      <c r="N154" s="2036"/>
      <c r="O154" s="3322"/>
      <c r="P154" s="2036"/>
      <c r="Q154" s="3322"/>
      <c r="R154" s="2036"/>
      <c r="S154" s="3322"/>
    </row>
    <row r="155" spans="1:19">
      <c r="A155" s="2037"/>
      <c r="B155" s="3330" t="s">
        <v>6854</v>
      </c>
      <c r="C155" s="2019"/>
      <c r="D155" s="3310">
        <v>6</v>
      </c>
      <c r="E155" s="2021" t="s">
        <v>2803</v>
      </c>
      <c r="F155" s="2043"/>
      <c r="G155" s="662">
        <f t="shared" si="3"/>
        <v>0</v>
      </c>
      <c r="H155" s="2036"/>
      <c r="I155" s="3322"/>
      <c r="J155" s="2036"/>
      <c r="K155" s="3322"/>
      <c r="L155" s="2036"/>
      <c r="M155" s="3322"/>
      <c r="N155" s="2036"/>
      <c r="O155" s="3322"/>
      <c r="P155" s="2036"/>
      <c r="Q155" s="3322"/>
      <c r="R155" s="2036"/>
      <c r="S155" s="3322"/>
    </row>
    <row r="156" spans="1:19">
      <c r="A156" s="2037"/>
      <c r="B156" s="3330" t="s">
        <v>6869</v>
      </c>
      <c r="C156" s="2019"/>
      <c r="D156" s="3310">
        <v>1</v>
      </c>
      <c r="E156" s="2021" t="s">
        <v>2803</v>
      </c>
      <c r="F156" s="2043"/>
      <c r="G156" s="662">
        <f t="shared" si="3"/>
        <v>0</v>
      </c>
      <c r="H156" s="2036"/>
      <c r="I156" s="3322"/>
      <c r="J156" s="2036"/>
      <c r="K156" s="3322"/>
      <c r="L156" s="2036"/>
      <c r="M156" s="3322"/>
      <c r="N156" s="2036"/>
      <c r="O156" s="3322"/>
      <c r="P156" s="2036"/>
      <c r="Q156" s="3322"/>
      <c r="R156" s="2036"/>
      <c r="S156" s="3322"/>
    </row>
    <row r="157" spans="1:19">
      <c r="A157" s="2037"/>
      <c r="B157" s="3337" t="s">
        <v>4053</v>
      </c>
      <c r="C157" s="2019"/>
      <c r="D157" s="3310"/>
      <c r="E157" s="2021"/>
      <c r="F157" s="2043"/>
      <c r="G157" s="662">
        <f t="shared" si="3"/>
        <v>0</v>
      </c>
      <c r="H157" s="2036"/>
      <c r="I157" s="3322"/>
      <c r="J157" s="2036"/>
      <c r="K157" s="3336">
        <v>27696.71</v>
      </c>
      <c r="L157" s="2036"/>
      <c r="M157" s="3322"/>
      <c r="N157" s="2036"/>
      <c r="O157" s="3322"/>
      <c r="P157" s="2036"/>
      <c r="Q157" s="3322"/>
      <c r="R157" s="2036"/>
      <c r="S157" s="3322"/>
    </row>
    <row r="158" spans="1:19">
      <c r="A158" s="2037"/>
      <c r="B158" s="3334" t="s">
        <v>6883</v>
      </c>
      <c r="C158" s="2019"/>
      <c r="D158" s="3310">
        <v>1</v>
      </c>
      <c r="E158" s="2021" t="s">
        <v>2803</v>
      </c>
      <c r="F158" s="2043"/>
      <c r="G158" s="662">
        <f t="shared" si="3"/>
        <v>0</v>
      </c>
      <c r="H158" s="2036"/>
      <c r="I158" s="3322"/>
      <c r="J158" s="2036"/>
      <c r="K158" s="3322"/>
      <c r="L158" s="2036"/>
      <c r="M158" s="3322"/>
      <c r="N158" s="2036"/>
      <c r="O158" s="3322"/>
      <c r="P158" s="2036"/>
      <c r="Q158" s="3322"/>
      <c r="R158" s="2036"/>
      <c r="S158" s="3322"/>
    </row>
    <row r="159" spans="1:19">
      <c r="A159" s="2037"/>
      <c r="B159" s="3330" t="s">
        <v>6843</v>
      </c>
      <c r="C159" s="2019"/>
      <c r="D159" s="3310">
        <v>1</v>
      </c>
      <c r="E159" s="2021" t="s">
        <v>2803</v>
      </c>
      <c r="F159" s="2043"/>
      <c r="G159" s="662">
        <f t="shared" si="3"/>
        <v>0</v>
      </c>
      <c r="H159" s="2036"/>
      <c r="I159" s="3322"/>
      <c r="J159" s="2036"/>
      <c r="K159" s="3322"/>
      <c r="L159" s="2036"/>
      <c r="M159" s="3322"/>
      <c r="N159" s="2036"/>
      <c r="O159" s="3322"/>
      <c r="P159" s="2036"/>
      <c r="Q159" s="3322"/>
      <c r="R159" s="2036"/>
      <c r="S159" s="3322"/>
    </row>
    <row r="160" spans="1:19">
      <c r="A160" s="2037"/>
      <c r="B160" s="3330" t="s">
        <v>6844</v>
      </c>
      <c r="C160" s="2019"/>
      <c r="D160" s="3310">
        <v>1</v>
      </c>
      <c r="E160" s="2021" t="s">
        <v>2803</v>
      </c>
      <c r="F160" s="2043"/>
      <c r="G160" s="662">
        <f t="shared" si="3"/>
        <v>0</v>
      </c>
      <c r="H160" s="2036"/>
      <c r="I160" s="3322"/>
      <c r="J160" s="2036"/>
      <c r="K160" s="3322"/>
      <c r="L160" s="2036"/>
      <c r="M160" s="3322"/>
      <c r="N160" s="2036"/>
      <c r="O160" s="3322"/>
      <c r="P160" s="2036"/>
      <c r="Q160" s="3322"/>
      <c r="R160" s="2036"/>
      <c r="S160" s="3322"/>
    </row>
    <row r="161" spans="1:19">
      <c r="A161" s="2037"/>
      <c r="B161" s="3330" t="s">
        <v>6885</v>
      </c>
      <c r="C161" s="2019"/>
      <c r="D161" s="3310">
        <v>2</v>
      </c>
      <c r="E161" s="2021" t="s">
        <v>2803</v>
      </c>
      <c r="F161" s="2043"/>
      <c r="G161" s="662">
        <f t="shared" si="3"/>
        <v>0</v>
      </c>
      <c r="H161" s="2036"/>
      <c r="I161" s="3322"/>
      <c r="J161" s="2036"/>
      <c r="K161" s="3322"/>
      <c r="L161" s="2036"/>
      <c r="M161" s="3322"/>
      <c r="N161" s="2036"/>
      <c r="O161" s="3322"/>
      <c r="P161" s="2036"/>
      <c r="Q161" s="3322"/>
      <c r="R161" s="2036"/>
      <c r="S161" s="3322"/>
    </row>
    <row r="162" spans="1:19">
      <c r="A162" s="2037"/>
      <c r="B162" s="3331" t="s">
        <v>6889</v>
      </c>
      <c r="C162" s="2019"/>
      <c r="D162" s="3310"/>
      <c r="E162" s="2021"/>
      <c r="F162" s="2043"/>
      <c r="G162" s="662">
        <f t="shared" si="3"/>
        <v>0</v>
      </c>
      <c r="H162" s="2036"/>
      <c r="I162" s="3322"/>
      <c r="J162" s="2036"/>
      <c r="K162" s="3322">
        <v>18303.080000000002</v>
      </c>
      <c r="L162" s="2036"/>
      <c r="M162" s="3322"/>
      <c r="N162" s="2036"/>
      <c r="O162" s="3322"/>
      <c r="P162" s="2036"/>
      <c r="Q162" s="3322"/>
      <c r="R162" s="2036"/>
      <c r="S162" s="3322"/>
    </row>
    <row r="163" spans="1:19">
      <c r="A163" s="2037"/>
      <c r="B163" s="3330" t="s">
        <v>6884</v>
      </c>
      <c r="C163" s="2019"/>
      <c r="D163" s="3310">
        <v>2</v>
      </c>
      <c r="E163" s="2021" t="s">
        <v>2803</v>
      </c>
      <c r="F163" s="2043"/>
      <c r="G163" s="662">
        <f t="shared" si="3"/>
        <v>0</v>
      </c>
      <c r="H163" s="2036"/>
      <c r="I163" s="3322"/>
      <c r="J163" s="2036"/>
      <c r="K163" s="3322"/>
      <c r="L163" s="2036"/>
      <c r="M163" s="3322"/>
      <c r="N163" s="2036"/>
      <c r="O163" s="3322"/>
      <c r="P163" s="2036"/>
      <c r="Q163" s="3322"/>
      <c r="R163" s="2036"/>
      <c r="S163" s="3322"/>
    </row>
    <row r="164" spans="1:19">
      <c r="A164" s="2037"/>
      <c r="B164" s="3330" t="s">
        <v>6843</v>
      </c>
      <c r="C164" s="2019"/>
      <c r="D164" s="3310">
        <v>2</v>
      </c>
      <c r="E164" s="2021" t="s">
        <v>2803</v>
      </c>
      <c r="F164" s="2043"/>
      <c r="G164" s="662">
        <f t="shared" si="3"/>
        <v>0</v>
      </c>
      <c r="H164" s="2036"/>
      <c r="I164" s="3322"/>
      <c r="J164" s="2036"/>
      <c r="K164" s="3322"/>
      <c r="L164" s="2036"/>
      <c r="M164" s="3322"/>
      <c r="N164" s="2036"/>
      <c r="O164" s="3322"/>
      <c r="P164" s="2036"/>
      <c r="Q164" s="3322"/>
      <c r="R164" s="2036"/>
      <c r="S164" s="3322"/>
    </row>
    <row r="165" spans="1:19">
      <c r="A165" s="2037"/>
      <c r="B165" s="3330" t="s">
        <v>6844</v>
      </c>
      <c r="C165" s="2019"/>
      <c r="D165" s="3310">
        <v>2</v>
      </c>
      <c r="E165" s="2021" t="s">
        <v>2803</v>
      </c>
      <c r="F165" s="2043"/>
      <c r="G165" s="662">
        <f t="shared" si="3"/>
        <v>0</v>
      </c>
      <c r="H165" s="2036"/>
      <c r="I165" s="3322"/>
      <c r="J165" s="2036"/>
      <c r="K165" s="3322"/>
      <c r="L165" s="2036"/>
      <c r="M165" s="3322"/>
      <c r="N165" s="2036"/>
      <c r="O165" s="3322"/>
      <c r="P165" s="2036"/>
      <c r="Q165" s="3322"/>
      <c r="R165" s="2036"/>
      <c r="S165" s="3322"/>
    </row>
    <row r="166" spans="1:19">
      <c r="A166" s="2037"/>
      <c r="B166" s="3330" t="s">
        <v>6864</v>
      </c>
      <c r="C166" s="2019"/>
      <c r="D166" s="3310">
        <v>10</v>
      </c>
      <c r="E166" s="2021" t="s">
        <v>2803</v>
      </c>
      <c r="F166" s="2043"/>
      <c r="G166" s="662">
        <f t="shared" si="3"/>
        <v>0</v>
      </c>
      <c r="H166" s="2036"/>
      <c r="I166" s="3322"/>
      <c r="J166" s="2036"/>
      <c r="K166" s="3322"/>
      <c r="L166" s="2036"/>
      <c r="M166" s="3322"/>
      <c r="N166" s="2036"/>
      <c r="O166" s="3322"/>
      <c r="P166" s="2036"/>
      <c r="Q166" s="3322"/>
      <c r="R166" s="2036"/>
      <c r="S166" s="3322"/>
    </row>
    <row r="167" spans="1:19">
      <c r="A167" s="2037"/>
      <c r="B167" s="3330" t="s">
        <v>6869</v>
      </c>
      <c r="C167" s="2019"/>
      <c r="D167" s="3310">
        <v>2</v>
      </c>
      <c r="E167" s="2021" t="s">
        <v>2803</v>
      </c>
      <c r="F167" s="2043"/>
      <c r="G167" s="662">
        <f t="shared" si="3"/>
        <v>0</v>
      </c>
      <c r="H167" s="2036"/>
      <c r="I167" s="3322"/>
      <c r="J167" s="2036"/>
      <c r="K167" s="3322"/>
      <c r="L167" s="2036"/>
      <c r="M167" s="3322"/>
      <c r="N167" s="2036"/>
      <c r="O167" s="3322"/>
      <c r="P167" s="2036"/>
      <c r="Q167" s="3322"/>
      <c r="R167" s="2036"/>
      <c r="S167" s="3322"/>
    </row>
    <row r="168" spans="1:19">
      <c r="A168" s="2037"/>
      <c r="B168" s="3331" t="s">
        <v>6890</v>
      </c>
      <c r="C168" s="2019"/>
      <c r="D168" s="3310"/>
      <c r="E168" s="2021"/>
      <c r="F168" s="2043"/>
      <c r="G168" s="662">
        <f t="shared" si="3"/>
        <v>0</v>
      </c>
      <c r="H168" s="2036"/>
      <c r="I168" s="3322"/>
      <c r="J168" s="2036"/>
      <c r="K168" s="3322">
        <v>4696.1499999999996</v>
      </c>
      <c r="L168" s="2036"/>
      <c r="M168" s="3322"/>
      <c r="N168" s="2036"/>
      <c r="O168" s="3322"/>
      <c r="P168" s="2036"/>
      <c r="Q168" s="3322"/>
      <c r="R168" s="2036"/>
      <c r="S168" s="3322"/>
    </row>
    <row r="169" spans="1:19">
      <c r="A169" s="2037"/>
      <c r="B169" s="3330" t="s">
        <v>6876</v>
      </c>
      <c r="C169" s="2019"/>
      <c r="D169" s="3310">
        <v>1</v>
      </c>
      <c r="E169" s="2021" t="s">
        <v>2803</v>
      </c>
      <c r="F169" s="2043"/>
      <c r="G169" s="662">
        <f t="shared" si="3"/>
        <v>0</v>
      </c>
      <c r="H169" s="2036"/>
      <c r="I169" s="3322"/>
      <c r="J169" s="2036"/>
      <c r="K169" s="3322"/>
      <c r="L169" s="2036"/>
      <c r="M169" s="3322"/>
      <c r="N169" s="2036"/>
      <c r="O169" s="3322"/>
      <c r="P169" s="2036"/>
      <c r="Q169" s="3322"/>
      <c r="R169" s="2036"/>
      <c r="S169" s="3322"/>
    </row>
    <row r="170" spans="1:19">
      <c r="A170" s="2037"/>
      <c r="B170" s="3330" t="s">
        <v>6843</v>
      </c>
      <c r="C170" s="2019"/>
      <c r="D170" s="3310">
        <v>1</v>
      </c>
      <c r="E170" s="2021" t="s">
        <v>2803</v>
      </c>
      <c r="F170" s="2043"/>
      <c r="G170" s="662">
        <f t="shared" si="3"/>
        <v>0</v>
      </c>
      <c r="H170" s="2036"/>
      <c r="I170" s="3322"/>
      <c r="J170" s="2036"/>
      <c r="K170" s="3322"/>
      <c r="L170" s="2036"/>
      <c r="M170" s="3322"/>
      <c r="N170" s="2036"/>
      <c r="O170" s="3322"/>
      <c r="P170" s="2036"/>
      <c r="Q170" s="3322"/>
      <c r="R170" s="2036"/>
      <c r="S170" s="3322"/>
    </row>
    <row r="171" spans="1:19">
      <c r="A171" s="2037"/>
      <c r="B171" s="3330" t="s">
        <v>6844</v>
      </c>
      <c r="C171" s="2019"/>
      <c r="D171" s="3310">
        <v>1</v>
      </c>
      <c r="E171" s="2021" t="s">
        <v>2803</v>
      </c>
      <c r="F171" s="2043"/>
      <c r="G171" s="662">
        <f t="shared" si="3"/>
        <v>0</v>
      </c>
      <c r="H171" s="2036"/>
      <c r="I171" s="3322"/>
      <c r="J171" s="2036"/>
      <c r="K171" s="3322"/>
      <c r="L171" s="2036"/>
      <c r="M171" s="3322"/>
      <c r="N171" s="2036"/>
      <c r="O171" s="3322"/>
      <c r="P171" s="2036"/>
      <c r="Q171" s="3322"/>
      <c r="R171" s="2036"/>
      <c r="S171" s="3322"/>
    </row>
    <row r="172" spans="1:19">
      <c r="A172" s="2037"/>
      <c r="B172" s="3330" t="s">
        <v>6869</v>
      </c>
      <c r="C172" s="2019"/>
      <c r="D172" s="3310">
        <v>1</v>
      </c>
      <c r="E172" s="2021" t="s">
        <v>2803</v>
      </c>
      <c r="F172" s="2043"/>
      <c r="G172" s="662">
        <f t="shared" si="3"/>
        <v>0</v>
      </c>
      <c r="H172" s="2036"/>
      <c r="I172" s="3322"/>
      <c r="J172" s="2036"/>
      <c r="K172" s="3322"/>
      <c r="L172" s="2036"/>
      <c r="M172" s="3322"/>
      <c r="N172" s="2036"/>
      <c r="O172" s="3322"/>
      <c r="P172" s="2036"/>
      <c r="Q172" s="3322"/>
      <c r="R172" s="2036"/>
      <c r="S172" s="3322"/>
    </row>
    <row r="173" spans="1:19">
      <c r="A173" s="2037"/>
      <c r="B173" s="3328" t="s">
        <v>6813</v>
      </c>
      <c r="C173" s="2019"/>
      <c r="D173" s="2020"/>
      <c r="E173" s="2021"/>
      <c r="F173" s="2043"/>
      <c r="G173" s="662">
        <f t="shared" si="3"/>
        <v>0</v>
      </c>
      <c r="H173" s="2036"/>
      <c r="I173" s="3322"/>
      <c r="J173" s="2036"/>
      <c r="K173" s="3322">
        <v>12979.06</v>
      </c>
      <c r="L173" s="2036"/>
      <c r="M173" s="3322"/>
      <c r="N173" s="2036"/>
      <c r="O173" s="3322"/>
      <c r="P173" s="2036"/>
      <c r="Q173" s="3322"/>
      <c r="R173" s="2036"/>
      <c r="S173" s="3322"/>
    </row>
    <row r="174" spans="1:19">
      <c r="A174" s="2037"/>
      <c r="B174" s="3330" t="s">
        <v>6856</v>
      </c>
      <c r="C174" s="2019"/>
      <c r="D174" s="2020">
        <v>1</v>
      </c>
      <c r="E174" s="2021" t="s">
        <v>2803</v>
      </c>
      <c r="F174" s="2043"/>
      <c r="G174" s="662">
        <f t="shared" si="3"/>
        <v>0</v>
      </c>
      <c r="H174" s="2036"/>
      <c r="I174" s="3322"/>
      <c r="J174" s="2036"/>
      <c r="K174" s="3322"/>
      <c r="L174" s="2036"/>
      <c r="M174" s="3322"/>
      <c r="N174" s="2036"/>
      <c r="O174" s="3322"/>
      <c r="P174" s="2036"/>
      <c r="Q174" s="3322"/>
      <c r="R174" s="2036"/>
      <c r="S174" s="3322"/>
    </row>
    <row r="175" spans="1:19">
      <c r="A175" s="2037"/>
      <c r="B175" s="3330" t="s">
        <v>6857</v>
      </c>
      <c r="C175" s="2019"/>
      <c r="D175" s="2020">
        <v>1</v>
      </c>
      <c r="E175" s="2021" t="s">
        <v>2803</v>
      </c>
      <c r="F175" s="2043"/>
      <c r="G175" s="662">
        <f t="shared" si="3"/>
        <v>0</v>
      </c>
      <c r="H175" s="2036"/>
      <c r="I175" s="3322"/>
      <c r="J175" s="2036"/>
      <c r="K175" s="3322"/>
      <c r="L175" s="2036"/>
      <c r="M175" s="3322"/>
      <c r="N175" s="2036"/>
      <c r="O175" s="3322"/>
      <c r="P175" s="2036"/>
      <c r="Q175" s="3322"/>
      <c r="R175" s="2036"/>
      <c r="S175" s="3322"/>
    </row>
    <row r="176" spans="1:19">
      <c r="A176" s="2037"/>
      <c r="B176" s="3330" t="s">
        <v>6858</v>
      </c>
      <c r="C176" s="2019"/>
      <c r="D176" s="2020">
        <v>1</v>
      </c>
      <c r="E176" s="2021" t="s">
        <v>2803</v>
      </c>
      <c r="F176" s="2043"/>
      <c r="G176" s="662">
        <f t="shared" si="3"/>
        <v>0</v>
      </c>
      <c r="H176" s="2036"/>
      <c r="I176" s="3322"/>
      <c r="J176" s="2036"/>
      <c r="K176" s="3322"/>
      <c r="L176" s="2036"/>
      <c r="M176" s="3322"/>
      <c r="N176" s="2036"/>
      <c r="O176" s="3322"/>
      <c r="P176" s="2036"/>
      <c r="Q176" s="3322"/>
      <c r="R176" s="2036"/>
      <c r="S176" s="3322"/>
    </row>
    <row r="177" spans="1:30">
      <c r="A177" s="2037"/>
      <c r="B177" s="3330" t="s">
        <v>6859</v>
      </c>
      <c r="C177" s="2019"/>
      <c r="D177" s="2020">
        <v>1</v>
      </c>
      <c r="E177" s="2021" t="s">
        <v>2803</v>
      </c>
      <c r="F177" s="2043"/>
      <c r="G177" s="662">
        <f t="shared" si="3"/>
        <v>0</v>
      </c>
      <c r="H177" s="2036"/>
      <c r="I177" s="3322"/>
      <c r="J177" s="2036"/>
      <c r="K177" s="3322"/>
      <c r="L177" s="2036"/>
      <c r="M177" s="3322"/>
      <c r="N177" s="2036"/>
      <c r="O177" s="3322"/>
      <c r="P177" s="2036"/>
      <c r="Q177" s="3322"/>
      <c r="R177" s="2036"/>
      <c r="S177" s="3322"/>
    </row>
    <row r="178" spans="1:30">
      <c r="A178" s="2037"/>
      <c r="B178" s="3330" t="s">
        <v>6860</v>
      </c>
      <c r="C178" s="2019"/>
      <c r="D178" s="2020">
        <v>1</v>
      </c>
      <c r="E178" s="2021" t="s">
        <v>2803</v>
      </c>
      <c r="F178" s="2043"/>
      <c r="G178" s="662">
        <f t="shared" si="3"/>
        <v>0</v>
      </c>
      <c r="H178" s="2036"/>
      <c r="I178" s="3322"/>
      <c r="J178" s="2036"/>
      <c r="K178" s="3322"/>
      <c r="L178" s="2036"/>
      <c r="M178" s="3322"/>
      <c r="N178" s="2036"/>
      <c r="O178" s="3322"/>
      <c r="P178" s="2036"/>
      <c r="Q178" s="3322"/>
      <c r="R178" s="2036"/>
      <c r="S178" s="3322"/>
    </row>
    <row r="179" spans="1:30">
      <c r="A179" s="2037"/>
      <c r="B179" s="3330" t="s">
        <v>6861</v>
      </c>
      <c r="C179" s="2019"/>
      <c r="D179" s="2020">
        <v>1</v>
      </c>
      <c r="E179" s="2021" t="s">
        <v>2803</v>
      </c>
      <c r="F179" s="2043"/>
      <c r="G179" s="662">
        <f t="shared" si="3"/>
        <v>0</v>
      </c>
      <c r="H179" s="2036"/>
      <c r="I179" s="3322"/>
      <c r="J179" s="2036"/>
      <c r="K179" s="3322"/>
      <c r="L179" s="2036"/>
      <c r="M179" s="3322"/>
      <c r="N179" s="2036"/>
      <c r="O179" s="3322"/>
      <c r="P179" s="2036"/>
      <c r="Q179" s="3322"/>
      <c r="R179" s="2036"/>
      <c r="S179" s="3322"/>
    </row>
    <row r="180" spans="1:30">
      <c r="A180" s="2037"/>
      <c r="B180" s="3330"/>
      <c r="C180" s="2019"/>
      <c r="D180" s="2020"/>
      <c r="E180" s="2021"/>
      <c r="F180" s="2043"/>
      <c r="G180" s="662">
        <f t="shared" si="3"/>
        <v>0</v>
      </c>
      <c r="H180" s="2036"/>
      <c r="I180" s="3322"/>
      <c r="J180" s="2036"/>
      <c r="K180" s="3322"/>
      <c r="L180" s="2036"/>
      <c r="M180" s="3322"/>
      <c r="N180" s="2036"/>
      <c r="O180" s="3322"/>
      <c r="P180" s="2036"/>
      <c r="Q180" s="3322"/>
      <c r="R180" s="2036"/>
      <c r="S180" s="3322"/>
    </row>
    <row r="181" spans="1:30">
      <c r="A181" s="2037"/>
      <c r="B181" s="3331" t="s">
        <v>6891</v>
      </c>
      <c r="C181" s="2019"/>
      <c r="D181" s="2020">
        <v>1</v>
      </c>
      <c r="E181" s="2021" t="s">
        <v>2818</v>
      </c>
      <c r="F181" s="2043"/>
      <c r="G181" s="662">
        <f t="shared" si="3"/>
        <v>0</v>
      </c>
      <c r="H181" s="2036"/>
      <c r="I181" s="3322"/>
      <c r="J181" s="2036"/>
      <c r="K181" s="3322">
        <v>49062.080000000002</v>
      </c>
      <c r="L181" s="2036"/>
      <c r="M181" s="3322"/>
      <c r="N181" s="2036"/>
      <c r="O181" s="3322"/>
      <c r="P181" s="2036"/>
      <c r="Q181" s="3322"/>
      <c r="R181" s="2036"/>
      <c r="S181" s="3322"/>
    </row>
    <row r="182" spans="1:30">
      <c r="A182" s="2037"/>
      <c r="B182" s="3331"/>
      <c r="C182" s="2019"/>
      <c r="D182" s="2020"/>
      <c r="E182" s="2021"/>
      <c r="F182" s="2043"/>
      <c r="G182" s="662">
        <f t="shared" si="3"/>
        <v>0</v>
      </c>
      <c r="H182" s="2036"/>
      <c r="I182" s="3322"/>
      <c r="J182" s="2036"/>
      <c r="K182" s="3322"/>
      <c r="L182" s="2036"/>
      <c r="M182" s="3322"/>
      <c r="N182" s="2036"/>
      <c r="O182" s="3322"/>
      <c r="P182" s="2036"/>
      <c r="Q182" s="3322"/>
      <c r="R182" s="2036"/>
      <c r="S182" s="3322"/>
    </row>
    <row r="183" spans="1:30">
      <c r="A183" s="2037"/>
      <c r="B183" s="3328" t="s">
        <v>6413</v>
      </c>
      <c r="C183" s="2019"/>
      <c r="D183" s="2020"/>
      <c r="E183" s="2021"/>
      <c r="F183" s="2043"/>
      <c r="G183" s="662">
        <f t="shared" si="3"/>
        <v>0</v>
      </c>
      <c r="H183" s="2036"/>
      <c r="I183" s="3322">
        <f>I22*0.0075</f>
        <v>0</v>
      </c>
      <c r="J183" s="2036"/>
      <c r="K183" s="3322"/>
      <c r="L183" s="2036"/>
      <c r="M183" s="3322">
        <f>SUM(M22:M182)*0.1</f>
        <v>53431.972000000002</v>
      </c>
      <c r="N183" s="2036"/>
      <c r="O183" s="3322"/>
      <c r="P183" s="2036"/>
      <c r="Q183" s="3322"/>
      <c r="R183" s="2036"/>
      <c r="S183" s="3322"/>
    </row>
    <row r="184" spans="1:30" s="175" customFormat="1" ht="96">
      <c r="A184" s="2037"/>
      <c r="B184" s="3338" t="s">
        <v>6892</v>
      </c>
      <c r="C184" s="3339"/>
      <c r="D184" s="3340">
        <v>1</v>
      </c>
      <c r="E184" s="3341" t="s">
        <v>6820</v>
      </c>
      <c r="F184" s="3342"/>
      <c r="G184" s="668">
        <f t="shared" si="3"/>
        <v>0</v>
      </c>
      <c r="H184" s="3343"/>
      <c r="I184" s="3344"/>
      <c r="J184" s="3343"/>
      <c r="K184" s="3344"/>
      <c r="L184" s="3343"/>
      <c r="M184" s="3344"/>
      <c r="N184" s="3343"/>
      <c r="O184" s="3344"/>
      <c r="P184" s="3343"/>
      <c r="Q184" s="3344"/>
      <c r="R184" s="3343"/>
      <c r="S184" s="3344"/>
    </row>
    <row r="185" spans="1:30">
      <c r="A185" s="2037"/>
      <c r="B185" s="3328" t="s">
        <v>4902</v>
      </c>
      <c r="C185" s="2019"/>
      <c r="D185" s="2020"/>
      <c r="E185" s="2021"/>
      <c r="F185" s="2043"/>
      <c r="G185" s="662"/>
      <c r="H185" s="2036"/>
      <c r="I185" s="3322"/>
      <c r="J185" s="2036"/>
      <c r="K185" s="3322"/>
      <c r="L185" s="2036"/>
      <c r="M185" s="3322">
        <f>SUM(M22:M183)*0.07</f>
        <v>41142.618439999998</v>
      </c>
      <c r="N185" s="2036"/>
      <c r="O185" s="3322"/>
      <c r="P185" s="2036"/>
      <c r="Q185" s="3322"/>
      <c r="R185" s="2036"/>
      <c r="S185" s="3322"/>
    </row>
    <row r="186" spans="1:30">
      <c r="A186" s="2037"/>
      <c r="B186" s="3328"/>
      <c r="C186" s="2019"/>
      <c r="D186" s="2020"/>
      <c r="E186" s="2021"/>
      <c r="F186" s="2043"/>
      <c r="G186" s="662"/>
      <c r="H186" s="2036"/>
      <c r="I186" s="3322"/>
      <c r="J186" s="2036"/>
      <c r="K186" s="3322"/>
      <c r="L186" s="2036"/>
      <c r="M186" s="3322"/>
      <c r="N186" s="2036"/>
      <c r="O186" s="3322"/>
      <c r="P186" s="2036"/>
      <c r="Q186" s="3322"/>
      <c r="R186" s="2036"/>
      <c r="S186" s="3322"/>
    </row>
    <row r="187" spans="1:30">
      <c r="A187" s="2037"/>
      <c r="B187" s="3328" t="s">
        <v>6893</v>
      </c>
      <c r="C187" s="2019"/>
      <c r="D187" s="2020"/>
      <c r="E187" s="2021"/>
      <c r="F187" s="2043"/>
      <c r="G187" s="662"/>
      <c r="H187" s="2036"/>
      <c r="I187" s="3322">
        <v>70947.67</v>
      </c>
      <c r="J187" s="2036"/>
      <c r="K187" s="3322"/>
      <c r="L187" s="2036"/>
      <c r="M187" s="3322"/>
      <c r="N187" s="2036"/>
      <c r="O187" s="3322"/>
      <c r="P187" s="2036"/>
      <c r="Q187" s="3322"/>
      <c r="R187" s="2036"/>
      <c r="S187" s="3322"/>
    </row>
    <row r="188" spans="1:30">
      <c r="A188" s="2037"/>
      <c r="B188" s="3328"/>
      <c r="C188" s="2019"/>
      <c r="D188" s="2020"/>
      <c r="E188" s="2021"/>
      <c r="F188" s="2043"/>
      <c r="G188" s="662">
        <f t="shared" si="3"/>
        <v>0</v>
      </c>
      <c r="H188" s="2036"/>
      <c r="I188" s="3322"/>
      <c r="J188" s="2036"/>
      <c r="K188" s="3322"/>
      <c r="L188" s="2036"/>
      <c r="M188" s="3322"/>
      <c r="N188" s="2036"/>
      <c r="O188" s="3322"/>
      <c r="P188" s="2036"/>
      <c r="Q188" s="3322"/>
      <c r="R188" s="2036"/>
      <c r="S188" s="3322"/>
    </row>
    <row r="189" spans="1:30">
      <c r="A189" s="2037"/>
      <c r="B189" s="452" t="s">
        <v>6097</v>
      </c>
      <c r="C189" s="2019"/>
      <c r="D189" s="2020"/>
      <c r="E189" s="2021"/>
      <c r="F189" s="2043"/>
      <c r="G189" s="662">
        <f t="shared" si="3"/>
        <v>0</v>
      </c>
      <c r="H189" s="2036"/>
      <c r="I189" s="3329">
        <f>SUBTOTAL(9,I190:I208)</f>
        <v>33762.14</v>
      </c>
      <c r="J189" s="2036"/>
      <c r="K189" s="3329">
        <f>SUBTOTAL(9,K190:K208)</f>
        <v>23117.77</v>
      </c>
      <c r="L189" s="2036"/>
      <c r="M189" s="3329">
        <f>SUBTOTAL(9,M190:M208)</f>
        <v>29651.965618000002</v>
      </c>
      <c r="N189" s="2036"/>
      <c r="O189" s="3329">
        <f>SUBTOTAL(9,O190:O208)</f>
        <v>49558.82</v>
      </c>
      <c r="P189" s="2036"/>
      <c r="Q189" s="3329">
        <f>SUBTOTAL(9,Q190:Q208)</f>
        <v>0</v>
      </c>
      <c r="R189" s="2036"/>
      <c r="S189" s="3329">
        <f>SUBTOTAL(9,S190:S208)</f>
        <v>0</v>
      </c>
      <c r="AD189" t="s">
        <v>2795</v>
      </c>
    </row>
    <row r="190" spans="1:30">
      <c r="A190" s="2037"/>
      <c r="B190" s="3328" t="s">
        <v>2994</v>
      </c>
      <c r="C190" s="2019"/>
      <c r="D190" s="2044"/>
      <c r="E190" s="2021"/>
      <c r="F190" s="1979"/>
      <c r="G190" s="662">
        <f t="shared" si="3"/>
        <v>0</v>
      </c>
      <c r="H190" s="2036"/>
      <c r="I190" s="3322">
        <v>33762.14</v>
      </c>
      <c r="J190" s="2036"/>
      <c r="K190" s="3322">
        <v>23117.77</v>
      </c>
      <c r="L190" s="2036"/>
      <c r="M190" s="3322">
        <v>27437.74</v>
      </c>
      <c r="N190" s="2036"/>
      <c r="O190" s="3322">
        <v>49558.82</v>
      </c>
      <c r="P190" s="2036"/>
      <c r="Q190" s="3322"/>
      <c r="R190" s="2036"/>
      <c r="S190" s="3322"/>
    </row>
    <row r="191" spans="1:30">
      <c r="A191" s="2037"/>
      <c r="B191" s="3330" t="s">
        <v>6856</v>
      </c>
      <c r="C191" s="2019"/>
      <c r="D191" s="2020">
        <v>1</v>
      </c>
      <c r="E191" s="2021" t="s">
        <v>2803</v>
      </c>
      <c r="F191" s="2043"/>
      <c r="G191" s="662">
        <f t="shared" si="3"/>
        <v>0</v>
      </c>
      <c r="H191" s="2036"/>
      <c r="I191" s="3322"/>
      <c r="J191" s="2036"/>
      <c r="K191" s="3322"/>
      <c r="L191" s="2036"/>
      <c r="M191" s="3322"/>
      <c r="N191" s="2036"/>
      <c r="O191" s="3322"/>
      <c r="P191" s="2036"/>
      <c r="Q191" s="3322"/>
      <c r="R191" s="2036"/>
      <c r="S191" s="3322"/>
    </row>
    <row r="192" spans="1:30">
      <c r="A192" s="2037"/>
      <c r="B192" s="3330" t="s">
        <v>6857</v>
      </c>
      <c r="C192" s="2019"/>
      <c r="D192" s="2020">
        <v>2</v>
      </c>
      <c r="E192" s="2021" t="s">
        <v>2803</v>
      </c>
      <c r="F192" s="2043"/>
      <c r="G192" s="662">
        <f t="shared" si="3"/>
        <v>0</v>
      </c>
      <c r="H192" s="2036"/>
      <c r="I192" s="3322"/>
      <c r="J192" s="2036"/>
      <c r="K192" s="3322"/>
      <c r="L192" s="2036"/>
      <c r="M192" s="3322"/>
      <c r="N192" s="2036"/>
      <c r="O192" s="3322"/>
      <c r="P192" s="2036"/>
      <c r="Q192" s="3322"/>
      <c r="R192" s="2036"/>
      <c r="S192" s="3322"/>
    </row>
    <row r="193" spans="1:19">
      <c r="A193" s="2037"/>
      <c r="B193" s="3330" t="s">
        <v>6858</v>
      </c>
      <c r="C193" s="2019"/>
      <c r="D193" s="2020">
        <v>1</v>
      </c>
      <c r="E193" s="2021" t="s">
        <v>2803</v>
      </c>
      <c r="F193" s="2043"/>
      <c r="G193" s="662">
        <f t="shared" si="3"/>
        <v>0</v>
      </c>
      <c r="H193" s="2036"/>
      <c r="I193" s="3322"/>
      <c r="J193" s="2036"/>
      <c r="K193" s="3322"/>
      <c r="L193" s="2036"/>
      <c r="M193" s="3322"/>
      <c r="N193" s="2036"/>
      <c r="O193" s="3322"/>
      <c r="P193" s="2036"/>
      <c r="Q193" s="3322"/>
      <c r="R193" s="2036"/>
      <c r="S193" s="3322"/>
    </row>
    <row r="194" spans="1:19">
      <c r="A194" s="2037"/>
      <c r="B194" s="3330" t="s">
        <v>6872</v>
      </c>
      <c r="C194" s="2019"/>
      <c r="D194" s="2020">
        <v>1</v>
      </c>
      <c r="E194" s="2021" t="s">
        <v>2803</v>
      </c>
      <c r="F194" s="2043"/>
      <c r="G194" s="662">
        <f t="shared" si="3"/>
        <v>0</v>
      </c>
      <c r="H194" s="2036"/>
      <c r="I194" s="3322"/>
      <c r="J194" s="2036"/>
      <c r="K194" s="3322"/>
      <c r="L194" s="2036"/>
      <c r="M194" s="3322"/>
      <c r="N194" s="2036"/>
      <c r="O194" s="3322"/>
      <c r="P194" s="2036"/>
      <c r="Q194" s="3322"/>
      <c r="R194" s="2036"/>
      <c r="S194" s="3322"/>
    </row>
    <row r="195" spans="1:19">
      <c r="A195" s="2037"/>
      <c r="B195" s="3330" t="s">
        <v>6861</v>
      </c>
      <c r="C195" s="2019"/>
      <c r="D195" s="2020">
        <v>1</v>
      </c>
      <c r="E195" s="2021" t="s">
        <v>2803</v>
      </c>
      <c r="F195" s="2043"/>
      <c r="G195" s="662">
        <f t="shared" si="3"/>
        <v>0</v>
      </c>
      <c r="H195" s="2036"/>
      <c r="I195" s="3322"/>
      <c r="J195" s="2036"/>
      <c r="K195" s="3322"/>
      <c r="L195" s="2036"/>
      <c r="M195" s="3322"/>
      <c r="N195" s="2036"/>
      <c r="O195" s="3322"/>
      <c r="P195" s="2036"/>
      <c r="Q195" s="3322"/>
      <c r="R195" s="2036"/>
      <c r="S195" s="3322"/>
    </row>
    <row r="196" spans="1:19">
      <c r="A196" s="2037"/>
      <c r="B196" s="3330" t="s">
        <v>6842</v>
      </c>
      <c r="C196" s="2019"/>
      <c r="D196" s="2020">
        <v>2</v>
      </c>
      <c r="E196" s="2021" t="s">
        <v>2803</v>
      </c>
      <c r="F196" s="2043"/>
      <c r="G196" s="662">
        <f t="shared" si="3"/>
        <v>0</v>
      </c>
      <c r="H196" s="2036"/>
      <c r="I196" s="3322"/>
      <c r="J196" s="2036"/>
      <c r="K196" s="3322"/>
      <c r="L196" s="2036"/>
      <c r="M196" s="3322"/>
      <c r="N196" s="2036"/>
      <c r="O196" s="3322"/>
      <c r="P196" s="2036"/>
      <c r="Q196" s="3322"/>
      <c r="R196" s="2036"/>
      <c r="S196" s="3322"/>
    </row>
    <row r="197" spans="1:19">
      <c r="A197" s="2037"/>
      <c r="B197" s="3330" t="s">
        <v>6843</v>
      </c>
      <c r="C197" s="2019"/>
      <c r="D197" s="2020">
        <v>2</v>
      </c>
      <c r="E197" s="2021" t="s">
        <v>2803</v>
      </c>
      <c r="F197" s="2043"/>
      <c r="G197" s="662">
        <f t="shared" si="3"/>
        <v>0</v>
      </c>
      <c r="H197" s="2036"/>
      <c r="I197" s="3322"/>
      <c r="J197" s="2036"/>
      <c r="K197" s="3322"/>
      <c r="L197" s="2036"/>
      <c r="M197" s="3322"/>
      <c r="N197" s="2036"/>
      <c r="O197" s="3322"/>
      <c r="P197" s="2036"/>
      <c r="Q197" s="3322"/>
      <c r="R197" s="2036"/>
      <c r="S197" s="3322"/>
    </row>
    <row r="198" spans="1:19">
      <c r="A198" s="2037"/>
      <c r="B198" s="3330" t="s">
        <v>6844</v>
      </c>
      <c r="C198" s="2019"/>
      <c r="D198" s="2020">
        <v>2</v>
      </c>
      <c r="E198" s="2021" t="s">
        <v>2803</v>
      </c>
      <c r="F198" s="2043"/>
      <c r="G198" s="662">
        <f t="shared" si="3"/>
        <v>0</v>
      </c>
      <c r="H198" s="2036"/>
      <c r="I198" s="3322"/>
      <c r="J198" s="2036"/>
      <c r="K198" s="3322"/>
      <c r="L198" s="2036"/>
      <c r="M198" s="3322"/>
      <c r="N198" s="2036"/>
      <c r="O198" s="3322"/>
      <c r="P198" s="2036"/>
      <c r="Q198" s="3322"/>
      <c r="R198" s="2036"/>
      <c r="S198" s="3322"/>
    </row>
    <row r="199" spans="1:19">
      <c r="A199" s="2037"/>
      <c r="B199" s="3330" t="s">
        <v>6853</v>
      </c>
      <c r="C199" s="2019"/>
      <c r="D199" s="2020">
        <v>1</v>
      </c>
      <c r="E199" s="2021" t="s">
        <v>2803</v>
      </c>
      <c r="F199" s="2043"/>
      <c r="G199" s="662">
        <f t="shared" si="3"/>
        <v>0</v>
      </c>
      <c r="H199" s="2036"/>
      <c r="I199" s="3322"/>
      <c r="J199" s="2036"/>
      <c r="K199" s="3322"/>
      <c r="L199" s="2036"/>
      <c r="M199" s="3322"/>
      <c r="N199" s="2036"/>
      <c r="O199" s="3322"/>
      <c r="P199" s="2036"/>
      <c r="Q199" s="3322"/>
      <c r="R199" s="2036"/>
      <c r="S199" s="3322"/>
    </row>
    <row r="200" spans="1:19">
      <c r="A200" s="2037"/>
      <c r="B200" s="3330" t="s">
        <v>6894</v>
      </c>
      <c r="C200" s="2019"/>
      <c r="D200" s="2020">
        <v>9</v>
      </c>
      <c r="E200" s="2021" t="s">
        <v>2803</v>
      </c>
      <c r="F200" s="2043"/>
      <c r="G200" s="662">
        <f t="shared" si="3"/>
        <v>0</v>
      </c>
      <c r="H200" s="2036"/>
      <c r="I200" s="3322"/>
      <c r="J200" s="2036"/>
      <c r="K200" s="3322"/>
      <c r="L200" s="2036"/>
      <c r="M200" s="3322"/>
      <c r="N200" s="2036"/>
      <c r="O200" s="3322"/>
      <c r="P200" s="2036"/>
      <c r="Q200" s="3322"/>
      <c r="R200" s="2036"/>
      <c r="S200" s="3322"/>
    </row>
    <row r="201" spans="1:19">
      <c r="A201" s="2037"/>
      <c r="B201" s="3330" t="s">
        <v>6895</v>
      </c>
      <c r="C201" s="2019"/>
      <c r="D201" s="2020">
        <v>9</v>
      </c>
      <c r="E201" s="2021" t="s">
        <v>2803</v>
      </c>
      <c r="F201" s="2043"/>
      <c r="G201" s="662">
        <f t="shared" si="3"/>
        <v>0</v>
      </c>
      <c r="H201" s="2036"/>
      <c r="I201" s="3322"/>
      <c r="J201" s="2036"/>
      <c r="K201" s="3322"/>
      <c r="L201" s="2036"/>
      <c r="M201" s="3322"/>
      <c r="N201" s="2036"/>
      <c r="O201" s="3322"/>
      <c r="P201" s="2036"/>
      <c r="Q201" s="3322"/>
      <c r="R201" s="2036"/>
      <c r="S201" s="3322"/>
    </row>
    <row r="202" spans="1:19">
      <c r="A202" s="2037"/>
      <c r="B202" s="3330" t="s">
        <v>6896</v>
      </c>
      <c r="C202" s="2019"/>
      <c r="D202" s="2020">
        <v>9</v>
      </c>
      <c r="E202" s="2021" t="s">
        <v>2803</v>
      </c>
      <c r="F202" s="2043"/>
      <c r="G202" s="662">
        <f t="shared" si="3"/>
        <v>0</v>
      </c>
      <c r="H202" s="2036"/>
      <c r="I202" s="3322"/>
      <c r="J202" s="2036"/>
      <c r="K202" s="3322"/>
      <c r="L202" s="2036"/>
      <c r="M202" s="3322"/>
      <c r="N202" s="2036"/>
      <c r="O202" s="3322"/>
      <c r="P202" s="2036"/>
      <c r="Q202" s="3322"/>
      <c r="R202" s="2036"/>
      <c r="S202" s="3322"/>
    </row>
    <row r="203" spans="1:19">
      <c r="A203" s="2037"/>
      <c r="B203" s="3330" t="s">
        <v>6854</v>
      </c>
      <c r="C203" s="2019"/>
      <c r="D203" s="2020">
        <v>2</v>
      </c>
      <c r="E203" s="2021" t="s">
        <v>2803</v>
      </c>
      <c r="F203" s="2043"/>
      <c r="G203" s="662">
        <f t="shared" si="3"/>
        <v>0</v>
      </c>
      <c r="H203" s="2036"/>
      <c r="I203" s="3322"/>
      <c r="J203" s="2036"/>
      <c r="K203" s="3322"/>
      <c r="L203" s="2036"/>
      <c r="M203" s="3322"/>
      <c r="N203" s="2036"/>
      <c r="O203" s="3322"/>
      <c r="P203" s="2036"/>
      <c r="Q203" s="3322"/>
      <c r="R203" s="2036"/>
      <c r="S203" s="3322"/>
    </row>
    <row r="204" spans="1:19">
      <c r="A204" s="2037"/>
      <c r="B204" s="3328"/>
      <c r="C204" s="2019"/>
      <c r="D204" s="2020"/>
      <c r="E204" s="2021"/>
      <c r="F204" s="2043"/>
      <c r="G204" s="662">
        <f t="shared" ref="G204:G206" si="4">ROUND(D204*F204,0)</f>
        <v>0</v>
      </c>
      <c r="H204" s="2036"/>
      <c r="I204" s="3322"/>
      <c r="J204" s="2036"/>
      <c r="K204" s="3322"/>
      <c r="L204" s="2036"/>
      <c r="M204" s="3322"/>
      <c r="N204" s="2036"/>
      <c r="O204" s="3322"/>
      <c r="P204" s="2036"/>
      <c r="Q204" s="3322"/>
      <c r="R204" s="2036"/>
      <c r="S204" s="3322"/>
    </row>
    <row r="205" spans="1:19">
      <c r="A205" s="2037"/>
      <c r="B205" s="3328" t="s">
        <v>6413</v>
      </c>
      <c r="C205" s="2019"/>
      <c r="D205" s="2020"/>
      <c r="E205" s="2021"/>
      <c r="F205" s="2043"/>
      <c r="G205" s="662">
        <f t="shared" si="4"/>
        <v>0</v>
      </c>
      <c r="H205" s="2036"/>
      <c r="I205" s="3322"/>
      <c r="J205" s="2036"/>
      <c r="K205" s="3322"/>
      <c r="L205" s="2036"/>
      <c r="M205" s="3322">
        <f>SUM(M190:M204)*0.01</f>
        <v>274.37740000000002</v>
      </c>
      <c r="N205" s="2036"/>
      <c r="O205" s="3322"/>
      <c r="P205" s="2036"/>
      <c r="Q205" s="3322"/>
      <c r="R205" s="2036"/>
      <c r="S205" s="3322"/>
    </row>
    <row r="206" spans="1:19" s="175" customFormat="1" ht="96">
      <c r="A206" s="2037"/>
      <c r="B206" s="3338" t="s">
        <v>6892</v>
      </c>
      <c r="C206" s="3339"/>
      <c r="D206" s="3340">
        <v>1</v>
      </c>
      <c r="E206" s="3341" t="s">
        <v>6820</v>
      </c>
      <c r="F206" s="3342"/>
      <c r="G206" s="668">
        <f t="shared" si="4"/>
        <v>0</v>
      </c>
      <c r="H206" s="3343"/>
      <c r="I206" s="3344"/>
      <c r="J206" s="3343"/>
      <c r="K206" s="3344"/>
      <c r="L206" s="3343"/>
      <c r="M206" s="3344"/>
      <c r="N206" s="3343"/>
      <c r="O206" s="3344"/>
      <c r="P206" s="3343"/>
      <c r="Q206" s="3344"/>
      <c r="R206" s="3343"/>
      <c r="S206" s="3344"/>
    </row>
    <row r="207" spans="1:19">
      <c r="A207" s="2037"/>
      <c r="B207" s="3328" t="s">
        <v>4902</v>
      </c>
      <c r="C207" s="2019"/>
      <c r="D207" s="2020"/>
      <c r="E207" s="2021"/>
      <c r="F207" s="2043"/>
      <c r="G207" s="662"/>
      <c r="H207" s="2036"/>
      <c r="I207" s="3322"/>
      <c r="J207" s="2036"/>
      <c r="K207" s="3322"/>
      <c r="L207" s="2036"/>
      <c r="M207" s="3322">
        <f>SUM(M190:M205)*0.07</f>
        <v>1939.8482180000003</v>
      </c>
      <c r="N207" s="2036"/>
      <c r="O207" s="3322"/>
      <c r="P207" s="2036"/>
      <c r="Q207" s="3322"/>
      <c r="R207" s="2036"/>
      <c r="S207" s="3322"/>
    </row>
    <row r="208" spans="1:19">
      <c r="A208" s="2037"/>
      <c r="B208" s="3328"/>
      <c r="C208" s="2019"/>
      <c r="D208" s="2020"/>
      <c r="E208" s="2021"/>
      <c r="F208" s="2043"/>
      <c r="G208" s="662">
        <f t="shared" si="3"/>
        <v>0</v>
      </c>
      <c r="H208" s="2036"/>
      <c r="I208" s="3322"/>
      <c r="J208" s="2036"/>
      <c r="K208" s="3322"/>
      <c r="L208" s="2036"/>
      <c r="M208" s="3322"/>
      <c r="N208" s="2036"/>
      <c r="O208" s="3322"/>
      <c r="P208" s="2036"/>
      <c r="Q208" s="3322"/>
      <c r="R208" s="2036"/>
      <c r="S208" s="3322"/>
    </row>
    <row r="209" spans="1:30">
      <c r="A209" s="2037"/>
      <c r="B209" s="452" t="s">
        <v>6425</v>
      </c>
      <c r="C209" s="2019"/>
      <c r="D209" s="2020"/>
      <c r="E209" s="2021"/>
      <c r="F209" s="2043"/>
      <c r="G209" s="662">
        <f>ROUND(D209*F209,0)</f>
        <v>0</v>
      </c>
      <c r="H209" s="2036"/>
      <c r="I209" s="3329">
        <f>SUBTOTAL(9,I210:I225)</f>
        <v>81614.28</v>
      </c>
      <c r="J209" s="2036"/>
      <c r="K209" s="3329">
        <f>SUBTOTAL(9,K210:K225)</f>
        <v>58370.42</v>
      </c>
      <c r="L209" s="2036"/>
      <c r="M209" s="3329">
        <f>SUBTOTAL(9,M210:M225)</f>
        <v>75196.786542000002</v>
      </c>
      <c r="N209" s="2036"/>
      <c r="O209" s="3329">
        <f>SUBTOTAL(9,O210:O225)</f>
        <v>132999.69</v>
      </c>
      <c r="P209" s="2036"/>
      <c r="Q209" s="3329">
        <f>SUBTOTAL(9,Q210:Q225)</f>
        <v>0</v>
      </c>
      <c r="R209" s="2036"/>
      <c r="S209" s="3329">
        <f>SUBTOTAL(9,S210:S225)</f>
        <v>0</v>
      </c>
      <c r="AD209" t="s">
        <v>2795</v>
      </c>
    </row>
    <row r="210" spans="1:30">
      <c r="A210" s="2037"/>
      <c r="B210" s="3328" t="s">
        <v>2994</v>
      </c>
      <c r="C210" s="2019"/>
      <c r="D210" s="2044"/>
      <c r="E210" s="2021"/>
      <c r="F210" s="1979"/>
      <c r="G210" s="660"/>
      <c r="H210" s="2036"/>
      <c r="I210" s="3322">
        <v>81614.28</v>
      </c>
      <c r="J210" s="2036"/>
      <c r="K210" s="3322">
        <v>58370.42</v>
      </c>
      <c r="L210" s="2036"/>
      <c r="M210" s="3322">
        <v>66326.12</v>
      </c>
      <c r="N210" s="2036"/>
      <c r="O210" s="3322">
        <v>132999.69</v>
      </c>
      <c r="P210" s="2036"/>
      <c r="Q210" s="3322"/>
      <c r="R210" s="2036"/>
      <c r="S210" s="3322"/>
    </row>
    <row r="211" spans="1:30">
      <c r="A211" s="2037"/>
      <c r="B211" s="3330" t="s">
        <v>6854</v>
      </c>
      <c r="C211" s="2019"/>
      <c r="D211" s="2020">
        <v>11</v>
      </c>
      <c r="E211" s="2021" t="s">
        <v>2803</v>
      </c>
      <c r="F211" s="2043"/>
      <c r="G211" s="662">
        <f t="shared" si="3"/>
        <v>0</v>
      </c>
      <c r="H211" s="2036"/>
      <c r="I211" s="3322"/>
      <c r="J211" s="2036"/>
      <c r="K211" s="3322"/>
      <c r="L211" s="2036"/>
      <c r="M211" s="3322"/>
      <c r="N211" s="2036"/>
      <c r="O211" s="3322"/>
      <c r="P211" s="2036"/>
      <c r="Q211" s="3322"/>
      <c r="R211" s="2036"/>
      <c r="S211" s="3322"/>
    </row>
    <row r="212" spans="1:30">
      <c r="A212" s="2037"/>
      <c r="B212" s="3330" t="s">
        <v>6880</v>
      </c>
      <c r="C212" s="2019"/>
      <c r="D212" s="2020">
        <v>28</v>
      </c>
      <c r="E212" s="2021" t="s">
        <v>2803</v>
      </c>
      <c r="F212" s="2043"/>
      <c r="G212" s="662">
        <f t="shared" si="3"/>
        <v>0</v>
      </c>
      <c r="H212" s="2036"/>
      <c r="I212" s="3322"/>
      <c r="J212" s="2036"/>
      <c r="K212" s="3322"/>
      <c r="L212" s="2036"/>
      <c r="M212" s="3322"/>
      <c r="N212" s="2036"/>
      <c r="O212" s="3322"/>
      <c r="P212" s="2036"/>
      <c r="Q212" s="3322"/>
      <c r="R212" s="2036"/>
      <c r="S212" s="3322"/>
    </row>
    <row r="213" spans="1:30">
      <c r="A213" s="2037"/>
      <c r="B213" s="3330" t="s">
        <v>6879</v>
      </c>
      <c r="C213" s="2019"/>
      <c r="D213" s="2020">
        <v>8</v>
      </c>
      <c r="E213" s="2021" t="s">
        <v>2803</v>
      </c>
      <c r="F213" s="2043"/>
      <c r="G213" s="662">
        <f t="shared" si="3"/>
        <v>0</v>
      </c>
      <c r="H213" s="2036"/>
      <c r="I213" s="3322"/>
      <c r="J213" s="2036"/>
      <c r="K213" s="3322"/>
      <c r="L213" s="2036"/>
      <c r="M213" s="3322"/>
      <c r="N213" s="2036"/>
      <c r="O213" s="3322"/>
      <c r="P213" s="2036"/>
      <c r="Q213" s="3322"/>
      <c r="R213" s="2036"/>
      <c r="S213" s="3322"/>
    </row>
    <row r="214" spans="1:30">
      <c r="A214" s="2037"/>
      <c r="B214" s="3330" t="s">
        <v>6897</v>
      </c>
      <c r="C214" s="2019"/>
      <c r="D214" s="2020">
        <v>4</v>
      </c>
      <c r="E214" s="2021" t="s">
        <v>2803</v>
      </c>
      <c r="F214" s="2043"/>
      <c r="G214" s="662">
        <f t="shared" si="3"/>
        <v>0</v>
      </c>
      <c r="H214" s="2036"/>
      <c r="I214" s="3322"/>
      <c r="J214" s="2036"/>
      <c r="K214" s="3322"/>
      <c r="L214" s="2036"/>
      <c r="M214" s="3322"/>
      <c r="N214" s="2036"/>
      <c r="O214" s="3322"/>
      <c r="P214" s="2036"/>
      <c r="Q214" s="3322"/>
      <c r="R214" s="2036"/>
      <c r="S214" s="3322"/>
    </row>
    <row r="215" spans="1:30">
      <c r="A215" s="2037"/>
      <c r="B215" s="3330" t="s">
        <v>6861</v>
      </c>
      <c r="C215" s="2019"/>
      <c r="D215" s="2020">
        <v>1</v>
      </c>
      <c r="E215" s="2021" t="s">
        <v>2803</v>
      </c>
      <c r="F215" s="2043"/>
      <c r="G215" s="662">
        <f t="shared" si="3"/>
        <v>0</v>
      </c>
      <c r="H215" s="2036"/>
      <c r="I215" s="3322"/>
      <c r="J215" s="2036"/>
      <c r="K215" s="3322"/>
      <c r="L215" s="2036"/>
      <c r="M215" s="3322"/>
      <c r="N215" s="2036"/>
      <c r="O215" s="3322"/>
      <c r="P215" s="2036"/>
      <c r="Q215" s="3322"/>
      <c r="R215" s="2036"/>
      <c r="S215" s="3322"/>
    </row>
    <row r="216" spans="1:30">
      <c r="A216" s="2037"/>
      <c r="B216" s="3332" t="s">
        <v>6898</v>
      </c>
      <c r="C216" s="2019"/>
      <c r="D216" s="2020">
        <v>5</v>
      </c>
      <c r="E216" s="2021" t="s">
        <v>2803</v>
      </c>
      <c r="F216" s="2043"/>
      <c r="G216" s="662">
        <f t="shared" si="3"/>
        <v>0</v>
      </c>
      <c r="H216" s="2036"/>
      <c r="I216" s="3322"/>
      <c r="J216" s="2036"/>
      <c r="K216" s="3322"/>
      <c r="L216" s="2036"/>
      <c r="M216" s="3322"/>
      <c r="N216" s="2036"/>
      <c r="O216" s="3322"/>
      <c r="P216" s="2036"/>
      <c r="Q216" s="3322"/>
      <c r="R216" s="2036"/>
      <c r="S216" s="3322"/>
    </row>
    <row r="217" spans="1:30">
      <c r="A217" s="2037"/>
      <c r="B217" s="3334" t="s">
        <v>6899</v>
      </c>
      <c r="C217" s="2019"/>
      <c r="D217" s="2020">
        <v>7</v>
      </c>
      <c r="E217" s="2021" t="s">
        <v>2803</v>
      </c>
      <c r="F217" s="2043"/>
      <c r="G217" s="662">
        <f t="shared" si="3"/>
        <v>0</v>
      </c>
      <c r="H217" s="2036"/>
      <c r="I217" s="3322"/>
      <c r="J217" s="2036"/>
      <c r="K217" s="3322"/>
      <c r="L217" s="2036"/>
      <c r="M217" s="3322"/>
      <c r="N217" s="2036"/>
      <c r="O217" s="3322"/>
      <c r="P217" s="2036"/>
      <c r="Q217" s="3322"/>
      <c r="R217" s="2036"/>
      <c r="S217" s="3322"/>
    </row>
    <row r="218" spans="1:30">
      <c r="A218" s="2037"/>
      <c r="B218" s="3330" t="s">
        <v>6900</v>
      </c>
      <c r="C218" s="2019"/>
      <c r="D218" s="2020">
        <v>1</v>
      </c>
      <c r="E218" s="2021" t="s">
        <v>2803</v>
      </c>
      <c r="F218" s="2043"/>
      <c r="G218" s="662">
        <f t="shared" si="3"/>
        <v>0</v>
      </c>
      <c r="H218" s="2036"/>
      <c r="I218" s="3322"/>
      <c r="J218" s="2036"/>
      <c r="K218" s="3322"/>
      <c r="L218" s="2036"/>
      <c r="M218" s="3322"/>
      <c r="N218" s="2036"/>
      <c r="O218" s="3322"/>
      <c r="P218" s="2036"/>
      <c r="Q218" s="3322"/>
      <c r="R218" s="2036"/>
      <c r="S218" s="3322"/>
    </row>
    <row r="219" spans="1:30">
      <c r="A219" s="2037"/>
      <c r="B219" s="3328"/>
      <c r="C219" s="2019"/>
      <c r="D219" s="2020"/>
      <c r="E219" s="2021"/>
      <c r="F219" s="2043"/>
      <c r="G219" s="662">
        <f t="shared" si="3"/>
        <v>0</v>
      </c>
      <c r="H219" s="2036"/>
      <c r="I219" s="3322"/>
      <c r="J219" s="2036"/>
      <c r="K219" s="3322"/>
      <c r="L219" s="2036"/>
      <c r="M219" s="3322"/>
      <c r="N219" s="2036"/>
      <c r="O219" s="3322"/>
      <c r="P219" s="2036"/>
      <c r="Q219" s="3322"/>
      <c r="R219" s="2036"/>
      <c r="S219" s="3322"/>
    </row>
    <row r="220" spans="1:30">
      <c r="A220" s="2037"/>
      <c r="B220" s="3328" t="s">
        <v>6413</v>
      </c>
      <c r="C220" s="2019"/>
      <c r="D220" s="2020"/>
      <c r="E220" s="2021"/>
      <c r="F220" s="2043"/>
      <c r="G220" s="662">
        <f t="shared" si="3"/>
        <v>0</v>
      </c>
      <c r="H220" s="2036"/>
      <c r="I220" s="3322"/>
      <c r="J220" s="2036"/>
      <c r="K220" s="3322"/>
      <c r="L220" s="2036"/>
      <c r="M220" s="3322">
        <f>57657.6-M205-M183</f>
        <v>3951.2505999999994</v>
      </c>
      <c r="N220" s="2036"/>
      <c r="O220" s="3322"/>
      <c r="P220" s="2036"/>
      <c r="Q220" s="3322"/>
      <c r="R220" s="2036"/>
      <c r="S220" s="3322"/>
    </row>
    <row r="221" spans="1:30" s="175" customFormat="1" ht="96">
      <c r="A221" s="2037"/>
      <c r="B221" s="3338" t="s">
        <v>6892</v>
      </c>
      <c r="C221" s="3339"/>
      <c r="D221" s="3340">
        <v>1</v>
      </c>
      <c r="E221" s="3341" t="s">
        <v>6820</v>
      </c>
      <c r="F221" s="3342"/>
      <c r="G221" s="668">
        <f t="shared" si="3"/>
        <v>0</v>
      </c>
      <c r="H221" s="3343"/>
      <c r="I221" s="3344"/>
      <c r="J221" s="3343"/>
      <c r="K221" s="3344"/>
      <c r="L221" s="3343"/>
      <c r="M221" s="3344"/>
      <c r="N221" s="3343"/>
      <c r="O221" s="3344"/>
      <c r="P221" s="3343"/>
      <c r="Q221" s="3344"/>
      <c r="R221" s="3343"/>
      <c r="S221" s="3344"/>
    </row>
    <row r="222" spans="1:30">
      <c r="A222" s="2037"/>
      <c r="B222" s="3328" t="s">
        <v>4902</v>
      </c>
      <c r="C222" s="2019"/>
      <c r="D222" s="2020"/>
      <c r="E222" s="2021"/>
      <c r="F222" s="2043"/>
      <c r="G222" s="662"/>
      <c r="H222" s="2036"/>
      <c r="I222" s="3322"/>
      <c r="J222" s="2036"/>
      <c r="K222" s="3322"/>
      <c r="L222" s="2036"/>
      <c r="M222" s="3322">
        <f>SUM(M210:M221)*0.07</f>
        <v>4919.4159420000005</v>
      </c>
      <c r="N222" s="2036"/>
      <c r="O222" s="3322"/>
      <c r="P222" s="2036"/>
      <c r="Q222" s="3322"/>
      <c r="R222" s="2036"/>
      <c r="S222" s="3322"/>
    </row>
    <row r="223" spans="1:30">
      <c r="A223" s="2037"/>
      <c r="B223" s="3328"/>
      <c r="C223" s="2019"/>
      <c r="D223" s="2020"/>
      <c r="E223" s="2021"/>
      <c r="F223" s="2043"/>
      <c r="G223" s="668">
        <f t="shared" si="3"/>
        <v>0</v>
      </c>
      <c r="H223" s="2036"/>
      <c r="I223" s="3322"/>
      <c r="J223" s="2036"/>
      <c r="K223" s="3322"/>
      <c r="L223" s="2036"/>
      <c r="M223" s="3322"/>
      <c r="N223" s="2036"/>
      <c r="O223" s="3322"/>
      <c r="P223" s="2036"/>
      <c r="Q223" s="3322"/>
      <c r="R223" s="2036"/>
      <c r="S223" s="3322"/>
    </row>
    <row r="224" spans="1:30">
      <c r="A224" s="2037"/>
      <c r="B224" s="3345" t="s">
        <v>6828</v>
      </c>
      <c r="C224" s="2019"/>
      <c r="D224" s="2020"/>
      <c r="E224" s="2021"/>
      <c r="F224" s="2043"/>
      <c r="G224" s="662">
        <f t="shared" si="3"/>
        <v>0</v>
      </c>
      <c r="H224" s="2036"/>
      <c r="I224" s="3322"/>
      <c r="J224" s="2036"/>
      <c r="K224" s="3346"/>
      <c r="L224" s="2036"/>
      <c r="M224" s="3322"/>
      <c r="N224" s="2036"/>
      <c r="O224" s="3322"/>
      <c r="P224" s="2036"/>
      <c r="Q224" s="3322"/>
      <c r="R224" s="2036"/>
      <c r="S224" s="3322"/>
    </row>
    <row r="225" spans="1:34">
      <c r="A225" s="2037"/>
      <c r="B225" s="3328"/>
      <c r="C225" s="2019"/>
      <c r="D225" s="2020"/>
      <c r="E225" s="2021"/>
      <c r="F225" s="2043"/>
      <c r="G225" s="662">
        <f t="shared" si="3"/>
        <v>0</v>
      </c>
      <c r="H225" s="2036"/>
      <c r="I225" s="3322"/>
      <c r="J225" s="2036"/>
      <c r="K225" s="3322"/>
      <c r="L225" s="2036"/>
      <c r="M225" s="3322"/>
      <c r="N225" s="2036"/>
      <c r="O225" s="3322"/>
      <c r="P225" s="2036"/>
      <c r="Q225" s="3322"/>
      <c r="R225" s="2036"/>
      <c r="S225" s="3322"/>
    </row>
    <row r="226" spans="1:34" ht="15.75" thickBot="1">
      <c r="A226" s="2037"/>
      <c r="B226" s="3347"/>
      <c r="C226" s="3348"/>
      <c r="D226" s="3349"/>
      <c r="E226" s="2021"/>
      <c r="F226" s="1979"/>
      <c r="G226" s="662"/>
      <c r="H226" s="2036"/>
      <c r="I226" s="3322"/>
      <c r="J226" s="2036"/>
      <c r="K226" s="3322"/>
      <c r="L226" s="2036"/>
      <c r="M226" s="3322"/>
      <c r="N226" s="2036"/>
      <c r="O226" s="3322"/>
      <c r="P226" s="2036"/>
      <c r="Q226" s="3322"/>
      <c r="R226" s="2036"/>
      <c r="S226" s="3322"/>
    </row>
    <row r="227" spans="1:34" ht="15.75" thickTop="1">
      <c r="A227" s="13"/>
      <c r="B227" s="226" t="s">
        <v>3265</v>
      </c>
      <c r="C227" s="15"/>
      <c r="D227" s="453"/>
      <c r="E227" s="176"/>
      <c r="F227" s="17"/>
      <c r="G227" s="227">
        <f>SUBTOTAL(9,G21:G226)</f>
        <v>0</v>
      </c>
      <c r="H227" s="19"/>
      <c r="I227" s="225">
        <f>SUBTOTAL(9,I20:I226)</f>
        <v>843804.5</v>
      </c>
      <c r="J227" s="19"/>
      <c r="K227" s="225">
        <f>SUBTOTAL(9,K20:K226)</f>
        <v>476259.51000000007</v>
      </c>
      <c r="L227" s="19"/>
      <c r="M227" s="225">
        <f>SUBTOTAL(9,M20:M226)</f>
        <v>733743.06259999995</v>
      </c>
      <c r="N227" s="19"/>
      <c r="O227" s="225">
        <f>SUBTOTAL(9,O20:O226)</f>
        <v>946485.87999999989</v>
      </c>
      <c r="P227" s="19"/>
      <c r="Q227" s="225">
        <f>SUBTOTAL(9,Q20:Q226)</f>
        <v>0</v>
      </c>
      <c r="R227" s="19"/>
      <c r="S227" s="225">
        <f>SUBTOTAL(9,S20:S226)</f>
        <v>0</v>
      </c>
    </row>
    <row r="228" spans="1:34">
      <c r="A228" s="3350"/>
      <c r="B228" s="3351" t="s">
        <v>2976</v>
      </c>
      <c r="C228" s="3352"/>
      <c r="D228" s="3353"/>
      <c r="E228" s="3354"/>
      <c r="F228" s="3355"/>
      <c r="G228" s="654"/>
      <c r="H228" s="3356">
        <v>0</v>
      </c>
      <c r="I228" s="645"/>
      <c r="J228" s="3356">
        <v>0</v>
      </c>
      <c r="K228" s="645"/>
      <c r="L228" s="3356">
        <v>0</v>
      </c>
      <c r="M228" s="645"/>
      <c r="N228" s="3356">
        <v>0</v>
      </c>
      <c r="O228" s="645"/>
      <c r="P228" s="3356">
        <v>0</v>
      </c>
      <c r="Q228" s="645"/>
      <c r="R228" s="3356">
        <v>0</v>
      </c>
      <c r="S228" s="645"/>
    </row>
    <row r="229" spans="1:34">
      <c r="A229" s="3350"/>
      <c r="B229" s="3351" t="s">
        <v>2977</v>
      </c>
      <c r="C229" s="3352"/>
      <c r="D229" s="3353"/>
      <c r="E229" s="3354"/>
      <c r="F229" s="3355"/>
      <c r="G229" s="654">
        <f>F228*G227</f>
        <v>0</v>
      </c>
      <c r="H229" s="3357"/>
      <c r="I229" s="3358">
        <f>H228*I227</f>
        <v>0</v>
      </c>
      <c r="J229" s="3357"/>
      <c r="K229" s="3358">
        <f>J228*K227</f>
        <v>0</v>
      </c>
      <c r="L229" s="3357"/>
      <c r="M229" s="3358">
        <f>L228*M227</f>
        <v>0</v>
      </c>
      <c r="N229" s="3357"/>
      <c r="O229" s="3358">
        <f>N228*O227</f>
        <v>0</v>
      </c>
      <c r="P229" s="3357"/>
      <c r="Q229" s="3358">
        <f>P228*Q227</f>
        <v>0</v>
      </c>
      <c r="R229" s="3357"/>
      <c r="S229" s="3358">
        <f>R228*S227</f>
        <v>0</v>
      </c>
    </row>
    <row r="230" spans="1:34">
      <c r="A230" s="3350"/>
      <c r="B230" s="3351"/>
      <c r="C230" s="3352"/>
      <c r="D230" s="3353"/>
      <c r="E230" s="3354"/>
      <c r="F230" s="3355"/>
      <c r="G230" s="654"/>
      <c r="H230" s="3357"/>
      <c r="I230" s="3358"/>
      <c r="J230" s="3357"/>
      <c r="K230" s="3358"/>
      <c r="L230" s="3357"/>
      <c r="M230" s="3358"/>
      <c r="N230" s="3357"/>
      <c r="O230" s="3358"/>
      <c r="P230" s="3357"/>
      <c r="Q230" s="3358"/>
      <c r="R230" s="3357"/>
      <c r="S230" s="3358"/>
    </row>
    <row r="231" spans="1:34">
      <c r="A231" s="3350"/>
      <c r="B231" s="3351" t="s">
        <v>2978</v>
      </c>
      <c r="C231" s="3352"/>
      <c r="D231" s="3353"/>
      <c r="E231" s="3354"/>
      <c r="F231" s="3355"/>
      <c r="G231" s="654">
        <f>SUM(G227:G229)</f>
        <v>0</v>
      </c>
      <c r="H231" s="3359"/>
      <c r="I231" s="3358">
        <f>SUM(I227:I229)</f>
        <v>843804.5</v>
      </c>
      <c r="J231" s="3359"/>
      <c r="K231" s="3358">
        <f>SUM(K227:K229)</f>
        <v>476259.51000000007</v>
      </c>
      <c r="L231" s="3359"/>
      <c r="M231" s="3358">
        <f>SUM(M227:M229)</f>
        <v>733743.06259999995</v>
      </c>
      <c r="N231" s="3359"/>
      <c r="O231" s="3358">
        <f>SUM(O227:O229)</f>
        <v>946485.87999999989</v>
      </c>
      <c r="P231" s="3359"/>
      <c r="Q231" s="3358">
        <f>SUM(Q227:Q229)</f>
        <v>0</v>
      </c>
      <c r="R231" s="3359"/>
      <c r="S231" s="3358">
        <f>SUM(S227:S229)</f>
        <v>0</v>
      </c>
    </row>
    <row r="232" spans="1:34">
      <c r="A232" s="3350"/>
      <c r="B232" s="3360" t="s">
        <v>2979</v>
      </c>
      <c r="C232" s="3352"/>
      <c r="D232" s="3353"/>
      <c r="E232" s="3354"/>
      <c r="F232" s="3360"/>
      <c r="G232" s="655">
        <v>0</v>
      </c>
      <c r="H232" s="3361"/>
      <c r="I232" s="3362">
        <v>0</v>
      </c>
      <c r="J232" s="3361"/>
      <c r="K232" s="3362">
        <v>0</v>
      </c>
      <c r="L232" s="3361"/>
      <c r="M232" s="3362">
        <v>0</v>
      </c>
      <c r="N232" s="3361"/>
      <c r="O232" s="3362">
        <v>0</v>
      </c>
      <c r="P232" s="3361"/>
      <c r="Q232" s="3362">
        <v>0</v>
      </c>
      <c r="R232" s="3363"/>
      <c r="S232" s="3362">
        <v>0</v>
      </c>
    </row>
    <row r="233" spans="1:34">
      <c r="A233" s="3350"/>
      <c r="B233" s="3364"/>
      <c r="C233" s="3352"/>
      <c r="D233" s="3353"/>
      <c r="E233" s="3354"/>
      <c r="F233" s="3355"/>
      <c r="G233" s="656"/>
      <c r="H233" s="3365"/>
      <c r="I233" s="3365"/>
      <c r="J233" s="3365"/>
      <c r="K233" s="3366"/>
      <c r="L233" s="3365"/>
      <c r="M233" s="3365"/>
      <c r="N233" s="3365"/>
      <c r="O233" s="3365"/>
      <c r="P233" s="3365"/>
      <c r="Q233" s="3365"/>
      <c r="R233" s="3365"/>
      <c r="S233" s="3365"/>
    </row>
    <row r="234" spans="1:34" ht="16.5" hidden="1" thickTop="1" thickBot="1">
      <c r="A234" s="830" t="s">
        <v>2980</v>
      </c>
      <c r="B234" s="831"/>
      <c r="C234" s="12"/>
      <c r="D234" s="456"/>
      <c r="E234" s="177"/>
      <c r="F234" s="12"/>
      <c r="G234" s="228"/>
      <c r="H234" s="20"/>
      <c r="I234" s="20"/>
      <c r="J234" s="20"/>
      <c r="K234" s="20"/>
      <c r="L234" s="20"/>
      <c r="M234" s="20"/>
      <c r="N234" s="20"/>
      <c r="O234" s="20"/>
      <c r="P234" s="20"/>
      <c r="Q234" s="20"/>
      <c r="R234" s="20"/>
      <c r="S234" s="20"/>
    </row>
    <row r="235" spans="1:34" hidden="1">
      <c r="A235" s="3297"/>
      <c r="B235" s="2018"/>
      <c r="C235" s="3298"/>
      <c r="D235" s="3299"/>
      <c r="E235" s="3300"/>
      <c r="F235" s="3298"/>
      <c r="G235" s="3367"/>
      <c r="H235" s="3302"/>
      <c r="I235" s="3368"/>
      <c r="J235" s="3302"/>
      <c r="K235" s="3302"/>
      <c r="L235" s="3302"/>
      <c r="M235" s="3302"/>
      <c r="N235" s="3302"/>
      <c r="O235" s="3302"/>
      <c r="P235" s="3302"/>
      <c r="Q235" s="3302"/>
      <c r="R235" s="3302"/>
      <c r="S235" s="3302"/>
    </row>
    <row r="236" spans="1:34" hidden="1">
      <c r="A236" s="3297"/>
      <c r="B236" s="2018"/>
      <c r="C236" s="3298"/>
      <c r="D236" s="3299"/>
      <c r="E236" s="3300"/>
      <c r="F236" s="3298"/>
      <c r="G236" s="3367"/>
      <c r="H236" s="3302"/>
      <c r="I236" s="3368"/>
      <c r="J236" s="3302"/>
      <c r="K236" s="3302"/>
      <c r="L236" s="3302"/>
      <c r="M236" s="3302"/>
      <c r="N236" s="3302"/>
      <c r="O236" s="3302"/>
      <c r="P236" s="3302"/>
      <c r="Q236" s="3302"/>
      <c r="R236" s="3302"/>
      <c r="S236" s="3302"/>
    </row>
    <row r="237" spans="1:34" hidden="1">
      <c r="A237" s="3297"/>
      <c r="B237" s="2018"/>
      <c r="C237" s="3298"/>
      <c r="D237" s="3299"/>
      <c r="E237" s="3300"/>
      <c r="F237" s="3298"/>
      <c r="G237" s="3367"/>
      <c r="H237" s="3302"/>
      <c r="I237" s="3368"/>
      <c r="J237" s="3302"/>
      <c r="K237" s="3302"/>
      <c r="L237" s="3302"/>
      <c r="M237" s="3302"/>
      <c r="N237" s="3302"/>
      <c r="O237" s="3302"/>
      <c r="P237" s="3302"/>
      <c r="Q237" s="3302"/>
      <c r="R237" s="3302"/>
      <c r="S237" s="3302"/>
    </row>
    <row r="238" spans="1:34" s="2" customFormat="1" ht="16.5" hidden="1" thickTop="1" thickBot="1">
      <c r="A238" s="830" t="s">
        <v>2981</v>
      </c>
      <c r="B238" s="831"/>
      <c r="C238" s="12"/>
      <c r="D238" s="456"/>
      <c r="E238" s="177"/>
      <c r="F238" s="12"/>
      <c r="G238" s="228"/>
      <c r="H238" s="20"/>
      <c r="I238" s="20"/>
      <c r="J238" s="20"/>
      <c r="K238" s="20"/>
      <c r="L238" s="20"/>
      <c r="M238" s="20"/>
      <c r="N238" s="20"/>
      <c r="O238" s="20"/>
      <c r="P238" s="20"/>
      <c r="Q238" s="20"/>
      <c r="R238" s="20"/>
      <c r="S238" s="20"/>
      <c r="T238"/>
      <c r="U238"/>
      <c r="V238"/>
      <c r="W238"/>
      <c r="X238"/>
      <c r="Y238"/>
      <c r="Z238"/>
      <c r="AA238"/>
      <c r="AB238"/>
      <c r="AC238"/>
      <c r="AD238"/>
      <c r="AE238"/>
      <c r="AF238"/>
      <c r="AG238"/>
      <c r="AH238"/>
    </row>
    <row r="239" spans="1:34" s="2" customFormat="1" hidden="1">
      <c r="A239" s="3297"/>
      <c r="B239" s="2018"/>
      <c r="C239" s="3298"/>
      <c r="D239" s="3299"/>
      <c r="E239" s="3300"/>
      <c r="F239" s="3298"/>
      <c r="G239" s="3367"/>
      <c r="H239" s="3302"/>
      <c r="I239" s="3369"/>
      <c r="J239" s="3302"/>
      <c r="K239" s="3302"/>
      <c r="L239" s="3302"/>
      <c r="M239" s="3370"/>
      <c r="N239" s="3302"/>
      <c r="O239" s="3302"/>
      <c r="P239" s="3302"/>
      <c r="Q239" s="3302"/>
      <c r="R239" s="3302"/>
      <c r="S239" s="3302"/>
      <c r="T239"/>
      <c r="U239"/>
      <c r="V239"/>
      <c r="W239"/>
      <c r="X239"/>
      <c r="Y239"/>
      <c r="Z239"/>
      <c r="AA239"/>
      <c r="AB239"/>
      <c r="AC239"/>
      <c r="AD239"/>
      <c r="AE239"/>
      <c r="AF239"/>
      <c r="AG239"/>
      <c r="AH239"/>
    </row>
    <row r="240" spans="1:34" s="2" customFormat="1" hidden="1">
      <c r="A240" s="3297"/>
      <c r="B240" s="2018"/>
      <c r="C240" s="3298"/>
      <c r="D240" s="3299"/>
      <c r="E240" s="3300"/>
      <c r="F240" s="3298"/>
      <c r="G240" s="3367"/>
      <c r="H240" s="3302"/>
      <c r="I240" s="3302"/>
      <c r="J240" s="3302"/>
      <c r="K240" s="3302"/>
      <c r="L240" s="3302"/>
      <c r="M240" s="3302"/>
      <c r="N240" s="3302"/>
      <c r="O240" s="3302"/>
      <c r="P240" s="3302"/>
      <c r="Q240" s="3302"/>
      <c r="R240" s="3302"/>
      <c r="S240" s="3302"/>
      <c r="T240"/>
      <c r="U240"/>
      <c r="V240"/>
      <c r="W240"/>
      <c r="X240"/>
      <c r="Y240"/>
      <c r="Z240"/>
      <c r="AA240"/>
      <c r="AB240"/>
      <c r="AC240"/>
      <c r="AD240"/>
      <c r="AE240"/>
      <c r="AF240"/>
      <c r="AG240"/>
      <c r="AH240"/>
    </row>
    <row r="241" spans="1:34" hidden="1">
      <c r="A241" s="3297"/>
      <c r="B241" s="2018"/>
      <c r="C241" s="3298"/>
      <c r="D241" s="3299"/>
      <c r="E241" s="3300"/>
      <c r="F241" s="3298"/>
      <c r="G241" s="3367"/>
      <c r="H241" s="3302"/>
      <c r="I241" s="3302"/>
      <c r="J241" s="3302"/>
      <c r="K241" s="3302"/>
      <c r="L241" s="3302"/>
      <c r="M241" s="3302"/>
      <c r="N241" s="3302"/>
      <c r="O241" s="3302"/>
      <c r="P241" s="3302"/>
      <c r="Q241" s="3302"/>
      <c r="R241" s="3302"/>
      <c r="S241" s="3302"/>
    </row>
    <row r="242" spans="1:34" s="2" customFormat="1" ht="16.5" hidden="1" thickTop="1" thickBot="1">
      <c r="A242" s="830" t="s">
        <v>2982</v>
      </c>
      <c r="B242" s="831"/>
      <c r="C242" s="12"/>
      <c r="D242" s="456"/>
      <c r="E242" s="177"/>
      <c r="F242" s="12"/>
      <c r="G242" s="228"/>
      <c r="H242" s="20"/>
      <c r="I242" s="20"/>
      <c r="J242" s="20"/>
      <c r="K242" s="20"/>
      <c r="L242" s="20"/>
      <c r="M242" s="20"/>
      <c r="N242" s="20"/>
      <c r="O242" s="20"/>
      <c r="P242" s="20"/>
      <c r="Q242" s="20"/>
      <c r="R242" s="20"/>
      <c r="S242" s="20"/>
      <c r="T242"/>
      <c r="U242"/>
      <c r="V242"/>
      <c r="W242"/>
      <c r="X242"/>
      <c r="Y242"/>
      <c r="Z242"/>
      <c r="AA242"/>
      <c r="AB242"/>
      <c r="AC242"/>
      <c r="AD242"/>
      <c r="AE242"/>
      <c r="AF242"/>
      <c r="AG242"/>
      <c r="AH242"/>
    </row>
    <row r="243" spans="1:34" s="2" customFormat="1" hidden="1">
      <c r="A243" s="3297"/>
      <c r="B243" s="2018"/>
      <c r="C243" s="3298"/>
      <c r="D243" s="3299"/>
      <c r="E243" s="3300"/>
      <c r="F243" s="3298"/>
      <c r="G243" s="3367"/>
      <c r="H243" s="3302"/>
      <c r="I243" s="3302"/>
      <c r="J243" s="3302"/>
      <c r="K243" s="3302"/>
      <c r="L243" s="3302"/>
      <c r="M243" s="3302"/>
      <c r="N243" s="3302"/>
      <c r="O243" s="3302"/>
      <c r="P243" s="3302"/>
      <c r="Q243" s="3302"/>
      <c r="R243" s="3302"/>
      <c r="S243" s="3302"/>
      <c r="T243"/>
      <c r="U243"/>
      <c r="V243"/>
      <c r="W243"/>
      <c r="X243"/>
      <c r="Y243"/>
      <c r="Z243"/>
      <c r="AA243"/>
      <c r="AB243"/>
      <c r="AC243"/>
      <c r="AD243"/>
      <c r="AE243"/>
      <c r="AF243"/>
      <c r="AG243"/>
      <c r="AH243"/>
    </row>
    <row r="244" spans="1:34" s="2" customFormat="1" hidden="1">
      <c r="A244" s="3371"/>
      <c r="B244" s="2018"/>
      <c r="C244" s="2019"/>
      <c r="D244" s="3310"/>
      <c r="E244" s="2021"/>
      <c r="F244" s="2019"/>
      <c r="G244" s="3372"/>
      <c r="H244" s="3373"/>
      <c r="I244" s="3373"/>
      <c r="J244" s="3373"/>
      <c r="K244" s="3373"/>
      <c r="L244" s="3373"/>
      <c r="M244" s="3373"/>
      <c r="N244" s="3373"/>
      <c r="O244" s="3373"/>
      <c r="P244" s="3373"/>
      <c r="Q244" s="3373"/>
      <c r="R244" s="3373"/>
      <c r="S244" s="3373"/>
      <c r="T244"/>
      <c r="U244"/>
      <c r="V244"/>
      <c r="W244"/>
      <c r="X244"/>
      <c r="Y244"/>
      <c r="Z244"/>
      <c r="AA244"/>
      <c r="AB244"/>
      <c r="AC244"/>
      <c r="AD244"/>
      <c r="AE244"/>
      <c r="AF244"/>
      <c r="AG244"/>
      <c r="AH244"/>
    </row>
    <row r="245" spans="1:34" s="2" customFormat="1" hidden="1">
      <c r="A245" s="3374"/>
      <c r="B245" s="3375"/>
      <c r="C245" s="2019"/>
      <c r="D245" s="3310"/>
      <c r="E245" s="2021"/>
      <c r="F245" s="2019"/>
      <c r="G245" s="3372"/>
      <c r="H245" s="3376"/>
      <c r="I245" s="3376"/>
      <c r="J245" s="3376"/>
      <c r="K245" s="3376"/>
      <c r="L245" s="3376"/>
      <c r="M245" s="3376"/>
      <c r="N245" s="3376"/>
      <c r="O245" s="3376"/>
      <c r="P245" s="3376"/>
      <c r="Q245" s="3376"/>
      <c r="R245" s="3376"/>
      <c r="S245" s="3376"/>
    </row>
    <row r="246" spans="1:34" s="2" customFormat="1" ht="16.5" hidden="1" thickTop="1" thickBot="1">
      <c r="A246" s="830" t="s">
        <v>2983</v>
      </c>
      <c r="B246" s="831"/>
      <c r="C246" s="12"/>
      <c r="D246" s="456"/>
      <c r="E246" s="177"/>
      <c r="F246" s="12"/>
      <c r="G246" s="228"/>
      <c r="H246" s="20"/>
      <c r="I246" s="20"/>
      <c r="J246" s="20"/>
      <c r="K246" s="20"/>
      <c r="L246" s="20"/>
      <c r="M246" s="20"/>
      <c r="N246" s="20"/>
      <c r="O246" s="20"/>
      <c r="P246" s="20"/>
      <c r="Q246" s="20"/>
      <c r="R246" s="20"/>
      <c r="S246" s="20"/>
      <c r="T246"/>
      <c r="U246"/>
      <c r="V246"/>
      <c r="W246"/>
      <c r="X246"/>
      <c r="Y246"/>
      <c r="Z246"/>
      <c r="AA246"/>
      <c r="AB246"/>
      <c r="AC246"/>
      <c r="AD246"/>
      <c r="AE246"/>
      <c r="AF246"/>
      <c r="AG246"/>
      <c r="AH246"/>
    </row>
    <row r="247" spans="1:34" hidden="1">
      <c r="A247" s="3303"/>
      <c r="B247" s="3304"/>
      <c r="C247" s="3298"/>
      <c r="D247" s="3299"/>
      <c r="E247" s="3300"/>
      <c r="F247" s="3298"/>
      <c r="G247" s="3367"/>
      <c r="H247" s="3302"/>
      <c r="I247" s="3302"/>
      <c r="J247" s="3302"/>
      <c r="K247" s="3302"/>
      <c r="L247" s="3302"/>
      <c r="M247" s="3302"/>
      <c r="N247" s="3302"/>
      <c r="O247" s="3302"/>
      <c r="P247" s="3302"/>
      <c r="Q247" s="3302"/>
      <c r="R247" s="3302"/>
      <c r="S247" s="3302"/>
      <c r="T247" s="2"/>
      <c r="U247" s="2"/>
      <c r="V247" s="2"/>
      <c r="W247" s="2"/>
      <c r="X247" s="2"/>
      <c r="Y247" s="2"/>
      <c r="Z247" s="2"/>
      <c r="AA247" s="2"/>
      <c r="AB247" s="2"/>
      <c r="AC247" s="2"/>
      <c r="AD247" s="2"/>
      <c r="AE247" s="2"/>
      <c r="AF247" s="2"/>
      <c r="AG247" s="2"/>
      <c r="AH247" s="2"/>
    </row>
    <row r="248" spans="1:34" hidden="1">
      <c r="A248" s="3374"/>
      <c r="B248" s="3375"/>
      <c r="C248" s="2019"/>
      <c r="D248" s="3310"/>
      <c r="E248" s="2021"/>
      <c r="F248" s="2019"/>
      <c r="G248" s="3372"/>
      <c r="H248" s="3377"/>
      <c r="I248" s="3377"/>
      <c r="J248" s="3377"/>
      <c r="K248" s="3377"/>
      <c r="L248" s="3377"/>
      <c r="M248" s="3377"/>
      <c r="N248" s="3377"/>
      <c r="O248" s="3377"/>
      <c r="P248" s="3377"/>
      <c r="Q248" s="3377"/>
      <c r="R248" s="3377"/>
      <c r="S248" s="3377"/>
      <c r="T248" s="2"/>
      <c r="U248" s="2"/>
      <c r="V248" s="2"/>
      <c r="W248" s="2"/>
      <c r="X248" s="2"/>
      <c r="Y248" s="2"/>
      <c r="Z248" s="2"/>
      <c r="AA248" s="2"/>
      <c r="AB248" s="2"/>
      <c r="AC248" s="2"/>
      <c r="AD248" s="2"/>
      <c r="AE248" s="2"/>
      <c r="AF248" s="2"/>
      <c r="AG248" s="2"/>
      <c r="AH248" s="2"/>
    </row>
    <row r="249" spans="1:34" hidden="1">
      <c r="A249" s="3374"/>
      <c r="B249" s="3375"/>
      <c r="C249" s="2019"/>
      <c r="D249" s="3310"/>
      <c r="E249" s="2021"/>
      <c r="F249" s="2019"/>
      <c r="G249" s="3372"/>
      <c r="H249" s="3377"/>
      <c r="I249" s="3377"/>
      <c r="J249" s="3377"/>
      <c r="K249" s="3377"/>
      <c r="L249" s="3377"/>
      <c r="M249" s="3377"/>
      <c r="N249" s="3377"/>
      <c r="O249" s="3377"/>
      <c r="P249" s="3377"/>
      <c r="Q249" s="3377"/>
      <c r="R249" s="3377"/>
      <c r="S249" s="3377"/>
      <c r="T249" s="2"/>
      <c r="U249" s="2"/>
      <c r="V249" s="2"/>
      <c r="W249" s="2"/>
      <c r="X249" s="2"/>
      <c r="Y249" s="2"/>
      <c r="Z249" s="2"/>
      <c r="AA249" s="2"/>
      <c r="AB249" s="2"/>
      <c r="AC249" s="2"/>
      <c r="AD249" s="2"/>
      <c r="AE249" s="2"/>
      <c r="AF249" s="2"/>
      <c r="AG249" s="2"/>
      <c r="AH249" s="2"/>
    </row>
    <row r="250" spans="1:34" ht="16.5" hidden="1" thickTop="1" thickBot="1">
      <c r="A250" s="830" t="s">
        <v>2984</v>
      </c>
      <c r="B250" s="831"/>
      <c r="C250" s="12"/>
      <c r="D250" s="456"/>
      <c r="E250" s="177"/>
      <c r="F250" s="12"/>
      <c r="G250" s="228"/>
      <c r="H250" s="20"/>
      <c r="I250" s="20"/>
      <c r="J250" s="20"/>
      <c r="K250" s="20"/>
      <c r="L250" s="20"/>
      <c r="M250" s="20"/>
      <c r="N250" s="20"/>
      <c r="O250" s="20"/>
      <c r="P250" s="20"/>
      <c r="Q250" s="20"/>
      <c r="R250" s="20"/>
      <c r="S250" s="20"/>
    </row>
    <row r="251" spans="1:34" hidden="1">
      <c r="A251" s="3371"/>
      <c r="B251" s="2018" t="s">
        <v>2985</v>
      </c>
      <c r="C251" s="2019"/>
      <c r="D251" s="3310"/>
      <c r="E251" s="2021"/>
      <c r="F251" s="2019"/>
      <c r="G251" s="3372"/>
      <c r="H251" s="3377"/>
      <c r="I251" s="3377"/>
      <c r="J251" s="3377"/>
      <c r="K251" s="3377"/>
      <c r="L251" s="3377"/>
      <c r="M251" s="3377"/>
      <c r="N251" s="3377"/>
      <c r="O251" s="3377"/>
      <c r="P251" s="3377"/>
      <c r="Q251" s="3377"/>
      <c r="R251" s="3377"/>
      <c r="S251" s="3377"/>
    </row>
    <row r="252" spans="1:34" hidden="1">
      <c r="A252" s="3371"/>
      <c r="B252" s="2018" t="s">
        <v>2986</v>
      </c>
      <c r="C252" s="2019"/>
      <c r="D252" s="3310"/>
      <c r="E252" s="2021"/>
      <c r="F252" s="2019"/>
      <c r="G252" s="3372"/>
      <c r="H252" s="3377"/>
      <c r="I252" s="3377"/>
      <c r="J252" s="3377"/>
      <c r="K252" s="3377"/>
      <c r="L252" s="3377"/>
      <c r="M252" s="3377"/>
      <c r="N252" s="3377"/>
      <c r="O252" s="3377"/>
      <c r="P252" s="3377"/>
      <c r="Q252" s="3377"/>
      <c r="R252" s="3377"/>
      <c r="S252" s="3377"/>
    </row>
    <row r="253" spans="1:34" hidden="1">
      <c r="A253" s="3371"/>
      <c r="B253" s="2018" t="s">
        <v>2987</v>
      </c>
      <c r="C253" s="2019"/>
      <c r="D253" s="3310"/>
      <c r="E253" s="2021"/>
      <c r="F253" s="2019"/>
      <c r="G253" s="3372"/>
      <c r="H253" s="3377"/>
      <c r="I253" s="3377"/>
      <c r="J253" s="3377"/>
      <c r="K253" s="3377"/>
      <c r="L253" s="3377"/>
      <c r="M253" s="3377"/>
      <c r="N253" s="3377"/>
      <c r="O253" s="3377"/>
      <c r="P253" s="3377"/>
      <c r="Q253" s="3377"/>
      <c r="R253" s="3377"/>
      <c r="S253" s="3377"/>
    </row>
    <row r="254" spans="1:34" hidden="1">
      <c r="A254" s="3371"/>
      <c r="B254" s="2018" t="s">
        <v>2988</v>
      </c>
      <c r="C254" s="2019"/>
      <c r="D254" s="3310"/>
      <c r="E254" s="2021"/>
      <c r="F254" s="2019"/>
      <c r="G254" s="3372"/>
      <c r="H254" s="3377"/>
      <c r="I254" s="3377"/>
      <c r="J254" s="3377"/>
      <c r="K254" s="3377"/>
      <c r="L254" s="3377"/>
      <c r="M254" s="3377"/>
      <c r="N254" s="3377"/>
      <c r="O254" s="3377"/>
      <c r="P254" s="3377"/>
      <c r="Q254" s="3377"/>
      <c r="R254" s="3377"/>
      <c r="S254" s="3377"/>
    </row>
    <row r="255" spans="1:34" hidden="1">
      <c r="A255" s="646"/>
      <c r="B255" s="619"/>
      <c r="C255" s="616"/>
      <c r="D255" s="639"/>
      <c r="E255" s="622"/>
      <c r="F255" s="616"/>
      <c r="G255" s="620"/>
      <c r="H255" s="647"/>
      <c r="I255" s="647"/>
      <c r="J255" s="647"/>
      <c r="K255" s="647"/>
      <c r="L255" s="647"/>
      <c r="M255" s="647"/>
      <c r="N255" s="647"/>
      <c r="O255" s="647"/>
      <c r="P255" s="647"/>
      <c r="Q255" s="647"/>
      <c r="R255" s="647"/>
      <c r="S255" s="647"/>
    </row>
    <row r="256" spans="1:34" ht="16.5" hidden="1" thickTop="1" thickBot="1">
      <c r="A256" s="7" t="s">
        <v>2989</v>
      </c>
      <c r="B256" s="8"/>
      <c r="C256" s="12"/>
      <c r="D256" s="456"/>
      <c r="E256" s="177"/>
      <c r="F256" s="12"/>
      <c r="G256" s="228"/>
      <c r="H256" s="20"/>
      <c r="I256" s="20"/>
      <c r="J256" s="20"/>
      <c r="K256" s="20"/>
      <c r="L256" s="20"/>
      <c r="M256" s="20"/>
      <c r="N256" s="20"/>
      <c r="O256" s="20"/>
      <c r="P256" s="20"/>
      <c r="Q256" s="20"/>
      <c r="R256" s="20"/>
      <c r="S256" s="20"/>
    </row>
    <row r="257" spans="1:19" hidden="1">
      <c r="A257" s="3297"/>
      <c r="B257" s="3305" t="s">
        <v>2990</v>
      </c>
      <c r="C257" s="3298"/>
      <c r="D257" s="3299"/>
      <c r="E257" s="3300"/>
      <c r="F257" s="3298"/>
      <c r="G257" s="3367"/>
      <c r="H257" s="3306"/>
      <c r="I257" s="3306"/>
      <c r="J257" s="3306"/>
      <c r="K257" s="3306"/>
      <c r="L257" s="3306"/>
      <c r="M257" s="3306"/>
      <c r="N257" s="3306"/>
      <c r="O257" s="3306"/>
      <c r="P257" s="3306"/>
      <c r="Q257" s="3306"/>
      <c r="R257" s="3306"/>
      <c r="S257" s="3306"/>
    </row>
    <row r="258" spans="1:19" hidden="1">
      <c r="A258" s="3371"/>
      <c r="B258" s="2018" t="s">
        <v>2991</v>
      </c>
      <c r="C258" s="2019"/>
      <c r="D258" s="3310"/>
      <c r="E258" s="2021"/>
      <c r="F258" s="2019"/>
      <c r="G258" s="3372"/>
      <c r="H258" s="3378"/>
      <c r="I258" s="3378"/>
      <c r="J258" s="3378"/>
      <c r="K258" s="3378"/>
      <c r="L258" s="3378"/>
      <c r="M258" s="3378"/>
      <c r="N258" s="3378"/>
      <c r="O258" s="3378"/>
      <c r="P258" s="3378"/>
      <c r="Q258" s="3378"/>
      <c r="R258" s="3378"/>
      <c r="S258" s="3378"/>
    </row>
    <row r="259" spans="1:19" ht="15.75" hidden="1" thickBot="1">
      <c r="A259" s="1930"/>
      <c r="B259" s="3275" t="s">
        <v>2992</v>
      </c>
      <c r="C259" s="3276"/>
      <c r="D259" s="3379"/>
      <c r="E259" s="1932"/>
      <c r="F259" s="3276"/>
      <c r="G259" s="1933"/>
      <c r="H259" s="1934"/>
      <c r="I259" s="1934"/>
      <c r="J259" s="1934"/>
      <c r="K259" s="1934"/>
      <c r="L259" s="1934"/>
      <c r="M259" s="1934"/>
      <c r="N259" s="1934"/>
      <c r="O259" s="1934"/>
      <c r="P259" s="1934"/>
      <c r="Q259" s="1934"/>
      <c r="R259" s="1934"/>
      <c r="S259" s="1934"/>
    </row>
    <row r="260" spans="1:19" ht="15.75" thickBot="1"/>
    <row r="261" spans="1:19" ht="16.5" thickTop="1" thickBot="1">
      <c r="A261" s="59" t="s">
        <v>2993</v>
      </c>
      <c r="B261" s="61"/>
      <c r="G261" s="533" t="s">
        <v>3584</v>
      </c>
      <c r="I261" s="236">
        <v>843804.5</v>
      </c>
      <c r="J261" s="236"/>
      <c r="L261" s="236"/>
    </row>
    <row r="262" spans="1:19" ht="15.75" thickTop="1">
      <c r="A262" s="60" t="s">
        <v>2936</v>
      </c>
      <c r="B262" s="3380"/>
      <c r="G262" s="534" t="s">
        <v>6829</v>
      </c>
      <c r="I262" s="236"/>
      <c r="J262" s="236"/>
      <c r="L262" s="236"/>
    </row>
    <row r="263" spans="1:19">
      <c r="A263" s="3381" t="s">
        <v>2939</v>
      </c>
      <c r="B263" s="3380"/>
      <c r="G263" s="534" t="s">
        <v>3586</v>
      </c>
      <c r="I263" s="527">
        <f>M134+M140+M157+M174+M202+M217</f>
        <v>0</v>
      </c>
      <c r="J263" s="236"/>
      <c r="L263" s="236"/>
    </row>
    <row r="264" spans="1:19">
      <c r="A264" s="3382" t="s">
        <v>2941</v>
      </c>
      <c r="B264" s="3383"/>
      <c r="G264" s="236"/>
      <c r="I264" s="3309"/>
      <c r="J264" s="236"/>
      <c r="L264" s="236"/>
    </row>
    <row r="265" spans="1:19">
      <c r="A265" s="3382" t="s">
        <v>2943</v>
      </c>
      <c r="B265" s="3384"/>
      <c r="G265" s="534" t="s">
        <v>3589</v>
      </c>
      <c r="I265" s="236">
        <f>SUM(I261:I264)</f>
        <v>843804.5</v>
      </c>
      <c r="J265" s="236"/>
      <c r="L265" s="236"/>
    </row>
    <row r="266" spans="1:19" ht="15.75" thickBot="1">
      <c r="A266" s="1940" t="s">
        <v>2994</v>
      </c>
      <c r="B266" s="1941">
        <f>I231</f>
        <v>843804.5</v>
      </c>
      <c r="G266" s="534" t="s">
        <v>6830</v>
      </c>
      <c r="I266" s="236">
        <f>I227</f>
        <v>843804.5</v>
      </c>
      <c r="J266" s="236"/>
      <c r="K266" s="236"/>
      <c r="L266" s="236"/>
    </row>
    <row r="267" spans="1:19" ht="15.75" thickTop="1">
      <c r="G267" s="534" t="s">
        <v>3591</v>
      </c>
      <c r="I267" s="236">
        <f>I266-I265</f>
        <v>0</v>
      </c>
      <c r="J267" s="236"/>
      <c r="K267" s="236"/>
      <c r="L267" s="236"/>
    </row>
    <row r="268" spans="1:19">
      <c r="A268" s="62"/>
      <c r="B268" s="1" t="s">
        <v>2995</v>
      </c>
      <c r="M268" s="236"/>
    </row>
    <row r="269" spans="1:19">
      <c r="A269" s="63"/>
      <c r="B269" s="1" t="s">
        <v>2996</v>
      </c>
      <c r="I269" s="236">
        <v>446834.23</v>
      </c>
      <c r="M269" s="236"/>
    </row>
    <row r="270" spans="1:19">
      <c r="I270" s="236">
        <v>376222.22</v>
      </c>
      <c r="M270" s="236"/>
    </row>
    <row r="271" spans="1:19">
      <c r="I271" s="236">
        <f>I269-I270</f>
        <v>70612.010000000009</v>
      </c>
      <c r="J271" s="595">
        <f>I271/I270</f>
        <v>0.18768697393790301</v>
      </c>
      <c r="M271" s="236"/>
    </row>
    <row r="272" spans="1:19">
      <c r="I272" s="236"/>
      <c r="M272" s="236"/>
    </row>
    <row r="273" spans="9:9">
      <c r="I273" s="236">
        <v>441974.81</v>
      </c>
    </row>
    <row r="274" spans="9:9">
      <c r="I274" s="236">
        <f>170644.92+110623.28</f>
        <v>281268.2</v>
      </c>
    </row>
    <row r="275" spans="9:9">
      <c r="I275" s="236">
        <f>I273-I274</f>
        <v>160706.60999999999</v>
      </c>
    </row>
    <row r="276" spans="9:9">
      <c r="I276" s="236"/>
    </row>
    <row r="277" spans="9:9">
      <c r="I277" s="236"/>
    </row>
  </sheetData>
  <mergeCells count="35">
    <mergeCell ref="R9:S9"/>
    <mergeCell ref="J8:K8"/>
    <mergeCell ref="H8:I8"/>
    <mergeCell ref="L8:M8"/>
    <mergeCell ref="N8:O8"/>
    <mergeCell ref="P8:Q8"/>
    <mergeCell ref="R8:S8"/>
    <mergeCell ref="J9:K9"/>
    <mergeCell ref="H9:I9"/>
    <mergeCell ref="L9:M9"/>
    <mergeCell ref="N9:O9"/>
    <mergeCell ref="P9:Q9"/>
    <mergeCell ref="R7:S7"/>
    <mergeCell ref="J6:K6"/>
    <mergeCell ref="H6:I6"/>
    <mergeCell ref="L6:M6"/>
    <mergeCell ref="N6:O6"/>
    <mergeCell ref="P6:Q6"/>
    <mergeCell ref="R6:S6"/>
    <mergeCell ref="J7:K7"/>
    <mergeCell ref="H7:I7"/>
    <mergeCell ref="L7:M7"/>
    <mergeCell ref="N7:O7"/>
    <mergeCell ref="P7:Q7"/>
    <mergeCell ref="R5:S5"/>
    <mergeCell ref="J5:K5"/>
    <mergeCell ref="H5:I5"/>
    <mergeCell ref="L5:M5"/>
    <mergeCell ref="N5:O5"/>
    <mergeCell ref="P5:Q5"/>
    <mergeCell ref="A234:B234"/>
    <mergeCell ref="A238:B238"/>
    <mergeCell ref="A242:B242"/>
    <mergeCell ref="A246:B246"/>
    <mergeCell ref="A250:B250"/>
  </mergeCells>
  <conditionalFormatting sqref="H11:H18 J11:J18 L11:L18 N11:N18 P11:P18 R11:R18 H20:H226">
    <cfRule type="cellIs" dxfId="53" priority="13" operator="equal">
      <formula>"X"</formula>
    </cfRule>
    <cfRule type="cellIs" dxfId="52" priority="14" operator="equal">
      <formula>"I"</formula>
    </cfRule>
  </conditionalFormatting>
  <conditionalFormatting sqref="J20:J226 L20:L226 N20:N226 P20:P226 R20:R226">
    <cfRule type="cellIs" dxfId="51" priority="1" operator="equal">
      <formula>"X"</formula>
    </cfRule>
    <cfRule type="cellIs" dxfId="50" priority="2" operator="equal">
      <formula>"I"</formula>
    </cfRule>
  </conditionalFormatting>
  <hyperlinks>
    <hyperlink ref="B4" location="'Cost Summary'!A1" display="BACK TO SUMMARY SHEET" xr:uid="{6B59E627-EA6E-4407-855F-D56FFD29182B}"/>
    <hyperlink ref="J8" r:id="rId1" xr:uid="{06967FE4-6D77-4ACD-99A3-85B081468F91}"/>
    <hyperlink ref="H8" r:id="rId2" xr:uid="{6BA59831-11E3-4376-BF4F-97DB7639943C}"/>
    <hyperlink ref="L8" r:id="rId3" xr:uid="{95A7AC60-5A28-4E69-9DA8-2D92505EF60F}"/>
  </hyperlinks>
  <pageMargins left="0.2" right="0.2" top="0.25" bottom="0.25" header="0.3" footer="0.3"/>
  <pageSetup scale="98" fitToHeight="0" orientation="portrait" r:id="rId4"/>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C579-129E-49DB-909B-6EEDE4E1D771}">
  <sheetPr>
    <tabColor rgb="FF00B050"/>
    <pageSetUpPr fitToPage="1"/>
  </sheetPr>
  <dimension ref="A1:AH93"/>
  <sheetViews>
    <sheetView zoomScale="90" zoomScaleNormal="90" workbookViewId="0">
      <pane ySplit="10" topLeftCell="A14" activePane="bottomLeft" state="frozen"/>
      <selection pane="bottomLeft" activeCell="J8" sqref="J8:K8"/>
      <selection activeCell="M154" sqref="M154"/>
    </sheetView>
  </sheetViews>
  <sheetFormatPr defaultColWidth="8.85546875" defaultRowHeight="15"/>
  <cols>
    <col min="1" max="1" width="10.85546875" customWidth="1"/>
    <col min="2" max="2" width="70.7109375" style="1" customWidth="1"/>
    <col min="3" max="3" width="10.85546875" style="2" hidden="1" customWidth="1"/>
    <col min="4" max="4" width="15.7109375" style="231"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c r="B4" s="181" t="s">
        <v>2933</v>
      </c>
      <c r="F4" s="170"/>
      <c r="G4" s="2" t="s">
        <v>2934</v>
      </c>
    </row>
    <row r="5" spans="1:19">
      <c r="A5" s="3" t="s">
        <v>2935</v>
      </c>
      <c r="B5" s="4" t="s">
        <v>84</v>
      </c>
      <c r="C5" s="5"/>
      <c r="D5" s="232"/>
      <c r="E5" s="171"/>
      <c r="F5" s="5"/>
      <c r="G5" s="6" t="s">
        <v>2936</v>
      </c>
      <c r="H5" s="837" t="s">
        <v>6901</v>
      </c>
      <c r="I5" s="838"/>
      <c r="J5" s="837" t="s">
        <v>6775</v>
      </c>
      <c r="K5" s="838"/>
      <c r="L5" s="841"/>
      <c r="M5" s="842"/>
      <c r="N5" s="841"/>
      <c r="O5" s="842"/>
      <c r="P5" s="841"/>
      <c r="Q5" s="842"/>
      <c r="R5" s="841"/>
      <c r="S5" s="842"/>
    </row>
    <row r="6" spans="1:19">
      <c r="A6" s="3385" t="s">
        <v>2938</v>
      </c>
      <c r="B6" s="3386" t="s">
        <v>2604</v>
      </c>
      <c r="C6" s="3387"/>
      <c r="D6" s="3388"/>
      <c r="E6" s="3389"/>
      <c r="F6" s="3387"/>
      <c r="G6" s="657" t="s">
        <v>2939</v>
      </c>
      <c r="H6" s="3390" t="s">
        <v>6902</v>
      </c>
      <c r="I6" s="839"/>
      <c r="J6" s="3390" t="s">
        <v>6780</v>
      </c>
      <c r="K6" s="839"/>
      <c r="L6" s="3391"/>
      <c r="M6" s="843"/>
      <c r="N6" s="3391"/>
      <c r="O6" s="843"/>
      <c r="P6" s="3391"/>
      <c r="Q6" s="843"/>
      <c r="R6" s="3391"/>
      <c r="S6" s="843"/>
    </row>
    <row r="7" spans="1:19">
      <c r="A7" s="3385" t="s">
        <v>2940</v>
      </c>
      <c r="B7" s="3392" t="s">
        <v>6903</v>
      </c>
      <c r="C7" s="3387"/>
      <c r="D7" s="3388"/>
      <c r="E7" s="3389"/>
      <c r="F7" s="3387"/>
      <c r="G7" s="3393" t="s">
        <v>2941</v>
      </c>
      <c r="H7" s="3394" t="s">
        <v>6904</v>
      </c>
      <c r="I7" s="840"/>
      <c r="J7" s="3394" t="s">
        <v>6783</v>
      </c>
      <c r="K7" s="840"/>
      <c r="L7" s="3395"/>
      <c r="M7" s="844"/>
      <c r="N7" s="3395"/>
      <c r="O7" s="844"/>
      <c r="P7" s="3395"/>
      <c r="Q7" s="844"/>
      <c r="R7" s="3395"/>
      <c r="S7" s="844"/>
    </row>
    <row r="8" spans="1:19">
      <c r="A8" s="3385" t="s">
        <v>2942</v>
      </c>
      <c r="B8" s="3396"/>
      <c r="C8" s="3387"/>
      <c r="D8" s="3388"/>
      <c r="E8" s="3389"/>
      <c r="F8" s="3387"/>
      <c r="G8" s="3393" t="s">
        <v>2943</v>
      </c>
      <c r="H8" s="3397" t="s">
        <v>6905</v>
      </c>
      <c r="I8" s="836"/>
      <c r="J8" s="3397" t="s">
        <v>6786</v>
      </c>
      <c r="K8" s="836"/>
      <c r="L8" s="3397"/>
      <c r="M8" s="836"/>
      <c r="N8" s="3398"/>
      <c r="O8" s="845"/>
      <c r="P8" s="3398"/>
      <c r="Q8" s="845"/>
      <c r="R8" s="3398"/>
      <c r="S8" s="845"/>
    </row>
    <row r="9" spans="1:19">
      <c r="A9" s="1958"/>
      <c r="B9" s="1959"/>
      <c r="C9" s="616"/>
      <c r="D9" s="617"/>
      <c r="E9" s="622"/>
      <c r="F9" s="1960"/>
      <c r="G9" s="1961" t="s">
        <v>2944</v>
      </c>
      <c r="H9" s="1964">
        <f>I$55</f>
        <v>95500</v>
      </c>
      <c r="I9" s="1965"/>
      <c r="J9" s="1962">
        <f>K$55</f>
        <v>53012.07</v>
      </c>
      <c r="K9" s="1963"/>
      <c r="L9" s="1964">
        <f>M$55</f>
        <v>0</v>
      </c>
      <c r="M9" s="1965"/>
      <c r="N9" s="1964">
        <f>O$55</f>
        <v>0</v>
      </c>
      <c r="O9" s="1965"/>
      <c r="P9" s="1964">
        <f>Q$55</f>
        <v>0</v>
      </c>
      <c r="Q9" s="1965"/>
      <c r="R9" s="1964">
        <f>S$55</f>
        <v>0</v>
      </c>
      <c r="S9" s="1965"/>
    </row>
    <row r="10" spans="1:19" s="175" customFormat="1" ht="30">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c r="A11" s="3315"/>
      <c r="B11" s="2889" t="s">
        <v>2953</v>
      </c>
      <c r="C11" s="659"/>
      <c r="D11" s="3388"/>
      <c r="E11" s="3389"/>
      <c r="F11" s="3387"/>
      <c r="G11" s="660"/>
      <c r="H11" s="3399"/>
      <c r="I11" s="182"/>
      <c r="J11" s="3399"/>
      <c r="K11" s="3316"/>
      <c r="L11" s="3399"/>
      <c r="M11" s="3317"/>
      <c r="N11" s="3399"/>
      <c r="O11" s="3317"/>
      <c r="P11" s="3399"/>
      <c r="Q11" s="3317"/>
      <c r="R11" s="3399"/>
      <c r="S11" s="3317"/>
    </row>
    <row r="12" spans="1:19">
      <c r="A12" s="3318"/>
      <c r="B12" s="2963" t="s">
        <v>2954</v>
      </c>
      <c r="C12" s="3387"/>
      <c r="D12" s="3388"/>
      <c r="E12" s="3389"/>
      <c r="F12" s="3387"/>
      <c r="G12" s="660"/>
      <c r="H12" s="3399"/>
      <c r="I12" s="3317"/>
      <c r="J12" s="3399"/>
      <c r="K12" s="3316"/>
      <c r="L12" s="3399"/>
      <c r="M12" s="3317"/>
      <c r="N12" s="3399"/>
      <c r="O12" s="3317"/>
      <c r="P12" s="3399"/>
      <c r="Q12" s="3317"/>
      <c r="R12" s="3399"/>
      <c r="S12" s="3317"/>
    </row>
    <row r="13" spans="1:19">
      <c r="A13" s="3400"/>
      <c r="B13" s="3319" t="s">
        <v>2955</v>
      </c>
      <c r="C13" s="3387"/>
      <c r="D13" s="3388"/>
      <c r="E13" s="3389"/>
      <c r="F13" s="3387"/>
      <c r="G13" s="660"/>
      <c r="H13" s="3399"/>
      <c r="I13" s="3317"/>
      <c r="J13" s="3399"/>
      <c r="K13" s="3316"/>
      <c r="L13" s="3399"/>
      <c r="M13" s="3317"/>
      <c r="N13" s="3399"/>
      <c r="O13" s="3317"/>
      <c r="P13" s="3399"/>
      <c r="Q13" s="3317"/>
      <c r="R13" s="3399"/>
      <c r="S13" s="3317"/>
    </row>
    <row r="14" spans="1:19">
      <c r="A14" s="3400"/>
      <c r="B14" s="3321" t="s">
        <v>2956</v>
      </c>
      <c r="C14" s="3387"/>
      <c r="D14" s="3388"/>
      <c r="E14" s="3389"/>
      <c r="F14" s="3387"/>
      <c r="G14" s="660"/>
      <c r="H14" s="3399"/>
      <c r="I14" s="3317"/>
      <c r="J14" s="3399"/>
      <c r="K14" s="3316"/>
      <c r="L14" s="3399"/>
      <c r="M14" s="3317"/>
      <c r="N14" s="3399"/>
      <c r="O14" s="3317"/>
      <c r="P14" s="3399"/>
      <c r="Q14" s="3317"/>
      <c r="R14" s="3399"/>
      <c r="S14" s="3317"/>
    </row>
    <row r="15" spans="1:19">
      <c r="A15" s="3400"/>
      <c r="B15" s="3321" t="s">
        <v>2957</v>
      </c>
      <c r="C15" s="3387"/>
      <c r="D15" s="3388"/>
      <c r="E15" s="3389"/>
      <c r="F15" s="3387"/>
      <c r="G15" s="660"/>
      <c r="H15" s="3399"/>
      <c r="I15" s="3316"/>
      <c r="J15" s="3399"/>
      <c r="K15" s="3316"/>
      <c r="L15" s="3399"/>
      <c r="M15" s="3316"/>
      <c r="N15" s="3399"/>
      <c r="O15" s="3316"/>
      <c r="P15" s="3399"/>
      <c r="Q15" s="3316"/>
      <c r="R15" s="3399"/>
      <c r="S15" s="3316"/>
    </row>
    <row r="16" spans="1:19">
      <c r="A16" s="3400"/>
      <c r="B16" s="3321" t="s">
        <v>2958</v>
      </c>
      <c r="C16" s="3387"/>
      <c r="D16" s="3388"/>
      <c r="E16" s="3389"/>
      <c r="F16" s="3387"/>
      <c r="G16" s="660"/>
      <c r="H16" s="3399"/>
      <c r="I16" s="3317"/>
      <c r="J16" s="3399"/>
      <c r="K16" s="3316"/>
      <c r="L16" s="3399"/>
      <c r="M16" s="3317"/>
      <c r="N16" s="3399"/>
      <c r="O16" s="3317"/>
      <c r="P16" s="3399"/>
      <c r="Q16" s="3317"/>
      <c r="R16" s="3399"/>
      <c r="S16" s="3317"/>
    </row>
    <row r="17" spans="1:19">
      <c r="A17" s="3400"/>
      <c r="B17" s="3321" t="s">
        <v>2959</v>
      </c>
      <c r="C17" s="3387"/>
      <c r="D17" s="3388"/>
      <c r="E17" s="3389"/>
      <c r="F17" s="3387"/>
      <c r="G17" s="660"/>
      <c r="H17" s="3399"/>
      <c r="I17" s="3317"/>
      <c r="J17" s="3399"/>
      <c r="K17" s="3316"/>
      <c r="L17" s="3399"/>
      <c r="M17" s="3317"/>
      <c r="N17" s="3399"/>
      <c r="O17" s="3317"/>
      <c r="P17" s="3399"/>
      <c r="Q17" s="3317"/>
      <c r="R17" s="3399"/>
      <c r="S17" s="3317"/>
    </row>
    <row r="18" spans="1:19">
      <c r="A18" s="3400"/>
      <c r="B18" s="3323" t="s">
        <v>2960</v>
      </c>
      <c r="C18" s="3387"/>
      <c r="D18" s="3388"/>
      <c r="E18" s="3389"/>
      <c r="F18" s="3387"/>
      <c r="G18" s="660"/>
      <c r="H18" s="3399"/>
      <c r="I18" s="3317"/>
      <c r="J18" s="3399"/>
      <c r="K18" s="3316"/>
      <c r="L18" s="3399"/>
      <c r="M18" s="3317"/>
      <c r="N18" s="3399"/>
      <c r="O18" s="3317"/>
      <c r="P18" s="3399"/>
      <c r="Q18" s="3317"/>
      <c r="R18" s="3399"/>
      <c r="S18" s="3317"/>
    </row>
    <row r="19" spans="1:19">
      <c r="A19" s="3400"/>
      <c r="B19" s="3324" t="s">
        <v>2961</v>
      </c>
      <c r="C19" s="3401"/>
      <c r="D19" s="3402"/>
      <c r="E19" s="3403"/>
      <c r="F19" s="3404"/>
      <c r="G19" s="661"/>
      <c r="H19" s="3405"/>
      <c r="I19" s="3326"/>
      <c r="J19" s="3405"/>
      <c r="K19" s="3327"/>
      <c r="L19" s="3405"/>
      <c r="M19" s="3326"/>
      <c r="N19" s="3405"/>
      <c r="O19" s="3326"/>
      <c r="P19" s="3405"/>
      <c r="Q19" s="3326"/>
      <c r="R19" s="3405"/>
      <c r="S19" s="3326"/>
    </row>
    <row r="20" spans="1:19">
      <c r="A20" s="3400"/>
      <c r="B20" s="3328"/>
      <c r="C20" s="3387"/>
      <c r="D20" s="3406"/>
      <c r="E20" s="3389"/>
      <c r="F20" s="3407"/>
      <c r="G20" s="660"/>
      <c r="H20" s="3399"/>
      <c r="I20" s="3322"/>
      <c r="J20" s="3399"/>
      <c r="K20" s="3320"/>
      <c r="L20" s="3399"/>
      <c r="M20" s="3320"/>
      <c r="N20" s="3399"/>
      <c r="O20" s="3320"/>
      <c r="P20" s="3399"/>
      <c r="Q20" s="3320"/>
      <c r="R20" s="3399"/>
      <c r="S20" s="3320"/>
    </row>
    <row r="21" spans="1:19">
      <c r="A21" s="3400"/>
      <c r="B21" s="452" t="s">
        <v>6906</v>
      </c>
      <c r="C21" s="3387"/>
      <c r="D21" s="3406"/>
      <c r="E21" s="3389"/>
      <c r="F21" s="3407"/>
      <c r="G21" s="662">
        <f t="shared" ref="G21:G49" si="0">ROUND(D21*F21,0)</f>
        <v>0</v>
      </c>
      <c r="H21" s="3399"/>
      <c r="I21" s="3329">
        <f>SUBTOTAL(9,I22:I49)</f>
        <v>95500</v>
      </c>
      <c r="J21" s="3399"/>
      <c r="K21" s="3329">
        <f>SUBTOTAL(9,K22:K49)</f>
        <v>53012.07</v>
      </c>
      <c r="L21" s="3399"/>
      <c r="M21" s="3329">
        <f>SUBTOTAL(9,M22:M49)</f>
        <v>0</v>
      </c>
      <c r="N21" s="3399"/>
      <c r="O21" s="3329">
        <f>SUBTOTAL(9,O22:O49)</f>
        <v>0</v>
      </c>
      <c r="P21" s="3399"/>
      <c r="Q21" s="3329">
        <f>SUBTOTAL(9,Q22:Q49)</f>
        <v>0</v>
      </c>
      <c r="R21" s="3399"/>
      <c r="S21" s="3329">
        <f>SUBTOTAL(9,S22:S49)</f>
        <v>0</v>
      </c>
    </row>
    <row r="22" spans="1:19">
      <c r="A22" s="3400"/>
      <c r="B22" s="3328" t="s">
        <v>6788</v>
      </c>
      <c r="C22" s="3387"/>
      <c r="D22" s="3406"/>
      <c r="E22" s="3389"/>
      <c r="F22" s="3407"/>
      <c r="G22" s="662">
        <f t="shared" si="0"/>
        <v>0</v>
      </c>
      <c r="H22" s="3399"/>
      <c r="I22" s="3322">
        <v>93000</v>
      </c>
      <c r="J22" s="3399"/>
      <c r="K22" s="3322">
        <v>38162.07</v>
      </c>
      <c r="L22" s="3399"/>
      <c r="M22" s="3320"/>
      <c r="N22" s="3399"/>
      <c r="O22" s="3320"/>
      <c r="P22" s="3399"/>
      <c r="Q22" s="3320"/>
      <c r="R22" s="3399"/>
      <c r="S22" s="3320"/>
    </row>
    <row r="23" spans="1:19">
      <c r="A23" s="3400"/>
      <c r="B23" s="3328" t="s">
        <v>6907</v>
      </c>
      <c r="C23" s="3387"/>
      <c r="D23" s="3406"/>
      <c r="E23" s="3389"/>
      <c r="F23" s="3407"/>
      <c r="G23" s="662">
        <f t="shared" si="0"/>
        <v>0</v>
      </c>
      <c r="H23" s="3399"/>
      <c r="I23" s="3322"/>
      <c r="J23" s="3399"/>
      <c r="K23" s="3322">
        <v>12350</v>
      </c>
      <c r="L23" s="3399"/>
      <c r="M23" s="3320"/>
      <c r="N23" s="3399"/>
      <c r="O23" s="3320"/>
      <c r="P23" s="3399"/>
      <c r="Q23" s="3320"/>
      <c r="R23" s="3399"/>
      <c r="S23" s="3320"/>
    </row>
    <row r="24" spans="1:19">
      <c r="A24" s="3400"/>
      <c r="B24" s="3345" t="s">
        <v>6908</v>
      </c>
      <c r="C24" s="3387"/>
      <c r="D24" s="3406"/>
      <c r="E24" s="3389"/>
      <c r="F24" s="3407"/>
      <c r="G24" s="662">
        <f t="shared" si="0"/>
        <v>0</v>
      </c>
      <c r="H24" s="3399"/>
      <c r="I24" s="3346">
        <v>2500</v>
      </c>
      <c r="J24" s="3399"/>
      <c r="K24" s="3346">
        <v>2500</v>
      </c>
      <c r="L24" s="3399"/>
      <c r="M24" s="3320"/>
      <c r="N24" s="3399"/>
      <c r="O24" s="3320"/>
      <c r="P24" s="3399"/>
      <c r="Q24" s="3320"/>
      <c r="R24" s="3399"/>
      <c r="S24" s="3320"/>
    </row>
    <row r="25" spans="1:19">
      <c r="A25" s="3400"/>
      <c r="B25" s="3328"/>
      <c r="C25" s="3387"/>
      <c r="D25" s="3406"/>
      <c r="E25" s="3389"/>
      <c r="F25" s="3407"/>
      <c r="G25" s="662">
        <f t="shared" si="0"/>
        <v>0</v>
      </c>
      <c r="H25" s="3399"/>
      <c r="I25" s="3322"/>
      <c r="J25" s="3399"/>
      <c r="K25" s="3322"/>
      <c r="L25" s="3399"/>
      <c r="M25" s="3320"/>
      <c r="N25" s="3399"/>
      <c r="O25" s="3320"/>
      <c r="P25" s="3399"/>
      <c r="Q25" s="3320"/>
      <c r="R25" s="3399"/>
      <c r="S25" s="3320"/>
    </row>
    <row r="26" spans="1:19">
      <c r="A26" s="3400"/>
      <c r="B26" s="3328"/>
      <c r="C26" s="3387"/>
      <c r="D26" s="3406"/>
      <c r="E26" s="3389"/>
      <c r="F26" s="3407"/>
      <c r="G26" s="662">
        <f t="shared" si="0"/>
        <v>0</v>
      </c>
      <c r="H26" s="3399"/>
      <c r="I26" s="3322"/>
      <c r="J26" s="3399"/>
      <c r="K26" s="3322"/>
      <c r="L26" s="3399"/>
      <c r="M26" s="3320"/>
      <c r="N26" s="3399"/>
      <c r="O26" s="3320"/>
      <c r="P26" s="3399"/>
      <c r="Q26" s="3320"/>
      <c r="R26" s="3399"/>
      <c r="S26" s="3320"/>
    </row>
    <row r="27" spans="1:19">
      <c r="A27" s="3400"/>
      <c r="B27" s="3328"/>
      <c r="C27" s="3387"/>
      <c r="D27" s="3406"/>
      <c r="E27" s="3389"/>
      <c r="F27" s="3407"/>
      <c r="G27" s="662">
        <f t="shared" si="0"/>
        <v>0</v>
      </c>
      <c r="H27" s="3399"/>
      <c r="I27" s="3322"/>
      <c r="J27" s="3399"/>
      <c r="K27" s="3322"/>
      <c r="L27" s="3399"/>
      <c r="M27" s="3320"/>
      <c r="N27" s="3399"/>
      <c r="O27" s="3320"/>
      <c r="P27" s="3399"/>
      <c r="Q27" s="3320"/>
      <c r="R27" s="3399"/>
      <c r="S27" s="3320"/>
    </row>
    <row r="28" spans="1:19">
      <c r="A28" s="3400"/>
      <c r="B28" s="3328"/>
      <c r="C28" s="3387"/>
      <c r="D28" s="3406"/>
      <c r="E28" s="3389"/>
      <c r="F28" s="3407"/>
      <c r="G28" s="662">
        <f t="shared" si="0"/>
        <v>0</v>
      </c>
      <c r="H28" s="3399"/>
      <c r="I28" s="3322"/>
      <c r="J28" s="3399"/>
      <c r="K28" s="3322"/>
      <c r="L28" s="3399"/>
      <c r="M28" s="3320"/>
      <c r="N28" s="3399"/>
      <c r="O28" s="3320"/>
      <c r="P28" s="3399"/>
      <c r="Q28" s="3320"/>
      <c r="R28" s="3399"/>
      <c r="S28" s="3320"/>
    </row>
    <row r="29" spans="1:19">
      <c r="A29" s="3400"/>
      <c r="B29" s="3328"/>
      <c r="C29" s="3387"/>
      <c r="D29" s="3406"/>
      <c r="E29" s="3389"/>
      <c r="F29" s="3407"/>
      <c r="G29" s="662">
        <f t="shared" si="0"/>
        <v>0</v>
      </c>
      <c r="H29" s="3399"/>
      <c r="I29" s="3322"/>
      <c r="J29" s="3399"/>
      <c r="K29" s="3322"/>
      <c r="L29" s="3399"/>
      <c r="M29" s="3320"/>
      <c r="N29" s="3399"/>
      <c r="O29" s="3320"/>
      <c r="P29" s="3399"/>
      <c r="Q29" s="3320"/>
      <c r="R29" s="3399"/>
      <c r="S29" s="3320"/>
    </row>
    <row r="30" spans="1:19">
      <c r="A30" s="3400"/>
      <c r="B30" s="3328"/>
      <c r="C30" s="3387"/>
      <c r="D30" s="3406"/>
      <c r="E30" s="3389"/>
      <c r="F30" s="3407"/>
      <c r="G30" s="662">
        <f t="shared" si="0"/>
        <v>0</v>
      </c>
      <c r="H30" s="3399"/>
      <c r="I30" s="3322"/>
      <c r="J30" s="3399"/>
      <c r="K30" s="3322"/>
      <c r="L30" s="3399"/>
      <c r="M30" s="3320"/>
      <c r="N30" s="3399"/>
      <c r="O30" s="3320"/>
      <c r="P30" s="3399"/>
      <c r="Q30" s="3320"/>
      <c r="R30" s="3399"/>
      <c r="S30" s="3320"/>
    </row>
    <row r="31" spans="1:19">
      <c r="A31" s="3400"/>
      <c r="B31" s="3328"/>
      <c r="C31" s="3387"/>
      <c r="D31" s="3406"/>
      <c r="E31" s="3389"/>
      <c r="F31" s="3407"/>
      <c r="G31" s="662">
        <f t="shared" si="0"/>
        <v>0</v>
      </c>
      <c r="H31" s="3399"/>
      <c r="I31" s="3322"/>
      <c r="J31" s="3399"/>
      <c r="K31" s="3322"/>
      <c r="L31" s="3399"/>
      <c r="M31" s="3320"/>
      <c r="N31" s="3399"/>
      <c r="O31" s="3320"/>
      <c r="P31" s="3399"/>
      <c r="Q31" s="3320"/>
      <c r="R31" s="3399"/>
      <c r="S31" s="3320"/>
    </row>
    <row r="32" spans="1:19">
      <c r="A32" s="3400"/>
      <c r="B32" s="3328"/>
      <c r="C32" s="3387"/>
      <c r="D32" s="3406"/>
      <c r="E32" s="3389"/>
      <c r="F32" s="3407"/>
      <c r="G32" s="662">
        <f t="shared" si="0"/>
        <v>0</v>
      </c>
      <c r="H32" s="3399"/>
      <c r="I32" s="3322"/>
      <c r="J32" s="3399"/>
      <c r="K32" s="3322"/>
      <c r="L32" s="3399"/>
      <c r="M32" s="3320"/>
      <c r="N32" s="3399"/>
      <c r="O32" s="3320"/>
      <c r="P32" s="3399"/>
      <c r="Q32" s="3320"/>
      <c r="R32" s="3399"/>
      <c r="S32" s="3320"/>
    </row>
    <row r="33" spans="1:19">
      <c r="A33" s="3400"/>
      <c r="B33" s="3328"/>
      <c r="C33" s="3387"/>
      <c r="D33" s="3406"/>
      <c r="E33" s="3389"/>
      <c r="F33" s="3407"/>
      <c r="G33" s="662">
        <f t="shared" si="0"/>
        <v>0</v>
      </c>
      <c r="H33" s="3399"/>
      <c r="I33" s="3322"/>
      <c r="J33" s="3399"/>
      <c r="K33" s="3322"/>
      <c r="L33" s="3399"/>
      <c r="M33" s="3320"/>
      <c r="N33" s="3399"/>
      <c r="O33" s="3320"/>
      <c r="P33" s="3399"/>
      <c r="Q33" s="3320"/>
      <c r="R33" s="3399"/>
      <c r="S33" s="3320"/>
    </row>
    <row r="34" spans="1:19">
      <c r="A34" s="3400"/>
      <c r="B34" s="3328"/>
      <c r="C34" s="3387"/>
      <c r="D34" s="3406"/>
      <c r="E34" s="3389"/>
      <c r="F34" s="3407"/>
      <c r="G34" s="662">
        <f t="shared" si="0"/>
        <v>0</v>
      </c>
      <c r="H34" s="3399"/>
      <c r="I34" s="3322"/>
      <c r="J34" s="3399"/>
      <c r="K34" s="3322"/>
      <c r="L34" s="3399"/>
      <c r="M34" s="3320"/>
      <c r="N34" s="3399"/>
      <c r="O34" s="3320"/>
      <c r="P34" s="3399"/>
      <c r="Q34" s="3320"/>
      <c r="R34" s="3399"/>
      <c r="S34" s="3320"/>
    </row>
    <row r="35" spans="1:19">
      <c r="A35" s="3400"/>
      <c r="B35" s="3328"/>
      <c r="C35" s="3387"/>
      <c r="D35" s="3406"/>
      <c r="E35" s="3389"/>
      <c r="F35" s="3407"/>
      <c r="G35" s="662">
        <f t="shared" si="0"/>
        <v>0</v>
      </c>
      <c r="H35" s="3399"/>
      <c r="I35" s="3322"/>
      <c r="J35" s="3399"/>
      <c r="K35" s="3322"/>
      <c r="L35" s="3399"/>
      <c r="M35" s="3320"/>
      <c r="N35" s="3399"/>
      <c r="O35" s="3320"/>
      <c r="P35" s="3399"/>
      <c r="Q35" s="3320"/>
      <c r="R35" s="3399"/>
      <c r="S35" s="3320"/>
    </row>
    <row r="36" spans="1:19">
      <c r="A36" s="3400"/>
      <c r="B36" s="3328"/>
      <c r="C36" s="3387"/>
      <c r="D36" s="3406"/>
      <c r="E36" s="3389"/>
      <c r="F36" s="3407"/>
      <c r="G36" s="662">
        <f t="shared" si="0"/>
        <v>0</v>
      </c>
      <c r="H36" s="3399"/>
      <c r="I36" s="3322"/>
      <c r="J36" s="3399"/>
      <c r="K36" s="3322"/>
      <c r="L36" s="3399"/>
      <c r="M36" s="3320"/>
      <c r="N36" s="3399"/>
      <c r="O36" s="3320"/>
      <c r="P36" s="3399"/>
      <c r="Q36" s="3320"/>
      <c r="R36" s="3399"/>
      <c r="S36" s="3320"/>
    </row>
    <row r="37" spans="1:19">
      <c r="A37" s="3400"/>
      <c r="B37" s="3328"/>
      <c r="C37" s="3387"/>
      <c r="D37" s="3406"/>
      <c r="E37" s="3389"/>
      <c r="F37" s="3407"/>
      <c r="G37" s="662">
        <f t="shared" si="0"/>
        <v>0</v>
      </c>
      <c r="H37" s="3399"/>
      <c r="I37" s="3322"/>
      <c r="J37" s="3399"/>
      <c r="K37" s="3322"/>
      <c r="L37" s="3399"/>
      <c r="M37" s="3320"/>
      <c r="N37" s="3399"/>
      <c r="O37" s="3320"/>
      <c r="P37" s="3399"/>
      <c r="Q37" s="3320"/>
      <c r="R37" s="3399"/>
      <c r="S37" s="3320"/>
    </row>
    <row r="38" spans="1:19">
      <c r="A38" s="3400"/>
      <c r="B38" s="3328"/>
      <c r="C38" s="3387"/>
      <c r="D38" s="3406"/>
      <c r="E38" s="3389"/>
      <c r="F38" s="3407"/>
      <c r="G38" s="662">
        <f t="shared" si="0"/>
        <v>0</v>
      </c>
      <c r="H38" s="3399"/>
      <c r="I38" s="3322"/>
      <c r="J38" s="3399"/>
      <c r="K38" s="3322"/>
      <c r="L38" s="3399"/>
      <c r="M38" s="3320"/>
      <c r="N38" s="3399"/>
      <c r="O38" s="3320"/>
      <c r="P38" s="3399"/>
      <c r="Q38" s="3320"/>
      <c r="R38" s="3399"/>
      <c r="S38" s="3320"/>
    </row>
    <row r="39" spans="1:19">
      <c r="A39" s="3400"/>
      <c r="B39" s="3328"/>
      <c r="C39" s="3387"/>
      <c r="D39" s="3406"/>
      <c r="E39" s="3389"/>
      <c r="F39" s="3407"/>
      <c r="G39" s="662">
        <f t="shared" si="0"/>
        <v>0</v>
      </c>
      <c r="H39" s="3399"/>
      <c r="I39" s="3322"/>
      <c r="J39" s="3399"/>
      <c r="K39" s="3322"/>
      <c r="L39" s="3399"/>
      <c r="M39" s="3320"/>
      <c r="N39" s="3399"/>
      <c r="O39" s="3320"/>
      <c r="P39" s="3399"/>
      <c r="Q39" s="3320"/>
      <c r="R39" s="3399"/>
      <c r="S39" s="3320"/>
    </row>
    <row r="40" spans="1:19">
      <c r="A40" s="3400"/>
      <c r="B40" s="3328"/>
      <c r="C40" s="3387"/>
      <c r="D40" s="3406"/>
      <c r="E40" s="3389"/>
      <c r="F40" s="3407"/>
      <c r="G40" s="662">
        <f t="shared" si="0"/>
        <v>0</v>
      </c>
      <c r="H40" s="3399"/>
      <c r="I40" s="3322"/>
      <c r="J40" s="3399"/>
      <c r="K40" s="3322"/>
      <c r="L40" s="3399"/>
      <c r="M40" s="3320"/>
      <c r="N40" s="3399"/>
      <c r="O40" s="3320"/>
      <c r="P40" s="3399"/>
      <c r="Q40" s="3320"/>
      <c r="R40" s="3399"/>
      <c r="S40" s="3320"/>
    </row>
    <row r="41" spans="1:19">
      <c r="A41" s="3400"/>
      <c r="B41" s="452"/>
      <c r="C41" s="3387"/>
      <c r="D41" s="3406"/>
      <c r="E41" s="3389"/>
      <c r="F41" s="3407"/>
      <c r="G41" s="662">
        <f t="shared" si="0"/>
        <v>0</v>
      </c>
      <c r="H41" s="3399"/>
      <c r="I41" s="3322"/>
      <c r="J41" s="3399"/>
      <c r="K41" s="3322"/>
      <c r="L41" s="3399"/>
      <c r="M41" s="3320"/>
      <c r="N41" s="3399"/>
      <c r="O41" s="3320"/>
      <c r="P41" s="3399"/>
      <c r="Q41" s="3320"/>
      <c r="R41" s="3399"/>
      <c r="S41" s="3320"/>
    </row>
    <row r="42" spans="1:19">
      <c r="A42" s="3400"/>
      <c r="B42" s="3328"/>
      <c r="C42" s="3387"/>
      <c r="D42" s="3406"/>
      <c r="E42" s="3389"/>
      <c r="F42" s="3407"/>
      <c r="G42" s="662">
        <f t="shared" si="0"/>
        <v>0</v>
      </c>
      <c r="H42" s="3399"/>
      <c r="I42" s="3322"/>
      <c r="J42" s="3399"/>
      <c r="K42" s="3322"/>
      <c r="L42" s="3399"/>
      <c r="M42" s="3320"/>
      <c r="N42" s="3399"/>
      <c r="O42" s="3320"/>
      <c r="P42" s="3399"/>
      <c r="Q42" s="3320"/>
      <c r="R42" s="3399"/>
      <c r="S42" s="3320"/>
    </row>
    <row r="43" spans="1:19">
      <c r="A43" s="3400"/>
      <c r="B43" s="3328"/>
      <c r="C43" s="3387"/>
      <c r="D43" s="3406"/>
      <c r="E43" s="3389"/>
      <c r="F43" s="3407"/>
      <c r="G43" s="662">
        <f t="shared" si="0"/>
        <v>0</v>
      </c>
      <c r="H43" s="3399"/>
      <c r="I43" s="3322"/>
      <c r="J43" s="3399"/>
      <c r="K43" s="3322"/>
      <c r="L43" s="3399"/>
      <c r="M43" s="3320"/>
      <c r="N43" s="3399"/>
      <c r="O43" s="3320"/>
      <c r="P43" s="3399"/>
      <c r="Q43" s="3320"/>
      <c r="R43" s="3399"/>
      <c r="S43" s="3320"/>
    </row>
    <row r="44" spans="1:19">
      <c r="A44" s="3400"/>
      <c r="B44" s="3328"/>
      <c r="C44" s="3387"/>
      <c r="D44" s="3406"/>
      <c r="E44" s="3389"/>
      <c r="F44" s="3407"/>
      <c r="G44" s="662">
        <f t="shared" si="0"/>
        <v>0</v>
      </c>
      <c r="H44" s="3399"/>
      <c r="I44" s="3322"/>
      <c r="J44" s="3399"/>
      <c r="K44" s="3322"/>
      <c r="L44" s="3399"/>
      <c r="M44" s="3320"/>
      <c r="N44" s="3399"/>
      <c r="O44" s="3320"/>
      <c r="P44" s="3399"/>
      <c r="Q44" s="3320"/>
      <c r="R44" s="3399"/>
      <c r="S44" s="3320"/>
    </row>
    <row r="45" spans="1:19">
      <c r="A45" s="3400"/>
      <c r="B45" s="3328"/>
      <c r="C45" s="3387"/>
      <c r="D45" s="3406"/>
      <c r="E45" s="3389"/>
      <c r="F45" s="3407"/>
      <c r="G45" s="662">
        <f t="shared" si="0"/>
        <v>0</v>
      </c>
      <c r="H45" s="3399"/>
      <c r="I45" s="3322"/>
      <c r="J45" s="3399"/>
      <c r="K45" s="3322"/>
      <c r="L45" s="3399"/>
      <c r="M45" s="3320"/>
      <c r="N45" s="3399"/>
      <c r="O45" s="3320"/>
      <c r="P45" s="3399"/>
      <c r="Q45" s="3320"/>
      <c r="R45" s="3399"/>
      <c r="S45" s="3320"/>
    </row>
    <row r="46" spans="1:19">
      <c r="A46" s="3400"/>
      <c r="B46" s="3328"/>
      <c r="C46" s="3387"/>
      <c r="D46" s="3406"/>
      <c r="E46" s="3389"/>
      <c r="F46" s="3407"/>
      <c r="G46" s="662">
        <f t="shared" si="0"/>
        <v>0</v>
      </c>
      <c r="H46" s="3399"/>
      <c r="I46" s="3322"/>
      <c r="J46" s="3399"/>
      <c r="K46" s="3322"/>
      <c r="L46" s="3399"/>
      <c r="M46" s="3320"/>
      <c r="N46" s="3399"/>
      <c r="O46" s="3320"/>
      <c r="P46" s="3399"/>
      <c r="Q46" s="3320"/>
      <c r="R46" s="3399"/>
      <c r="S46" s="3320"/>
    </row>
    <row r="47" spans="1:19">
      <c r="A47" s="3400"/>
      <c r="B47" s="3328"/>
      <c r="C47" s="3387"/>
      <c r="D47" s="3406"/>
      <c r="E47" s="3389"/>
      <c r="F47" s="3407"/>
      <c r="G47" s="662">
        <f t="shared" si="0"/>
        <v>0</v>
      </c>
      <c r="H47" s="3399"/>
      <c r="I47" s="3322"/>
      <c r="J47" s="3399"/>
      <c r="K47" s="3322"/>
      <c r="L47" s="3399"/>
      <c r="M47" s="3320"/>
      <c r="N47" s="3399"/>
      <c r="O47" s="3320"/>
      <c r="P47" s="3399"/>
      <c r="Q47" s="3320"/>
      <c r="R47" s="3399"/>
      <c r="S47" s="3320"/>
    </row>
    <row r="48" spans="1:19" s="175" customFormat="1">
      <c r="A48" s="3400"/>
      <c r="B48" s="3408"/>
      <c r="C48" s="3339"/>
      <c r="D48" s="3409"/>
      <c r="E48" s="3341"/>
      <c r="F48" s="3342"/>
      <c r="G48" s="668">
        <f t="shared" si="0"/>
        <v>0</v>
      </c>
      <c r="H48" s="3343"/>
      <c r="I48" s="3344"/>
      <c r="J48" s="3343"/>
      <c r="K48" s="3344"/>
      <c r="L48" s="3343"/>
      <c r="M48" s="3410"/>
      <c r="N48" s="3343"/>
      <c r="O48" s="3410"/>
      <c r="P48" s="3343"/>
      <c r="Q48" s="3410"/>
      <c r="R48" s="3343"/>
      <c r="S48" s="3410"/>
    </row>
    <row r="49" spans="1:34">
      <c r="A49" s="3400"/>
      <c r="B49" s="3328"/>
      <c r="C49" s="3339"/>
      <c r="D49" s="3406"/>
      <c r="E49" s="3389"/>
      <c r="F49" s="3407"/>
      <c r="G49" s="662">
        <f t="shared" si="0"/>
        <v>0</v>
      </c>
      <c r="H49" s="3399"/>
      <c r="I49" s="3322"/>
      <c r="J49" s="3399"/>
      <c r="K49" s="3322"/>
      <c r="L49" s="3399"/>
      <c r="M49" s="3320"/>
      <c r="N49" s="3399"/>
      <c r="O49" s="3320"/>
      <c r="P49" s="3399"/>
      <c r="Q49" s="3320"/>
      <c r="R49" s="3399"/>
      <c r="S49" s="3320"/>
    </row>
    <row r="50" spans="1:34">
      <c r="A50" s="3400"/>
      <c r="B50" s="3347"/>
      <c r="C50" s="3348"/>
      <c r="D50" s="3411"/>
      <c r="E50" s="3389"/>
      <c r="F50" s="3412"/>
      <c r="G50" s="662"/>
      <c r="H50" s="3399"/>
      <c r="I50" s="3322"/>
      <c r="J50" s="3399"/>
      <c r="K50" s="3322"/>
      <c r="L50" s="3399"/>
      <c r="M50" s="3322"/>
      <c r="N50" s="3399"/>
      <c r="O50" s="3322"/>
      <c r="P50" s="3399"/>
      <c r="Q50" s="3322"/>
      <c r="R50" s="3399"/>
      <c r="S50" s="3322"/>
    </row>
    <row r="51" spans="1:34">
      <c r="A51" s="13"/>
      <c r="B51" s="226" t="s">
        <v>3265</v>
      </c>
      <c r="C51" s="15"/>
      <c r="D51" s="233"/>
      <c r="E51" s="176"/>
      <c r="F51" s="17"/>
      <c r="G51" s="227">
        <f>SUBTOTAL(9,G22:G50)</f>
        <v>0</v>
      </c>
      <c r="H51" s="19"/>
      <c r="I51" s="225">
        <f>SUBTOTAL(9,I20:I50)</f>
        <v>95500</v>
      </c>
      <c r="J51" s="19"/>
      <c r="K51" s="225">
        <f>SUBTOTAL(9,K20:K50)</f>
        <v>53012.07</v>
      </c>
      <c r="L51" s="19"/>
      <c r="M51" s="225">
        <f>SUBTOTAL(9,M20:M50)</f>
        <v>0</v>
      </c>
      <c r="N51" s="19"/>
      <c r="O51" s="225">
        <f>SUBTOTAL(9,O20:O50)</f>
        <v>0</v>
      </c>
      <c r="P51" s="19"/>
      <c r="Q51" s="225">
        <f>SUBTOTAL(9,Q20:Q50)</f>
        <v>0</v>
      </c>
      <c r="R51" s="19"/>
      <c r="S51" s="225">
        <f>SUBTOTAL(9,S20:S50)</f>
        <v>0</v>
      </c>
    </row>
    <row r="52" spans="1:34">
      <c r="A52" s="3350"/>
      <c r="B52" s="3351" t="s">
        <v>2976</v>
      </c>
      <c r="C52" s="3352"/>
      <c r="D52" s="3413"/>
      <c r="E52" s="3354"/>
      <c r="F52" s="3355"/>
      <c r="G52" s="654"/>
      <c r="H52" s="3356">
        <v>0</v>
      </c>
      <c r="I52" s="645"/>
      <c r="J52" s="3356">
        <v>0</v>
      </c>
      <c r="K52" s="645"/>
      <c r="L52" s="3356">
        <v>0</v>
      </c>
      <c r="M52" s="645"/>
      <c r="N52" s="3356">
        <v>0</v>
      </c>
      <c r="O52" s="645"/>
      <c r="P52" s="3356">
        <v>0</v>
      </c>
      <c r="Q52" s="645"/>
      <c r="R52" s="3356">
        <v>0</v>
      </c>
      <c r="S52" s="645"/>
    </row>
    <row r="53" spans="1:34">
      <c r="A53" s="3350"/>
      <c r="B53" s="3351" t="s">
        <v>2977</v>
      </c>
      <c r="C53" s="3352"/>
      <c r="D53" s="3413"/>
      <c r="E53" s="3354"/>
      <c r="F53" s="3355"/>
      <c r="G53" s="654">
        <f>F52*G51</f>
        <v>0</v>
      </c>
      <c r="H53" s="3357"/>
      <c r="I53" s="3358">
        <f>H52*I51</f>
        <v>0</v>
      </c>
      <c r="J53" s="3357"/>
      <c r="K53" s="3358">
        <f>J52*K51</f>
        <v>0</v>
      </c>
      <c r="L53" s="3357"/>
      <c r="M53" s="3358">
        <f>L52*M51</f>
        <v>0</v>
      </c>
      <c r="N53" s="3357"/>
      <c r="O53" s="3358">
        <f>N52*O51</f>
        <v>0</v>
      </c>
      <c r="P53" s="3357"/>
      <c r="Q53" s="3358">
        <f>P52*Q51</f>
        <v>0</v>
      </c>
      <c r="R53" s="3357"/>
      <c r="S53" s="3358">
        <f>R52*S51</f>
        <v>0</v>
      </c>
    </row>
    <row r="54" spans="1:34">
      <c r="A54" s="3350"/>
      <c r="B54" s="3351"/>
      <c r="C54" s="3352"/>
      <c r="D54" s="3413"/>
      <c r="E54" s="3354"/>
      <c r="F54" s="3355"/>
      <c r="G54" s="654"/>
      <c r="H54" s="3357"/>
      <c r="I54" s="3358"/>
      <c r="J54" s="3357"/>
      <c r="K54" s="3358"/>
      <c r="L54" s="3357"/>
      <c r="M54" s="3358"/>
      <c r="N54" s="3357"/>
      <c r="O54" s="3358"/>
      <c r="P54" s="3357"/>
      <c r="Q54" s="3358"/>
      <c r="R54" s="3357"/>
      <c r="S54" s="3358"/>
    </row>
    <row r="55" spans="1:34">
      <c r="A55" s="3350"/>
      <c r="B55" s="3351" t="s">
        <v>2978</v>
      </c>
      <c r="C55" s="3352"/>
      <c r="D55" s="3413"/>
      <c r="E55" s="3354"/>
      <c r="F55" s="3355"/>
      <c r="G55" s="654">
        <f>SUM(G51:G53)</f>
        <v>0</v>
      </c>
      <c r="H55" s="3359"/>
      <c r="I55" s="3358">
        <f>SUM(I51:I53)</f>
        <v>95500</v>
      </c>
      <c r="J55" s="3359"/>
      <c r="K55" s="3358">
        <f>SUM(K51:K53)</f>
        <v>53012.07</v>
      </c>
      <c r="L55" s="3359"/>
      <c r="M55" s="3358">
        <f>SUM(M51:M53)</f>
        <v>0</v>
      </c>
      <c r="N55" s="3359"/>
      <c r="O55" s="3358">
        <f>SUM(O51:O53)</f>
        <v>0</v>
      </c>
      <c r="P55" s="3359"/>
      <c r="Q55" s="3358">
        <f>SUM(Q51:Q53)</f>
        <v>0</v>
      </c>
      <c r="R55" s="3359"/>
      <c r="S55" s="3358">
        <f>SUM(S51:S53)</f>
        <v>0</v>
      </c>
    </row>
    <row r="56" spans="1:34">
      <c r="A56" s="3350"/>
      <c r="B56" s="3360" t="s">
        <v>2979</v>
      </c>
      <c r="C56" s="3352"/>
      <c r="D56" s="3413"/>
      <c r="E56" s="3354"/>
      <c r="F56" s="3360"/>
      <c r="G56" s="655">
        <v>0.79401931649331348</v>
      </c>
      <c r="H56" s="3361"/>
      <c r="I56" s="3362">
        <v>0</v>
      </c>
      <c r="J56" s="3361"/>
      <c r="K56" s="3362">
        <v>0</v>
      </c>
      <c r="L56" s="3361"/>
      <c r="M56" s="3362">
        <v>0</v>
      </c>
      <c r="N56" s="3361"/>
      <c r="O56" s="3362">
        <v>0</v>
      </c>
      <c r="P56" s="3361"/>
      <c r="Q56" s="3362">
        <v>0</v>
      </c>
      <c r="R56" s="3363"/>
      <c r="S56" s="3362">
        <v>0</v>
      </c>
    </row>
    <row r="57" spans="1:34">
      <c r="A57" s="3350"/>
      <c r="B57" s="3364"/>
      <c r="C57" s="3352"/>
      <c r="D57" s="3413"/>
      <c r="E57" s="3354"/>
      <c r="F57" s="3355"/>
      <c r="G57" s="656"/>
      <c r="H57" s="3365"/>
      <c r="I57" s="3365"/>
      <c r="J57" s="3365"/>
      <c r="K57" s="3366"/>
      <c r="L57" s="3365"/>
      <c r="M57" s="3365"/>
      <c r="N57" s="3365"/>
      <c r="O57" s="3365"/>
      <c r="P57" s="3365"/>
      <c r="Q57" s="3365"/>
      <c r="R57" s="3365"/>
      <c r="S57" s="3365"/>
    </row>
    <row r="58" spans="1:34" hidden="1">
      <c r="A58" s="830" t="s">
        <v>2980</v>
      </c>
      <c r="B58" s="831"/>
      <c r="C58" s="12"/>
      <c r="D58" s="234"/>
      <c r="E58" s="177"/>
      <c r="F58" s="12"/>
      <c r="G58" s="228"/>
      <c r="H58" s="20"/>
      <c r="I58" s="20"/>
      <c r="J58" s="20"/>
      <c r="K58" s="20"/>
      <c r="L58" s="20"/>
      <c r="M58" s="20"/>
      <c r="N58" s="20"/>
      <c r="O58" s="20"/>
      <c r="P58" s="20"/>
      <c r="Q58" s="20"/>
      <c r="R58" s="20"/>
      <c r="S58" s="20"/>
    </row>
    <row r="59" spans="1:34" hidden="1">
      <c r="A59" s="3297"/>
      <c r="B59" s="3386"/>
      <c r="C59" s="3298"/>
      <c r="D59" s="3414"/>
      <c r="E59" s="3300"/>
      <c r="F59" s="3298"/>
      <c r="G59" s="3367"/>
      <c r="H59" s="3302"/>
      <c r="I59" s="3302"/>
      <c r="J59" s="3302"/>
      <c r="K59" s="3302"/>
      <c r="L59" s="3302"/>
      <c r="M59" s="3302"/>
      <c r="N59" s="3302"/>
      <c r="O59" s="3302"/>
      <c r="P59" s="3302"/>
      <c r="Q59" s="3302"/>
      <c r="R59" s="3302"/>
      <c r="S59" s="3302"/>
    </row>
    <row r="60" spans="1:34" hidden="1">
      <c r="A60" s="3297"/>
      <c r="B60" s="3386"/>
      <c r="C60" s="3298"/>
      <c r="D60" s="3414"/>
      <c r="E60" s="3300"/>
      <c r="F60" s="3298"/>
      <c r="G60" s="3367"/>
      <c r="H60" s="3302"/>
      <c r="I60" s="3302"/>
      <c r="J60" s="3302"/>
      <c r="K60" s="3302"/>
      <c r="L60" s="3302"/>
      <c r="M60" s="3302"/>
      <c r="N60" s="3302"/>
      <c r="O60" s="3302"/>
      <c r="P60" s="3302"/>
      <c r="Q60" s="3302"/>
      <c r="R60" s="3302"/>
      <c r="S60" s="3302"/>
    </row>
    <row r="61" spans="1:34" hidden="1">
      <c r="A61" s="3297"/>
      <c r="B61" s="3386"/>
      <c r="C61" s="3298"/>
      <c r="D61" s="3414"/>
      <c r="E61" s="3300"/>
      <c r="F61" s="3298"/>
      <c r="G61" s="3367"/>
      <c r="H61" s="3302"/>
      <c r="I61" s="3302"/>
      <c r="J61" s="3302"/>
      <c r="K61" s="3302"/>
      <c r="L61" s="3302"/>
      <c r="M61" s="3302"/>
      <c r="N61" s="3302"/>
      <c r="O61" s="3302"/>
      <c r="P61" s="3302"/>
      <c r="Q61" s="3302"/>
      <c r="R61" s="3302"/>
      <c r="S61" s="3302"/>
    </row>
    <row r="62" spans="1:34" s="2" customFormat="1" hidden="1">
      <c r="A62" s="830" t="s">
        <v>2981</v>
      </c>
      <c r="B62" s="831"/>
      <c r="C62" s="12"/>
      <c r="D62" s="234"/>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idden="1">
      <c r="A63" s="3297"/>
      <c r="B63" s="3386"/>
      <c r="C63" s="3298"/>
      <c r="D63" s="3414"/>
      <c r="E63" s="3300"/>
      <c r="F63" s="3298"/>
      <c r="G63" s="3367"/>
      <c r="H63" s="3302"/>
      <c r="I63" s="3302"/>
      <c r="J63" s="3302"/>
      <c r="K63" s="3302"/>
      <c r="L63" s="3302"/>
      <c r="M63" s="3302"/>
      <c r="N63" s="3302"/>
      <c r="O63" s="3302"/>
      <c r="P63" s="3302"/>
      <c r="Q63" s="3302"/>
      <c r="R63" s="3302"/>
      <c r="S63" s="3302"/>
      <c r="T63"/>
      <c r="U63"/>
      <c r="V63"/>
      <c r="W63"/>
      <c r="X63"/>
      <c r="Y63"/>
      <c r="Z63"/>
      <c r="AA63"/>
      <c r="AB63"/>
      <c r="AC63"/>
      <c r="AD63"/>
      <c r="AE63"/>
      <c r="AF63"/>
      <c r="AG63"/>
      <c r="AH63"/>
    </row>
    <row r="64" spans="1:34" s="2" customFormat="1" hidden="1">
      <c r="A64" s="3297"/>
      <c r="B64" s="3386"/>
      <c r="C64" s="3298"/>
      <c r="D64" s="3414"/>
      <c r="E64" s="3300"/>
      <c r="F64" s="3298"/>
      <c r="G64" s="3367"/>
      <c r="H64" s="3302"/>
      <c r="I64" s="3302"/>
      <c r="J64" s="3302"/>
      <c r="K64" s="3302"/>
      <c r="L64" s="3302"/>
      <c r="M64" s="3302"/>
      <c r="N64" s="3302"/>
      <c r="O64" s="3302"/>
      <c r="P64" s="3302"/>
      <c r="Q64" s="3302"/>
      <c r="R64" s="3302"/>
      <c r="S64" s="3302"/>
      <c r="T64"/>
      <c r="U64"/>
      <c r="V64"/>
      <c r="W64"/>
      <c r="X64"/>
      <c r="Y64"/>
      <c r="Z64"/>
      <c r="AA64"/>
      <c r="AB64"/>
      <c r="AC64"/>
      <c r="AD64"/>
      <c r="AE64"/>
      <c r="AF64"/>
      <c r="AG64"/>
      <c r="AH64"/>
    </row>
    <row r="65" spans="1:34" hidden="1">
      <c r="A65" s="3297"/>
      <c r="B65" s="3386"/>
      <c r="C65" s="3298"/>
      <c r="D65" s="3414"/>
      <c r="E65" s="3300"/>
      <c r="F65" s="3298"/>
      <c r="G65" s="3367"/>
      <c r="H65" s="3302"/>
      <c r="I65" s="3302"/>
      <c r="J65" s="3302"/>
      <c r="K65" s="3302"/>
      <c r="L65" s="3302"/>
      <c r="M65" s="3302"/>
      <c r="N65" s="3302"/>
      <c r="O65" s="3302"/>
      <c r="P65" s="3302"/>
      <c r="Q65" s="3302"/>
      <c r="R65" s="3302"/>
      <c r="S65" s="3302"/>
    </row>
    <row r="66" spans="1:34" s="2" customFormat="1" hidden="1">
      <c r="A66" s="830" t="s">
        <v>2982</v>
      </c>
      <c r="B66" s="831"/>
      <c r="C66" s="12"/>
      <c r="D66" s="234"/>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idden="1">
      <c r="A67" s="3297"/>
      <c r="B67" s="3386"/>
      <c r="C67" s="3298"/>
      <c r="D67" s="3414"/>
      <c r="E67" s="3300"/>
      <c r="F67" s="3298"/>
      <c r="G67" s="3367"/>
      <c r="H67" s="3302"/>
      <c r="I67" s="3302"/>
      <c r="J67" s="3302"/>
      <c r="K67" s="3302"/>
      <c r="L67" s="3302"/>
      <c r="M67" s="3302"/>
      <c r="N67" s="3302"/>
      <c r="O67" s="3302"/>
      <c r="P67" s="3302"/>
      <c r="Q67" s="3302"/>
      <c r="R67" s="3302"/>
      <c r="S67" s="3302"/>
      <c r="T67"/>
      <c r="U67"/>
      <c r="V67"/>
      <c r="W67"/>
      <c r="X67"/>
      <c r="Y67"/>
      <c r="Z67"/>
      <c r="AA67"/>
      <c r="AB67"/>
      <c r="AC67"/>
      <c r="AD67"/>
      <c r="AE67"/>
      <c r="AF67"/>
      <c r="AG67"/>
      <c r="AH67"/>
    </row>
    <row r="68" spans="1:34" s="2" customFormat="1" hidden="1">
      <c r="A68" s="3371"/>
      <c r="B68" s="3386"/>
      <c r="C68" s="3387"/>
      <c r="D68" s="3388"/>
      <c r="E68" s="3389"/>
      <c r="F68" s="3387"/>
      <c r="G68" s="3372"/>
      <c r="H68" s="3373"/>
      <c r="I68" s="3373"/>
      <c r="J68" s="3373"/>
      <c r="K68" s="3373"/>
      <c r="L68" s="3373"/>
      <c r="M68" s="3373"/>
      <c r="N68" s="3373"/>
      <c r="O68" s="3373"/>
      <c r="P68" s="3373"/>
      <c r="Q68" s="3373"/>
      <c r="R68" s="3373"/>
      <c r="S68" s="3373"/>
      <c r="T68"/>
      <c r="U68"/>
      <c r="V68"/>
      <c r="W68"/>
      <c r="X68"/>
      <c r="Y68"/>
      <c r="Z68"/>
      <c r="AA68"/>
      <c r="AB68"/>
      <c r="AC68"/>
      <c r="AD68"/>
      <c r="AE68"/>
      <c r="AF68"/>
      <c r="AG68"/>
      <c r="AH68"/>
    </row>
    <row r="69" spans="1:34" s="2" customFormat="1" hidden="1">
      <c r="A69" s="3374"/>
      <c r="B69" s="3375"/>
      <c r="C69" s="3387"/>
      <c r="D69" s="3388"/>
      <c r="E69" s="3389"/>
      <c r="F69" s="3387"/>
      <c r="G69" s="3372"/>
      <c r="H69" s="3376"/>
      <c r="I69" s="3376"/>
      <c r="J69" s="3376"/>
      <c r="K69" s="3376"/>
      <c r="L69" s="3376"/>
      <c r="M69" s="3376"/>
      <c r="N69" s="3376"/>
      <c r="O69" s="3376"/>
      <c r="P69" s="3376"/>
      <c r="Q69" s="3376"/>
      <c r="R69" s="3376"/>
      <c r="S69" s="3376"/>
    </row>
    <row r="70" spans="1:34" s="2" customFormat="1" hidden="1">
      <c r="A70" s="830" t="s">
        <v>2983</v>
      </c>
      <c r="B70" s="831"/>
      <c r="C70" s="12"/>
      <c r="D70" s="234"/>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idden="1">
      <c r="A71" s="3303"/>
      <c r="B71" s="3304"/>
      <c r="C71" s="3298"/>
      <c r="D71" s="3414"/>
      <c r="E71" s="3300"/>
      <c r="F71" s="3298"/>
      <c r="G71" s="3367"/>
      <c r="H71" s="3302"/>
      <c r="I71" s="3302"/>
      <c r="J71" s="3302"/>
      <c r="K71" s="3302"/>
      <c r="L71" s="3302"/>
      <c r="M71" s="3302"/>
      <c r="N71" s="3302"/>
      <c r="O71" s="3302"/>
      <c r="P71" s="3302"/>
      <c r="Q71" s="3302"/>
      <c r="R71" s="3302"/>
      <c r="S71" s="3302"/>
      <c r="T71" s="2"/>
      <c r="U71" s="2"/>
      <c r="V71" s="2"/>
      <c r="W71" s="2"/>
      <c r="X71" s="2"/>
      <c r="Y71" s="2"/>
      <c r="Z71" s="2"/>
      <c r="AA71" s="2"/>
      <c r="AB71" s="2"/>
      <c r="AC71" s="2"/>
      <c r="AD71" s="2"/>
      <c r="AE71" s="2"/>
      <c r="AF71" s="2"/>
      <c r="AG71" s="2"/>
      <c r="AH71" s="2"/>
    </row>
    <row r="72" spans="1:34" hidden="1">
      <c r="A72" s="3374"/>
      <c r="B72" s="3375"/>
      <c r="C72" s="3387"/>
      <c r="D72" s="3388"/>
      <c r="E72" s="3389"/>
      <c r="F72" s="3387"/>
      <c r="G72" s="3372"/>
      <c r="H72" s="3377"/>
      <c r="I72" s="3377"/>
      <c r="J72" s="3377"/>
      <c r="K72" s="3377"/>
      <c r="L72" s="3377"/>
      <c r="M72" s="3377"/>
      <c r="N72" s="3377"/>
      <c r="O72" s="3377"/>
      <c r="P72" s="3377"/>
      <c r="Q72" s="3377"/>
      <c r="R72" s="3377"/>
      <c r="S72" s="3377"/>
      <c r="T72" s="2"/>
      <c r="U72" s="2"/>
      <c r="V72" s="2"/>
      <c r="W72" s="2"/>
      <c r="X72" s="2"/>
      <c r="Y72" s="2"/>
      <c r="Z72" s="2"/>
      <c r="AA72" s="2"/>
      <c r="AB72" s="2"/>
      <c r="AC72" s="2"/>
      <c r="AD72" s="2"/>
      <c r="AE72" s="2"/>
      <c r="AF72" s="2"/>
      <c r="AG72" s="2"/>
      <c r="AH72" s="2"/>
    </row>
    <row r="73" spans="1:34" hidden="1">
      <c r="A73" s="3374"/>
      <c r="B73" s="3375"/>
      <c r="C73" s="3387"/>
      <c r="D73" s="3388"/>
      <c r="E73" s="3389"/>
      <c r="F73" s="3387"/>
      <c r="G73" s="3372"/>
      <c r="H73" s="3377"/>
      <c r="I73" s="3377"/>
      <c r="J73" s="3377"/>
      <c r="K73" s="3377"/>
      <c r="L73" s="3377"/>
      <c r="M73" s="3377"/>
      <c r="N73" s="3377"/>
      <c r="O73" s="3377"/>
      <c r="P73" s="3377"/>
      <c r="Q73" s="3377"/>
      <c r="R73" s="3377"/>
      <c r="S73" s="3377"/>
      <c r="T73" s="2"/>
      <c r="U73" s="2"/>
      <c r="V73" s="2"/>
      <c r="W73" s="2"/>
      <c r="X73" s="2"/>
      <c r="Y73" s="2"/>
      <c r="Z73" s="2"/>
      <c r="AA73" s="2"/>
      <c r="AB73" s="2"/>
      <c r="AC73" s="2"/>
      <c r="AD73" s="2"/>
      <c r="AE73" s="2"/>
      <c r="AF73" s="2"/>
      <c r="AG73" s="2"/>
      <c r="AH73" s="2"/>
    </row>
    <row r="74" spans="1:34" hidden="1">
      <c r="A74" s="830" t="s">
        <v>2984</v>
      </c>
      <c r="B74" s="831"/>
      <c r="C74" s="12"/>
      <c r="D74" s="234"/>
      <c r="E74" s="177"/>
      <c r="F74" s="12"/>
      <c r="G74" s="228"/>
      <c r="H74" s="20"/>
      <c r="I74" s="20"/>
      <c r="J74" s="20"/>
      <c r="K74" s="20"/>
      <c r="L74" s="20"/>
      <c r="M74" s="20"/>
      <c r="N74" s="20"/>
      <c r="O74" s="20"/>
      <c r="P74" s="20"/>
      <c r="Q74" s="20"/>
      <c r="R74" s="20"/>
      <c r="S74" s="20"/>
    </row>
    <row r="75" spans="1:34" hidden="1">
      <c r="A75" s="3371"/>
      <c r="B75" s="3386" t="s">
        <v>2985</v>
      </c>
      <c r="C75" s="3387"/>
      <c r="D75" s="3388"/>
      <c r="E75" s="3389"/>
      <c r="F75" s="3387"/>
      <c r="G75" s="3372"/>
      <c r="H75" s="3377"/>
      <c r="I75" s="3377"/>
      <c r="J75" s="3377"/>
      <c r="K75" s="3377"/>
      <c r="L75" s="3377"/>
      <c r="M75" s="3377"/>
      <c r="N75" s="3377"/>
      <c r="O75" s="3377"/>
      <c r="P75" s="3377"/>
      <c r="Q75" s="3377"/>
      <c r="R75" s="3377"/>
      <c r="S75" s="3377"/>
    </row>
    <row r="76" spans="1:34" hidden="1">
      <c r="A76" s="3371"/>
      <c r="B76" s="3386" t="s">
        <v>2986</v>
      </c>
      <c r="C76" s="3387"/>
      <c r="D76" s="3388"/>
      <c r="E76" s="3389"/>
      <c r="F76" s="3387"/>
      <c r="G76" s="3372"/>
      <c r="H76" s="3377"/>
      <c r="I76" s="3377"/>
      <c r="J76" s="3377"/>
      <c r="K76" s="3377"/>
      <c r="L76" s="3377"/>
      <c r="M76" s="3377"/>
      <c r="N76" s="3377"/>
      <c r="O76" s="3377"/>
      <c r="P76" s="3377"/>
      <c r="Q76" s="3377"/>
      <c r="R76" s="3377"/>
      <c r="S76" s="3377"/>
    </row>
    <row r="77" spans="1:34" hidden="1">
      <c r="A77" s="3371"/>
      <c r="B77" s="3386" t="s">
        <v>2987</v>
      </c>
      <c r="C77" s="3387"/>
      <c r="D77" s="3388"/>
      <c r="E77" s="3389"/>
      <c r="F77" s="3387"/>
      <c r="G77" s="3372"/>
      <c r="H77" s="3377"/>
      <c r="I77" s="3377"/>
      <c r="J77" s="3377"/>
      <c r="K77" s="3377"/>
      <c r="L77" s="3377"/>
      <c r="M77" s="3377"/>
      <c r="N77" s="3377"/>
      <c r="O77" s="3377"/>
      <c r="P77" s="3377"/>
      <c r="Q77" s="3377"/>
      <c r="R77" s="3377"/>
      <c r="S77" s="3377"/>
    </row>
    <row r="78" spans="1:34" hidden="1">
      <c r="A78" s="3371"/>
      <c r="B78" s="3386" t="s">
        <v>2988</v>
      </c>
      <c r="C78" s="3387"/>
      <c r="D78" s="3388"/>
      <c r="E78" s="3389"/>
      <c r="F78" s="3387"/>
      <c r="G78" s="3372"/>
      <c r="H78" s="3377"/>
      <c r="I78" s="3377"/>
      <c r="J78" s="3377"/>
      <c r="K78" s="3377"/>
      <c r="L78" s="3377"/>
      <c r="M78" s="3377"/>
      <c r="N78" s="3377"/>
      <c r="O78" s="3377"/>
      <c r="P78" s="3377"/>
      <c r="Q78" s="3377"/>
      <c r="R78" s="3377"/>
      <c r="S78" s="3377"/>
    </row>
    <row r="79" spans="1:34" hidden="1">
      <c r="A79" s="646"/>
      <c r="B79" s="619"/>
      <c r="C79" s="616"/>
      <c r="D79" s="617"/>
      <c r="E79" s="622"/>
      <c r="F79" s="616"/>
      <c r="G79" s="620"/>
      <c r="H79" s="647"/>
      <c r="I79" s="647"/>
      <c r="J79" s="647"/>
      <c r="K79" s="647"/>
      <c r="L79" s="647"/>
      <c r="M79" s="647"/>
      <c r="N79" s="647"/>
      <c r="O79" s="647"/>
      <c r="P79" s="647"/>
      <c r="Q79" s="647"/>
      <c r="R79" s="647"/>
      <c r="S79" s="647"/>
    </row>
    <row r="80" spans="1:34" hidden="1">
      <c r="A80" s="7" t="s">
        <v>2989</v>
      </c>
      <c r="B80" s="8"/>
      <c r="C80" s="12"/>
      <c r="D80" s="234"/>
      <c r="E80" s="177"/>
      <c r="F80" s="12"/>
      <c r="G80" s="228"/>
      <c r="H80" s="20"/>
      <c r="I80" s="20"/>
      <c r="J80" s="20"/>
      <c r="K80" s="20"/>
      <c r="L80" s="20"/>
      <c r="M80" s="20"/>
      <c r="N80" s="20"/>
      <c r="O80" s="20"/>
      <c r="P80" s="20"/>
      <c r="Q80" s="20"/>
      <c r="R80" s="20"/>
      <c r="S80" s="20"/>
    </row>
    <row r="81" spans="1:19" hidden="1">
      <c r="A81" s="3297"/>
      <c r="B81" s="3305" t="s">
        <v>2990</v>
      </c>
      <c r="C81" s="3298"/>
      <c r="D81" s="3414"/>
      <c r="E81" s="3300"/>
      <c r="F81" s="3298"/>
      <c r="G81" s="3367"/>
      <c r="H81" s="3306"/>
      <c r="I81" s="3306"/>
      <c r="J81" s="3306"/>
      <c r="K81" s="3306"/>
      <c r="L81" s="3306"/>
      <c r="M81" s="3306"/>
      <c r="N81" s="3306"/>
      <c r="O81" s="3306"/>
      <c r="P81" s="3306"/>
      <c r="Q81" s="3306"/>
      <c r="R81" s="3306"/>
      <c r="S81" s="3306"/>
    </row>
    <row r="82" spans="1:19" hidden="1">
      <c r="A82" s="3371"/>
      <c r="B82" s="3386" t="s">
        <v>2991</v>
      </c>
      <c r="C82" s="3387"/>
      <c r="D82" s="3388"/>
      <c r="E82" s="3389"/>
      <c r="F82" s="3387"/>
      <c r="G82" s="3372"/>
      <c r="H82" s="3378"/>
      <c r="I82" s="3378"/>
      <c r="J82" s="3378"/>
      <c r="K82" s="3378"/>
      <c r="L82" s="3378"/>
      <c r="M82" s="3378"/>
      <c r="N82" s="3378"/>
      <c r="O82" s="3378"/>
      <c r="P82" s="3378"/>
      <c r="Q82" s="3378"/>
      <c r="R82" s="3378"/>
      <c r="S82" s="3378"/>
    </row>
    <row r="83" spans="1:19" hidden="1">
      <c r="A83" s="1930"/>
      <c r="B83" s="1959" t="s">
        <v>2992</v>
      </c>
      <c r="C83" s="1960"/>
      <c r="D83" s="3415"/>
      <c r="E83" s="1932"/>
      <c r="F83" s="1960"/>
      <c r="G83" s="1933"/>
      <c r="H83" s="1934"/>
      <c r="I83" s="1934"/>
      <c r="J83" s="1934"/>
      <c r="K83" s="1934"/>
      <c r="L83" s="1934"/>
      <c r="M83" s="1934"/>
      <c r="N83" s="1934"/>
      <c r="O83" s="1934"/>
      <c r="P83" s="1934"/>
      <c r="Q83" s="1934"/>
      <c r="R83" s="1934"/>
      <c r="S83" s="1934"/>
    </row>
    <row r="85" spans="1:19">
      <c r="A85" s="59" t="s">
        <v>2993</v>
      </c>
      <c r="B85" s="61"/>
    </row>
    <row r="86" spans="1:19">
      <c r="A86" s="60" t="s">
        <v>2936</v>
      </c>
      <c r="B86" s="3380"/>
    </row>
    <row r="87" spans="1:19">
      <c r="A87" s="3381" t="s">
        <v>2939</v>
      </c>
      <c r="B87" s="3380"/>
    </row>
    <row r="88" spans="1:19">
      <c r="A88" s="3382" t="s">
        <v>2941</v>
      </c>
      <c r="B88" s="3383"/>
    </row>
    <row r="89" spans="1:19">
      <c r="A89" s="3382" t="s">
        <v>2943</v>
      </c>
      <c r="B89" s="3384"/>
    </row>
    <row r="90" spans="1:19">
      <c r="A90" s="1940" t="s">
        <v>2994</v>
      </c>
      <c r="B90" s="1941">
        <f>I55</f>
        <v>95500</v>
      </c>
    </row>
    <row r="92" spans="1:19">
      <c r="A92" s="62"/>
      <c r="B92" s="1" t="s">
        <v>2995</v>
      </c>
    </row>
    <row r="93" spans="1:19">
      <c r="A93" s="63"/>
      <c r="B93" s="1" t="s">
        <v>2996</v>
      </c>
    </row>
  </sheetData>
  <mergeCells count="35">
    <mergeCell ref="A58:B58"/>
    <mergeCell ref="A62:B62"/>
    <mergeCell ref="A66:B66"/>
    <mergeCell ref="A70:B70"/>
    <mergeCell ref="A74:B74"/>
    <mergeCell ref="R9:S9"/>
    <mergeCell ref="J8:K8"/>
    <mergeCell ref="H8:I8"/>
    <mergeCell ref="L8:M8"/>
    <mergeCell ref="N8:O8"/>
    <mergeCell ref="P8:Q8"/>
    <mergeCell ref="R8:S8"/>
    <mergeCell ref="J9:K9"/>
    <mergeCell ref="H9:I9"/>
    <mergeCell ref="L9:M9"/>
    <mergeCell ref="N9:O9"/>
    <mergeCell ref="P9:Q9"/>
    <mergeCell ref="R7:S7"/>
    <mergeCell ref="J6:K6"/>
    <mergeCell ref="H6:I6"/>
    <mergeCell ref="L6:M6"/>
    <mergeCell ref="N6:O6"/>
    <mergeCell ref="P6:Q6"/>
    <mergeCell ref="R6:S6"/>
    <mergeCell ref="J7:K7"/>
    <mergeCell ref="H7:I7"/>
    <mergeCell ref="L7:M7"/>
    <mergeCell ref="N7:O7"/>
    <mergeCell ref="P7:Q7"/>
    <mergeCell ref="R5:S5"/>
    <mergeCell ref="J5:K5"/>
    <mergeCell ref="H5:I5"/>
    <mergeCell ref="L5:M5"/>
    <mergeCell ref="N5:O5"/>
    <mergeCell ref="P5:Q5"/>
  </mergeCells>
  <conditionalFormatting sqref="H11:H18 J11:J18 L11:L18 N11:N18 P11:P18 R11:R18 J20:J50">
    <cfRule type="cellIs" dxfId="49" priority="5" operator="equal">
      <formula>"X"</formula>
    </cfRule>
    <cfRule type="cellIs" dxfId="48" priority="6" operator="equal">
      <formula>"I"</formula>
    </cfRule>
  </conditionalFormatting>
  <conditionalFormatting sqref="H20:H50 L20:L50 N20:N50 P20:P50 R20:R50">
    <cfRule type="cellIs" dxfId="47" priority="1" operator="equal">
      <formula>"X"</formula>
    </cfRule>
    <cfRule type="cellIs" dxfId="46" priority="2" operator="equal">
      <formula>"I"</formula>
    </cfRule>
  </conditionalFormatting>
  <hyperlinks>
    <hyperlink ref="B4" location="'Cost Summary'!A1" display="BACK TO SUMMARY SHEET" xr:uid="{5C0A6AE1-080E-4DB5-8C05-08C7FCDCADCB}"/>
    <hyperlink ref="J8" r:id="rId1" xr:uid="{F6ADB4D9-B0C3-4E1A-8058-F3F8AD487914}"/>
    <hyperlink ref="H8" r:id="rId2" xr:uid="{55D57932-64B9-4194-90FC-B456D6D1FD16}"/>
  </hyperlinks>
  <printOptions horizontalCentered="1"/>
  <pageMargins left="0.2" right="0.2" top="0.5" bottom="0.75" header="0.3" footer="0.3"/>
  <pageSetup paperSize="3" scale="77" orientation="landscape"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896F-6005-4D8D-BC81-CB585C1992CF}">
  <sheetPr>
    <tabColor rgb="FF00B050"/>
    <pageSetUpPr fitToPage="1"/>
  </sheetPr>
  <dimension ref="A1:AB163"/>
  <sheetViews>
    <sheetView zoomScale="90" zoomScaleNormal="90" workbookViewId="0">
      <pane xSplit="6" ySplit="10" topLeftCell="G35" activePane="bottomRight" state="frozen"/>
      <selection pane="bottomRight" activeCell="B4" sqref="B4"/>
      <selection pane="bottomLeft" activeCell="I158" sqref="I158"/>
      <selection pane="topRight" activeCell="I158" sqref="I158"/>
    </sheetView>
  </sheetViews>
  <sheetFormatPr defaultColWidth="8.85546875" defaultRowHeight="15"/>
  <cols>
    <col min="1" max="1" width="10.85546875" customWidth="1"/>
    <col min="2" max="2" width="70.7109375" style="1" customWidth="1"/>
    <col min="3" max="3" width="10.85546875" style="2" hidden="1" customWidth="1"/>
    <col min="4" max="4" width="15.7109375" style="231"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2" max="22" width="23.28515625" bestFit="1"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customHeight="1" thickTop="1">
      <c r="A5" s="3" t="s">
        <v>2935</v>
      </c>
      <c r="B5" s="4" t="s">
        <v>84</v>
      </c>
      <c r="C5" s="5"/>
      <c r="D5" s="232"/>
      <c r="E5" s="171"/>
      <c r="F5" s="5"/>
      <c r="G5" s="6" t="s">
        <v>2936</v>
      </c>
      <c r="H5" s="837" t="s">
        <v>6774</v>
      </c>
      <c r="I5" s="838"/>
      <c r="J5" s="837" t="s">
        <v>6775</v>
      </c>
      <c r="K5" s="838"/>
      <c r="L5" s="841"/>
      <c r="M5" s="842"/>
      <c r="N5" s="841"/>
      <c r="O5" s="842"/>
      <c r="P5" s="841"/>
      <c r="Q5" s="842"/>
      <c r="R5" s="841"/>
      <c r="S5" s="842"/>
    </row>
    <row r="6" spans="1:19">
      <c r="A6" s="3385" t="s">
        <v>2938</v>
      </c>
      <c r="B6" s="3392" t="s">
        <v>2605</v>
      </c>
      <c r="C6" s="3387"/>
      <c r="D6" s="3388"/>
      <c r="E6" s="3389"/>
      <c r="F6" s="3387"/>
      <c r="G6" s="657" t="s">
        <v>2939</v>
      </c>
      <c r="H6" s="3390" t="s">
        <v>6779</v>
      </c>
      <c r="I6" s="839"/>
      <c r="J6" s="3390" t="s">
        <v>6780</v>
      </c>
      <c r="K6" s="839"/>
      <c r="L6" s="3391"/>
      <c r="M6" s="843"/>
      <c r="N6" s="3391"/>
      <c r="O6" s="843"/>
      <c r="P6" s="3391"/>
      <c r="Q6" s="843"/>
      <c r="R6" s="3391"/>
      <c r="S6" s="843"/>
    </row>
    <row r="7" spans="1:19">
      <c r="A7" s="3385" t="s">
        <v>2940</v>
      </c>
      <c r="B7" s="3392" t="s">
        <v>2731</v>
      </c>
      <c r="C7" s="3387"/>
      <c r="D7" s="3388"/>
      <c r="E7" s="3389"/>
      <c r="F7" s="3387"/>
      <c r="G7" s="3393" t="s">
        <v>2941</v>
      </c>
      <c r="H7" s="3394" t="s">
        <v>6782</v>
      </c>
      <c r="I7" s="840"/>
      <c r="J7" s="3394" t="s">
        <v>6783</v>
      </c>
      <c r="K7" s="840"/>
      <c r="L7" s="3395"/>
      <c r="M7" s="844"/>
      <c r="N7" s="3395"/>
      <c r="O7" s="844"/>
      <c r="P7" s="3395"/>
      <c r="Q7" s="844"/>
      <c r="R7" s="3395"/>
      <c r="S7" s="844"/>
    </row>
    <row r="8" spans="1:19">
      <c r="A8" s="3385" t="s">
        <v>2942</v>
      </c>
      <c r="B8" s="3396"/>
      <c r="C8" s="3387"/>
      <c r="D8" s="3388"/>
      <c r="E8" s="3389"/>
      <c r="F8" s="3387"/>
      <c r="G8" s="3393" t="s">
        <v>2943</v>
      </c>
      <c r="H8" s="3397" t="s">
        <v>6785</v>
      </c>
      <c r="I8" s="836"/>
      <c r="J8" s="3397" t="s">
        <v>6786</v>
      </c>
      <c r="K8" s="836"/>
      <c r="L8" s="3397"/>
      <c r="M8" s="836"/>
      <c r="N8" s="3398"/>
      <c r="O8" s="845"/>
      <c r="P8" s="3398"/>
      <c r="Q8" s="845"/>
      <c r="R8" s="3398"/>
      <c r="S8" s="845"/>
    </row>
    <row r="9" spans="1:19" ht="15.75" thickBot="1">
      <c r="A9" s="1958"/>
      <c r="B9" s="1959"/>
      <c r="C9" s="616"/>
      <c r="D9" s="617"/>
      <c r="E9" s="622"/>
      <c r="F9" s="1960"/>
      <c r="G9" s="1961" t="s">
        <v>2944</v>
      </c>
      <c r="H9" s="1964">
        <f>I$114</f>
        <v>401795.27999999997</v>
      </c>
      <c r="I9" s="1965"/>
      <c r="J9" s="1962">
        <f>K$114</f>
        <v>272804.38</v>
      </c>
      <c r="K9" s="1963"/>
      <c r="L9" s="1964">
        <f t="shared" ref="L9" si="0">M$114</f>
        <v>0</v>
      </c>
      <c r="M9" s="1965"/>
      <c r="N9" s="1964">
        <f t="shared" ref="N9" si="1">O$114</f>
        <v>0</v>
      </c>
      <c r="O9" s="1965"/>
      <c r="P9" s="1964">
        <f t="shared" ref="P9" si="2">Q$114</f>
        <v>0</v>
      </c>
      <c r="Q9" s="1965"/>
      <c r="R9" s="1964">
        <f t="shared" ref="R9" si="3">S$114</f>
        <v>0</v>
      </c>
      <c r="S9" s="1965"/>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315"/>
      <c r="B11" s="2889" t="s">
        <v>2953</v>
      </c>
      <c r="C11" s="659"/>
      <c r="D11" s="3388"/>
      <c r="E11" s="3389"/>
      <c r="F11" s="3387"/>
      <c r="G11" s="660"/>
      <c r="H11" s="3399"/>
      <c r="I11" s="182"/>
      <c r="J11" s="3399"/>
      <c r="K11" s="3316"/>
      <c r="L11" s="3399"/>
      <c r="M11" s="3317"/>
      <c r="N11" s="3399"/>
      <c r="O11" s="3317"/>
      <c r="P11" s="3399"/>
      <c r="Q11" s="3317"/>
      <c r="R11" s="3399"/>
      <c r="S11" s="3317"/>
    </row>
    <row r="12" spans="1:19">
      <c r="A12" s="3318"/>
      <c r="B12" s="2963" t="s">
        <v>2954</v>
      </c>
      <c r="C12" s="3387"/>
      <c r="D12" s="3388"/>
      <c r="E12" s="3389"/>
      <c r="F12" s="3387"/>
      <c r="G12" s="660"/>
      <c r="H12" s="3399"/>
      <c r="I12" s="3317"/>
      <c r="J12" s="3399"/>
      <c r="K12" s="3316"/>
      <c r="L12" s="3399"/>
      <c r="M12" s="3317"/>
      <c r="N12" s="3399"/>
      <c r="O12" s="3317"/>
      <c r="P12" s="3399"/>
      <c r="Q12" s="3317"/>
      <c r="R12" s="3399"/>
      <c r="S12" s="3317"/>
    </row>
    <row r="13" spans="1:19">
      <c r="A13" s="3400"/>
      <c r="B13" s="3319" t="s">
        <v>2955</v>
      </c>
      <c r="C13" s="3387"/>
      <c r="D13" s="3388"/>
      <c r="E13" s="3389"/>
      <c r="F13" s="3387"/>
      <c r="G13" s="660"/>
      <c r="H13" s="3399"/>
      <c r="I13" s="3317"/>
      <c r="J13" s="3399"/>
      <c r="K13" s="3316"/>
      <c r="L13" s="3399"/>
      <c r="M13" s="3317"/>
      <c r="N13" s="3399"/>
      <c r="O13" s="3317"/>
      <c r="P13" s="3399"/>
      <c r="Q13" s="3317"/>
      <c r="R13" s="3399"/>
      <c r="S13" s="3317"/>
    </row>
    <row r="14" spans="1:19">
      <c r="A14" s="3400"/>
      <c r="B14" s="3321" t="s">
        <v>2956</v>
      </c>
      <c r="C14" s="3387"/>
      <c r="D14" s="3388"/>
      <c r="E14" s="3389"/>
      <c r="F14" s="3387"/>
      <c r="G14" s="660"/>
      <c r="H14" s="3399"/>
      <c r="I14" s="3317"/>
      <c r="J14" s="3399"/>
      <c r="K14" s="3316"/>
      <c r="L14" s="3399"/>
      <c r="M14" s="3317"/>
      <c r="N14" s="3399"/>
      <c r="O14" s="3317"/>
      <c r="P14" s="3399"/>
      <c r="Q14" s="3317"/>
      <c r="R14" s="3399"/>
      <c r="S14" s="3317"/>
    </row>
    <row r="15" spans="1:19">
      <c r="A15" s="3400"/>
      <c r="B15" s="3321" t="s">
        <v>2957</v>
      </c>
      <c r="C15" s="3387"/>
      <c r="D15" s="3388"/>
      <c r="E15" s="3389"/>
      <c r="F15" s="3387"/>
      <c r="G15" s="660"/>
      <c r="H15" s="3399"/>
      <c r="I15" s="3316"/>
      <c r="J15" s="3399"/>
      <c r="K15" s="3316"/>
      <c r="L15" s="3399"/>
      <c r="M15" s="3316"/>
      <c r="N15" s="3399"/>
      <c r="O15" s="3316"/>
      <c r="P15" s="3399"/>
      <c r="Q15" s="3316"/>
      <c r="R15" s="3399"/>
      <c r="S15" s="3316"/>
    </row>
    <row r="16" spans="1:19">
      <c r="A16" s="3400"/>
      <c r="B16" s="3321" t="s">
        <v>2958</v>
      </c>
      <c r="C16" s="3387"/>
      <c r="D16" s="3388"/>
      <c r="E16" s="3389"/>
      <c r="F16" s="3387"/>
      <c r="G16" s="660"/>
      <c r="H16" s="3399"/>
      <c r="I16" s="3317"/>
      <c r="J16" s="3399"/>
      <c r="K16" s="3316"/>
      <c r="L16" s="3399"/>
      <c r="M16" s="3317"/>
      <c r="N16" s="3399"/>
      <c r="O16" s="3317"/>
      <c r="P16" s="3399"/>
      <c r="Q16" s="3317"/>
      <c r="R16" s="3399"/>
      <c r="S16" s="3317"/>
    </row>
    <row r="17" spans="1:19">
      <c r="A17" s="3400"/>
      <c r="B17" s="3321" t="s">
        <v>2959</v>
      </c>
      <c r="C17" s="3387"/>
      <c r="D17" s="3388"/>
      <c r="E17" s="3389"/>
      <c r="F17" s="3387"/>
      <c r="G17" s="660"/>
      <c r="H17" s="3399"/>
      <c r="I17" s="3317"/>
      <c r="J17" s="3399"/>
      <c r="K17" s="3316"/>
      <c r="L17" s="3399"/>
      <c r="M17" s="3317"/>
      <c r="N17" s="3399"/>
      <c r="O17" s="3317"/>
      <c r="P17" s="3399"/>
      <c r="Q17" s="3317"/>
      <c r="R17" s="3399"/>
      <c r="S17" s="3317"/>
    </row>
    <row r="18" spans="1:19">
      <c r="A18" s="3400"/>
      <c r="B18" s="3323" t="s">
        <v>2960</v>
      </c>
      <c r="C18" s="3387"/>
      <c r="D18" s="3388"/>
      <c r="E18" s="3389"/>
      <c r="F18" s="3387"/>
      <c r="G18" s="660"/>
      <c r="H18" s="3399"/>
      <c r="I18" s="3317"/>
      <c r="J18" s="3399"/>
      <c r="K18" s="3316"/>
      <c r="L18" s="3399"/>
      <c r="M18" s="3317"/>
      <c r="N18" s="3399"/>
      <c r="O18" s="3317"/>
      <c r="P18" s="3399"/>
      <c r="Q18" s="3317"/>
      <c r="R18" s="3399"/>
      <c r="S18" s="3317"/>
    </row>
    <row r="19" spans="1:19">
      <c r="A19" s="3400"/>
      <c r="B19" s="3324" t="s">
        <v>2961</v>
      </c>
      <c r="C19" s="3401"/>
      <c r="D19" s="3402"/>
      <c r="E19" s="3403"/>
      <c r="F19" s="3404"/>
      <c r="G19" s="661"/>
      <c r="H19" s="3405"/>
      <c r="I19" s="3326"/>
      <c r="J19" s="3405"/>
      <c r="K19" s="3327"/>
      <c r="L19" s="3405"/>
      <c r="M19" s="3326"/>
      <c r="N19" s="3405"/>
      <c r="O19" s="3326"/>
      <c r="P19" s="3405"/>
      <c r="Q19" s="3326"/>
      <c r="R19" s="3405"/>
      <c r="S19" s="3326"/>
    </row>
    <row r="20" spans="1:19">
      <c r="A20" s="3400"/>
      <c r="B20" s="3328"/>
      <c r="C20" s="3387"/>
      <c r="D20" s="3406"/>
      <c r="E20" s="3389"/>
      <c r="F20" s="3407"/>
      <c r="G20" s="660"/>
      <c r="H20" s="3399"/>
      <c r="I20" s="3322"/>
      <c r="J20" s="3399"/>
      <c r="K20" s="3320"/>
      <c r="L20" s="3399"/>
      <c r="M20" s="3320"/>
      <c r="N20" s="3399"/>
      <c r="O20" s="3320"/>
      <c r="P20" s="3399"/>
      <c r="Q20" s="3320"/>
      <c r="R20" s="3399"/>
      <c r="S20" s="3320"/>
    </row>
    <row r="21" spans="1:19">
      <c r="A21" s="3400"/>
      <c r="B21" s="3416" t="s">
        <v>2695</v>
      </c>
      <c r="C21" s="3387"/>
      <c r="D21" s="3406"/>
      <c r="E21" s="3389"/>
      <c r="F21" s="3412"/>
      <c r="G21" s="660"/>
      <c r="H21" s="3399"/>
      <c r="I21" s="3329">
        <f>SUBTOTAL(9,I22:I105)</f>
        <v>401795.27999999997</v>
      </c>
      <c r="J21" s="3399"/>
      <c r="K21" s="3329">
        <f>SUBTOTAL(9,K22:K105)</f>
        <v>272804.38</v>
      </c>
      <c r="L21" s="3399"/>
      <c r="M21" s="3329">
        <f>SUBTOTAL(9,M22:M105)</f>
        <v>0</v>
      </c>
      <c r="N21" s="3399"/>
      <c r="O21" s="3329">
        <f>SUBTOTAL(9,O22:O105)</f>
        <v>0</v>
      </c>
      <c r="P21" s="3399"/>
      <c r="Q21" s="3329">
        <f>SUBTOTAL(9,Q22:Q105)</f>
        <v>0</v>
      </c>
      <c r="R21" s="3399"/>
      <c r="S21" s="3329">
        <f>SUBTOTAL(9,S22:S105)</f>
        <v>0</v>
      </c>
    </row>
    <row r="22" spans="1:19">
      <c r="A22" s="3400"/>
      <c r="B22" s="3328" t="s">
        <v>2994</v>
      </c>
      <c r="C22" s="3387"/>
      <c r="D22" s="3406"/>
      <c r="E22" s="3389"/>
      <c r="F22" s="3407"/>
      <c r="G22" s="660"/>
      <c r="H22" s="3399"/>
      <c r="I22" s="3322">
        <f>401795.28-I96-I103</f>
        <v>250075.46000000002</v>
      </c>
      <c r="J22" s="3399"/>
      <c r="K22" s="3320"/>
      <c r="L22" s="3399"/>
      <c r="M22" s="3320"/>
      <c r="N22" s="3399"/>
      <c r="O22" s="3320"/>
      <c r="P22" s="3399"/>
      <c r="Q22" s="3320"/>
      <c r="R22" s="3399"/>
      <c r="S22" s="3320"/>
    </row>
    <row r="23" spans="1:19">
      <c r="A23" s="3400"/>
      <c r="B23" s="3328" t="s">
        <v>6788</v>
      </c>
      <c r="C23" s="3387"/>
      <c r="D23" s="3406"/>
      <c r="E23" s="3389"/>
      <c r="F23" s="3412"/>
      <c r="G23" s="660"/>
      <c r="H23" s="3399"/>
      <c r="I23" s="3322"/>
      <c r="J23" s="3399"/>
      <c r="K23" s="3322">
        <v>109593.44</v>
      </c>
      <c r="L23" s="3399"/>
      <c r="M23" s="3320"/>
      <c r="N23" s="3399"/>
      <c r="O23" s="3320"/>
      <c r="P23" s="3399"/>
      <c r="Q23" s="3320"/>
      <c r="R23" s="3399"/>
      <c r="S23" s="3320"/>
    </row>
    <row r="24" spans="1:19">
      <c r="A24" s="3400"/>
      <c r="B24" s="3328" t="s">
        <v>6798</v>
      </c>
      <c r="C24" s="3387"/>
      <c r="D24" s="3406"/>
      <c r="E24" s="3389"/>
      <c r="F24" s="3412"/>
      <c r="G24" s="660"/>
      <c r="H24" s="3399"/>
      <c r="I24" s="3322"/>
      <c r="J24" s="3399"/>
      <c r="K24" s="3322">
        <v>35404.400000000001</v>
      </c>
      <c r="L24" s="3399"/>
      <c r="M24" s="3320"/>
      <c r="N24" s="3399"/>
      <c r="O24" s="3320"/>
      <c r="P24" s="3399"/>
      <c r="Q24" s="3320"/>
      <c r="R24" s="3399"/>
      <c r="S24" s="3320"/>
    </row>
    <row r="25" spans="1:19">
      <c r="A25" s="3400"/>
      <c r="B25" s="3328" t="s">
        <v>4849</v>
      </c>
      <c r="C25" s="3387"/>
      <c r="D25" s="3406"/>
      <c r="E25" s="3389"/>
      <c r="F25" s="3412"/>
      <c r="G25" s="660"/>
      <c r="H25" s="3399"/>
      <c r="I25" s="3322"/>
      <c r="J25" s="3399"/>
      <c r="K25" s="3322">
        <v>79122.16</v>
      </c>
      <c r="L25" s="3399"/>
      <c r="M25" s="3320"/>
      <c r="N25" s="3399"/>
      <c r="O25" s="3320"/>
      <c r="P25" s="3399"/>
      <c r="Q25" s="3320"/>
      <c r="R25" s="3399"/>
      <c r="S25" s="3320"/>
    </row>
    <row r="26" spans="1:19">
      <c r="A26" s="3400"/>
      <c r="B26" s="3328" t="s">
        <v>6909</v>
      </c>
      <c r="C26" s="3387"/>
      <c r="D26" s="3406"/>
      <c r="E26" s="3389"/>
      <c r="F26" s="3412"/>
      <c r="G26" s="660"/>
      <c r="H26" s="3399"/>
      <c r="I26" s="3322"/>
      <c r="J26" s="3399"/>
      <c r="K26" s="3322">
        <v>17685.23</v>
      </c>
      <c r="L26" s="3399"/>
      <c r="M26" s="3320"/>
      <c r="N26" s="3399"/>
      <c r="O26" s="3320"/>
      <c r="P26" s="3399"/>
      <c r="Q26" s="3320"/>
      <c r="R26" s="3399"/>
      <c r="S26" s="3320"/>
    </row>
    <row r="27" spans="1:19">
      <c r="A27" s="3400"/>
      <c r="B27" s="3328"/>
      <c r="C27" s="3387"/>
      <c r="D27" s="3406"/>
      <c r="E27" s="3389"/>
      <c r="F27" s="3412"/>
      <c r="G27" s="660"/>
      <c r="H27" s="3399"/>
      <c r="I27" s="3322"/>
      <c r="J27" s="3399"/>
      <c r="K27" s="3322"/>
      <c r="L27" s="3399"/>
      <c r="M27" s="3320"/>
      <c r="N27" s="3399"/>
      <c r="O27" s="3320"/>
      <c r="P27" s="3399"/>
      <c r="Q27" s="3320"/>
      <c r="R27" s="3399"/>
      <c r="S27" s="3320"/>
    </row>
    <row r="28" spans="1:19">
      <c r="A28" s="3400"/>
      <c r="B28" s="3328" t="s">
        <v>3029</v>
      </c>
      <c r="C28" s="3387"/>
      <c r="D28" s="3406"/>
      <c r="E28" s="3389"/>
      <c r="F28" s="3407"/>
      <c r="G28" s="662">
        <f t="shared" ref="G28:G108" si="4">ROUND(D28*F28,0)</f>
        <v>0</v>
      </c>
      <c r="H28" s="3399"/>
      <c r="I28" s="3322"/>
      <c r="J28" s="3399"/>
      <c r="K28" s="3322"/>
      <c r="L28" s="3399"/>
      <c r="M28" s="3320"/>
      <c r="N28" s="3399"/>
      <c r="O28" s="3320"/>
      <c r="P28" s="3399"/>
      <c r="Q28" s="3320"/>
      <c r="R28" s="3399"/>
      <c r="S28" s="3320"/>
    </row>
    <row r="29" spans="1:19">
      <c r="A29" s="3400"/>
      <c r="B29" s="3330" t="s">
        <v>6910</v>
      </c>
      <c r="C29" s="3387"/>
      <c r="D29" s="3406">
        <v>5</v>
      </c>
      <c r="E29" s="3389" t="s">
        <v>2803</v>
      </c>
      <c r="F29" s="3407"/>
      <c r="G29" s="662">
        <f t="shared" si="4"/>
        <v>0</v>
      </c>
      <c r="H29" s="3399"/>
      <c r="I29" s="3322"/>
      <c r="J29" s="3399"/>
      <c r="K29" s="3322"/>
      <c r="L29" s="3399"/>
      <c r="M29" s="3320"/>
      <c r="N29" s="3399"/>
      <c r="O29" s="3320"/>
      <c r="P29" s="3399"/>
      <c r="Q29" s="3320"/>
      <c r="R29" s="3399"/>
      <c r="S29" s="3320"/>
    </row>
    <row r="30" spans="1:19">
      <c r="A30" s="3400"/>
      <c r="B30" s="3330" t="s">
        <v>6911</v>
      </c>
      <c r="C30" s="3387"/>
      <c r="D30" s="3406">
        <v>38</v>
      </c>
      <c r="E30" s="3389" t="s">
        <v>2803</v>
      </c>
      <c r="F30" s="3407"/>
      <c r="G30" s="662">
        <f t="shared" si="4"/>
        <v>0</v>
      </c>
      <c r="H30" s="3399"/>
      <c r="I30" s="3322"/>
      <c r="J30" s="3399"/>
      <c r="K30" s="3322"/>
      <c r="L30" s="3399"/>
      <c r="M30" s="3320"/>
      <c r="N30" s="3399"/>
      <c r="O30" s="3320"/>
      <c r="P30" s="3399"/>
      <c r="Q30" s="3320"/>
      <c r="R30" s="3399"/>
      <c r="S30" s="3320"/>
    </row>
    <row r="31" spans="1:19">
      <c r="A31" s="3400"/>
      <c r="B31" s="3330" t="s">
        <v>6912</v>
      </c>
      <c r="C31" s="3387"/>
      <c r="D31" s="3406"/>
      <c r="E31" s="3389"/>
      <c r="F31" s="3407"/>
      <c r="G31" s="662">
        <f t="shared" si="4"/>
        <v>0</v>
      </c>
      <c r="H31" s="3399"/>
      <c r="I31" s="3322"/>
      <c r="J31" s="3399"/>
      <c r="K31" s="3322"/>
      <c r="L31" s="3399"/>
      <c r="M31" s="3320"/>
      <c r="N31" s="3399"/>
      <c r="O31" s="3320"/>
      <c r="P31" s="3399"/>
      <c r="Q31" s="3320"/>
      <c r="R31" s="3399"/>
      <c r="S31" s="3320"/>
    </row>
    <row r="32" spans="1:19">
      <c r="A32" s="3400"/>
      <c r="B32" s="3330" t="s">
        <v>6913</v>
      </c>
      <c r="C32" s="3387"/>
      <c r="D32" s="3406">
        <v>2</v>
      </c>
      <c r="E32" s="3389" t="s">
        <v>2803</v>
      </c>
      <c r="F32" s="3407"/>
      <c r="G32" s="662">
        <f t="shared" si="4"/>
        <v>0</v>
      </c>
      <c r="H32" s="3399"/>
      <c r="I32" s="3322"/>
      <c r="J32" s="3399"/>
      <c r="K32" s="3322"/>
      <c r="L32" s="3399"/>
      <c r="M32" s="3320"/>
      <c r="N32" s="3399"/>
      <c r="O32" s="3320"/>
      <c r="P32" s="3399"/>
      <c r="Q32" s="3320"/>
      <c r="R32" s="3399"/>
      <c r="S32" s="3320"/>
    </row>
    <row r="33" spans="1:19">
      <c r="A33" s="3400"/>
      <c r="B33" s="3330" t="s">
        <v>6914</v>
      </c>
      <c r="C33" s="3387"/>
      <c r="D33" s="3406">
        <v>6</v>
      </c>
      <c r="E33" s="3389" t="s">
        <v>2803</v>
      </c>
      <c r="F33" s="3407"/>
      <c r="G33" s="662">
        <f t="shared" si="4"/>
        <v>0</v>
      </c>
      <c r="H33" s="3399"/>
      <c r="I33" s="3322"/>
      <c r="J33" s="3399"/>
      <c r="K33" s="3322"/>
      <c r="L33" s="3399"/>
      <c r="M33" s="3320"/>
      <c r="N33" s="3399"/>
      <c r="O33" s="3320"/>
      <c r="P33" s="3399"/>
      <c r="Q33" s="3320"/>
      <c r="R33" s="3399"/>
      <c r="S33" s="3320"/>
    </row>
    <row r="34" spans="1:19">
      <c r="A34" s="3400"/>
      <c r="B34" s="3330" t="s">
        <v>6915</v>
      </c>
      <c r="C34" s="3387"/>
      <c r="D34" s="3406">
        <v>1</v>
      </c>
      <c r="E34" s="3389" t="s">
        <v>2803</v>
      </c>
      <c r="F34" s="3407"/>
      <c r="G34" s="662">
        <f t="shared" si="4"/>
        <v>0</v>
      </c>
      <c r="H34" s="3399"/>
      <c r="I34" s="3322"/>
      <c r="J34" s="3399"/>
      <c r="K34" s="3322"/>
      <c r="L34" s="3399"/>
      <c r="M34" s="3320"/>
      <c r="N34" s="3399"/>
      <c r="O34" s="3320"/>
      <c r="P34" s="3399"/>
      <c r="Q34" s="3320"/>
      <c r="R34" s="3399"/>
      <c r="S34" s="3320"/>
    </row>
    <row r="35" spans="1:19">
      <c r="A35" s="3400"/>
      <c r="B35" s="3330" t="s">
        <v>4849</v>
      </c>
      <c r="C35" s="3387"/>
      <c r="D35" s="3406"/>
      <c r="E35" s="3389"/>
      <c r="F35" s="3407"/>
      <c r="G35" s="662">
        <f t="shared" si="4"/>
        <v>0</v>
      </c>
      <c r="H35" s="3399"/>
      <c r="I35" s="3322"/>
      <c r="J35" s="3399"/>
      <c r="K35" s="3322"/>
      <c r="L35" s="3399"/>
      <c r="M35" s="3320"/>
      <c r="N35" s="3399"/>
      <c r="O35" s="3320"/>
      <c r="P35" s="3399"/>
      <c r="Q35" s="3320"/>
      <c r="R35" s="3399"/>
      <c r="S35" s="3320"/>
    </row>
    <row r="36" spans="1:19">
      <c r="A36" s="3400"/>
      <c r="B36" s="3417" t="s">
        <v>6916</v>
      </c>
      <c r="C36" s="3387"/>
      <c r="D36" s="3406">
        <v>3</v>
      </c>
      <c r="E36" s="3389" t="s">
        <v>2803</v>
      </c>
      <c r="F36" s="3407"/>
      <c r="G36" s="662">
        <f t="shared" si="4"/>
        <v>0</v>
      </c>
      <c r="H36" s="3399"/>
      <c r="I36" s="3322"/>
      <c r="J36" s="3399"/>
      <c r="K36" s="3322"/>
      <c r="L36" s="3399"/>
      <c r="M36" s="3320"/>
      <c r="N36" s="3399"/>
      <c r="O36" s="3320"/>
      <c r="P36" s="3399"/>
      <c r="Q36" s="3320"/>
      <c r="R36" s="3399"/>
      <c r="S36" s="3320"/>
    </row>
    <row r="37" spans="1:19">
      <c r="A37" s="3400"/>
      <c r="B37" s="3418" t="s">
        <v>6917</v>
      </c>
      <c r="C37" s="3387"/>
      <c r="D37" s="3406">
        <v>3</v>
      </c>
      <c r="E37" s="3389" t="s">
        <v>2803</v>
      </c>
      <c r="F37" s="3407"/>
      <c r="G37" s="662">
        <f t="shared" si="4"/>
        <v>0</v>
      </c>
      <c r="H37" s="3399"/>
      <c r="I37" s="3322"/>
      <c r="J37" s="3399"/>
      <c r="K37" s="3322"/>
      <c r="L37" s="3399"/>
      <c r="M37" s="3320"/>
      <c r="N37" s="3399"/>
      <c r="O37" s="3320"/>
      <c r="P37" s="3399"/>
      <c r="Q37" s="3320"/>
      <c r="R37" s="3399"/>
      <c r="S37" s="3320"/>
    </row>
    <row r="38" spans="1:19">
      <c r="A38" s="3400"/>
      <c r="B38" s="3418" t="s">
        <v>6918</v>
      </c>
      <c r="C38" s="3387"/>
      <c r="D38" s="3406">
        <v>3</v>
      </c>
      <c r="E38" s="3389" t="s">
        <v>2803</v>
      </c>
      <c r="F38" s="3407"/>
      <c r="G38" s="662">
        <f t="shared" si="4"/>
        <v>0</v>
      </c>
      <c r="H38" s="3399"/>
      <c r="I38" s="3322"/>
      <c r="J38" s="3399"/>
      <c r="K38" s="3322"/>
      <c r="L38" s="3399"/>
      <c r="M38" s="3320"/>
      <c r="N38" s="3399"/>
      <c r="O38" s="3320"/>
      <c r="P38" s="3399"/>
      <c r="Q38" s="3320"/>
      <c r="R38" s="3399"/>
      <c r="S38" s="3320"/>
    </row>
    <row r="39" spans="1:19">
      <c r="A39" s="3400"/>
      <c r="B39" s="3418" t="s">
        <v>6919</v>
      </c>
      <c r="C39" s="3387"/>
      <c r="D39" s="3406"/>
      <c r="E39" s="3389"/>
      <c r="F39" s="3407"/>
      <c r="G39" s="662">
        <f t="shared" si="4"/>
        <v>0</v>
      </c>
      <c r="H39" s="3399"/>
      <c r="I39" s="3322"/>
      <c r="J39" s="3399"/>
      <c r="K39" s="3322"/>
      <c r="L39" s="3399"/>
      <c r="M39" s="3320"/>
      <c r="N39" s="3399"/>
      <c r="O39" s="3320"/>
      <c r="P39" s="3399"/>
      <c r="Q39" s="3320"/>
      <c r="R39" s="3399"/>
      <c r="S39" s="3320"/>
    </row>
    <row r="40" spans="1:19">
      <c r="A40" s="3400"/>
      <c r="B40" s="3417" t="s">
        <v>6920</v>
      </c>
      <c r="C40" s="3387"/>
      <c r="D40" s="3406">
        <v>8</v>
      </c>
      <c r="E40" s="3389" t="s">
        <v>2803</v>
      </c>
      <c r="F40" s="3407"/>
      <c r="G40" s="662">
        <f t="shared" si="4"/>
        <v>0</v>
      </c>
      <c r="H40" s="3399"/>
      <c r="I40" s="3322"/>
      <c r="J40" s="3399"/>
      <c r="K40" s="3322"/>
      <c r="L40" s="3399"/>
      <c r="M40" s="3320"/>
      <c r="N40" s="3399"/>
      <c r="O40" s="3320"/>
      <c r="P40" s="3399"/>
      <c r="Q40" s="3320"/>
      <c r="R40" s="3399"/>
      <c r="S40" s="3320"/>
    </row>
    <row r="41" spans="1:19">
      <c r="A41" s="3400"/>
      <c r="B41" s="3418" t="s">
        <v>6921</v>
      </c>
      <c r="C41" s="3387"/>
      <c r="D41" s="3406">
        <v>8</v>
      </c>
      <c r="E41" s="3389" t="s">
        <v>2803</v>
      </c>
      <c r="F41" s="3407"/>
      <c r="G41" s="662">
        <f t="shared" si="4"/>
        <v>0</v>
      </c>
      <c r="H41" s="3399"/>
      <c r="I41" s="3322"/>
      <c r="J41" s="3399"/>
      <c r="K41" s="3322"/>
      <c r="L41" s="3399"/>
      <c r="M41" s="3320"/>
      <c r="N41" s="3399"/>
      <c r="O41" s="3320"/>
      <c r="P41" s="3399"/>
      <c r="Q41" s="3320"/>
      <c r="R41" s="3399"/>
      <c r="S41" s="3320"/>
    </row>
    <row r="42" spans="1:19">
      <c r="A42" s="3400"/>
      <c r="B42" s="3418" t="s">
        <v>6922</v>
      </c>
      <c r="C42" s="3387"/>
      <c r="D42" s="3406"/>
      <c r="E42" s="3389"/>
      <c r="F42" s="3407"/>
      <c r="G42" s="662">
        <f t="shared" si="4"/>
        <v>0</v>
      </c>
      <c r="H42" s="3399"/>
      <c r="I42" s="3322"/>
      <c r="J42" s="3399"/>
      <c r="K42" s="3322"/>
      <c r="L42" s="3399"/>
      <c r="M42" s="3320"/>
      <c r="N42" s="3399"/>
      <c r="O42" s="3320"/>
      <c r="P42" s="3399"/>
      <c r="Q42" s="3320"/>
      <c r="R42" s="3399"/>
      <c r="S42" s="3320"/>
    </row>
    <row r="43" spans="1:19">
      <c r="A43" s="3400"/>
      <c r="B43" s="3417" t="s">
        <v>6923</v>
      </c>
      <c r="C43" s="3387"/>
      <c r="D43" s="3406">
        <v>1</v>
      </c>
      <c r="E43" s="3389" t="s">
        <v>2803</v>
      </c>
      <c r="F43" s="3407"/>
      <c r="G43" s="662">
        <f t="shared" si="4"/>
        <v>0</v>
      </c>
      <c r="H43" s="3399"/>
      <c r="I43" s="3322"/>
      <c r="J43" s="3399"/>
      <c r="K43" s="3322"/>
      <c r="L43" s="3399"/>
      <c r="M43" s="3320"/>
      <c r="N43" s="3399"/>
      <c r="O43" s="3320"/>
      <c r="P43" s="3399"/>
      <c r="Q43" s="3320"/>
      <c r="R43" s="3399"/>
      <c r="S43" s="3320"/>
    </row>
    <row r="44" spans="1:19">
      <c r="A44" s="3400"/>
      <c r="B44" s="3418" t="s">
        <v>6921</v>
      </c>
      <c r="C44" s="3387"/>
      <c r="D44" s="3406">
        <v>1</v>
      </c>
      <c r="E44" s="3389" t="s">
        <v>2803</v>
      </c>
      <c r="F44" s="3407"/>
      <c r="G44" s="662">
        <f t="shared" si="4"/>
        <v>0</v>
      </c>
      <c r="H44" s="3399"/>
      <c r="I44" s="3322"/>
      <c r="J44" s="3399"/>
      <c r="K44" s="3322"/>
      <c r="L44" s="3399"/>
      <c r="M44" s="3320"/>
      <c r="N44" s="3399"/>
      <c r="O44" s="3320"/>
      <c r="P44" s="3399"/>
      <c r="Q44" s="3320"/>
      <c r="R44" s="3399"/>
      <c r="S44" s="3320"/>
    </row>
    <row r="45" spans="1:19">
      <c r="A45" s="3400"/>
      <c r="B45" s="3418" t="s">
        <v>6924</v>
      </c>
      <c r="C45" s="3387"/>
      <c r="D45" s="3406"/>
      <c r="E45" s="3389"/>
      <c r="F45" s="3407"/>
      <c r="G45" s="662">
        <f t="shared" si="4"/>
        <v>0</v>
      </c>
      <c r="H45" s="3399"/>
      <c r="I45" s="3322"/>
      <c r="J45" s="3399"/>
      <c r="K45" s="3322"/>
      <c r="L45" s="3399"/>
      <c r="M45" s="3320"/>
      <c r="N45" s="3399"/>
      <c r="O45" s="3320"/>
      <c r="P45" s="3399"/>
      <c r="Q45" s="3320"/>
      <c r="R45" s="3399"/>
      <c r="S45" s="3320"/>
    </row>
    <row r="46" spans="1:19">
      <c r="A46" s="3400"/>
      <c r="B46" s="3418" t="s">
        <v>6925</v>
      </c>
      <c r="C46" s="3387"/>
      <c r="D46" s="3406"/>
      <c r="E46" s="3389"/>
      <c r="F46" s="3407"/>
      <c r="G46" s="662">
        <f t="shared" si="4"/>
        <v>0</v>
      </c>
      <c r="H46" s="3399"/>
      <c r="I46" s="3322"/>
      <c r="J46" s="3399"/>
      <c r="K46" s="3322"/>
      <c r="L46" s="3399"/>
      <c r="M46" s="3320"/>
      <c r="N46" s="3399"/>
      <c r="O46" s="3320"/>
      <c r="P46" s="3399"/>
      <c r="Q46" s="3320"/>
      <c r="R46" s="3399"/>
      <c r="S46" s="3320"/>
    </row>
    <row r="47" spans="1:19">
      <c r="A47" s="3400"/>
      <c r="B47" s="3417" t="s">
        <v>6926</v>
      </c>
      <c r="C47" s="3387"/>
      <c r="D47" s="3406">
        <v>2</v>
      </c>
      <c r="E47" s="3389" t="s">
        <v>2803</v>
      </c>
      <c r="F47" s="3407"/>
      <c r="G47" s="662">
        <f t="shared" si="4"/>
        <v>0</v>
      </c>
      <c r="H47" s="3399"/>
      <c r="I47" s="3322"/>
      <c r="J47" s="3399"/>
      <c r="K47" s="3322"/>
      <c r="L47" s="3399"/>
      <c r="M47" s="3320"/>
      <c r="N47" s="3399"/>
      <c r="O47" s="3320"/>
      <c r="P47" s="3399"/>
      <c r="Q47" s="3320"/>
      <c r="R47" s="3399"/>
      <c r="S47" s="3320"/>
    </row>
    <row r="48" spans="1:19">
      <c r="A48" s="3400"/>
      <c r="B48" s="3418" t="s">
        <v>6921</v>
      </c>
      <c r="C48" s="3387"/>
      <c r="D48" s="3406">
        <v>2</v>
      </c>
      <c r="E48" s="3389" t="s">
        <v>2803</v>
      </c>
      <c r="F48" s="3407"/>
      <c r="G48" s="662">
        <f t="shared" si="4"/>
        <v>0</v>
      </c>
      <c r="H48" s="3399"/>
      <c r="I48" s="3322"/>
      <c r="J48" s="3399"/>
      <c r="K48" s="3322"/>
      <c r="L48" s="3399"/>
      <c r="M48" s="3320"/>
      <c r="N48" s="3399"/>
      <c r="O48" s="3320"/>
      <c r="P48" s="3399"/>
      <c r="Q48" s="3320"/>
      <c r="R48" s="3399"/>
      <c r="S48" s="3320"/>
    </row>
    <row r="49" spans="1:19">
      <c r="A49" s="3400"/>
      <c r="B49" s="3418" t="s">
        <v>6924</v>
      </c>
      <c r="C49" s="3387"/>
      <c r="D49" s="3406"/>
      <c r="E49" s="3389"/>
      <c r="F49" s="3407"/>
      <c r="G49" s="662">
        <f t="shared" si="4"/>
        <v>0</v>
      </c>
      <c r="H49" s="3399"/>
      <c r="I49" s="3322"/>
      <c r="J49" s="3399"/>
      <c r="K49" s="3322"/>
      <c r="L49" s="3399"/>
      <c r="M49" s="3320"/>
      <c r="N49" s="3399"/>
      <c r="O49" s="3320"/>
      <c r="P49" s="3399"/>
      <c r="Q49" s="3320"/>
      <c r="R49" s="3399"/>
      <c r="S49" s="3320"/>
    </row>
    <row r="50" spans="1:19">
      <c r="A50" s="3400"/>
      <c r="B50" s="3328" t="s">
        <v>3080</v>
      </c>
      <c r="C50" s="3387"/>
      <c r="D50" s="3406"/>
      <c r="E50" s="3389"/>
      <c r="F50" s="3407"/>
      <c r="G50" s="662">
        <f t="shared" si="4"/>
        <v>0</v>
      </c>
      <c r="H50" s="3399"/>
      <c r="I50" s="3322"/>
      <c r="J50" s="3399"/>
      <c r="K50" s="3322"/>
      <c r="L50" s="3399"/>
      <c r="M50" s="3320"/>
      <c r="N50" s="3399"/>
      <c r="O50" s="3320"/>
      <c r="P50" s="3399"/>
      <c r="Q50" s="3320"/>
      <c r="R50" s="3399"/>
      <c r="S50" s="3320"/>
    </row>
    <row r="51" spans="1:19">
      <c r="A51" s="3400"/>
      <c r="B51" s="3332" t="s">
        <v>6910</v>
      </c>
      <c r="C51" s="3387"/>
      <c r="D51" s="3406">
        <v>3</v>
      </c>
      <c r="E51" s="3389" t="s">
        <v>2803</v>
      </c>
      <c r="F51" s="3407"/>
      <c r="G51" s="662">
        <f t="shared" si="4"/>
        <v>0</v>
      </c>
      <c r="H51" s="3399"/>
      <c r="I51" s="3322"/>
      <c r="J51" s="3399"/>
      <c r="K51" s="3322"/>
      <c r="L51" s="3399"/>
      <c r="M51" s="3320"/>
      <c r="N51" s="3399"/>
      <c r="O51" s="3320"/>
      <c r="P51" s="3399"/>
      <c r="Q51" s="3320"/>
      <c r="R51" s="3399"/>
      <c r="S51" s="3320"/>
    </row>
    <row r="52" spans="1:19">
      <c r="A52" s="3400"/>
      <c r="B52" s="3334" t="s">
        <v>6911</v>
      </c>
      <c r="C52" s="3387"/>
      <c r="D52" s="3406">
        <v>5</v>
      </c>
      <c r="E52" s="3389" t="s">
        <v>2803</v>
      </c>
      <c r="F52" s="3407"/>
      <c r="G52" s="662">
        <f t="shared" si="4"/>
        <v>0</v>
      </c>
      <c r="H52" s="3399"/>
      <c r="I52" s="3322"/>
      <c r="J52" s="3399"/>
      <c r="K52" s="3322"/>
      <c r="L52" s="3399"/>
      <c r="M52" s="3320"/>
      <c r="N52" s="3399"/>
      <c r="O52" s="3320"/>
      <c r="P52" s="3399"/>
      <c r="Q52" s="3320"/>
      <c r="R52" s="3399"/>
      <c r="S52" s="3320"/>
    </row>
    <row r="53" spans="1:19">
      <c r="A53" s="3400"/>
      <c r="B53" s="3330" t="s">
        <v>6912</v>
      </c>
      <c r="C53" s="3387"/>
      <c r="D53" s="3406">
        <v>1</v>
      </c>
      <c r="E53" s="3389" t="s">
        <v>2803</v>
      </c>
      <c r="F53" s="3407"/>
      <c r="G53" s="662">
        <f t="shared" si="4"/>
        <v>0</v>
      </c>
      <c r="H53" s="3399"/>
      <c r="I53" s="3322"/>
      <c r="J53" s="3399"/>
      <c r="K53" s="3322"/>
      <c r="L53" s="3399"/>
      <c r="M53" s="3320"/>
      <c r="N53" s="3399"/>
      <c r="O53" s="3320"/>
      <c r="P53" s="3399"/>
      <c r="Q53" s="3320"/>
      <c r="R53" s="3399"/>
      <c r="S53" s="3320"/>
    </row>
    <row r="54" spans="1:19">
      <c r="A54" s="3400"/>
      <c r="B54" s="3330" t="s">
        <v>6913</v>
      </c>
      <c r="C54" s="3387"/>
      <c r="D54" s="3406">
        <v>1</v>
      </c>
      <c r="E54" s="3389" t="s">
        <v>2803</v>
      </c>
      <c r="F54" s="3407"/>
      <c r="G54" s="662">
        <f t="shared" si="4"/>
        <v>0</v>
      </c>
      <c r="H54" s="3399"/>
      <c r="I54" s="3322"/>
      <c r="J54" s="3399"/>
      <c r="K54" s="3322"/>
      <c r="L54" s="3399"/>
      <c r="M54" s="3320"/>
      <c r="N54" s="3399"/>
      <c r="O54" s="3320"/>
      <c r="P54" s="3399"/>
      <c r="Q54" s="3320"/>
      <c r="R54" s="3399"/>
      <c r="S54" s="3320"/>
    </row>
    <row r="55" spans="1:19">
      <c r="A55" s="3400"/>
      <c r="B55" s="3330" t="s">
        <v>6914</v>
      </c>
      <c r="C55" s="3387"/>
      <c r="D55" s="3406">
        <v>3</v>
      </c>
      <c r="E55" s="3389" t="s">
        <v>2803</v>
      </c>
      <c r="F55" s="3407"/>
      <c r="G55" s="662">
        <f t="shared" si="4"/>
        <v>0</v>
      </c>
      <c r="H55" s="3399"/>
      <c r="I55" s="3322"/>
      <c r="J55" s="3399"/>
      <c r="K55" s="3322"/>
      <c r="L55" s="3399"/>
      <c r="M55" s="3320"/>
      <c r="N55" s="3399"/>
      <c r="O55" s="3320"/>
      <c r="P55" s="3399"/>
      <c r="Q55" s="3320"/>
      <c r="R55" s="3399"/>
      <c r="S55" s="3320"/>
    </row>
    <row r="56" spans="1:19">
      <c r="A56" s="3400"/>
      <c r="B56" s="3330" t="s">
        <v>6915</v>
      </c>
      <c r="C56" s="3387"/>
      <c r="D56" s="3406">
        <v>1</v>
      </c>
      <c r="E56" s="3389" t="s">
        <v>2803</v>
      </c>
      <c r="F56" s="3407"/>
      <c r="G56" s="662">
        <f t="shared" si="4"/>
        <v>0</v>
      </c>
      <c r="H56" s="3399"/>
      <c r="I56" s="3322"/>
      <c r="J56" s="3399"/>
      <c r="K56" s="3322"/>
      <c r="L56" s="3399"/>
      <c r="M56" s="3320"/>
      <c r="N56" s="3399"/>
      <c r="O56" s="3320"/>
      <c r="P56" s="3399"/>
      <c r="Q56" s="3320"/>
      <c r="R56" s="3399"/>
      <c r="S56" s="3320"/>
    </row>
    <row r="57" spans="1:19">
      <c r="A57" s="3400"/>
      <c r="B57" s="3330" t="s">
        <v>4849</v>
      </c>
      <c r="C57" s="3387"/>
      <c r="D57" s="3406"/>
      <c r="E57" s="3389"/>
      <c r="F57" s="3407"/>
      <c r="G57" s="662">
        <f t="shared" si="4"/>
        <v>0</v>
      </c>
      <c r="H57" s="3399"/>
      <c r="I57" s="3322"/>
      <c r="J57" s="3399"/>
      <c r="K57" s="3322"/>
      <c r="L57" s="3399"/>
      <c r="M57" s="3320"/>
      <c r="N57" s="3399"/>
      <c r="O57" s="3320"/>
      <c r="P57" s="3399"/>
      <c r="Q57" s="3320"/>
      <c r="R57" s="3399"/>
      <c r="S57" s="3320"/>
    </row>
    <row r="58" spans="1:19">
      <c r="A58" s="3400"/>
      <c r="B58" s="3417" t="s">
        <v>6916</v>
      </c>
      <c r="C58" s="3387"/>
      <c r="D58" s="3406">
        <v>1</v>
      </c>
      <c r="E58" s="3389" t="s">
        <v>2803</v>
      </c>
      <c r="F58" s="3407"/>
      <c r="G58" s="662">
        <f t="shared" si="4"/>
        <v>0</v>
      </c>
      <c r="H58" s="3399"/>
      <c r="I58" s="3322"/>
      <c r="J58" s="3399"/>
      <c r="K58" s="3322"/>
      <c r="L58" s="3399"/>
      <c r="M58" s="3320"/>
      <c r="N58" s="3399"/>
      <c r="O58" s="3320"/>
      <c r="P58" s="3399"/>
      <c r="Q58" s="3320"/>
      <c r="R58" s="3399"/>
      <c r="S58" s="3320"/>
    </row>
    <row r="59" spans="1:19">
      <c r="A59" s="3400"/>
      <c r="B59" s="3418" t="s">
        <v>6917</v>
      </c>
      <c r="C59" s="3387"/>
      <c r="D59" s="3406"/>
      <c r="E59" s="3389"/>
      <c r="F59" s="3407"/>
      <c r="G59" s="662">
        <f t="shared" si="4"/>
        <v>0</v>
      </c>
      <c r="H59" s="3399"/>
      <c r="I59" s="3322"/>
      <c r="J59" s="3399"/>
      <c r="K59" s="3322"/>
      <c r="L59" s="3399"/>
      <c r="M59" s="3320"/>
      <c r="N59" s="3399"/>
      <c r="O59" s="3320"/>
      <c r="P59" s="3399"/>
      <c r="Q59" s="3320"/>
      <c r="R59" s="3399"/>
      <c r="S59" s="3320"/>
    </row>
    <row r="60" spans="1:19">
      <c r="A60" s="3400"/>
      <c r="B60" s="3418" t="s">
        <v>6918</v>
      </c>
      <c r="C60" s="3387"/>
      <c r="D60" s="3406"/>
      <c r="E60" s="3389"/>
      <c r="F60" s="3407"/>
      <c r="G60" s="662">
        <f t="shared" si="4"/>
        <v>0</v>
      </c>
      <c r="H60" s="3399"/>
      <c r="I60" s="3322"/>
      <c r="J60" s="3399"/>
      <c r="K60" s="3322"/>
      <c r="L60" s="3399"/>
      <c r="M60" s="3320"/>
      <c r="N60" s="3399"/>
      <c r="O60" s="3320"/>
      <c r="P60" s="3399"/>
      <c r="Q60" s="3320"/>
      <c r="R60" s="3399"/>
      <c r="S60" s="3320"/>
    </row>
    <row r="61" spans="1:19">
      <c r="A61" s="3400"/>
      <c r="B61" s="3418" t="s">
        <v>6919</v>
      </c>
      <c r="C61" s="3387"/>
      <c r="D61" s="3406"/>
      <c r="E61" s="3389"/>
      <c r="F61" s="3407"/>
      <c r="G61" s="662">
        <f t="shared" si="4"/>
        <v>0</v>
      </c>
      <c r="H61" s="3399"/>
      <c r="I61" s="3322"/>
      <c r="J61" s="3399"/>
      <c r="K61" s="3322"/>
      <c r="L61" s="3399"/>
      <c r="M61" s="3320"/>
      <c r="N61" s="3399"/>
      <c r="O61" s="3320"/>
      <c r="P61" s="3399"/>
      <c r="Q61" s="3320"/>
      <c r="R61" s="3399"/>
      <c r="S61" s="3320"/>
    </row>
    <row r="62" spans="1:19">
      <c r="A62" s="3400"/>
      <c r="B62" s="3417" t="s">
        <v>6927</v>
      </c>
      <c r="C62" s="3387"/>
      <c r="D62" s="3406">
        <v>1</v>
      </c>
      <c r="E62" s="3389" t="s">
        <v>2803</v>
      </c>
      <c r="F62" s="3407"/>
      <c r="G62" s="662">
        <f t="shared" si="4"/>
        <v>0</v>
      </c>
      <c r="H62" s="3399"/>
      <c r="I62" s="3322"/>
      <c r="J62" s="3399"/>
      <c r="K62" s="3322"/>
      <c r="L62" s="3399"/>
      <c r="M62" s="3320"/>
      <c r="N62" s="3399"/>
      <c r="O62" s="3320"/>
      <c r="P62" s="3399"/>
      <c r="Q62" s="3320"/>
      <c r="R62" s="3399"/>
      <c r="S62" s="3320"/>
    </row>
    <row r="63" spans="1:19">
      <c r="A63" s="3400"/>
      <c r="B63" s="3418" t="s">
        <v>6917</v>
      </c>
      <c r="C63" s="3387"/>
      <c r="D63" s="3406">
        <v>1</v>
      </c>
      <c r="E63" s="3389" t="s">
        <v>2803</v>
      </c>
      <c r="F63" s="3407"/>
      <c r="G63" s="662">
        <f t="shared" si="4"/>
        <v>0</v>
      </c>
      <c r="H63" s="3399"/>
      <c r="I63" s="3322"/>
      <c r="J63" s="3399"/>
      <c r="K63" s="3322"/>
      <c r="L63" s="3399"/>
      <c r="M63" s="3320"/>
      <c r="N63" s="3399"/>
      <c r="O63" s="3320"/>
      <c r="P63" s="3399"/>
      <c r="Q63" s="3320"/>
      <c r="R63" s="3399"/>
      <c r="S63" s="3320"/>
    </row>
    <row r="64" spans="1:19">
      <c r="A64" s="3400"/>
      <c r="B64" s="3418" t="s">
        <v>6928</v>
      </c>
      <c r="C64" s="3387"/>
      <c r="D64" s="3406">
        <v>2</v>
      </c>
      <c r="E64" s="3389" t="s">
        <v>2803</v>
      </c>
      <c r="F64" s="3407"/>
      <c r="G64" s="662">
        <f t="shared" si="4"/>
        <v>0</v>
      </c>
      <c r="H64" s="3399"/>
      <c r="I64" s="3322"/>
      <c r="J64" s="3399"/>
      <c r="K64" s="3322"/>
      <c r="L64" s="3399"/>
      <c r="M64" s="3320"/>
      <c r="N64" s="3399"/>
      <c r="O64" s="3320"/>
      <c r="P64" s="3399"/>
      <c r="Q64" s="3320"/>
      <c r="R64" s="3399"/>
      <c r="S64" s="3320"/>
    </row>
    <row r="65" spans="1:19">
      <c r="A65" s="3400"/>
      <c r="B65" s="3418" t="s">
        <v>6929</v>
      </c>
      <c r="C65" s="3387"/>
      <c r="D65" s="3406"/>
      <c r="E65" s="3389"/>
      <c r="F65" s="3407"/>
      <c r="G65" s="662">
        <f t="shared" si="4"/>
        <v>0</v>
      </c>
      <c r="H65" s="3399"/>
      <c r="I65" s="3322"/>
      <c r="J65" s="3399"/>
      <c r="K65" s="3322"/>
      <c r="L65" s="3399"/>
      <c r="M65" s="3320"/>
      <c r="N65" s="3399"/>
      <c r="O65" s="3320"/>
      <c r="P65" s="3399"/>
      <c r="Q65" s="3320"/>
      <c r="R65" s="3399"/>
      <c r="S65" s="3320"/>
    </row>
    <row r="66" spans="1:19">
      <c r="A66" s="3400"/>
      <c r="B66" s="3417" t="s">
        <v>6920</v>
      </c>
      <c r="C66" s="3387"/>
      <c r="D66" s="3406">
        <v>7</v>
      </c>
      <c r="E66" s="3389" t="s">
        <v>2803</v>
      </c>
      <c r="F66" s="3407"/>
      <c r="G66" s="662">
        <f t="shared" si="4"/>
        <v>0</v>
      </c>
      <c r="H66" s="3399"/>
      <c r="I66" s="3322"/>
      <c r="J66" s="3399"/>
      <c r="K66" s="3322"/>
      <c r="L66" s="3399"/>
      <c r="M66" s="3320"/>
      <c r="N66" s="3399"/>
      <c r="O66" s="3320"/>
      <c r="P66" s="3399"/>
      <c r="Q66" s="3320"/>
      <c r="R66" s="3399"/>
      <c r="S66" s="3320"/>
    </row>
    <row r="67" spans="1:19">
      <c r="A67" s="3400"/>
      <c r="B67" s="3418" t="s">
        <v>6921</v>
      </c>
      <c r="C67" s="3387"/>
      <c r="D67" s="3406">
        <v>7</v>
      </c>
      <c r="E67" s="3389" t="s">
        <v>2803</v>
      </c>
      <c r="F67" s="3407"/>
      <c r="G67" s="662">
        <f t="shared" si="4"/>
        <v>0</v>
      </c>
      <c r="H67" s="3399"/>
      <c r="I67" s="3322"/>
      <c r="J67" s="3399"/>
      <c r="K67" s="3322"/>
      <c r="L67" s="3399"/>
      <c r="M67" s="3320"/>
      <c r="N67" s="3399"/>
      <c r="O67" s="3320"/>
      <c r="P67" s="3399"/>
      <c r="Q67" s="3320"/>
      <c r="R67" s="3399"/>
      <c r="S67" s="3320"/>
    </row>
    <row r="68" spans="1:19">
      <c r="A68" s="3400"/>
      <c r="B68" s="3418" t="s">
        <v>6922</v>
      </c>
      <c r="C68" s="3387"/>
      <c r="D68" s="3406"/>
      <c r="E68" s="3389"/>
      <c r="F68" s="3407"/>
      <c r="G68" s="662">
        <f t="shared" si="4"/>
        <v>0</v>
      </c>
      <c r="H68" s="3399"/>
      <c r="I68" s="3322"/>
      <c r="J68" s="3399"/>
      <c r="K68" s="3322"/>
      <c r="L68" s="3399"/>
      <c r="M68" s="3320"/>
      <c r="N68" s="3399"/>
      <c r="O68" s="3320"/>
      <c r="P68" s="3399"/>
      <c r="Q68" s="3320"/>
      <c r="R68" s="3399"/>
      <c r="S68" s="3320"/>
    </row>
    <row r="69" spans="1:19">
      <c r="A69" s="3400"/>
      <c r="B69" s="3328" t="s">
        <v>3113</v>
      </c>
      <c r="C69" s="3387"/>
      <c r="D69" s="3406"/>
      <c r="E69" s="3389"/>
      <c r="F69" s="3407"/>
      <c r="G69" s="662">
        <f t="shared" si="4"/>
        <v>0</v>
      </c>
      <c r="H69" s="3399"/>
      <c r="I69" s="3322"/>
      <c r="J69" s="3399"/>
      <c r="K69" s="3322"/>
      <c r="L69" s="3399"/>
      <c r="M69" s="3320"/>
      <c r="N69" s="3399"/>
      <c r="O69" s="3320"/>
      <c r="P69" s="3399"/>
      <c r="Q69" s="3320"/>
      <c r="R69" s="3399"/>
      <c r="S69" s="3320"/>
    </row>
    <row r="70" spans="1:19">
      <c r="A70" s="3400"/>
      <c r="B70" s="3330" t="s">
        <v>6910</v>
      </c>
      <c r="C70" s="3387"/>
      <c r="D70" s="3406">
        <v>13</v>
      </c>
      <c r="E70" s="3389" t="s">
        <v>2803</v>
      </c>
      <c r="F70" s="3407"/>
      <c r="G70" s="662">
        <f t="shared" si="4"/>
        <v>0</v>
      </c>
      <c r="H70" s="3399"/>
      <c r="I70" s="3322"/>
      <c r="J70" s="3399"/>
      <c r="K70" s="3322"/>
      <c r="L70" s="3399"/>
      <c r="M70" s="3320"/>
      <c r="N70" s="3399"/>
      <c r="O70" s="3320"/>
      <c r="P70" s="3399"/>
      <c r="Q70" s="3320"/>
      <c r="R70" s="3399"/>
      <c r="S70" s="3320"/>
    </row>
    <row r="71" spans="1:19">
      <c r="A71" s="3400"/>
      <c r="B71" s="3330" t="s">
        <v>6911</v>
      </c>
      <c r="C71" s="3387"/>
      <c r="D71" s="3406">
        <v>22</v>
      </c>
      <c r="E71" s="3389" t="s">
        <v>2803</v>
      </c>
      <c r="F71" s="3407"/>
      <c r="G71" s="662">
        <f t="shared" si="4"/>
        <v>0</v>
      </c>
      <c r="H71" s="3399"/>
      <c r="I71" s="3322"/>
      <c r="J71" s="3399"/>
      <c r="K71" s="3322"/>
      <c r="L71" s="3399"/>
      <c r="M71" s="3320"/>
      <c r="N71" s="3399"/>
      <c r="O71" s="3320"/>
      <c r="P71" s="3399"/>
      <c r="Q71" s="3320"/>
      <c r="R71" s="3399"/>
      <c r="S71" s="3320"/>
    </row>
    <row r="72" spans="1:19">
      <c r="A72" s="3400"/>
      <c r="B72" s="3330" t="s">
        <v>6912</v>
      </c>
      <c r="C72" s="3387"/>
      <c r="D72" s="3406"/>
      <c r="E72" s="3389"/>
      <c r="F72" s="3407"/>
      <c r="G72" s="662">
        <f t="shared" si="4"/>
        <v>0</v>
      </c>
      <c r="H72" s="3399"/>
      <c r="I72" s="3322"/>
      <c r="J72" s="3399"/>
      <c r="K72" s="3322"/>
      <c r="L72" s="3399"/>
      <c r="M72" s="3320"/>
      <c r="N72" s="3399"/>
      <c r="O72" s="3320"/>
      <c r="P72" s="3399"/>
      <c r="Q72" s="3320"/>
      <c r="R72" s="3399"/>
      <c r="S72" s="3320"/>
    </row>
    <row r="73" spans="1:19">
      <c r="A73" s="3400"/>
      <c r="B73" s="3330" t="s">
        <v>6913</v>
      </c>
      <c r="C73" s="3387"/>
      <c r="D73" s="3406">
        <v>2</v>
      </c>
      <c r="E73" s="3389" t="s">
        <v>2803</v>
      </c>
      <c r="F73" s="3407"/>
      <c r="G73" s="662">
        <f t="shared" si="4"/>
        <v>0</v>
      </c>
      <c r="H73" s="3399"/>
      <c r="I73" s="3322"/>
      <c r="J73" s="3399"/>
      <c r="K73" s="3322"/>
      <c r="L73" s="3399"/>
      <c r="M73" s="3320"/>
      <c r="N73" s="3399"/>
      <c r="O73" s="3320"/>
      <c r="P73" s="3399"/>
      <c r="Q73" s="3320"/>
      <c r="R73" s="3399"/>
      <c r="S73" s="3320"/>
    </row>
    <row r="74" spans="1:19">
      <c r="A74" s="3400"/>
      <c r="B74" s="3330" t="s">
        <v>6914</v>
      </c>
      <c r="C74" s="3387"/>
      <c r="D74" s="3406">
        <v>6</v>
      </c>
      <c r="E74" s="3389" t="s">
        <v>2803</v>
      </c>
      <c r="F74" s="3407"/>
      <c r="G74" s="662">
        <f t="shared" si="4"/>
        <v>0</v>
      </c>
      <c r="H74" s="3399"/>
      <c r="I74" s="3322"/>
      <c r="J74" s="3399"/>
      <c r="K74" s="3322"/>
      <c r="L74" s="3399"/>
      <c r="M74" s="3320"/>
      <c r="N74" s="3399"/>
      <c r="O74" s="3320"/>
      <c r="P74" s="3399"/>
      <c r="Q74" s="3320"/>
      <c r="R74" s="3399"/>
      <c r="S74" s="3320"/>
    </row>
    <row r="75" spans="1:19">
      <c r="A75" s="3400"/>
      <c r="B75" s="3330" t="s">
        <v>6915</v>
      </c>
      <c r="C75" s="3387"/>
      <c r="D75" s="3406">
        <v>4</v>
      </c>
      <c r="E75" s="3389" t="s">
        <v>2803</v>
      </c>
      <c r="F75" s="3407"/>
      <c r="G75" s="662">
        <f t="shared" si="4"/>
        <v>0</v>
      </c>
      <c r="H75" s="3399"/>
      <c r="I75" s="3322"/>
      <c r="J75" s="3399"/>
      <c r="K75" s="3322"/>
      <c r="L75" s="3399"/>
      <c r="M75" s="3320"/>
      <c r="N75" s="3399"/>
      <c r="O75" s="3320"/>
      <c r="P75" s="3399"/>
      <c r="Q75" s="3320"/>
      <c r="R75" s="3399"/>
      <c r="S75" s="3320"/>
    </row>
    <row r="76" spans="1:19">
      <c r="A76" s="3400"/>
      <c r="B76" s="3330" t="s">
        <v>4849</v>
      </c>
      <c r="C76" s="3387"/>
      <c r="D76" s="3406"/>
      <c r="E76" s="3389"/>
      <c r="F76" s="3407"/>
      <c r="G76" s="662">
        <f t="shared" si="4"/>
        <v>0</v>
      </c>
      <c r="H76" s="3399"/>
      <c r="I76" s="3322"/>
      <c r="J76" s="3399"/>
      <c r="K76" s="3322"/>
      <c r="L76" s="3399"/>
      <c r="M76" s="3320"/>
      <c r="N76" s="3399"/>
      <c r="O76" s="3320"/>
      <c r="P76" s="3399"/>
      <c r="Q76" s="3320"/>
      <c r="R76" s="3399"/>
      <c r="S76" s="3320"/>
    </row>
    <row r="77" spans="1:19">
      <c r="A77" s="3400"/>
      <c r="B77" s="3417" t="s">
        <v>6916</v>
      </c>
      <c r="C77" s="3387"/>
      <c r="D77" s="3406">
        <v>2</v>
      </c>
      <c r="E77" s="3389" t="s">
        <v>2803</v>
      </c>
      <c r="F77" s="3407"/>
      <c r="G77" s="662">
        <f t="shared" si="4"/>
        <v>0</v>
      </c>
      <c r="H77" s="3399"/>
      <c r="I77" s="3322"/>
      <c r="J77" s="3399"/>
      <c r="K77" s="3322"/>
      <c r="L77" s="3399"/>
      <c r="M77" s="3320"/>
      <c r="N77" s="3399"/>
      <c r="O77" s="3320"/>
      <c r="P77" s="3399"/>
      <c r="Q77" s="3320"/>
      <c r="R77" s="3399"/>
      <c r="S77" s="3320"/>
    </row>
    <row r="78" spans="1:19">
      <c r="A78" s="3400"/>
      <c r="B78" s="3418" t="s">
        <v>6917</v>
      </c>
      <c r="C78" s="3387"/>
      <c r="D78" s="3406">
        <v>2</v>
      </c>
      <c r="E78" s="3389" t="s">
        <v>2803</v>
      </c>
      <c r="F78" s="3407"/>
      <c r="G78" s="662">
        <f t="shared" si="4"/>
        <v>0</v>
      </c>
      <c r="H78" s="3399"/>
      <c r="I78" s="3322"/>
      <c r="J78" s="3399"/>
      <c r="K78" s="3322"/>
      <c r="L78" s="3399"/>
      <c r="M78" s="3320"/>
      <c r="N78" s="3399"/>
      <c r="O78" s="3320"/>
      <c r="P78" s="3399"/>
      <c r="Q78" s="3320"/>
      <c r="R78" s="3399"/>
      <c r="S78" s="3320"/>
    </row>
    <row r="79" spans="1:19">
      <c r="A79" s="3400"/>
      <c r="B79" s="3418" t="s">
        <v>6918</v>
      </c>
      <c r="C79" s="3387"/>
      <c r="D79" s="3406">
        <v>2</v>
      </c>
      <c r="E79" s="3389" t="s">
        <v>2803</v>
      </c>
      <c r="F79" s="3407"/>
      <c r="G79" s="662">
        <f t="shared" si="4"/>
        <v>0</v>
      </c>
      <c r="H79" s="3399"/>
      <c r="I79" s="3322"/>
      <c r="J79" s="3399"/>
      <c r="K79" s="3322"/>
      <c r="L79" s="3399"/>
      <c r="M79" s="3320"/>
      <c r="N79" s="3399"/>
      <c r="O79" s="3320"/>
      <c r="P79" s="3399"/>
      <c r="Q79" s="3320"/>
      <c r="R79" s="3399"/>
      <c r="S79" s="3320"/>
    </row>
    <row r="80" spans="1:19">
      <c r="A80" s="3400"/>
      <c r="B80" s="3418" t="s">
        <v>6919</v>
      </c>
      <c r="C80" s="3387"/>
      <c r="D80" s="3406"/>
      <c r="E80" s="3389"/>
      <c r="F80" s="3407"/>
      <c r="G80" s="662">
        <f t="shared" si="4"/>
        <v>0</v>
      </c>
      <c r="H80" s="3399"/>
      <c r="I80" s="3322"/>
      <c r="J80" s="3399"/>
      <c r="K80" s="3322"/>
      <c r="L80" s="3399"/>
      <c r="M80" s="3320"/>
      <c r="N80" s="3399"/>
      <c r="O80" s="3320"/>
      <c r="P80" s="3399"/>
      <c r="Q80" s="3320"/>
      <c r="R80" s="3399"/>
      <c r="S80" s="3320"/>
    </row>
    <row r="81" spans="1:19">
      <c r="A81" s="3400"/>
      <c r="B81" s="3417" t="s">
        <v>6920</v>
      </c>
      <c r="C81" s="3387"/>
      <c r="D81" s="3406">
        <v>6</v>
      </c>
      <c r="E81" s="3389" t="s">
        <v>2803</v>
      </c>
      <c r="F81" s="3407"/>
      <c r="G81" s="662">
        <f t="shared" si="4"/>
        <v>0</v>
      </c>
      <c r="H81" s="3399"/>
      <c r="I81" s="3322"/>
      <c r="J81" s="3399"/>
      <c r="K81" s="3322"/>
      <c r="L81" s="3399"/>
      <c r="M81" s="3320"/>
      <c r="N81" s="3399"/>
      <c r="O81" s="3320"/>
      <c r="P81" s="3399"/>
      <c r="Q81" s="3320"/>
      <c r="R81" s="3399"/>
      <c r="S81" s="3320"/>
    </row>
    <row r="82" spans="1:19">
      <c r="A82" s="3400"/>
      <c r="B82" s="3418" t="s">
        <v>6921</v>
      </c>
      <c r="C82" s="3387"/>
      <c r="D82" s="3406">
        <v>6</v>
      </c>
      <c r="E82" s="3389" t="s">
        <v>2803</v>
      </c>
      <c r="F82" s="3407"/>
      <c r="G82" s="662">
        <f t="shared" si="4"/>
        <v>0</v>
      </c>
      <c r="H82" s="3399"/>
      <c r="I82" s="3322"/>
      <c r="J82" s="3399"/>
      <c r="K82" s="3322"/>
      <c r="L82" s="3399"/>
      <c r="M82" s="3320"/>
      <c r="N82" s="3399"/>
      <c r="O82" s="3320"/>
      <c r="P82" s="3399"/>
      <c r="Q82" s="3320"/>
      <c r="R82" s="3399"/>
      <c r="S82" s="3320"/>
    </row>
    <row r="83" spans="1:19">
      <c r="A83" s="3400"/>
      <c r="B83" s="3418" t="s">
        <v>6922</v>
      </c>
      <c r="C83" s="3387"/>
      <c r="D83" s="3406"/>
      <c r="E83" s="3389"/>
      <c r="F83" s="3407"/>
      <c r="G83" s="662">
        <f t="shared" si="4"/>
        <v>0</v>
      </c>
      <c r="H83" s="3399"/>
      <c r="I83" s="3322"/>
      <c r="J83" s="3399"/>
      <c r="K83" s="3322"/>
      <c r="L83" s="3399"/>
      <c r="M83" s="3320"/>
      <c r="N83" s="3399"/>
      <c r="O83" s="3320"/>
      <c r="P83" s="3399"/>
      <c r="Q83" s="3320"/>
      <c r="R83" s="3399"/>
      <c r="S83" s="3320"/>
    </row>
    <row r="84" spans="1:19">
      <c r="A84" s="3400"/>
      <c r="B84" s="3417" t="s">
        <v>6930</v>
      </c>
      <c r="C84" s="3387"/>
      <c r="D84" s="3406">
        <v>1</v>
      </c>
      <c r="E84" s="3389" t="s">
        <v>2803</v>
      </c>
      <c r="F84" s="3407"/>
      <c r="G84" s="662">
        <f t="shared" si="4"/>
        <v>0</v>
      </c>
      <c r="H84" s="3399"/>
      <c r="I84" s="3322"/>
      <c r="J84" s="3399"/>
      <c r="K84" s="3322"/>
      <c r="L84" s="3399"/>
      <c r="M84" s="3320"/>
      <c r="N84" s="3399"/>
      <c r="O84" s="3320"/>
      <c r="P84" s="3399"/>
      <c r="Q84" s="3320"/>
      <c r="R84" s="3399"/>
      <c r="S84" s="3320"/>
    </row>
    <row r="85" spans="1:19">
      <c r="A85" s="3400"/>
      <c r="B85" s="3418" t="s">
        <v>6917</v>
      </c>
      <c r="C85" s="3387"/>
      <c r="D85" s="3406">
        <v>1</v>
      </c>
      <c r="E85" s="3389" t="s">
        <v>2803</v>
      </c>
      <c r="F85" s="3407"/>
      <c r="G85" s="662">
        <f t="shared" si="4"/>
        <v>0</v>
      </c>
      <c r="H85" s="3399"/>
      <c r="I85" s="3322"/>
      <c r="J85" s="3399"/>
      <c r="K85" s="3322"/>
      <c r="L85" s="3399"/>
      <c r="M85" s="3320"/>
      <c r="N85" s="3399"/>
      <c r="O85" s="3320"/>
      <c r="P85" s="3399"/>
      <c r="Q85" s="3320"/>
      <c r="R85" s="3399"/>
      <c r="S85" s="3320"/>
    </row>
    <row r="86" spans="1:19">
      <c r="A86" s="3400"/>
      <c r="B86" s="3418" t="s">
        <v>6918</v>
      </c>
      <c r="C86" s="3387"/>
      <c r="D86" s="3406">
        <v>1</v>
      </c>
      <c r="E86" s="3389" t="s">
        <v>2803</v>
      </c>
      <c r="F86" s="3407"/>
      <c r="G86" s="662">
        <f t="shared" si="4"/>
        <v>0</v>
      </c>
      <c r="H86" s="3399"/>
      <c r="I86" s="3322"/>
      <c r="J86" s="3399"/>
      <c r="K86" s="3322"/>
      <c r="L86" s="3399"/>
      <c r="M86" s="3320"/>
      <c r="N86" s="3399"/>
      <c r="O86" s="3320"/>
      <c r="P86" s="3399"/>
      <c r="Q86" s="3320"/>
      <c r="R86" s="3399"/>
      <c r="S86" s="3320"/>
    </row>
    <row r="87" spans="1:19">
      <c r="A87" s="3400"/>
      <c r="B87" s="3418" t="s">
        <v>6931</v>
      </c>
      <c r="C87" s="3387"/>
      <c r="D87" s="3406">
        <v>1</v>
      </c>
      <c r="E87" s="3389" t="s">
        <v>2803</v>
      </c>
      <c r="F87" s="3407"/>
      <c r="G87" s="662">
        <f t="shared" si="4"/>
        <v>0</v>
      </c>
      <c r="H87" s="3399"/>
      <c r="I87" s="3322"/>
      <c r="J87" s="3399"/>
      <c r="K87" s="3322"/>
      <c r="L87" s="3399"/>
      <c r="M87" s="3320"/>
      <c r="N87" s="3399"/>
      <c r="O87" s="3320"/>
      <c r="P87" s="3399"/>
      <c r="Q87" s="3320"/>
      <c r="R87" s="3399"/>
      <c r="S87" s="3320"/>
    </row>
    <row r="88" spans="1:19">
      <c r="A88" s="3400"/>
      <c r="B88" s="3418" t="s">
        <v>6932</v>
      </c>
      <c r="C88" s="3387"/>
      <c r="D88" s="3406"/>
      <c r="E88" s="3389"/>
      <c r="F88" s="3407"/>
      <c r="G88" s="662">
        <f t="shared" si="4"/>
        <v>0</v>
      </c>
      <c r="H88" s="3399"/>
      <c r="I88" s="3322"/>
      <c r="J88" s="3399"/>
      <c r="K88" s="3322"/>
      <c r="L88" s="3399"/>
      <c r="M88" s="3320"/>
      <c r="N88" s="3399"/>
      <c r="O88" s="3320"/>
      <c r="P88" s="3399"/>
      <c r="Q88" s="3320"/>
      <c r="R88" s="3399"/>
      <c r="S88" s="3320"/>
    </row>
    <row r="89" spans="1:19">
      <c r="A89" s="3400"/>
      <c r="B89" s="3417" t="s">
        <v>6923</v>
      </c>
      <c r="C89" s="3387"/>
      <c r="D89" s="3406">
        <v>1</v>
      </c>
      <c r="E89" s="3389" t="s">
        <v>2803</v>
      </c>
      <c r="F89" s="3407"/>
      <c r="G89" s="662">
        <f t="shared" si="4"/>
        <v>0</v>
      </c>
      <c r="H89" s="3399"/>
      <c r="I89" s="3322"/>
      <c r="J89" s="3399"/>
      <c r="K89" s="3322"/>
      <c r="L89" s="3399"/>
      <c r="M89" s="3320"/>
      <c r="N89" s="3399"/>
      <c r="O89" s="3320"/>
      <c r="P89" s="3399"/>
      <c r="Q89" s="3320"/>
      <c r="R89" s="3399"/>
      <c r="S89" s="3320"/>
    </row>
    <row r="90" spans="1:19">
      <c r="A90" s="3400"/>
      <c r="B90" s="3418" t="s">
        <v>6921</v>
      </c>
      <c r="C90" s="3387"/>
      <c r="D90" s="3406">
        <v>1</v>
      </c>
      <c r="E90" s="3389" t="s">
        <v>2803</v>
      </c>
      <c r="F90" s="3407"/>
      <c r="G90" s="662">
        <f t="shared" si="4"/>
        <v>0</v>
      </c>
      <c r="H90" s="3399"/>
      <c r="I90" s="3322"/>
      <c r="J90" s="3399"/>
      <c r="K90" s="3322"/>
      <c r="L90" s="3399"/>
      <c r="M90" s="3320"/>
      <c r="N90" s="3399"/>
      <c r="O90" s="3320"/>
      <c r="P90" s="3399"/>
      <c r="Q90" s="3320"/>
      <c r="R90" s="3399"/>
      <c r="S90" s="3320"/>
    </row>
    <row r="91" spans="1:19">
      <c r="A91" s="3400"/>
      <c r="B91" s="3418" t="s">
        <v>6924</v>
      </c>
      <c r="C91" s="3387"/>
      <c r="D91" s="3406"/>
      <c r="E91" s="3389"/>
      <c r="F91" s="3407"/>
      <c r="G91" s="662">
        <f t="shared" si="4"/>
        <v>0</v>
      </c>
      <c r="H91" s="3399"/>
      <c r="I91" s="3322"/>
      <c r="J91" s="3399"/>
      <c r="K91" s="3322"/>
      <c r="L91" s="3399"/>
      <c r="M91" s="3320"/>
      <c r="N91" s="3399"/>
      <c r="O91" s="3320"/>
      <c r="P91" s="3399"/>
      <c r="Q91" s="3320"/>
      <c r="R91" s="3399"/>
      <c r="S91" s="3320"/>
    </row>
    <row r="92" spans="1:19">
      <c r="A92" s="3400"/>
      <c r="B92" s="3418" t="s">
        <v>6925</v>
      </c>
      <c r="C92" s="3387"/>
      <c r="D92" s="3406"/>
      <c r="E92" s="3389"/>
      <c r="F92" s="3407"/>
      <c r="G92" s="662">
        <f t="shared" si="4"/>
        <v>0</v>
      </c>
      <c r="H92" s="3399"/>
      <c r="I92" s="3322"/>
      <c r="J92" s="3399"/>
      <c r="K92" s="3322"/>
      <c r="L92" s="3399"/>
      <c r="M92" s="3320"/>
      <c r="N92" s="3399"/>
      <c r="O92" s="3320"/>
      <c r="P92" s="3399"/>
      <c r="Q92" s="3320"/>
      <c r="R92" s="3399"/>
      <c r="S92" s="3320"/>
    </row>
    <row r="93" spans="1:19">
      <c r="A93" s="3400"/>
      <c r="B93" s="3417" t="s">
        <v>6926</v>
      </c>
      <c r="C93" s="3387"/>
      <c r="D93" s="3406">
        <v>5</v>
      </c>
      <c r="E93" s="3389" t="s">
        <v>2803</v>
      </c>
      <c r="F93" s="3407"/>
      <c r="G93" s="662">
        <f t="shared" si="4"/>
        <v>0</v>
      </c>
      <c r="H93" s="3399"/>
      <c r="I93" s="3322"/>
      <c r="J93" s="3399"/>
      <c r="K93" s="3322"/>
      <c r="L93" s="3399"/>
      <c r="M93" s="3320"/>
      <c r="N93" s="3399"/>
      <c r="O93" s="3320"/>
      <c r="P93" s="3399"/>
      <c r="Q93" s="3320"/>
      <c r="R93" s="3399"/>
      <c r="S93" s="3320"/>
    </row>
    <row r="94" spans="1:19">
      <c r="A94" s="3400"/>
      <c r="B94" s="3418" t="s">
        <v>6921</v>
      </c>
      <c r="C94" s="3387"/>
      <c r="D94" s="3406">
        <v>5</v>
      </c>
      <c r="E94" s="3389" t="s">
        <v>2803</v>
      </c>
      <c r="F94" s="3407"/>
      <c r="G94" s="662">
        <f t="shared" si="4"/>
        <v>0</v>
      </c>
      <c r="H94" s="3399"/>
      <c r="I94" s="3322"/>
      <c r="J94" s="3399"/>
      <c r="K94" s="3322"/>
      <c r="L94" s="3399"/>
      <c r="M94" s="3320"/>
      <c r="N94" s="3399"/>
      <c r="O94" s="3320"/>
      <c r="P94" s="3399"/>
      <c r="Q94" s="3320"/>
      <c r="R94" s="3399"/>
      <c r="S94" s="3320"/>
    </row>
    <row r="95" spans="1:19">
      <c r="A95" s="3400"/>
      <c r="B95" s="3418" t="s">
        <v>6924</v>
      </c>
      <c r="C95" s="3387"/>
      <c r="D95" s="3406"/>
      <c r="E95" s="3389"/>
      <c r="F95" s="3407"/>
      <c r="G95" s="662">
        <f t="shared" si="4"/>
        <v>0</v>
      </c>
      <c r="H95" s="3399"/>
      <c r="I95" s="3322"/>
      <c r="J95" s="3399"/>
      <c r="K95" s="3322"/>
      <c r="L95" s="3399"/>
      <c r="M95" s="3320"/>
      <c r="N95" s="3399"/>
      <c r="O95" s="3320"/>
      <c r="P95" s="3399"/>
      <c r="Q95" s="3320"/>
      <c r="R95" s="3399"/>
      <c r="S95" s="3320"/>
    </row>
    <row r="96" spans="1:19">
      <c r="A96" s="3400"/>
      <c r="B96" s="3330" t="s">
        <v>6933</v>
      </c>
      <c r="C96" s="3387"/>
      <c r="D96" s="3406"/>
      <c r="E96" s="3389"/>
      <c r="F96" s="3407"/>
      <c r="G96" s="662">
        <f t="shared" si="4"/>
        <v>0</v>
      </c>
      <c r="H96" s="3399"/>
      <c r="I96" s="3322">
        <v>139113.51999999999</v>
      </c>
      <c r="J96" s="3399"/>
      <c r="K96" s="3322">
        <v>30999.15</v>
      </c>
      <c r="L96" s="3399"/>
      <c r="M96" s="3320"/>
      <c r="N96" s="3399"/>
      <c r="O96" s="3320"/>
      <c r="P96" s="3399"/>
      <c r="Q96" s="3320"/>
      <c r="R96" s="3399"/>
      <c r="S96" s="3320"/>
    </row>
    <row r="97" spans="1:19">
      <c r="A97" s="3400"/>
      <c r="B97" s="3417" t="s">
        <v>6044</v>
      </c>
      <c r="C97" s="3387"/>
      <c r="D97" s="3406">
        <f>44+48+52+48+52</f>
        <v>244</v>
      </c>
      <c r="E97" s="3389" t="s">
        <v>2803</v>
      </c>
      <c r="F97" s="3407"/>
      <c r="G97" s="662">
        <f t="shared" si="4"/>
        <v>0</v>
      </c>
      <c r="H97" s="3399" t="s">
        <v>2929</v>
      </c>
      <c r="I97" s="3322"/>
      <c r="J97" s="3399"/>
      <c r="K97" s="3322"/>
      <c r="L97" s="3399"/>
      <c r="M97" s="3320"/>
      <c r="N97" s="3399"/>
      <c r="O97" s="3320"/>
      <c r="P97" s="3399"/>
      <c r="Q97" s="3320"/>
      <c r="R97" s="3399"/>
      <c r="S97" s="3320"/>
    </row>
    <row r="98" spans="1:19">
      <c r="A98" s="3400"/>
      <c r="B98" s="3417" t="s">
        <v>6045</v>
      </c>
      <c r="C98" s="3387"/>
      <c r="D98" s="3406">
        <v>2</v>
      </c>
      <c r="E98" s="3389" t="s">
        <v>2803</v>
      </c>
      <c r="F98" s="3407"/>
      <c r="G98" s="662">
        <f t="shared" si="4"/>
        <v>0</v>
      </c>
      <c r="H98" s="3399"/>
      <c r="I98" s="3322"/>
      <c r="J98" s="3399"/>
      <c r="K98" s="3322"/>
      <c r="L98" s="3399"/>
      <c r="M98" s="3320"/>
      <c r="N98" s="3399"/>
      <c r="O98" s="3320"/>
      <c r="P98" s="3399"/>
      <c r="Q98" s="3320"/>
      <c r="R98" s="3399"/>
      <c r="S98" s="3320"/>
    </row>
    <row r="99" spans="1:19">
      <c r="A99" s="3400"/>
      <c r="B99" s="3417" t="s">
        <v>6046</v>
      </c>
      <c r="C99" s="3387"/>
      <c r="D99" s="3406">
        <v>15</v>
      </c>
      <c r="E99" s="3389" t="s">
        <v>2803</v>
      </c>
      <c r="F99" s="3407"/>
      <c r="G99" s="662">
        <f t="shared" si="4"/>
        <v>0</v>
      </c>
      <c r="H99" s="3399"/>
      <c r="I99" s="3322"/>
      <c r="J99" s="3399"/>
      <c r="K99" s="3322"/>
      <c r="L99" s="3399"/>
      <c r="M99" s="3320"/>
      <c r="N99" s="3399"/>
      <c r="O99" s="3320"/>
      <c r="P99" s="3399"/>
      <c r="Q99" s="3320"/>
      <c r="R99" s="3399"/>
      <c r="S99" s="3320"/>
    </row>
    <row r="100" spans="1:19">
      <c r="A100" s="3400"/>
      <c r="B100" s="3417" t="s">
        <v>6047</v>
      </c>
      <c r="C100" s="3387"/>
      <c r="D100" s="3406">
        <v>11</v>
      </c>
      <c r="E100" s="3389" t="s">
        <v>2803</v>
      </c>
      <c r="F100" s="3407"/>
      <c r="G100" s="662">
        <f t="shared" si="4"/>
        <v>0</v>
      </c>
      <c r="H100" s="3399"/>
      <c r="I100" s="3322"/>
      <c r="J100" s="3399"/>
      <c r="K100" s="3322"/>
      <c r="L100" s="3399"/>
      <c r="M100" s="3320"/>
      <c r="N100" s="3399"/>
      <c r="O100" s="3320"/>
      <c r="P100" s="3399"/>
      <c r="Q100" s="3320"/>
      <c r="R100" s="3399"/>
      <c r="S100" s="3320"/>
    </row>
    <row r="101" spans="1:19">
      <c r="A101" s="3400"/>
      <c r="B101" s="3417" t="s">
        <v>6048</v>
      </c>
      <c r="C101" s="3387"/>
      <c r="D101" s="3406">
        <v>3</v>
      </c>
      <c r="E101" s="3389" t="s">
        <v>2803</v>
      </c>
      <c r="F101" s="3407"/>
      <c r="G101" s="662">
        <f t="shared" si="4"/>
        <v>0</v>
      </c>
      <c r="H101" s="3399"/>
      <c r="I101" s="3322"/>
      <c r="J101" s="3399"/>
      <c r="K101" s="3322"/>
      <c r="L101" s="3399"/>
      <c r="M101" s="3320"/>
      <c r="N101" s="3399"/>
      <c r="O101" s="3320"/>
      <c r="P101" s="3399"/>
      <c r="Q101" s="3320"/>
      <c r="R101" s="3399"/>
      <c r="S101" s="3320"/>
    </row>
    <row r="102" spans="1:19">
      <c r="A102" s="3400"/>
      <c r="B102" s="3417"/>
      <c r="C102" s="3387"/>
      <c r="D102" s="3406"/>
      <c r="E102" s="3389"/>
      <c r="F102" s="3407"/>
      <c r="G102" s="662">
        <f t="shared" si="4"/>
        <v>0</v>
      </c>
      <c r="H102" s="3399"/>
      <c r="I102" s="3322"/>
      <c r="J102" s="3399"/>
      <c r="K102" s="3322"/>
      <c r="L102" s="3399"/>
      <c r="M102" s="3320"/>
      <c r="N102" s="3399"/>
      <c r="O102" s="3320"/>
      <c r="P102" s="3399"/>
      <c r="Q102" s="3320"/>
      <c r="R102" s="3399"/>
      <c r="S102" s="3320"/>
    </row>
    <row r="103" spans="1:19" s="175" customFormat="1">
      <c r="A103" s="3400"/>
      <c r="B103" s="3419" t="s">
        <v>6821</v>
      </c>
      <c r="C103" s="3340"/>
      <c r="D103" s="3340"/>
      <c r="E103" s="3341"/>
      <c r="F103" s="3342"/>
      <c r="G103" s="668"/>
      <c r="H103" s="3343"/>
      <c r="I103" s="3322">
        <v>12606.3</v>
      </c>
      <c r="J103" s="3343"/>
      <c r="K103" s="3322"/>
      <c r="L103" s="3343"/>
      <c r="M103" s="3322"/>
      <c r="N103" s="3343"/>
      <c r="O103" s="3322"/>
      <c r="P103" s="3343"/>
      <c r="Q103" s="3322"/>
      <c r="R103" s="3343"/>
      <c r="S103" s="3322"/>
    </row>
    <row r="104" spans="1:19" s="175" customFormat="1">
      <c r="A104" s="3400"/>
      <c r="B104" s="3419"/>
      <c r="C104" s="3340"/>
      <c r="D104" s="3340"/>
      <c r="E104" s="3341"/>
      <c r="F104" s="3342"/>
      <c r="G104" s="668"/>
      <c r="H104" s="3343"/>
      <c r="I104" s="3322"/>
      <c r="J104" s="3343"/>
      <c r="K104" s="3322"/>
      <c r="L104" s="3343"/>
      <c r="M104" s="3322"/>
      <c r="N104" s="3343"/>
      <c r="O104" s="3322"/>
      <c r="P104" s="3343"/>
      <c r="Q104" s="3322"/>
      <c r="R104" s="3343"/>
      <c r="S104" s="3322"/>
    </row>
    <row r="105" spans="1:19">
      <c r="A105" s="3400"/>
      <c r="B105" s="3345" t="s">
        <v>6828</v>
      </c>
      <c r="C105" s="3387"/>
      <c r="D105" s="3420"/>
      <c r="E105" s="3389"/>
      <c r="F105" s="3407"/>
      <c r="G105" s="662">
        <f t="shared" ref="G105" si="5">ROUND(D105*F105,0)</f>
        <v>0</v>
      </c>
      <c r="H105" s="3399"/>
      <c r="I105" s="3346"/>
      <c r="J105" s="3399"/>
      <c r="K105" s="3346"/>
      <c r="L105" s="3399"/>
      <c r="M105" s="3346"/>
      <c r="N105" s="3399"/>
      <c r="O105" s="3322"/>
      <c r="P105" s="3399"/>
      <c r="Q105" s="3322"/>
      <c r="R105" s="3399"/>
      <c r="S105" s="3322"/>
    </row>
    <row r="106" spans="1:19" s="175" customFormat="1">
      <c r="A106" s="3400"/>
      <c r="B106" s="3419"/>
      <c r="C106" s="3340"/>
      <c r="D106" s="3340"/>
      <c r="E106" s="3341"/>
      <c r="F106" s="3342"/>
      <c r="G106" s="668"/>
      <c r="H106" s="3343"/>
      <c r="I106" s="3322"/>
      <c r="J106" s="3343"/>
      <c r="K106" s="3322"/>
      <c r="L106" s="3343"/>
      <c r="M106" s="3322"/>
      <c r="N106" s="3343"/>
      <c r="O106" s="3322"/>
      <c r="P106" s="3343"/>
      <c r="Q106" s="3322"/>
      <c r="R106" s="3343"/>
      <c r="S106" s="3322"/>
    </row>
    <row r="107" spans="1:19">
      <c r="A107" s="3400"/>
      <c r="B107" s="452" t="s">
        <v>6934</v>
      </c>
      <c r="C107" s="3387"/>
      <c r="D107" s="3406"/>
      <c r="E107" s="3389"/>
      <c r="F107" s="3407"/>
      <c r="G107" s="662">
        <f t="shared" si="4"/>
        <v>0</v>
      </c>
      <c r="H107" s="3399"/>
      <c r="I107" s="3322"/>
      <c r="J107" s="3399"/>
      <c r="K107" s="3322"/>
      <c r="L107" s="3399"/>
      <c r="M107" s="3320"/>
      <c r="N107" s="3399"/>
      <c r="O107" s="3320"/>
      <c r="P107" s="3399"/>
      <c r="Q107" s="3320"/>
      <c r="R107" s="3399"/>
      <c r="S107" s="3320"/>
    </row>
    <row r="108" spans="1:19">
      <c r="A108" s="3400"/>
      <c r="B108" s="531" t="s">
        <v>6099</v>
      </c>
      <c r="C108" s="3387"/>
      <c r="D108" s="3406"/>
      <c r="E108" s="3389"/>
      <c r="F108" s="3407"/>
      <c r="G108" s="662">
        <f t="shared" si="4"/>
        <v>0</v>
      </c>
      <c r="H108" s="3399"/>
      <c r="I108" s="3322"/>
      <c r="J108" s="3399"/>
      <c r="K108" s="3322"/>
      <c r="L108" s="3399"/>
      <c r="M108" s="3320"/>
      <c r="N108" s="3399"/>
      <c r="O108" s="3320"/>
      <c r="P108" s="3399"/>
      <c r="Q108" s="3320"/>
      <c r="R108" s="3399"/>
      <c r="S108" s="3320"/>
    </row>
    <row r="109" spans="1:19" ht="15.75" thickBot="1">
      <c r="A109" s="3421"/>
      <c r="B109" s="3422"/>
      <c r="C109" s="3423"/>
      <c r="D109" s="3424"/>
      <c r="E109" s="3199"/>
      <c r="F109" s="3412"/>
      <c r="G109" s="662"/>
      <c r="H109" s="3399"/>
      <c r="I109" s="3322"/>
      <c r="J109" s="3399"/>
      <c r="K109" s="3322"/>
      <c r="L109" s="3399"/>
      <c r="M109" s="3322"/>
      <c r="N109" s="3399"/>
      <c r="O109" s="3322"/>
      <c r="P109" s="3399"/>
      <c r="Q109" s="3322"/>
      <c r="R109" s="3399"/>
      <c r="S109" s="3322"/>
    </row>
    <row r="110" spans="1:19" ht="15.75" thickTop="1">
      <c r="A110" s="13"/>
      <c r="B110" s="226" t="s">
        <v>3265</v>
      </c>
      <c r="C110" s="15"/>
      <c r="D110" s="453"/>
      <c r="E110" s="176"/>
      <c r="F110" s="17"/>
      <c r="G110" s="227">
        <f>SUBTOTAL(9,G21:G109)</f>
        <v>0</v>
      </c>
      <c r="H110" s="19"/>
      <c r="I110" s="225">
        <f>SUBTOTAL(9,I20:I109)</f>
        <v>401795.27999999997</v>
      </c>
      <c r="J110" s="19"/>
      <c r="K110" s="225">
        <f>SUBTOTAL(9,K20:K109)</f>
        <v>272804.38</v>
      </c>
      <c r="L110" s="19"/>
      <c r="M110" s="225">
        <f>SUBTOTAL(9,M20:M109)</f>
        <v>0</v>
      </c>
      <c r="N110" s="19"/>
      <c r="O110" s="225">
        <f>SUBTOTAL(9,O20:O109)</f>
        <v>0</v>
      </c>
      <c r="P110" s="19"/>
      <c r="Q110" s="225">
        <f>SUBTOTAL(9,Q20:Q109)</f>
        <v>0</v>
      </c>
      <c r="R110" s="19"/>
      <c r="S110" s="225">
        <f>SUBTOTAL(9,S20:S109)</f>
        <v>0</v>
      </c>
    </row>
    <row r="111" spans="1:19">
      <c r="A111" s="1980"/>
      <c r="B111" s="3351" t="s">
        <v>2976</v>
      </c>
      <c r="C111" s="3352"/>
      <c r="D111" s="3353"/>
      <c r="E111" s="3354"/>
      <c r="F111" s="3355"/>
      <c r="G111" s="654"/>
      <c r="H111" s="3425">
        <v>0</v>
      </c>
      <c r="I111" s="645"/>
      <c r="J111" s="3425">
        <v>0</v>
      </c>
      <c r="K111" s="645"/>
      <c r="L111" s="3425">
        <v>0</v>
      </c>
      <c r="M111" s="645"/>
      <c r="N111" s="3425">
        <v>0</v>
      </c>
      <c r="O111" s="645"/>
      <c r="P111" s="3425">
        <v>0</v>
      </c>
      <c r="Q111" s="645"/>
      <c r="R111" s="3425">
        <v>0</v>
      </c>
      <c r="S111" s="645"/>
    </row>
    <row r="112" spans="1:19">
      <c r="A112" s="1980"/>
      <c r="B112" s="3351" t="s">
        <v>2977</v>
      </c>
      <c r="C112" s="3352"/>
      <c r="D112" s="3353"/>
      <c r="E112" s="3354"/>
      <c r="F112" s="3355"/>
      <c r="G112" s="654">
        <f>F111*G110</f>
        <v>0</v>
      </c>
      <c r="H112" s="3426"/>
      <c r="I112" s="3427">
        <f>H111*I110</f>
        <v>0</v>
      </c>
      <c r="J112" s="3426"/>
      <c r="K112" s="3427">
        <f>J111*K110</f>
        <v>0</v>
      </c>
      <c r="L112" s="3426"/>
      <c r="M112" s="3427">
        <f>L111*M110</f>
        <v>0</v>
      </c>
      <c r="N112" s="3426"/>
      <c r="O112" s="3427">
        <f>N111*O110</f>
        <v>0</v>
      </c>
      <c r="P112" s="3426"/>
      <c r="Q112" s="3427">
        <f>P111*Q110</f>
        <v>0</v>
      </c>
      <c r="R112" s="3426"/>
      <c r="S112" s="3427">
        <f>R111*S110</f>
        <v>0</v>
      </c>
    </row>
    <row r="113" spans="1:28">
      <c r="A113" s="1980"/>
      <c r="B113" s="3351"/>
      <c r="C113" s="3352"/>
      <c r="D113" s="3353"/>
      <c r="E113" s="3354"/>
      <c r="F113" s="3355"/>
      <c r="G113" s="654"/>
      <c r="H113" s="3426"/>
      <c r="I113" s="3427"/>
      <c r="J113" s="3426"/>
      <c r="K113" s="3427"/>
      <c r="L113" s="3426"/>
      <c r="M113" s="3427"/>
      <c r="N113" s="3426"/>
      <c r="O113" s="3427"/>
      <c r="P113" s="3426"/>
      <c r="Q113" s="3427"/>
      <c r="R113" s="3426"/>
      <c r="S113" s="3427"/>
    </row>
    <row r="114" spans="1:28">
      <c r="A114" s="1980"/>
      <c r="B114" s="3351" t="s">
        <v>2978</v>
      </c>
      <c r="C114" s="3352"/>
      <c r="D114" s="3353"/>
      <c r="E114" s="3354"/>
      <c r="F114" s="3355"/>
      <c r="G114" s="654">
        <f>SUM(G110:G112)</f>
        <v>0</v>
      </c>
      <c r="H114" s="3428"/>
      <c r="I114" s="3427">
        <f>SUM(I110:I112)</f>
        <v>401795.27999999997</v>
      </c>
      <c r="J114" s="3428"/>
      <c r="K114" s="3427">
        <f>SUM(K110:K112)</f>
        <v>272804.38</v>
      </c>
      <c r="L114" s="3428"/>
      <c r="M114" s="3427">
        <f>SUM(M110:M112)</f>
        <v>0</v>
      </c>
      <c r="N114" s="3428"/>
      <c r="O114" s="3427">
        <f>SUM(O110:O112)</f>
        <v>0</v>
      </c>
      <c r="P114" s="3428"/>
      <c r="Q114" s="3427">
        <f>SUM(Q110:Q112)</f>
        <v>0</v>
      </c>
      <c r="R114" s="3428"/>
      <c r="S114" s="3427">
        <f>SUM(S110:S112)</f>
        <v>0</v>
      </c>
    </row>
    <row r="115" spans="1:28">
      <c r="A115" s="1980"/>
      <c r="B115" s="3360" t="s">
        <v>2979</v>
      </c>
      <c r="C115" s="3352"/>
      <c r="D115" s="3353"/>
      <c r="E115" s="3354"/>
      <c r="F115" s="3360"/>
      <c r="G115" s="655">
        <v>0</v>
      </c>
      <c r="H115" s="3429"/>
      <c r="I115" s="3430">
        <v>0</v>
      </c>
      <c r="J115" s="3429"/>
      <c r="K115" s="3430">
        <v>0</v>
      </c>
      <c r="L115" s="3429"/>
      <c r="M115" s="3430">
        <v>0</v>
      </c>
      <c r="N115" s="3429"/>
      <c r="O115" s="3430">
        <v>0</v>
      </c>
      <c r="P115" s="3429"/>
      <c r="Q115" s="3430">
        <v>0</v>
      </c>
      <c r="R115" s="3431"/>
      <c r="S115" s="3430">
        <v>0</v>
      </c>
    </row>
    <row r="116" spans="1:28">
      <c r="A116" s="1980"/>
      <c r="B116" s="3364"/>
      <c r="C116" s="3352"/>
      <c r="D116" s="3353"/>
      <c r="E116" s="3354"/>
      <c r="F116" s="3355"/>
      <c r="G116" s="656"/>
      <c r="H116" s="3432"/>
      <c r="I116" s="3432"/>
      <c r="J116" s="3432"/>
      <c r="K116" s="3433"/>
      <c r="L116" s="3432"/>
      <c r="M116" s="3432"/>
      <c r="N116" s="3432"/>
      <c r="O116" s="3432"/>
      <c r="P116" s="3432"/>
      <c r="Q116" s="3432"/>
      <c r="R116" s="3432"/>
      <c r="S116" s="3432"/>
    </row>
    <row r="117" spans="1:28" ht="16.5" hidden="1" thickTop="1" thickBot="1">
      <c r="A117" s="830" t="s">
        <v>2980</v>
      </c>
      <c r="B117" s="831"/>
      <c r="C117" s="12"/>
      <c r="D117" s="234"/>
      <c r="E117" s="177"/>
      <c r="F117" s="12"/>
      <c r="G117" s="228"/>
      <c r="H117" s="20"/>
      <c r="I117" s="20"/>
      <c r="J117" s="20"/>
      <c r="K117" s="20"/>
      <c r="L117" s="20"/>
      <c r="M117" s="20"/>
      <c r="N117" s="20"/>
      <c r="O117" s="20"/>
      <c r="P117" s="20"/>
      <c r="Q117" s="20"/>
      <c r="R117" s="20"/>
      <c r="S117" s="20"/>
    </row>
    <row r="118" spans="1:28" hidden="1">
      <c r="A118" s="3297"/>
      <c r="B118" s="3386"/>
      <c r="C118" s="3298"/>
      <c r="D118" s="3414"/>
      <c r="E118" s="3300"/>
      <c r="F118" s="3298"/>
      <c r="G118" s="3367"/>
      <c r="H118" s="3302"/>
      <c r="I118" s="3302"/>
      <c r="J118" s="3302"/>
      <c r="K118" s="3302"/>
      <c r="L118" s="3302"/>
      <c r="M118" s="3302"/>
      <c r="N118" s="3302"/>
      <c r="O118" s="3302"/>
      <c r="P118" s="3302"/>
      <c r="Q118" s="3302"/>
      <c r="R118" s="3302"/>
      <c r="S118" s="3302"/>
    </row>
    <row r="119" spans="1:28" hidden="1">
      <c r="A119" s="3297"/>
      <c r="B119" s="3386"/>
      <c r="C119" s="3298"/>
      <c r="D119" s="3414"/>
      <c r="E119" s="3300"/>
      <c r="F119" s="3298"/>
      <c r="G119" s="3367"/>
      <c r="H119" s="3302"/>
      <c r="I119" s="3302"/>
      <c r="J119" s="3302"/>
      <c r="K119" s="3302"/>
      <c r="L119" s="3302"/>
      <c r="M119" s="3302"/>
      <c r="N119" s="3302"/>
      <c r="O119" s="3302"/>
      <c r="P119" s="3302"/>
      <c r="Q119" s="3302"/>
      <c r="R119" s="3302"/>
      <c r="S119" s="3302"/>
    </row>
    <row r="120" spans="1:28" hidden="1">
      <c r="A120" s="3297"/>
      <c r="B120" s="3386"/>
      <c r="C120" s="3298"/>
      <c r="D120" s="3414"/>
      <c r="E120" s="3300"/>
      <c r="F120" s="3298"/>
      <c r="G120" s="3367"/>
      <c r="H120" s="3302"/>
      <c r="I120" s="3302"/>
      <c r="J120" s="3302"/>
      <c r="K120" s="3302"/>
      <c r="L120" s="3302"/>
      <c r="M120" s="3302"/>
      <c r="N120" s="3302"/>
      <c r="O120" s="3302"/>
      <c r="P120" s="3302"/>
      <c r="Q120" s="3302"/>
      <c r="R120" s="3302"/>
      <c r="S120" s="3302"/>
    </row>
    <row r="121" spans="1:28" s="2" customFormat="1" ht="16.5" hidden="1" thickTop="1" thickBot="1">
      <c r="A121" s="830" t="s">
        <v>2981</v>
      </c>
      <c r="B121" s="831"/>
      <c r="C121" s="12"/>
      <c r="D121" s="234"/>
      <c r="E121" s="177"/>
      <c r="F121" s="12"/>
      <c r="G121" s="228"/>
      <c r="H121" s="20"/>
      <c r="I121" s="20"/>
      <c r="J121" s="20"/>
      <c r="K121" s="20"/>
      <c r="L121" s="20"/>
      <c r="M121" s="20"/>
      <c r="N121" s="20"/>
      <c r="O121" s="20"/>
      <c r="P121" s="20"/>
      <c r="Q121" s="20"/>
      <c r="R121" s="20"/>
      <c r="S121" s="20"/>
      <c r="T121"/>
      <c r="U121"/>
      <c r="V121"/>
      <c r="W121"/>
      <c r="X121"/>
      <c r="Y121"/>
      <c r="Z121"/>
      <c r="AA121"/>
      <c r="AB121"/>
    </row>
    <row r="122" spans="1:28" s="2" customFormat="1" hidden="1">
      <c r="A122" s="3297"/>
      <c r="B122" s="3386"/>
      <c r="C122" s="3298"/>
      <c r="D122" s="3414"/>
      <c r="E122" s="3300"/>
      <c r="F122" s="3298"/>
      <c r="G122" s="3367"/>
      <c r="H122" s="3302"/>
      <c r="I122" s="3302"/>
      <c r="J122" s="3302"/>
      <c r="K122" s="3302"/>
      <c r="L122" s="3302"/>
      <c r="M122" s="3302"/>
      <c r="N122" s="3302"/>
      <c r="O122" s="3302"/>
      <c r="P122" s="3302"/>
      <c r="Q122" s="3302"/>
      <c r="R122" s="3302"/>
      <c r="S122" s="3302"/>
      <c r="T122"/>
      <c r="U122"/>
      <c r="V122"/>
      <c r="W122"/>
      <c r="X122"/>
      <c r="Y122"/>
      <c r="Z122"/>
      <c r="AA122"/>
      <c r="AB122"/>
    </row>
    <row r="123" spans="1:28" s="2" customFormat="1" hidden="1">
      <c r="A123" s="3297"/>
      <c r="B123" s="3386"/>
      <c r="C123" s="3298"/>
      <c r="D123" s="3414"/>
      <c r="E123" s="3300"/>
      <c r="F123" s="3298"/>
      <c r="G123" s="3367"/>
      <c r="H123" s="3302"/>
      <c r="I123" s="3302"/>
      <c r="J123" s="3302"/>
      <c r="K123" s="3302"/>
      <c r="L123" s="3302"/>
      <c r="M123" s="3302"/>
      <c r="N123" s="3302"/>
      <c r="O123" s="3302"/>
      <c r="P123" s="3302"/>
      <c r="Q123" s="3302"/>
      <c r="R123" s="3302"/>
      <c r="S123" s="3302"/>
      <c r="T123"/>
      <c r="U123"/>
      <c r="V123"/>
      <c r="W123"/>
      <c r="X123"/>
      <c r="Y123"/>
      <c r="Z123"/>
      <c r="AA123"/>
      <c r="AB123"/>
    </row>
    <row r="124" spans="1:28" hidden="1">
      <c r="A124" s="3297"/>
      <c r="B124" s="3386"/>
      <c r="C124" s="3298"/>
      <c r="D124" s="3414"/>
      <c r="E124" s="3300"/>
      <c r="F124" s="3298"/>
      <c r="G124" s="3367"/>
      <c r="H124" s="3302"/>
      <c r="I124" s="3302"/>
      <c r="J124" s="3302"/>
      <c r="K124" s="3302"/>
      <c r="L124" s="3302"/>
      <c r="M124" s="3302"/>
      <c r="N124" s="3302"/>
      <c r="O124" s="3302"/>
      <c r="P124" s="3302"/>
      <c r="Q124" s="3302"/>
      <c r="R124" s="3302"/>
      <c r="S124" s="3302"/>
    </row>
    <row r="125" spans="1:28" s="2" customFormat="1" ht="16.5" hidden="1" thickTop="1" thickBot="1">
      <c r="A125" s="830" t="s">
        <v>2982</v>
      </c>
      <c r="B125" s="831"/>
      <c r="C125" s="12"/>
      <c r="D125" s="234"/>
      <c r="E125" s="177"/>
      <c r="F125" s="12"/>
      <c r="G125" s="228"/>
      <c r="H125" s="20"/>
      <c r="I125" s="20"/>
      <c r="J125" s="20"/>
      <c r="K125" s="20"/>
      <c r="L125" s="20"/>
      <c r="M125" s="20"/>
      <c r="N125" s="20"/>
      <c r="O125" s="20"/>
      <c r="P125" s="20"/>
      <c r="Q125" s="20"/>
      <c r="R125" s="20"/>
      <c r="S125" s="20"/>
      <c r="T125"/>
      <c r="U125"/>
      <c r="V125"/>
      <c r="W125"/>
      <c r="X125"/>
      <c r="Y125"/>
      <c r="Z125"/>
      <c r="AA125"/>
      <c r="AB125"/>
    </row>
    <row r="126" spans="1:28" s="2" customFormat="1" hidden="1">
      <c r="A126" s="3297"/>
      <c r="B126" s="3386"/>
      <c r="C126" s="3298"/>
      <c r="D126" s="3414"/>
      <c r="E126" s="3300"/>
      <c r="F126" s="3298"/>
      <c r="G126" s="3367"/>
      <c r="H126" s="3302"/>
      <c r="I126" s="3302"/>
      <c r="J126" s="3302"/>
      <c r="K126" s="3302"/>
      <c r="L126" s="3302"/>
      <c r="M126" s="3302"/>
      <c r="N126" s="3302"/>
      <c r="O126" s="3302"/>
      <c r="P126" s="3302"/>
      <c r="Q126" s="3302"/>
      <c r="R126" s="3302"/>
      <c r="S126" s="3302"/>
      <c r="T126"/>
      <c r="U126"/>
      <c r="V126"/>
      <c r="W126"/>
      <c r="X126"/>
      <c r="Y126"/>
      <c r="Z126"/>
      <c r="AA126"/>
      <c r="AB126"/>
    </row>
    <row r="127" spans="1:28" s="2" customFormat="1" hidden="1">
      <c r="A127" s="1997"/>
      <c r="B127" s="3386"/>
      <c r="C127" s="3387"/>
      <c r="D127" s="3388"/>
      <c r="E127" s="3389"/>
      <c r="F127" s="3387"/>
      <c r="G127" s="3372"/>
      <c r="H127" s="3434"/>
      <c r="I127" s="3434"/>
      <c r="J127" s="3434"/>
      <c r="K127" s="3434"/>
      <c r="L127" s="3434"/>
      <c r="M127" s="3434"/>
      <c r="N127" s="3434"/>
      <c r="O127" s="3434"/>
      <c r="P127" s="3434"/>
      <c r="Q127" s="3434"/>
      <c r="R127" s="3434"/>
      <c r="S127" s="3434"/>
      <c r="T127"/>
      <c r="U127"/>
      <c r="V127"/>
      <c r="W127"/>
      <c r="X127"/>
      <c r="Y127"/>
      <c r="Z127"/>
      <c r="AA127"/>
      <c r="AB127"/>
    </row>
    <row r="128" spans="1:28" s="2" customFormat="1" hidden="1">
      <c r="A128" s="2000"/>
      <c r="B128" s="3375"/>
      <c r="C128" s="3387"/>
      <c r="D128" s="3388"/>
      <c r="E128" s="3389"/>
      <c r="F128" s="3387"/>
      <c r="G128" s="3372"/>
      <c r="H128" s="3435"/>
      <c r="I128" s="3435"/>
      <c r="J128" s="3435"/>
      <c r="K128" s="3435"/>
      <c r="L128" s="3435"/>
      <c r="M128" s="3435"/>
      <c r="N128" s="3435"/>
      <c r="O128" s="3435"/>
      <c r="P128" s="3435"/>
      <c r="Q128" s="3435"/>
      <c r="R128" s="3435"/>
      <c r="S128" s="3435"/>
    </row>
    <row r="129" spans="1:28" s="2" customFormat="1" ht="16.5" hidden="1" thickTop="1" thickBot="1">
      <c r="A129" s="830" t="s">
        <v>2983</v>
      </c>
      <c r="B129" s="831"/>
      <c r="C129" s="12"/>
      <c r="D129" s="234"/>
      <c r="E129" s="177"/>
      <c r="F129" s="12"/>
      <c r="G129" s="228"/>
      <c r="H129" s="20"/>
      <c r="I129" s="20"/>
      <c r="J129" s="20"/>
      <c r="K129" s="20"/>
      <c r="L129" s="20"/>
      <c r="M129" s="20"/>
      <c r="N129" s="20"/>
      <c r="O129" s="20"/>
      <c r="P129" s="20"/>
      <c r="Q129" s="20"/>
      <c r="R129" s="20"/>
      <c r="S129" s="20"/>
      <c r="T129"/>
      <c r="U129"/>
      <c r="V129"/>
      <c r="W129"/>
      <c r="X129"/>
      <c r="Y129"/>
      <c r="Z129"/>
      <c r="AA129"/>
      <c r="AB129"/>
    </row>
    <row r="130" spans="1:28" hidden="1">
      <c r="A130" s="3303"/>
      <c r="B130" s="3304"/>
      <c r="C130" s="3298"/>
      <c r="D130" s="3414"/>
      <c r="E130" s="3300"/>
      <c r="F130" s="3298"/>
      <c r="G130" s="3367"/>
      <c r="H130" s="3302"/>
      <c r="I130" s="3302"/>
      <c r="J130" s="3302"/>
      <c r="K130" s="3302"/>
      <c r="L130" s="3302"/>
      <c r="M130" s="3302"/>
      <c r="N130" s="3302"/>
      <c r="O130" s="3302"/>
      <c r="P130" s="3302"/>
      <c r="Q130" s="3302"/>
      <c r="R130" s="3302"/>
      <c r="S130" s="3302"/>
      <c r="T130" s="2"/>
      <c r="U130" s="2"/>
      <c r="V130" s="2"/>
      <c r="W130" s="2"/>
      <c r="X130" s="2"/>
      <c r="Y130" s="2"/>
      <c r="Z130" s="2"/>
      <c r="AA130" s="2"/>
      <c r="AB130" s="2"/>
    </row>
    <row r="131" spans="1:28" hidden="1">
      <c r="A131" s="2000"/>
      <c r="B131" s="3375"/>
      <c r="C131" s="3387"/>
      <c r="D131" s="3388"/>
      <c r="E131" s="3389"/>
      <c r="F131" s="3387"/>
      <c r="G131" s="3372"/>
      <c r="H131" s="3436"/>
      <c r="I131" s="3436"/>
      <c r="J131" s="3436"/>
      <c r="K131" s="3436"/>
      <c r="L131" s="3436"/>
      <c r="M131" s="3436"/>
      <c r="N131" s="3436"/>
      <c r="O131" s="3436"/>
      <c r="P131" s="3436"/>
      <c r="Q131" s="3436"/>
      <c r="R131" s="3436"/>
      <c r="S131" s="3436"/>
      <c r="T131" s="2"/>
      <c r="U131" s="2"/>
      <c r="V131" s="2"/>
      <c r="W131" s="2"/>
      <c r="X131" s="2"/>
      <c r="Y131" s="2"/>
      <c r="Z131" s="2"/>
      <c r="AA131" s="2"/>
      <c r="AB131" s="2"/>
    </row>
    <row r="132" spans="1:28" hidden="1">
      <c r="A132" s="2000"/>
      <c r="B132" s="3375"/>
      <c r="C132" s="3387"/>
      <c r="D132" s="3388"/>
      <c r="E132" s="3389"/>
      <c r="F132" s="3387"/>
      <c r="G132" s="3372"/>
      <c r="H132" s="3436"/>
      <c r="I132" s="3436"/>
      <c r="J132" s="3436"/>
      <c r="K132" s="3436"/>
      <c r="L132" s="3436"/>
      <c r="M132" s="3436"/>
      <c r="N132" s="3436"/>
      <c r="O132" s="3436"/>
      <c r="P132" s="3436"/>
      <c r="Q132" s="3436"/>
      <c r="R132" s="3436"/>
      <c r="S132" s="3436"/>
      <c r="T132" s="2"/>
      <c r="U132" s="2"/>
      <c r="V132" s="2"/>
      <c r="W132" s="2"/>
      <c r="X132" s="2"/>
      <c r="Y132" s="2"/>
      <c r="Z132" s="2"/>
      <c r="AA132" s="2"/>
      <c r="AB132" s="2"/>
    </row>
    <row r="133" spans="1:28" ht="16.5" hidden="1" thickTop="1" thickBot="1">
      <c r="A133" s="830" t="s">
        <v>2984</v>
      </c>
      <c r="B133" s="831"/>
      <c r="C133" s="12"/>
      <c r="D133" s="234"/>
      <c r="E133" s="177"/>
      <c r="F133" s="12"/>
      <c r="G133" s="228"/>
      <c r="H133" s="20"/>
      <c r="I133" s="20"/>
      <c r="J133" s="20"/>
      <c r="K133" s="20"/>
      <c r="L133" s="20"/>
      <c r="M133" s="20"/>
      <c r="N133" s="20"/>
      <c r="O133" s="20"/>
      <c r="P133" s="20"/>
      <c r="Q133" s="20"/>
      <c r="R133" s="20"/>
      <c r="S133" s="20"/>
    </row>
    <row r="134" spans="1:28" hidden="1">
      <c r="A134" s="1997"/>
      <c r="B134" s="3386" t="s">
        <v>2985</v>
      </c>
      <c r="C134" s="3387"/>
      <c r="D134" s="3388"/>
      <c r="E134" s="3389"/>
      <c r="F134" s="3387"/>
      <c r="G134" s="3372"/>
      <c r="H134" s="3436"/>
      <c r="I134" s="3436"/>
      <c r="J134" s="3436"/>
      <c r="K134" s="3436"/>
      <c r="L134" s="3436"/>
      <c r="M134" s="3436"/>
      <c r="N134" s="3436"/>
      <c r="O134" s="3436"/>
      <c r="P134" s="3436"/>
      <c r="Q134" s="3436"/>
      <c r="R134" s="3436"/>
      <c r="S134" s="3436"/>
    </row>
    <row r="135" spans="1:28" hidden="1">
      <c r="A135" s="1997"/>
      <c r="B135" s="3386" t="s">
        <v>2986</v>
      </c>
      <c r="C135" s="3387"/>
      <c r="D135" s="3388"/>
      <c r="E135" s="3389"/>
      <c r="F135" s="3387"/>
      <c r="G135" s="3372"/>
      <c r="H135" s="3436"/>
      <c r="I135" s="3436"/>
      <c r="J135" s="3436"/>
      <c r="K135" s="3436"/>
      <c r="L135" s="3436"/>
      <c r="M135" s="3436"/>
      <c r="N135" s="3436"/>
      <c r="O135" s="3436"/>
      <c r="P135" s="3436"/>
      <c r="Q135" s="3436"/>
      <c r="R135" s="3436"/>
      <c r="S135" s="3436"/>
    </row>
    <row r="136" spans="1:28" hidden="1">
      <c r="A136" s="1997"/>
      <c r="B136" s="3386" t="s">
        <v>2987</v>
      </c>
      <c r="C136" s="3387"/>
      <c r="D136" s="3388"/>
      <c r="E136" s="3389"/>
      <c r="F136" s="3387"/>
      <c r="G136" s="3372"/>
      <c r="H136" s="3436"/>
      <c r="I136" s="3436"/>
      <c r="J136" s="3436"/>
      <c r="K136" s="3436"/>
      <c r="L136" s="3436"/>
      <c r="M136" s="3436"/>
      <c r="N136" s="3436"/>
      <c r="O136" s="3436"/>
      <c r="P136" s="3436"/>
      <c r="Q136" s="3436"/>
      <c r="R136" s="3436"/>
      <c r="S136" s="3436"/>
    </row>
    <row r="137" spans="1:28" hidden="1">
      <c r="A137" s="1997"/>
      <c r="B137" s="3386" t="s">
        <v>2988</v>
      </c>
      <c r="C137" s="3387"/>
      <c r="D137" s="3388"/>
      <c r="E137" s="3389"/>
      <c r="F137" s="3387"/>
      <c r="G137" s="3372"/>
      <c r="H137" s="3436"/>
      <c r="I137" s="3436"/>
      <c r="J137" s="3436"/>
      <c r="K137" s="3436"/>
      <c r="L137" s="3436"/>
      <c r="M137" s="3436"/>
      <c r="N137" s="3436"/>
      <c r="O137" s="3436"/>
      <c r="P137" s="3436"/>
      <c r="Q137" s="3436"/>
      <c r="R137" s="3436"/>
      <c r="S137" s="3436"/>
    </row>
    <row r="138" spans="1:28" hidden="1">
      <c r="A138" s="646"/>
      <c r="B138" s="619"/>
      <c r="C138" s="616"/>
      <c r="D138" s="617"/>
      <c r="E138" s="622"/>
      <c r="F138" s="616"/>
      <c r="G138" s="620"/>
      <c r="H138" s="647"/>
      <c r="I138" s="647"/>
      <c r="J138" s="647"/>
      <c r="K138" s="647"/>
      <c r="L138" s="647"/>
      <c r="M138" s="647"/>
      <c r="N138" s="647"/>
      <c r="O138" s="647"/>
      <c r="P138" s="647"/>
      <c r="Q138" s="647"/>
      <c r="R138" s="647"/>
      <c r="S138" s="647"/>
    </row>
    <row r="139" spans="1:28" ht="16.5" hidden="1" thickTop="1" thickBot="1">
      <c r="A139" s="7" t="s">
        <v>2989</v>
      </c>
      <c r="B139" s="8"/>
      <c r="C139" s="12"/>
      <c r="D139" s="234"/>
      <c r="E139" s="177"/>
      <c r="F139" s="12"/>
      <c r="G139" s="228"/>
      <c r="H139" s="20"/>
      <c r="I139" s="20"/>
      <c r="J139" s="20"/>
      <c r="K139" s="20"/>
      <c r="L139" s="20"/>
      <c r="M139" s="20"/>
      <c r="N139" s="20"/>
      <c r="O139" s="20"/>
      <c r="P139" s="20"/>
      <c r="Q139" s="20"/>
      <c r="R139" s="20"/>
      <c r="S139" s="20"/>
    </row>
    <row r="140" spans="1:28" hidden="1">
      <c r="A140" s="3297"/>
      <c r="B140" s="3305" t="s">
        <v>2990</v>
      </c>
      <c r="C140" s="3298"/>
      <c r="D140" s="3414"/>
      <c r="E140" s="3300"/>
      <c r="F140" s="3298"/>
      <c r="G140" s="3367"/>
      <c r="H140" s="3306"/>
      <c r="I140" s="3306"/>
      <c r="J140" s="3306"/>
      <c r="K140" s="3306"/>
      <c r="L140" s="3306"/>
      <c r="M140" s="3306"/>
      <c r="N140" s="3306"/>
      <c r="O140" s="3306"/>
      <c r="P140" s="3306"/>
      <c r="Q140" s="3306"/>
      <c r="R140" s="3306"/>
      <c r="S140" s="3306"/>
    </row>
    <row r="141" spans="1:28" hidden="1">
      <c r="A141" s="1997"/>
      <c r="B141" s="3386" t="s">
        <v>2991</v>
      </c>
      <c r="C141" s="3387"/>
      <c r="D141" s="3388"/>
      <c r="E141" s="3389"/>
      <c r="F141" s="3387"/>
      <c r="G141" s="3372"/>
      <c r="H141" s="3437"/>
      <c r="I141" s="3437"/>
      <c r="J141" s="3437"/>
      <c r="K141" s="3437"/>
      <c r="L141" s="3437"/>
      <c r="M141" s="3437"/>
      <c r="N141" s="3437"/>
      <c r="O141" s="3437"/>
      <c r="P141" s="3437"/>
      <c r="Q141" s="3437"/>
      <c r="R141" s="3437"/>
      <c r="S141" s="3437"/>
    </row>
    <row r="142" spans="1:28" ht="15.75" hidden="1" thickBot="1">
      <c r="A142" s="3197"/>
      <c r="B142" s="1959" t="s">
        <v>2992</v>
      </c>
      <c r="C142" s="1960"/>
      <c r="D142" s="3438"/>
      <c r="E142" s="3199"/>
      <c r="F142" s="1960"/>
      <c r="G142" s="3200"/>
      <c r="H142" s="3201"/>
      <c r="I142" s="3201"/>
      <c r="J142" s="3201"/>
      <c r="K142" s="3201"/>
      <c r="L142" s="3201"/>
      <c r="M142" s="3201"/>
      <c r="N142" s="3201"/>
      <c r="O142" s="3201"/>
      <c r="P142" s="3201"/>
      <c r="Q142" s="3201"/>
      <c r="R142" s="3201"/>
      <c r="S142" s="3201"/>
    </row>
    <row r="143" spans="1:28" ht="15.75" thickBot="1"/>
    <row r="144" spans="1:28" ht="16.5" thickTop="1" thickBot="1">
      <c r="A144" s="59" t="s">
        <v>2993</v>
      </c>
      <c r="B144" s="61"/>
      <c r="G144" s="533" t="s">
        <v>3584</v>
      </c>
      <c r="H144" s="236"/>
      <c r="I144" s="236">
        <v>401795.28</v>
      </c>
      <c r="J144" s="236"/>
    </row>
    <row r="145" spans="1:11" ht="15.75" thickTop="1">
      <c r="A145" s="60" t="s">
        <v>2936</v>
      </c>
      <c r="B145" s="3202"/>
      <c r="G145" s="532" t="s">
        <v>6935</v>
      </c>
      <c r="I145" s="236"/>
    </row>
    <row r="146" spans="1:11">
      <c r="A146" s="3381" t="s">
        <v>2939</v>
      </c>
      <c r="B146" s="3202"/>
      <c r="G146" s="534" t="s">
        <v>6829</v>
      </c>
      <c r="H146" s="236"/>
      <c r="I146" s="236"/>
      <c r="J146" s="236"/>
    </row>
    <row r="147" spans="1:11">
      <c r="A147" s="3204" t="s">
        <v>2941</v>
      </c>
      <c r="B147" s="3205"/>
      <c r="G147" s="534" t="s">
        <v>3586</v>
      </c>
      <c r="H147" s="236"/>
      <c r="I147" s="527">
        <v>0</v>
      </c>
      <c r="J147" s="236"/>
    </row>
    <row r="148" spans="1:11">
      <c r="A148" s="3204" t="s">
        <v>2943</v>
      </c>
      <c r="B148" s="3206"/>
      <c r="G148" s="533" t="s">
        <v>6936</v>
      </c>
      <c r="H148" s="236"/>
      <c r="I148" s="3439">
        <f>I97</f>
        <v>0</v>
      </c>
      <c r="J148" s="236"/>
    </row>
    <row r="149" spans="1:11" ht="15.75" thickBot="1">
      <c r="A149" s="3207" t="s">
        <v>2994</v>
      </c>
      <c r="B149" s="3208">
        <f>I114</f>
        <v>401795.27999999997</v>
      </c>
      <c r="G149" s="534" t="s">
        <v>3589</v>
      </c>
      <c r="H149" s="236"/>
      <c r="I149" s="236">
        <f>SUM(I144:I148)</f>
        <v>401795.28</v>
      </c>
      <c r="J149" s="236"/>
    </row>
    <row r="150" spans="1:11" ht="15.75" thickTop="1">
      <c r="G150" s="534" t="s">
        <v>6830</v>
      </c>
      <c r="H150" s="236"/>
      <c r="I150" s="236">
        <f>I110</f>
        <v>401795.27999999997</v>
      </c>
      <c r="J150" s="236"/>
      <c r="K150" s="236"/>
    </row>
    <row r="151" spans="1:11">
      <c r="A151" s="62"/>
      <c r="B151" s="1" t="s">
        <v>2995</v>
      </c>
      <c r="G151" s="534" t="s">
        <v>3591</v>
      </c>
      <c r="H151" s="236"/>
      <c r="I151" s="236">
        <f>I150-I149</f>
        <v>0</v>
      </c>
      <c r="J151" s="236"/>
      <c r="K151" s="236"/>
    </row>
    <row r="152" spans="1:11">
      <c r="A152" s="63"/>
      <c r="B152" s="1" t="s">
        <v>2996</v>
      </c>
    </row>
    <row r="153" spans="1:11">
      <c r="I153" s="447"/>
    </row>
    <row r="155" spans="1:11">
      <c r="I155" s="236"/>
    </row>
    <row r="156" spans="1:11">
      <c r="I156" s="236"/>
    </row>
    <row r="157" spans="1:11">
      <c r="I157" s="236"/>
    </row>
    <row r="158" spans="1:11">
      <c r="I158" s="236"/>
    </row>
    <row r="159" spans="1:11">
      <c r="I159" s="236"/>
    </row>
    <row r="160" spans="1:11">
      <c r="I160" s="236"/>
    </row>
    <row r="161" spans="9:9">
      <c r="I161" s="236"/>
    </row>
    <row r="162" spans="9:9">
      <c r="I162" s="236"/>
    </row>
    <row r="163" spans="9:9">
      <c r="I163" s="236"/>
    </row>
  </sheetData>
  <mergeCells count="35">
    <mergeCell ref="R9:S9"/>
    <mergeCell ref="J8:K8"/>
    <mergeCell ref="H8:I8"/>
    <mergeCell ref="L8:M8"/>
    <mergeCell ref="N8:O8"/>
    <mergeCell ref="P8:Q8"/>
    <mergeCell ref="R8:S8"/>
    <mergeCell ref="J9:K9"/>
    <mergeCell ref="H9:I9"/>
    <mergeCell ref="L9:M9"/>
    <mergeCell ref="N9:O9"/>
    <mergeCell ref="P9:Q9"/>
    <mergeCell ref="R7:S7"/>
    <mergeCell ref="J6:K6"/>
    <mergeCell ref="H6:I6"/>
    <mergeCell ref="L6:M6"/>
    <mergeCell ref="N6:O6"/>
    <mergeCell ref="P6:Q6"/>
    <mergeCell ref="R6:S6"/>
    <mergeCell ref="J7:K7"/>
    <mergeCell ref="H7:I7"/>
    <mergeCell ref="L7:M7"/>
    <mergeCell ref="N7:O7"/>
    <mergeCell ref="P7:Q7"/>
    <mergeCell ref="R5:S5"/>
    <mergeCell ref="J5:K5"/>
    <mergeCell ref="H5:I5"/>
    <mergeCell ref="L5:M5"/>
    <mergeCell ref="N5:O5"/>
    <mergeCell ref="P5:Q5"/>
    <mergeCell ref="A117:B117"/>
    <mergeCell ref="A121:B121"/>
    <mergeCell ref="A125:B125"/>
    <mergeCell ref="A129:B129"/>
    <mergeCell ref="A133:B133"/>
  </mergeCells>
  <conditionalFormatting sqref="H11:H18 J11:J18 L11:L18 N11:N18 P11:P18 R11:R18">
    <cfRule type="cellIs" dxfId="45" priority="9" operator="equal">
      <formula>"X"</formula>
    </cfRule>
    <cfRule type="cellIs" dxfId="44" priority="10" operator="equal">
      <formula>"I"</formula>
    </cfRule>
  </conditionalFormatting>
  <conditionalFormatting sqref="H20:H109 J20:J109 L20:L109 N20:N109 P20:P109 R20:R109">
    <cfRule type="cellIs" dxfId="43" priority="1" operator="equal">
      <formula>"X"</formula>
    </cfRule>
    <cfRule type="cellIs" dxfId="42" priority="2" operator="equal">
      <formula>"I"</formula>
    </cfRule>
  </conditionalFormatting>
  <hyperlinks>
    <hyperlink ref="B4" location="'Cost Summary'!A1" display="BACK TO SUMMARY SHEET" xr:uid="{F9175404-C82A-4BE9-906D-9697864C8762}"/>
    <hyperlink ref="J8" r:id="rId1" xr:uid="{453F4B60-AD96-4CAA-9496-15DC629900D8}"/>
    <hyperlink ref="H8" r:id="rId2" xr:uid="{091289D0-2908-4B76-B618-4F7D0298A07A}"/>
  </hyperlinks>
  <pageMargins left="0.2" right="0.2" top="0.25" bottom="0.25" header="0.3" footer="0.3"/>
  <pageSetup scale="98" fitToHeight="0" orientation="portrait" r:id="rId3"/>
  <drawing r:id="rId4"/>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FFFF00"/>
    <pageSetUpPr fitToPage="1"/>
  </sheetPr>
  <dimension ref="A1:AH115"/>
  <sheetViews>
    <sheetView zoomScale="90" zoomScaleNormal="90" workbookViewId="0">
      <pane xSplit="2" ySplit="9" topLeftCell="C10" activePane="bottomRight" state="frozen"/>
      <selection pane="bottomRight" activeCell="B4" sqref="B4"/>
      <selection pane="bottomLeft" activeCell="B4" sqref="B4"/>
      <selection pane="topRight" activeCell="B4" sqref="B4"/>
    </sheetView>
  </sheetViews>
  <sheetFormatPr defaultColWidth="8.85546875" defaultRowHeight="15"/>
  <cols>
    <col min="1" max="1" width="10.85546875" customWidth="1"/>
    <col min="2" max="2" width="70.7109375" style="1" customWidth="1"/>
    <col min="3" max="3" width="10.85546875" style="2" bestFit="1"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33">
      <c r="F1" s="178"/>
      <c r="G1" s="56" t="s">
        <v>2928</v>
      </c>
    </row>
    <row r="2" spans="1:33">
      <c r="F2" s="179" t="s">
        <v>2929</v>
      </c>
      <c r="G2" s="56" t="s">
        <v>2930</v>
      </c>
    </row>
    <row r="3" spans="1:33">
      <c r="F3" s="180" t="s">
        <v>2931</v>
      </c>
      <c r="G3" s="56" t="s">
        <v>2932</v>
      </c>
    </row>
    <row r="4" spans="1:33" ht="15.75" thickBot="1">
      <c r="B4" s="181" t="s">
        <v>2933</v>
      </c>
      <c r="F4" s="170"/>
      <c r="G4" s="2" t="s">
        <v>2934</v>
      </c>
    </row>
    <row r="5" spans="1:33" ht="15.75" thickTop="1">
      <c r="A5" s="3" t="s">
        <v>2935</v>
      </c>
      <c r="B5" s="4" t="s">
        <v>84</v>
      </c>
      <c r="C5" s="5"/>
      <c r="D5" s="166"/>
      <c r="E5" s="171"/>
      <c r="F5" s="5"/>
      <c r="G5" s="6" t="s">
        <v>2936</v>
      </c>
      <c r="H5" s="837" t="s">
        <v>6937</v>
      </c>
      <c r="I5" s="838"/>
      <c r="J5" s="841"/>
      <c r="K5" s="842"/>
      <c r="L5" s="841"/>
      <c r="M5" s="842"/>
      <c r="N5" s="841"/>
      <c r="O5" s="842"/>
      <c r="P5" s="841"/>
      <c r="Q5" s="842"/>
      <c r="R5" s="841"/>
      <c r="S5" s="842"/>
    </row>
    <row r="6" spans="1:33">
      <c r="A6" s="2017" t="s">
        <v>2938</v>
      </c>
      <c r="B6" s="3386" t="s">
        <v>2699</v>
      </c>
      <c r="C6" s="3387"/>
      <c r="D6" s="3406"/>
      <c r="E6" s="3389"/>
      <c r="F6" s="3387"/>
      <c r="G6" s="657" t="s">
        <v>2939</v>
      </c>
      <c r="H6" s="3390" t="s">
        <v>6938</v>
      </c>
      <c r="I6" s="839"/>
      <c r="J6" s="3391"/>
      <c r="K6" s="843"/>
      <c r="L6" s="3391"/>
      <c r="M6" s="843"/>
      <c r="N6" s="3391"/>
      <c r="O6" s="843"/>
      <c r="P6" s="3391"/>
      <c r="Q6" s="843"/>
      <c r="R6" s="3391"/>
      <c r="S6" s="843"/>
    </row>
    <row r="7" spans="1:33">
      <c r="A7" s="2017" t="s">
        <v>2940</v>
      </c>
      <c r="B7" s="3392" t="s">
        <v>6939</v>
      </c>
      <c r="C7" s="3387"/>
      <c r="D7" s="3406"/>
      <c r="E7" s="3389"/>
      <c r="F7" s="3387"/>
      <c r="G7" s="3393" t="s">
        <v>2941</v>
      </c>
      <c r="H7" s="3394" t="s">
        <v>6940</v>
      </c>
      <c r="I7" s="840"/>
      <c r="J7" s="3395"/>
      <c r="K7" s="844"/>
      <c r="L7" s="3395"/>
      <c r="M7" s="844"/>
      <c r="N7" s="3395"/>
      <c r="O7" s="844"/>
      <c r="P7" s="3395"/>
      <c r="Q7" s="844"/>
      <c r="R7" s="3395"/>
      <c r="S7" s="844"/>
    </row>
    <row r="8" spans="1:33">
      <c r="A8" s="2017" t="s">
        <v>2942</v>
      </c>
      <c r="B8" s="3396"/>
      <c r="C8" s="3387"/>
      <c r="D8" s="3406"/>
      <c r="E8" s="3389"/>
      <c r="F8" s="3387"/>
      <c r="G8" s="3393" t="s">
        <v>2943</v>
      </c>
      <c r="H8" s="3397" t="s">
        <v>6941</v>
      </c>
      <c r="I8" s="836"/>
      <c r="J8" s="3398"/>
      <c r="K8" s="845"/>
      <c r="L8" s="3398"/>
      <c r="M8" s="845"/>
      <c r="N8" s="3398"/>
      <c r="O8" s="845"/>
      <c r="P8" s="3398"/>
      <c r="Q8" s="845"/>
      <c r="R8" s="3398"/>
      <c r="S8" s="845"/>
    </row>
    <row r="9" spans="1:33" ht="15.75" thickBot="1">
      <c r="A9" s="3223"/>
      <c r="B9" s="3224"/>
      <c r="C9" s="616"/>
      <c r="D9" s="621"/>
      <c r="E9" s="622"/>
      <c r="F9" s="3225"/>
      <c r="G9" s="3226" t="s">
        <v>2944</v>
      </c>
      <c r="H9" s="3229">
        <f>I$77</f>
        <v>2628144</v>
      </c>
      <c r="I9" s="3230"/>
      <c r="J9" s="3227">
        <f t="shared" ref="J9" si="0">K$77</f>
        <v>10000</v>
      </c>
      <c r="K9" s="3228"/>
      <c r="L9" s="3227">
        <f t="shared" ref="L9" si="1">M$77</f>
        <v>10000</v>
      </c>
      <c r="M9" s="3228"/>
      <c r="N9" s="3227">
        <f t="shared" ref="N9" si="2">O$77</f>
        <v>10000</v>
      </c>
      <c r="O9" s="3228"/>
      <c r="P9" s="3227">
        <f t="shared" ref="P9" si="3">Q$77</f>
        <v>10000</v>
      </c>
      <c r="Q9" s="3228"/>
      <c r="R9" s="3227">
        <f t="shared" ref="R9" si="4">S$77</f>
        <v>10000</v>
      </c>
      <c r="S9" s="3228"/>
    </row>
    <row r="10" spans="1:33"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T10"/>
      <c r="U10"/>
      <c r="V10"/>
      <c r="W10"/>
      <c r="X10"/>
      <c r="Y10"/>
      <c r="Z10"/>
      <c r="AA10"/>
      <c r="AB10"/>
      <c r="AC10"/>
      <c r="AD10"/>
      <c r="AE10"/>
      <c r="AF10"/>
      <c r="AG10"/>
    </row>
    <row r="11" spans="1:33" ht="16.5" thickTop="1" thickBot="1">
      <c r="A11" s="3315"/>
      <c r="B11" s="2889" t="s">
        <v>2953</v>
      </c>
      <c r="C11" s="659"/>
      <c r="D11" s="3406"/>
      <c r="E11" s="3389"/>
      <c r="F11" s="3387"/>
      <c r="G11" s="660"/>
      <c r="H11" s="3232"/>
      <c r="I11" s="3316"/>
      <c r="J11" s="3232"/>
      <c r="K11" s="182"/>
      <c r="L11" s="3232"/>
      <c r="M11" s="3317"/>
      <c r="N11" s="3232"/>
      <c r="O11" s="3317"/>
      <c r="P11" s="3232"/>
      <c r="Q11" s="3317"/>
      <c r="R11" s="3232"/>
      <c r="S11" s="3317"/>
    </row>
    <row r="12" spans="1:33">
      <c r="A12" s="3318"/>
      <c r="B12" s="3440" t="s">
        <v>2954</v>
      </c>
      <c r="C12" s="3387"/>
      <c r="D12" s="3406"/>
      <c r="E12" s="3389"/>
      <c r="F12" s="3387"/>
      <c r="G12" s="660"/>
      <c r="H12" s="3232"/>
      <c r="I12" s="3316"/>
      <c r="J12" s="3232"/>
      <c r="K12" s="3317"/>
      <c r="L12" s="3232"/>
      <c r="M12" s="3317"/>
      <c r="N12" s="3232"/>
      <c r="O12" s="3317"/>
      <c r="P12" s="3232"/>
      <c r="Q12" s="3317"/>
      <c r="R12" s="3232"/>
      <c r="S12" s="3317"/>
    </row>
    <row r="13" spans="1:33">
      <c r="A13" s="2037"/>
      <c r="B13" s="3441" t="s">
        <v>2955</v>
      </c>
      <c r="C13" s="3387"/>
      <c r="D13" s="3406"/>
      <c r="E13" s="3389"/>
      <c r="F13" s="3387"/>
      <c r="G13" s="660"/>
      <c r="H13" s="3232"/>
      <c r="I13" s="720"/>
      <c r="J13" s="3232"/>
      <c r="K13" s="691"/>
      <c r="L13" s="3232"/>
      <c r="M13" s="691"/>
      <c r="N13" s="3232"/>
      <c r="O13" s="691"/>
      <c r="P13" s="3232"/>
      <c r="Q13" s="691"/>
      <c r="R13" s="3232"/>
      <c r="S13" s="691"/>
    </row>
    <row r="14" spans="1:33">
      <c r="A14" s="2037"/>
      <c r="B14" s="3442" t="s">
        <v>2956</v>
      </c>
      <c r="C14" s="3387"/>
      <c r="D14" s="3406"/>
      <c r="E14" s="3389"/>
      <c r="F14" s="3387"/>
      <c r="G14" s="660"/>
      <c r="H14" s="3232"/>
      <c r="I14" s="720"/>
      <c r="J14" s="3232"/>
      <c r="K14" s="691"/>
      <c r="L14" s="3232"/>
      <c r="M14" s="691"/>
      <c r="N14" s="3232"/>
      <c r="O14" s="691"/>
      <c r="P14" s="3232"/>
      <c r="Q14" s="691"/>
      <c r="R14" s="3232"/>
      <c r="S14" s="691"/>
    </row>
    <row r="15" spans="1:33">
      <c r="A15" s="2037"/>
      <c r="B15" s="3442" t="s">
        <v>2957</v>
      </c>
      <c r="C15" s="3387"/>
      <c r="D15" s="3406"/>
      <c r="E15" s="3389"/>
      <c r="F15" s="3387"/>
      <c r="G15" s="660"/>
      <c r="H15" s="3232"/>
      <c r="I15" s="720"/>
      <c r="J15" s="3232"/>
      <c r="K15" s="720"/>
      <c r="L15" s="3232"/>
      <c r="M15" s="720"/>
      <c r="N15" s="3232"/>
      <c r="O15" s="720"/>
      <c r="P15" s="3232"/>
      <c r="Q15" s="720"/>
      <c r="R15" s="3232"/>
      <c r="S15" s="720"/>
    </row>
    <row r="16" spans="1:33">
      <c r="A16" s="2037"/>
      <c r="B16" s="3442" t="s">
        <v>2958</v>
      </c>
      <c r="C16" s="3387"/>
      <c r="D16" s="3406"/>
      <c r="E16" s="3389"/>
      <c r="F16" s="3387"/>
      <c r="G16" s="660"/>
      <c r="H16" s="3232"/>
      <c r="I16" s="720"/>
      <c r="J16" s="3232"/>
      <c r="K16" s="691"/>
      <c r="L16" s="3232"/>
      <c r="M16" s="691"/>
      <c r="N16" s="3232"/>
      <c r="O16" s="691"/>
      <c r="P16" s="3232"/>
      <c r="Q16" s="691"/>
      <c r="R16" s="3232"/>
      <c r="S16" s="691"/>
    </row>
    <row r="17" spans="1:19">
      <c r="A17" s="2037"/>
      <c r="B17" s="3442" t="s">
        <v>2959</v>
      </c>
      <c r="C17" s="3387"/>
      <c r="D17" s="3406"/>
      <c r="E17" s="3389"/>
      <c r="F17" s="3387"/>
      <c r="G17" s="660"/>
      <c r="H17" s="3232"/>
      <c r="I17" s="720"/>
      <c r="J17" s="3232"/>
      <c r="K17" s="691"/>
      <c r="L17" s="3232"/>
      <c r="M17" s="691"/>
      <c r="N17" s="3232"/>
      <c r="O17" s="691"/>
      <c r="P17" s="3232"/>
      <c r="Q17" s="691"/>
      <c r="R17" s="3232"/>
      <c r="S17" s="691"/>
    </row>
    <row r="18" spans="1:19">
      <c r="A18" s="2037"/>
      <c r="B18" s="3443" t="s">
        <v>2960</v>
      </c>
      <c r="C18" s="3387"/>
      <c r="D18" s="3406"/>
      <c r="E18" s="3389"/>
      <c r="F18" s="3387"/>
      <c r="G18" s="660"/>
      <c r="H18" s="3232"/>
      <c r="I18" s="720"/>
      <c r="J18" s="3232"/>
      <c r="K18" s="691"/>
      <c r="L18" s="3232"/>
      <c r="M18" s="691"/>
      <c r="N18" s="3232"/>
      <c r="O18" s="691"/>
      <c r="P18" s="3232"/>
      <c r="Q18" s="691"/>
      <c r="R18" s="3232"/>
      <c r="S18" s="691"/>
    </row>
    <row r="19" spans="1:19">
      <c r="A19" s="2037"/>
      <c r="B19" s="3444" t="s">
        <v>2961</v>
      </c>
      <c r="C19" s="3401"/>
      <c r="D19" s="3445"/>
      <c r="E19" s="3403"/>
      <c r="F19" s="3404"/>
      <c r="G19" s="661"/>
      <c r="H19" s="3245"/>
      <c r="I19" s="721"/>
      <c r="J19" s="3245"/>
      <c r="K19" s="722"/>
      <c r="L19" s="3245"/>
      <c r="M19" s="722"/>
      <c r="N19" s="3245"/>
      <c r="O19" s="722"/>
      <c r="P19" s="3245"/>
      <c r="Q19" s="722"/>
      <c r="R19" s="3245"/>
      <c r="S19" s="722"/>
    </row>
    <row r="20" spans="1:19">
      <c r="A20" s="2037"/>
      <c r="B20" s="3328"/>
      <c r="C20" s="3387"/>
      <c r="D20" s="3406"/>
      <c r="E20" s="3389"/>
      <c r="F20" s="3407"/>
      <c r="G20" s="660"/>
      <c r="H20" s="3232"/>
      <c r="I20" s="3320"/>
      <c r="J20" s="3232"/>
      <c r="K20" s="3322"/>
      <c r="L20" s="3232"/>
      <c r="M20" s="3320"/>
      <c r="N20" s="3232"/>
      <c r="O20" s="3320"/>
      <c r="P20" s="3232"/>
      <c r="Q20" s="3320"/>
      <c r="R20" s="3232"/>
      <c r="S20" s="3320"/>
    </row>
    <row r="21" spans="1:19">
      <c r="A21" s="2037"/>
      <c r="B21" s="3446" t="s">
        <v>6942</v>
      </c>
      <c r="C21" s="3387"/>
      <c r="D21" s="3406"/>
      <c r="E21" s="3389"/>
      <c r="F21" s="3407"/>
      <c r="G21" s="660"/>
      <c r="H21" s="3232"/>
      <c r="I21" s="3329">
        <f>SUBTOTAL(9,I22:I71)</f>
        <v>2628144</v>
      </c>
      <c r="J21" s="3232"/>
      <c r="K21" s="3322"/>
      <c r="L21" s="3232"/>
      <c r="M21" s="3320"/>
      <c r="N21" s="3232"/>
      <c r="O21" s="3320"/>
      <c r="P21" s="3232"/>
      <c r="Q21" s="3320"/>
      <c r="R21" s="3232"/>
      <c r="S21" s="3320"/>
    </row>
    <row r="22" spans="1:19">
      <c r="A22" s="2037"/>
      <c r="B22" s="3328" t="s">
        <v>377</v>
      </c>
      <c r="C22" s="3387"/>
      <c r="D22" s="3406"/>
      <c r="E22" s="3389"/>
      <c r="F22" s="3407"/>
      <c r="G22" s="662"/>
      <c r="H22" s="3232"/>
      <c r="I22" s="3322"/>
      <c r="J22" s="3232"/>
      <c r="K22" s="3322"/>
      <c r="L22" s="3232"/>
      <c r="M22" s="3320"/>
      <c r="N22" s="3232"/>
      <c r="O22" s="3320"/>
      <c r="P22" s="3232"/>
      <c r="Q22" s="3320"/>
      <c r="R22" s="3232"/>
      <c r="S22" s="3320"/>
    </row>
    <row r="23" spans="1:19">
      <c r="A23" s="2037"/>
      <c r="B23" s="3447" t="s">
        <v>6943</v>
      </c>
      <c r="C23" s="3387"/>
      <c r="D23" s="3406"/>
      <c r="E23" s="3389"/>
      <c r="F23" s="3407"/>
      <c r="G23" s="662"/>
      <c r="H23" s="3232"/>
      <c r="I23" s="3322"/>
      <c r="J23" s="3232"/>
      <c r="K23" s="3322"/>
      <c r="L23" s="3232"/>
      <c r="M23" s="3320"/>
      <c r="N23" s="3232"/>
      <c r="O23" s="3320"/>
      <c r="P23" s="3232"/>
      <c r="Q23" s="3320"/>
      <c r="R23" s="3232"/>
      <c r="S23" s="3320"/>
    </row>
    <row r="24" spans="1:19">
      <c r="A24" s="2037"/>
      <c r="B24" s="3448" t="s">
        <v>6944</v>
      </c>
      <c r="C24" s="3387"/>
      <c r="D24" s="3406">
        <v>320.66666666666669</v>
      </c>
      <c r="E24" s="3389" t="s">
        <v>6945</v>
      </c>
      <c r="F24" s="3407">
        <v>8</v>
      </c>
      <c r="G24" s="662">
        <f t="shared" ref="G24:G71" si="5">ROUND(D24*F24,0)</f>
        <v>2565</v>
      </c>
      <c r="H24" s="3232"/>
      <c r="I24" s="3346">
        <f t="shared" ref="I24:I29" si="6">$G24</f>
        <v>2565</v>
      </c>
      <c r="J24" s="3232"/>
      <c r="K24" s="3322"/>
      <c r="L24" s="3232"/>
      <c r="M24" s="3320"/>
      <c r="N24" s="3232"/>
      <c r="O24" s="3320"/>
      <c r="P24" s="3232"/>
      <c r="Q24" s="3320"/>
      <c r="R24" s="3232"/>
      <c r="S24" s="3320"/>
    </row>
    <row r="25" spans="1:19">
      <c r="A25" s="2037"/>
      <c r="B25" s="3448" t="s">
        <v>6946</v>
      </c>
      <c r="C25" s="3387"/>
      <c r="D25" s="3406">
        <v>320.66666666666669</v>
      </c>
      <c r="E25" s="3389" t="s">
        <v>6945</v>
      </c>
      <c r="F25" s="3407">
        <v>40</v>
      </c>
      <c r="G25" s="662">
        <f t="shared" si="5"/>
        <v>12827</v>
      </c>
      <c r="H25" s="3232"/>
      <c r="I25" s="3346">
        <f t="shared" si="6"/>
        <v>12827</v>
      </c>
      <c r="J25" s="3232"/>
      <c r="K25" s="3322"/>
      <c r="L25" s="3232"/>
      <c r="M25" s="3320"/>
      <c r="N25" s="3232"/>
      <c r="O25" s="3320"/>
      <c r="P25" s="3232"/>
      <c r="Q25" s="3320"/>
      <c r="R25" s="3232"/>
      <c r="S25" s="3320"/>
    </row>
    <row r="26" spans="1:19">
      <c r="A26" s="2037"/>
      <c r="B26" s="3448" t="s">
        <v>6947</v>
      </c>
      <c r="C26" s="3387"/>
      <c r="D26" s="3406">
        <v>4393</v>
      </c>
      <c r="E26" s="3389" t="s">
        <v>6945</v>
      </c>
      <c r="F26" s="3407">
        <v>8</v>
      </c>
      <c r="G26" s="662">
        <f t="shared" si="5"/>
        <v>35144</v>
      </c>
      <c r="H26" s="3232"/>
      <c r="I26" s="3346">
        <f t="shared" si="6"/>
        <v>35144</v>
      </c>
      <c r="J26" s="3232"/>
      <c r="K26" s="3322"/>
      <c r="L26" s="3232"/>
      <c r="M26" s="3320"/>
      <c r="N26" s="3232"/>
      <c r="O26" s="3320"/>
      <c r="P26" s="3232"/>
      <c r="Q26" s="3320"/>
      <c r="R26" s="3232"/>
      <c r="S26" s="3320"/>
    </row>
    <row r="27" spans="1:19">
      <c r="A27" s="2037"/>
      <c r="B27" s="3448" t="s">
        <v>6948</v>
      </c>
      <c r="C27" s="3387"/>
      <c r="D27" s="3406">
        <v>4393</v>
      </c>
      <c r="E27" s="3389" t="s">
        <v>6945</v>
      </c>
      <c r="F27" s="3407">
        <v>40</v>
      </c>
      <c r="G27" s="662">
        <f t="shared" si="5"/>
        <v>175720</v>
      </c>
      <c r="H27" s="3232"/>
      <c r="I27" s="3346">
        <f t="shared" si="6"/>
        <v>175720</v>
      </c>
      <c r="J27" s="3232"/>
      <c r="K27" s="3322"/>
      <c r="L27" s="3232"/>
      <c r="M27" s="3320"/>
      <c r="N27" s="3232"/>
      <c r="O27" s="3320"/>
      <c r="P27" s="3232"/>
      <c r="Q27" s="3320"/>
      <c r="R27" s="3232"/>
      <c r="S27" s="3320"/>
    </row>
    <row r="28" spans="1:19">
      <c r="A28" s="2037"/>
      <c r="B28" s="3448" t="s">
        <v>6949</v>
      </c>
      <c r="C28" s="3387"/>
      <c r="D28" s="3406">
        <v>980.44444444444446</v>
      </c>
      <c r="E28" s="3389" t="s">
        <v>6945</v>
      </c>
      <c r="F28" s="3407">
        <v>8</v>
      </c>
      <c r="G28" s="662">
        <f t="shared" si="5"/>
        <v>7844</v>
      </c>
      <c r="H28" s="3232"/>
      <c r="I28" s="3346">
        <f t="shared" si="6"/>
        <v>7844</v>
      </c>
      <c r="J28" s="3232"/>
      <c r="K28" s="3322"/>
      <c r="L28" s="3232"/>
      <c r="M28" s="3320"/>
      <c r="N28" s="3232"/>
      <c r="O28" s="3320"/>
      <c r="P28" s="3232"/>
      <c r="Q28" s="3320"/>
      <c r="R28" s="3232"/>
      <c r="S28" s="3320"/>
    </row>
    <row r="29" spans="1:19">
      <c r="A29" s="2037"/>
      <c r="B29" s="3448" t="s">
        <v>6950</v>
      </c>
      <c r="C29" s="3387"/>
      <c r="D29" s="3406">
        <v>980.44444444444446</v>
      </c>
      <c r="E29" s="3389" t="s">
        <v>6945</v>
      </c>
      <c r="F29" s="3407">
        <v>40</v>
      </c>
      <c r="G29" s="662">
        <f t="shared" si="5"/>
        <v>39218</v>
      </c>
      <c r="H29" s="3232"/>
      <c r="I29" s="3346">
        <f t="shared" si="6"/>
        <v>39218</v>
      </c>
      <c r="J29" s="3232"/>
      <c r="K29" s="3322"/>
      <c r="L29" s="3232"/>
      <c r="M29" s="3320"/>
      <c r="N29" s="3232"/>
      <c r="O29" s="3320"/>
      <c r="P29" s="3232"/>
      <c r="Q29" s="3320"/>
      <c r="R29" s="3232"/>
      <c r="S29" s="3320"/>
    </row>
    <row r="30" spans="1:19">
      <c r="A30" s="2037"/>
      <c r="B30" s="3330"/>
      <c r="C30" s="3387"/>
      <c r="D30" s="3406"/>
      <c r="E30" s="3389"/>
      <c r="F30" s="3407"/>
      <c r="G30" s="662"/>
      <c r="H30" s="3232"/>
      <c r="I30" s="3322"/>
      <c r="J30" s="3232"/>
      <c r="K30" s="3322"/>
      <c r="L30" s="3232"/>
      <c r="M30" s="3320"/>
      <c r="N30" s="3232"/>
      <c r="O30" s="3320"/>
      <c r="P30" s="3232"/>
      <c r="Q30" s="3320"/>
      <c r="R30" s="3232"/>
      <c r="S30" s="3320"/>
    </row>
    <row r="31" spans="1:19">
      <c r="A31" s="2037"/>
      <c r="B31" s="3330"/>
      <c r="C31" s="3387"/>
      <c r="D31" s="3406"/>
      <c r="E31" s="3389"/>
      <c r="F31" s="3407"/>
      <c r="G31" s="662"/>
      <c r="H31" s="3232"/>
      <c r="I31" s="3322"/>
      <c r="J31" s="3232"/>
      <c r="K31" s="3322"/>
      <c r="L31" s="3232"/>
      <c r="M31" s="3320"/>
      <c r="N31" s="3232"/>
      <c r="O31" s="3320"/>
      <c r="P31" s="3232"/>
      <c r="Q31" s="3320"/>
      <c r="R31" s="3232"/>
      <c r="S31" s="3320"/>
    </row>
    <row r="32" spans="1:19">
      <c r="A32" s="2037"/>
      <c r="B32" s="3330" t="s">
        <v>2994</v>
      </c>
      <c r="C32" s="3387"/>
      <c r="D32" s="3406"/>
      <c r="E32" s="3389"/>
      <c r="F32" s="3407"/>
      <c r="G32" s="662"/>
      <c r="H32" s="3232"/>
      <c r="I32" s="3322">
        <v>2294826</v>
      </c>
      <c r="J32" s="3232"/>
      <c r="K32" s="3322"/>
      <c r="L32" s="3232"/>
      <c r="M32" s="3320"/>
      <c r="N32" s="3232"/>
      <c r="O32" s="3320"/>
      <c r="P32" s="3232"/>
      <c r="Q32" s="3320"/>
      <c r="R32" s="3232"/>
      <c r="S32" s="3320"/>
    </row>
    <row r="33" spans="1:19">
      <c r="A33" s="2037"/>
      <c r="B33" s="3330"/>
      <c r="C33" s="3387"/>
      <c r="D33" s="3406"/>
      <c r="E33" s="3389"/>
      <c r="F33" s="3407"/>
      <c r="G33" s="662"/>
      <c r="H33" s="3232"/>
      <c r="I33" s="3322"/>
      <c r="J33" s="3232"/>
      <c r="K33" s="3322"/>
      <c r="L33" s="3232"/>
      <c r="M33" s="3320"/>
      <c r="N33" s="3232"/>
      <c r="O33" s="3320"/>
      <c r="P33" s="3232"/>
      <c r="Q33" s="3320"/>
      <c r="R33" s="3232"/>
      <c r="S33" s="3320"/>
    </row>
    <row r="34" spans="1:19">
      <c r="A34" s="2037"/>
      <c r="B34" s="3328" t="s">
        <v>6951</v>
      </c>
      <c r="C34" s="3387"/>
      <c r="D34" s="3406"/>
      <c r="E34" s="3389"/>
      <c r="F34" s="3407"/>
      <c r="G34" s="662"/>
      <c r="H34" s="3232"/>
      <c r="I34" s="3322"/>
      <c r="J34" s="3232"/>
      <c r="K34" s="3322"/>
      <c r="L34" s="3232"/>
      <c r="M34" s="3320"/>
      <c r="N34" s="3232"/>
      <c r="O34" s="3320"/>
      <c r="P34" s="3232"/>
      <c r="Q34" s="3320"/>
      <c r="R34" s="3232"/>
      <c r="S34" s="3320"/>
    </row>
    <row r="35" spans="1:19">
      <c r="A35" s="2037"/>
      <c r="B35" s="3447" t="s">
        <v>2991</v>
      </c>
      <c r="C35" s="3387"/>
      <c r="D35" s="3406"/>
      <c r="E35" s="3389"/>
      <c r="F35" s="3407"/>
      <c r="G35" s="662"/>
      <c r="H35" s="3232"/>
      <c r="I35" s="3322"/>
      <c r="J35" s="3232"/>
      <c r="K35" s="3322"/>
      <c r="L35" s="3232"/>
      <c r="M35" s="3320"/>
      <c r="N35" s="3232"/>
      <c r="O35" s="3320"/>
      <c r="P35" s="3232"/>
      <c r="Q35" s="3320"/>
      <c r="R35" s="3232"/>
      <c r="S35" s="3320"/>
    </row>
    <row r="36" spans="1:19">
      <c r="A36" s="2037"/>
      <c r="B36" s="3447" t="s">
        <v>6908</v>
      </c>
      <c r="C36" s="3387"/>
      <c r="D36" s="3406"/>
      <c r="E36" s="3389"/>
      <c r="F36" s="3407"/>
      <c r="G36" s="662"/>
      <c r="H36" s="3232"/>
      <c r="I36" s="3322"/>
      <c r="J36" s="3232"/>
      <c r="K36" s="3322"/>
      <c r="L36" s="3232"/>
      <c r="M36" s="3320"/>
      <c r="N36" s="3232"/>
      <c r="O36" s="3320"/>
      <c r="P36" s="3232"/>
      <c r="Q36" s="3320"/>
      <c r="R36" s="3232"/>
      <c r="S36" s="3320"/>
    </row>
    <row r="37" spans="1:19">
      <c r="A37" s="2037"/>
      <c r="B37" s="3447" t="s">
        <v>6952</v>
      </c>
      <c r="C37" s="3387"/>
      <c r="D37" s="3406"/>
      <c r="E37" s="3389"/>
      <c r="F37" s="3407"/>
      <c r="G37" s="662"/>
      <c r="H37" s="3232"/>
      <c r="I37" s="3322"/>
      <c r="J37" s="3232"/>
      <c r="K37" s="3322"/>
      <c r="L37" s="3232"/>
      <c r="M37" s="3320"/>
      <c r="N37" s="3232"/>
      <c r="O37" s="3320"/>
      <c r="P37" s="3232"/>
      <c r="Q37" s="3320"/>
      <c r="R37" s="3232"/>
      <c r="S37" s="3320"/>
    </row>
    <row r="38" spans="1:19">
      <c r="A38" s="2037"/>
      <c r="B38" s="3447"/>
      <c r="C38" s="3387"/>
      <c r="D38" s="3406"/>
      <c r="E38" s="3389"/>
      <c r="F38" s="3407"/>
      <c r="G38" s="662"/>
      <c r="H38" s="3232"/>
      <c r="I38" s="3322"/>
      <c r="J38" s="3232"/>
      <c r="K38" s="3322"/>
      <c r="L38" s="3232"/>
      <c r="M38" s="3320"/>
      <c r="N38" s="3232"/>
      <c r="O38" s="3320"/>
      <c r="P38" s="3232"/>
      <c r="Q38" s="3320"/>
      <c r="R38" s="3232"/>
      <c r="S38" s="3320"/>
    </row>
    <row r="39" spans="1:19">
      <c r="A39" s="2037"/>
      <c r="B39" s="3449" t="s">
        <v>6953</v>
      </c>
      <c r="C39" s="3387"/>
      <c r="D39" s="3406"/>
      <c r="E39" s="3389"/>
      <c r="F39" s="3407"/>
      <c r="G39" s="662"/>
      <c r="H39" s="3232"/>
      <c r="I39" s="3322"/>
      <c r="J39" s="3232"/>
      <c r="K39" s="3322"/>
      <c r="L39" s="3232"/>
      <c r="M39" s="3320"/>
      <c r="N39" s="3232"/>
      <c r="O39" s="3320"/>
      <c r="P39" s="3232"/>
      <c r="Q39" s="3320"/>
      <c r="R39" s="3232"/>
      <c r="S39" s="3320"/>
    </row>
    <row r="40" spans="1:19">
      <c r="A40" s="2037"/>
      <c r="B40" s="3450" t="s">
        <v>6954</v>
      </c>
      <c r="C40" s="3387"/>
      <c r="D40" s="3406">
        <v>3055</v>
      </c>
      <c r="E40" s="3389" t="s">
        <v>2864</v>
      </c>
      <c r="F40" s="3407"/>
      <c r="G40" s="662"/>
      <c r="H40" s="3232"/>
      <c r="I40" s="3322"/>
      <c r="J40" s="3232"/>
      <c r="K40" s="3322"/>
      <c r="L40" s="3232"/>
      <c r="M40" s="3320"/>
      <c r="N40" s="3232"/>
      <c r="O40" s="3320"/>
      <c r="P40" s="3232"/>
      <c r="Q40" s="3320"/>
      <c r="R40" s="3232"/>
      <c r="S40" s="3320"/>
    </row>
    <row r="41" spans="1:19">
      <c r="A41" s="2037"/>
      <c r="B41" s="3450" t="s">
        <v>6955</v>
      </c>
      <c r="C41" s="3387"/>
      <c r="D41" s="3406">
        <v>3055</v>
      </c>
      <c r="E41" s="3389" t="s">
        <v>2864</v>
      </c>
      <c r="F41" s="3407"/>
      <c r="G41" s="662"/>
      <c r="H41" s="3232"/>
      <c r="I41" s="3322"/>
      <c r="J41" s="3232"/>
      <c r="K41" s="3322"/>
      <c r="L41" s="3232"/>
      <c r="M41" s="3320"/>
      <c r="N41" s="3232"/>
      <c r="O41" s="3320"/>
      <c r="P41" s="3232"/>
      <c r="Q41" s="3320"/>
      <c r="R41" s="3232"/>
      <c r="S41" s="3320"/>
    </row>
    <row r="42" spans="1:19">
      <c r="A42" s="2037"/>
      <c r="B42" s="3451" t="s">
        <v>6956</v>
      </c>
      <c r="C42" s="3387"/>
      <c r="D42" s="3406"/>
      <c r="E42" s="3389"/>
      <c r="F42" s="3407"/>
      <c r="G42" s="662"/>
      <c r="H42" s="3232"/>
      <c r="I42" s="3322"/>
      <c r="J42" s="3232"/>
      <c r="K42" s="3322"/>
      <c r="L42" s="3232"/>
      <c r="M42" s="3320"/>
      <c r="N42" s="3232"/>
      <c r="O42" s="3320"/>
      <c r="P42" s="3232"/>
      <c r="Q42" s="3320"/>
      <c r="R42" s="3232"/>
      <c r="S42" s="3320"/>
    </row>
    <row r="43" spans="1:19">
      <c r="A43" s="2037"/>
      <c r="B43" s="3447"/>
      <c r="C43" s="3387"/>
      <c r="D43" s="3406"/>
      <c r="E43" s="3389"/>
      <c r="F43" s="3407"/>
      <c r="G43" s="662"/>
      <c r="H43" s="3232"/>
      <c r="I43" s="3322"/>
      <c r="J43" s="3232"/>
      <c r="K43" s="3322"/>
      <c r="L43" s="3232"/>
      <c r="M43" s="3320"/>
      <c r="N43" s="3232"/>
      <c r="O43" s="3320"/>
      <c r="P43" s="3232"/>
      <c r="Q43" s="3320"/>
      <c r="R43" s="3232"/>
      <c r="S43" s="3320"/>
    </row>
    <row r="44" spans="1:19">
      <c r="A44" s="2037"/>
      <c r="B44" s="3452" t="s">
        <v>6957</v>
      </c>
      <c r="C44" s="3387"/>
      <c r="D44" s="3406"/>
      <c r="E44" s="3389"/>
      <c r="F44" s="3407"/>
      <c r="G44" s="662"/>
      <c r="H44" s="3232"/>
      <c r="I44" s="3322"/>
      <c r="J44" s="3232"/>
      <c r="K44" s="3322"/>
      <c r="L44" s="3232"/>
      <c r="M44" s="3320"/>
      <c r="N44" s="3232"/>
      <c r="O44" s="3320"/>
      <c r="P44" s="3232"/>
      <c r="Q44" s="3320"/>
      <c r="R44" s="3232"/>
      <c r="S44" s="3320"/>
    </row>
    <row r="45" spans="1:19">
      <c r="A45" s="2037"/>
      <c r="B45" s="3451" t="s">
        <v>6958</v>
      </c>
      <c r="C45" s="3387"/>
      <c r="D45" s="3406"/>
      <c r="E45" s="3389"/>
      <c r="F45" s="3407"/>
      <c r="G45" s="662"/>
      <c r="H45" s="3232"/>
      <c r="I45" s="3322"/>
      <c r="J45" s="3232"/>
      <c r="K45" s="3322"/>
      <c r="L45" s="3232"/>
      <c r="M45" s="3320"/>
      <c r="N45" s="3232"/>
      <c r="O45" s="3320"/>
      <c r="P45" s="3232"/>
      <c r="Q45" s="3320"/>
      <c r="R45" s="3232"/>
      <c r="S45" s="3320"/>
    </row>
    <row r="46" spans="1:19">
      <c r="A46" s="2037"/>
      <c r="B46" s="3451" t="s">
        <v>6959</v>
      </c>
      <c r="C46" s="3387"/>
      <c r="D46" s="3406"/>
      <c r="E46" s="3389"/>
      <c r="F46" s="3407"/>
      <c r="G46" s="662"/>
      <c r="H46" s="3232"/>
      <c r="I46" s="3322"/>
      <c r="J46" s="3232"/>
      <c r="K46" s="3322"/>
      <c r="L46" s="3232"/>
      <c r="M46" s="3320"/>
      <c r="N46" s="3232"/>
      <c r="O46" s="3320"/>
      <c r="P46" s="3232"/>
      <c r="Q46" s="3320"/>
      <c r="R46" s="3232"/>
      <c r="S46" s="3320"/>
    </row>
    <row r="47" spans="1:19">
      <c r="A47" s="2037"/>
      <c r="B47" s="3448" t="s">
        <v>6960</v>
      </c>
      <c r="C47" s="3387"/>
      <c r="D47" s="3406"/>
      <c r="E47" s="3389"/>
      <c r="F47" s="3407"/>
      <c r="G47" s="662"/>
      <c r="H47" s="3232"/>
      <c r="I47" s="3322"/>
      <c r="J47" s="3232"/>
      <c r="K47" s="3322"/>
      <c r="L47" s="3232"/>
      <c r="M47" s="3320"/>
      <c r="N47" s="3232"/>
      <c r="O47" s="3320"/>
      <c r="P47" s="3232"/>
      <c r="Q47" s="3320"/>
      <c r="R47" s="3232"/>
      <c r="S47" s="3320"/>
    </row>
    <row r="48" spans="1:19">
      <c r="A48" s="2037"/>
      <c r="B48" s="3448" t="s">
        <v>6961</v>
      </c>
      <c r="C48" s="3387"/>
      <c r="D48" s="3406"/>
      <c r="E48" s="3389"/>
      <c r="F48" s="3407"/>
      <c r="G48" s="662"/>
      <c r="H48" s="3232"/>
      <c r="I48" s="3322"/>
      <c r="J48" s="3232"/>
      <c r="K48" s="3322"/>
      <c r="L48" s="3232"/>
      <c r="M48" s="3320"/>
      <c r="N48" s="3232"/>
      <c r="O48" s="3320"/>
      <c r="P48" s="3232"/>
      <c r="Q48" s="3320"/>
      <c r="R48" s="3232"/>
      <c r="S48" s="3320"/>
    </row>
    <row r="49" spans="1:33">
      <c r="A49" s="2037"/>
      <c r="B49" s="505" t="s">
        <v>6962</v>
      </c>
      <c r="C49" s="3387"/>
      <c r="D49" s="3406"/>
      <c r="E49" s="3389"/>
      <c r="F49" s="3407"/>
      <c r="G49" s="662"/>
      <c r="H49" s="3232"/>
      <c r="I49" s="3322"/>
      <c r="J49" s="3232"/>
      <c r="K49" s="3322"/>
      <c r="L49" s="3232"/>
      <c r="M49" s="3320"/>
      <c r="N49" s="3232"/>
      <c r="O49" s="3320"/>
      <c r="P49" s="3232"/>
      <c r="Q49" s="3320"/>
      <c r="R49" s="3232"/>
      <c r="S49" s="3320"/>
    </row>
    <row r="50" spans="1:33" s="175" customFormat="1">
      <c r="A50" s="3453"/>
      <c r="B50" s="3454" t="s">
        <v>6963</v>
      </c>
      <c r="C50" s="684"/>
      <c r="D50" s="3455">
        <v>38300</v>
      </c>
      <c r="E50" s="3389" t="s">
        <v>3031</v>
      </c>
      <c r="F50" s="3456"/>
      <c r="G50" s="662"/>
      <c r="H50" s="3232"/>
      <c r="I50" s="3322"/>
      <c r="J50" s="3232"/>
      <c r="K50" s="3320"/>
      <c r="L50" s="3232"/>
      <c r="M50" s="3320"/>
      <c r="N50" s="3232"/>
      <c r="O50" s="3322"/>
      <c r="P50" s="3232"/>
      <c r="Q50" s="3320"/>
      <c r="R50" s="3232"/>
      <c r="S50" s="3320"/>
      <c r="T50"/>
      <c r="U50"/>
      <c r="V50"/>
      <c r="W50"/>
      <c r="X50"/>
      <c r="Y50"/>
      <c r="Z50"/>
      <c r="AA50"/>
      <c r="AB50"/>
      <c r="AC50"/>
      <c r="AD50"/>
      <c r="AE50"/>
      <c r="AF50"/>
      <c r="AG50"/>
    </row>
    <row r="51" spans="1:33" s="175" customFormat="1">
      <c r="A51" s="3453"/>
      <c r="B51" s="3448"/>
      <c r="C51" s="684"/>
      <c r="D51" s="3455"/>
      <c r="E51" s="3389"/>
      <c r="F51" s="3456"/>
      <c r="G51" s="662">
        <f t="shared" si="5"/>
        <v>0</v>
      </c>
      <c r="H51" s="3232"/>
      <c r="I51" s="3322"/>
      <c r="J51" s="3232"/>
      <c r="K51" s="3320"/>
      <c r="L51" s="3232"/>
      <c r="M51" s="3320"/>
      <c r="N51" s="3232"/>
      <c r="O51" s="3322"/>
      <c r="P51" s="3232"/>
      <c r="Q51" s="3320"/>
      <c r="R51" s="3232"/>
      <c r="S51" s="3320"/>
      <c r="T51"/>
      <c r="U51"/>
      <c r="V51"/>
      <c r="W51"/>
      <c r="X51"/>
      <c r="Y51"/>
      <c r="Z51"/>
      <c r="AA51"/>
      <c r="AB51"/>
      <c r="AC51"/>
      <c r="AD51"/>
      <c r="AE51"/>
      <c r="AF51"/>
      <c r="AG51"/>
    </row>
    <row r="52" spans="1:33">
      <c r="A52" s="2037"/>
      <c r="B52" s="3447" t="s">
        <v>6964</v>
      </c>
      <c r="C52" s="3387"/>
      <c r="D52" s="3406"/>
      <c r="E52" s="3389"/>
      <c r="F52" s="3407"/>
      <c r="G52" s="662">
        <f t="shared" ref="G52:G55" si="7">ROUND(D52*F52,0)</f>
        <v>0</v>
      </c>
      <c r="H52" s="3232"/>
      <c r="I52" s="3322"/>
      <c r="J52" s="3232"/>
      <c r="K52" s="3322"/>
      <c r="L52" s="3232"/>
      <c r="M52" s="3320"/>
      <c r="N52" s="3232"/>
      <c r="O52" s="3320"/>
      <c r="P52" s="3232"/>
      <c r="Q52" s="3320"/>
      <c r="R52" s="3232"/>
      <c r="S52" s="3320"/>
    </row>
    <row r="53" spans="1:33">
      <c r="A53" s="2037"/>
      <c r="B53" s="3447"/>
      <c r="C53" s="3387"/>
      <c r="D53" s="3406"/>
      <c r="E53" s="3389"/>
      <c r="F53" s="3407"/>
      <c r="G53" s="662">
        <f t="shared" si="7"/>
        <v>0</v>
      </c>
      <c r="H53" s="3232"/>
      <c r="I53" s="3322"/>
      <c r="J53" s="3232"/>
      <c r="K53" s="3322"/>
      <c r="L53" s="3232"/>
      <c r="M53" s="3320"/>
      <c r="N53" s="3232"/>
      <c r="O53" s="3320"/>
      <c r="P53" s="3232"/>
      <c r="Q53" s="3320"/>
      <c r="R53" s="3232"/>
      <c r="S53" s="3320"/>
    </row>
    <row r="54" spans="1:33">
      <c r="A54" s="2037"/>
      <c r="B54" s="3448"/>
      <c r="C54" s="3387"/>
      <c r="D54" s="3406"/>
      <c r="E54" s="3389"/>
      <c r="F54" s="3407"/>
      <c r="G54" s="662">
        <f t="shared" si="7"/>
        <v>0</v>
      </c>
      <c r="H54" s="3232"/>
      <c r="I54" s="3322"/>
      <c r="J54" s="3232"/>
      <c r="K54" s="3322"/>
      <c r="L54" s="3232"/>
      <c r="M54" s="3320"/>
      <c r="N54" s="3232"/>
      <c r="O54" s="3320"/>
      <c r="P54" s="3232"/>
      <c r="Q54" s="3320"/>
      <c r="R54" s="3232"/>
      <c r="S54" s="3320"/>
    </row>
    <row r="55" spans="1:33">
      <c r="A55" s="2037"/>
      <c r="B55" s="3447" t="s">
        <v>6965</v>
      </c>
      <c r="C55" s="3387"/>
      <c r="D55" s="3406"/>
      <c r="E55" s="3389"/>
      <c r="F55" s="3407"/>
      <c r="G55" s="662">
        <f t="shared" si="7"/>
        <v>0</v>
      </c>
      <c r="H55" s="3232"/>
      <c r="I55" s="3322"/>
      <c r="J55" s="3232"/>
      <c r="K55" s="3322"/>
      <c r="L55" s="3232"/>
      <c r="M55" s="3320"/>
      <c r="N55" s="3232"/>
      <c r="O55" s="3320"/>
      <c r="P55" s="3232"/>
      <c r="Q55" s="3320"/>
      <c r="R55" s="3232"/>
      <c r="S55" s="3320"/>
    </row>
    <row r="56" spans="1:33">
      <c r="A56" s="2037"/>
      <c r="B56" s="3448" t="s">
        <v>6966</v>
      </c>
      <c r="C56" s="3387"/>
      <c r="D56" s="3406"/>
      <c r="E56" s="3389"/>
      <c r="F56" s="3407"/>
      <c r="G56" s="662">
        <f t="shared" si="5"/>
        <v>0</v>
      </c>
      <c r="H56" s="3232" t="s">
        <v>2929</v>
      </c>
      <c r="I56" s="3322"/>
      <c r="J56" s="3232"/>
      <c r="K56" s="3322"/>
      <c r="L56" s="3232"/>
      <c r="M56" s="3320"/>
      <c r="N56" s="3232"/>
      <c r="O56" s="3320"/>
      <c r="P56" s="3232"/>
      <c r="Q56" s="3320"/>
      <c r="R56" s="3232"/>
      <c r="S56" s="3320"/>
    </row>
    <row r="57" spans="1:33">
      <c r="A57" s="2037"/>
      <c r="B57" s="3448" t="s">
        <v>6967</v>
      </c>
      <c r="C57" s="3387"/>
      <c r="D57" s="3406"/>
      <c r="E57" s="3389"/>
      <c r="F57" s="3407"/>
      <c r="G57" s="662">
        <f t="shared" si="5"/>
        <v>0</v>
      </c>
      <c r="H57" s="3232" t="s">
        <v>2929</v>
      </c>
      <c r="I57" s="3322"/>
      <c r="J57" s="3232"/>
      <c r="K57" s="3322"/>
      <c r="L57" s="3232"/>
      <c r="M57" s="3320"/>
      <c r="N57" s="3232"/>
      <c r="O57" s="3320"/>
      <c r="P57" s="3232"/>
      <c r="Q57" s="3320"/>
      <c r="R57" s="3232"/>
      <c r="S57" s="3320"/>
    </row>
    <row r="58" spans="1:33">
      <c r="A58" s="2037"/>
      <c r="B58" s="3448" t="s">
        <v>6968</v>
      </c>
      <c r="C58" s="3387"/>
      <c r="D58" s="3406"/>
      <c r="E58" s="3389"/>
      <c r="F58" s="3407"/>
      <c r="G58" s="662">
        <f t="shared" si="5"/>
        <v>0</v>
      </c>
      <c r="H58" s="3232" t="s">
        <v>2929</v>
      </c>
      <c r="I58" s="3322"/>
      <c r="J58" s="3232"/>
      <c r="K58" s="3322"/>
      <c r="L58" s="3232"/>
      <c r="M58" s="3320"/>
      <c r="N58" s="3232"/>
      <c r="O58" s="3320"/>
      <c r="P58" s="3232"/>
      <c r="Q58" s="3320"/>
      <c r="R58" s="3232"/>
      <c r="S58" s="3320"/>
    </row>
    <row r="59" spans="1:33">
      <c r="A59" s="2037"/>
      <c r="B59" s="3447" t="s">
        <v>6969</v>
      </c>
      <c r="C59" s="3387"/>
      <c r="D59" s="3406"/>
      <c r="E59" s="3389"/>
      <c r="F59" s="3407"/>
      <c r="G59" s="662">
        <f t="shared" si="5"/>
        <v>0</v>
      </c>
      <c r="H59" s="3232" t="s">
        <v>2929</v>
      </c>
      <c r="I59" s="3322"/>
      <c r="J59" s="3232"/>
      <c r="K59" s="3322"/>
      <c r="L59" s="3232"/>
      <c r="M59" s="3320"/>
      <c r="N59" s="3232"/>
      <c r="O59" s="3320"/>
      <c r="P59" s="3232"/>
      <c r="Q59" s="3320"/>
      <c r="R59" s="3232"/>
      <c r="S59" s="3320"/>
    </row>
    <row r="60" spans="1:33">
      <c r="A60" s="2037"/>
      <c r="B60" s="3447" t="s">
        <v>6970</v>
      </c>
      <c r="C60" s="3387"/>
      <c r="D60" s="3406"/>
      <c r="E60" s="3389"/>
      <c r="F60" s="3407"/>
      <c r="G60" s="662">
        <f t="shared" si="5"/>
        <v>0</v>
      </c>
      <c r="H60" s="3232" t="s">
        <v>2929</v>
      </c>
      <c r="I60" s="3322"/>
      <c r="J60" s="3232"/>
      <c r="K60" s="3322"/>
      <c r="L60" s="3232"/>
      <c r="M60" s="3320"/>
      <c r="N60" s="3232"/>
      <c r="O60" s="3320"/>
      <c r="P60" s="3232"/>
      <c r="Q60" s="3320"/>
      <c r="R60" s="3232"/>
      <c r="S60" s="3320"/>
    </row>
    <row r="61" spans="1:33">
      <c r="A61" s="2037"/>
      <c r="B61" s="600"/>
      <c r="C61" s="3387"/>
      <c r="D61" s="3406"/>
      <c r="E61" s="3389"/>
      <c r="F61" s="3407"/>
      <c r="G61" s="662">
        <f t="shared" si="5"/>
        <v>0</v>
      </c>
      <c r="H61" s="3232"/>
      <c r="I61" s="3322"/>
      <c r="J61" s="3232"/>
      <c r="K61" s="3322"/>
      <c r="L61" s="3232"/>
      <c r="M61" s="3320"/>
      <c r="N61" s="3232"/>
      <c r="O61" s="3320"/>
      <c r="P61" s="3232"/>
      <c r="Q61" s="3320"/>
      <c r="R61" s="3232"/>
      <c r="S61" s="3320"/>
    </row>
    <row r="62" spans="1:33" s="175" customFormat="1">
      <c r="A62" s="3457"/>
      <c r="B62" s="644" t="s">
        <v>6971</v>
      </c>
      <c r="C62" s="3458"/>
      <c r="D62" s="3455">
        <v>3100</v>
      </c>
      <c r="E62" s="3389" t="s">
        <v>6945</v>
      </c>
      <c r="F62" s="3456">
        <v>8</v>
      </c>
      <c r="G62" s="668">
        <f>ROUND(D62*F62,0)</f>
        <v>24800</v>
      </c>
      <c r="H62" s="3232"/>
      <c r="I62" s="3320"/>
      <c r="J62" s="3232"/>
      <c r="K62" s="3322"/>
      <c r="L62" s="3232"/>
      <c r="M62" s="3320"/>
      <c r="N62" s="3232"/>
      <c r="O62" s="3320"/>
      <c r="P62" s="3232"/>
      <c r="Q62" s="3320"/>
      <c r="R62" s="3232"/>
      <c r="S62" s="3320"/>
      <c r="T62"/>
      <c r="U62"/>
      <c r="V62"/>
      <c r="W62"/>
      <c r="X62"/>
      <c r="Y62"/>
      <c r="Z62"/>
      <c r="AA62"/>
      <c r="AB62"/>
      <c r="AC62"/>
      <c r="AD62"/>
      <c r="AE62"/>
      <c r="AF62"/>
      <c r="AG62"/>
    </row>
    <row r="63" spans="1:33" s="175" customFormat="1">
      <c r="A63" s="3457"/>
      <c r="B63" s="644" t="s">
        <v>6972</v>
      </c>
      <c r="C63" s="3458"/>
      <c r="D63" s="3455">
        <v>3100</v>
      </c>
      <c r="E63" s="3389" t="s">
        <v>6945</v>
      </c>
      <c r="F63" s="3459">
        <v>40</v>
      </c>
      <c r="G63" s="668">
        <f>ROUND(D63*F63,0)</f>
        <v>124000</v>
      </c>
      <c r="H63" s="3232"/>
      <c r="I63" s="3320"/>
      <c r="J63" s="3232"/>
      <c r="K63" s="3322"/>
      <c r="L63" s="3232"/>
      <c r="M63" s="3320"/>
      <c r="N63" s="3232"/>
      <c r="O63" s="3320"/>
      <c r="P63" s="3232"/>
      <c r="Q63" s="3320"/>
      <c r="R63" s="3232"/>
      <c r="S63" s="3320"/>
      <c r="T63"/>
      <c r="U63"/>
      <c r="V63"/>
      <c r="W63"/>
      <c r="X63"/>
      <c r="Y63"/>
      <c r="Z63"/>
      <c r="AA63"/>
      <c r="AB63"/>
      <c r="AC63"/>
      <c r="AD63"/>
      <c r="AE63"/>
      <c r="AF63"/>
      <c r="AG63"/>
    </row>
    <row r="64" spans="1:33" s="175" customFormat="1" ht="30">
      <c r="A64" s="3457"/>
      <c r="B64" s="3460" t="s">
        <v>6973</v>
      </c>
      <c r="C64" s="3461"/>
      <c r="D64" s="3462">
        <v>38300</v>
      </c>
      <c r="E64" s="3463" t="s">
        <v>3031</v>
      </c>
      <c r="F64" s="3464">
        <v>5</v>
      </c>
      <c r="G64" s="668">
        <f>ROUND(D64*F64,0)</f>
        <v>191500</v>
      </c>
      <c r="H64" s="3465"/>
      <c r="I64" s="3410"/>
      <c r="J64" s="3465"/>
      <c r="K64" s="3344"/>
      <c r="L64" s="3465"/>
      <c r="M64" s="3410"/>
      <c r="N64" s="3465"/>
      <c r="O64" s="3410"/>
      <c r="P64" s="3465"/>
      <c r="Q64" s="3410"/>
      <c r="R64" s="3465"/>
      <c r="S64" s="3410"/>
      <c r="T64"/>
      <c r="U64"/>
      <c r="V64"/>
      <c r="W64"/>
      <c r="X64"/>
      <c r="Y64"/>
      <c r="Z64"/>
      <c r="AA64"/>
      <c r="AB64"/>
      <c r="AC64"/>
      <c r="AD64"/>
      <c r="AE64"/>
      <c r="AF64"/>
      <c r="AG64"/>
    </row>
    <row r="65" spans="1:19">
      <c r="A65" s="2037"/>
      <c r="B65" s="3330"/>
      <c r="C65" s="3387"/>
      <c r="D65" s="3406"/>
      <c r="E65" s="3389"/>
      <c r="F65" s="3407"/>
      <c r="G65" s="662">
        <f t="shared" si="5"/>
        <v>0</v>
      </c>
      <c r="H65" s="3232"/>
      <c r="I65" s="3322"/>
      <c r="J65" s="3232"/>
      <c r="K65" s="3322"/>
      <c r="L65" s="3232"/>
      <c r="M65" s="3320"/>
      <c r="N65" s="3232"/>
      <c r="O65" s="3320"/>
      <c r="P65" s="3232"/>
      <c r="Q65" s="3320"/>
      <c r="R65" s="3232"/>
      <c r="S65" s="3320"/>
    </row>
    <row r="66" spans="1:19">
      <c r="A66" s="3466" t="s">
        <v>2587</v>
      </c>
      <c r="B66" s="3331" t="s">
        <v>6974</v>
      </c>
      <c r="C66" s="3387"/>
      <c r="D66" s="3406">
        <v>1</v>
      </c>
      <c r="E66" s="3389" t="s">
        <v>2818</v>
      </c>
      <c r="F66" s="3407">
        <v>10000</v>
      </c>
      <c r="G66" s="653">
        <f>ROUND(D66*F66,0)</f>
        <v>10000</v>
      </c>
      <c r="H66" s="3232"/>
      <c r="I66" s="3467">
        <f>$G66</f>
        <v>10000</v>
      </c>
      <c r="J66" s="3232"/>
      <c r="K66" s="3467">
        <f>$G66</f>
        <v>10000</v>
      </c>
      <c r="L66" s="3232"/>
      <c r="M66" s="3467">
        <f>$G66</f>
        <v>10000</v>
      </c>
      <c r="N66" s="3232"/>
      <c r="O66" s="3467">
        <f>$G66</f>
        <v>10000</v>
      </c>
      <c r="P66" s="3232"/>
      <c r="Q66" s="3467">
        <f>$G66</f>
        <v>10000</v>
      </c>
      <c r="R66" s="3232"/>
      <c r="S66" s="3467">
        <f>$G66</f>
        <v>10000</v>
      </c>
    </row>
    <row r="67" spans="1:19">
      <c r="A67" s="2037"/>
      <c r="B67" s="3330"/>
      <c r="C67" s="3387"/>
      <c r="D67" s="3406"/>
      <c r="E67" s="3389"/>
      <c r="F67" s="3407"/>
      <c r="G67" s="662">
        <f t="shared" si="5"/>
        <v>0</v>
      </c>
      <c r="H67" s="3232"/>
      <c r="I67" s="3322"/>
      <c r="J67" s="3232"/>
      <c r="K67" s="3322"/>
      <c r="L67" s="3232"/>
      <c r="M67" s="3320"/>
      <c r="N67" s="3232"/>
      <c r="O67" s="3320"/>
      <c r="P67" s="3232"/>
      <c r="Q67" s="3320"/>
      <c r="R67" s="3232"/>
      <c r="S67" s="3320"/>
    </row>
    <row r="68" spans="1:19">
      <c r="A68" s="2037"/>
      <c r="B68" s="3328" t="s">
        <v>6975</v>
      </c>
      <c r="C68" s="3387"/>
      <c r="D68" s="3406">
        <v>1</v>
      </c>
      <c r="E68" s="3389" t="s">
        <v>2818</v>
      </c>
      <c r="F68" s="3407">
        <v>50000</v>
      </c>
      <c r="G68" s="662">
        <f t="shared" si="5"/>
        <v>50000</v>
      </c>
      <c r="H68" s="3232"/>
      <c r="I68" s="3346">
        <f>$G68</f>
        <v>50000</v>
      </c>
      <c r="J68" s="3232"/>
      <c r="K68" s="3322"/>
      <c r="L68" s="3232"/>
      <c r="M68" s="3320"/>
      <c r="N68" s="3232"/>
      <c r="O68" s="3320"/>
      <c r="P68" s="3232"/>
      <c r="Q68" s="3320"/>
      <c r="R68" s="3232"/>
      <c r="S68" s="3320"/>
    </row>
    <row r="69" spans="1:19">
      <c r="A69" s="2037"/>
      <c r="B69" s="3328"/>
      <c r="C69" s="3387"/>
      <c r="D69" s="3406"/>
      <c r="E69" s="3389"/>
      <c r="F69" s="3407"/>
      <c r="G69" s="662">
        <f t="shared" si="5"/>
        <v>0</v>
      </c>
      <c r="H69" s="3232"/>
      <c r="I69" s="3322"/>
      <c r="J69" s="3232"/>
      <c r="K69" s="3322"/>
      <c r="L69" s="3232"/>
      <c r="M69" s="3320"/>
      <c r="N69" s="3232"/>
      <c r="O69" s="3320"/>
      <c r="P69" s="3232"/>
      <c r="Q69" s="3320"/>
      <c r="R69" s="3232"/>
      <c r="S69" s="3320"/>
    </row>
    <row r="70" spans="1:19">
      <c r="A70" s="2037"/>
      <c r="B70" s="3328"/>
      <c r="C70" s="3387"/>
      <c r="D70" s="3406"/>
      <c r="E70" s="3389"/>
      <c r="F70" s="3407"/>
      <c r="G70" s="662">
        <f t="shared" si="5"/>
        <v>0</v>
      </c>
      <c r="H70" s="3232"/>
      <c r="I70" s="3322"/>
      <c r="J70" s="3232"/>
      <c r="K70" s="3322"/>
      <c r="L70" s="3232"/>
      <c r="M70" s="3320"/>
      <c r="N70" s="3232"/>
      <c r="O70" s="3320"/>
      <c r="P70" s="3232"/>
      <c r="Q70" s="3320"/>
      <c r="R70" s="3232"/>
      <c r="S70" s="3320"/>
    </row>
    <row r="71" spans="1:19">
      <c r="A71" s="2037"/>
      <c r="B71" s="3468"/>
      <c r="C71" s="3458"/>
      <c r="D71" s="3455"/>
      <c r="E71" s="3389"/>
      <c r="F71" s="3456"/>
      <c r="G71" s="662">
        <f t="shared" si="5"/>
        <v>0</v>
      </c>
      <c r="H71" s="3232"/>
      <c r="I71" s="3322"/>
      <c r="J71" s="3232"/>
      <c r="K71" s="3322"/>
      <c r="L71" s="3232"/>
      <c r="M71" s="3322"/>
      <c r="N71" s="3232"/>
      <c r="O71" s="3322"/>
      <c r="P71" s="3232"/>
      <c r="Q71" s="3322"/>
      <c r="R71" s="3232"/>
      <c r="S71" s="3322"/>
    </row>
    <row r="72" spans="1:19" ht="15.75" thickBot="1">
      <c r="A72" s="3469"/>
      <c r="B72" s="3470"/>
      <c r="C72" s="3471"/>
      <c r="D72" s="3472"/>
      <c r="E72" s="3473"/>
      <c r="F72" s="3474"/>
      <c r="G72" s="3475"/>
      <c r="H72" s="3476"/>
      <c r="I72" s="3477"/>
      <c r="J72" s="3476"/>
      <c r="K72" s="3478"/>
      <c r="L72" s="3476"/>
      <c r="M72" s="3478"/>
      <c r="N72" s="3476"/>
      <c r="O72" s="3478"/>
      <c r="P72" s="3476"/>
      <c r="Q72" s="3478"/>
      <c r="R72" s="3476"/>
      <c r="S72" s="3478"/>
    </row>
    <row r="73" spans="1:19" ht="15.75" thickTop="1">
      <c r="A73" s="13"/>
      <c r="B73" s="226" t="s">
        <v>3265</v>
      </c>
      <c r="C73" s="15"/>
      <c r="D73" s="168"/>
      <c r="E73" s="176"/>
      <c r="F73" s="17"/>
      <c r="G73" s="227">
        <f>SUBTOTAL(9,G22:G72)</f>
        <v>673618</v>
      </c>
      <c r="H73" s="19"/>
      <c r="I73" s="225">
        <f>SUBTOTAL(9,I20:I72)</f>
        <v>2628144</v>
      </c>
      <c r="J73" s="19"/>
      <c r="K73" s="164">
        <f>SUM(K19:K72)</f>
        <v>10000</v>
      </c>
      <c r="L73" s="19"/>
      <c r="M73" s="164">
        <f>SUM(M19:M72)</f>
        <v>10000</v>
      </c>
      <c r="N73" s="19"/>
      <c r="O73" s="164">
        <f>SUM(O19:O72)</f>
        <v>10000</v>
      </c>
      <c r="P73" s="19"/>
      <c r="Q73" s="164">
        <f>SUM(Q19:Q72)</f>
        <v>10000</v>
      </c>
      <c r="R73" s="19"/>
      <c r="S73" s="164">
        <f>SUM(S19:S72)</f>
        <v>10000</v>
      </c>
    </row>
    <row r="74" spans="1:19">
      <c r="A74" s="3479"/>
      <c r="B74" s="3480" t="s">
        <v>2976</v>
      </c>
      <c r="C74" s="3481"/>
      <c r="D74" s="3482"/>
      <c r="E74" s="3483"/>
      <c r="F74" s="3484"/>
      <c r="G74" s="654"/>
      <c r="H74" s="3485">
        <v>0</v>
      </c>
      <c r="I74" s="645"/>
      <c r="J74" s="3485">
        <v>0</v>
      </c>
      <c r="K74" s="645"/>
      <c r="L74" s="3485">
        <v>0</v>
      </c>
      <c r="M74" s="645"/>
      <c r="N74" s="3485">
        <v>0</v>
      </c>
      <c r="O74" s="645"/>
      <c r="P74" s="3485">
        <v>0</v>
      </c>
      <c r="Q74" s="645"/>
      <c r="R74" s="3485">
        <v>0</v>
      </c>
      <c r="S74" s="645"/>
    </row>
    <row r="75" spans="1:19">
      <c r="A75" s="3479"/>
      <c r="B75" s="3480" t="s">
        <v>2977</v>
      </c>
      <c r="C75" s="3481"/>
      <c r="D75" s="3482"/>
      <c r="E75" s="3483"/>
      <c r="F75" s="3484"/>
      <c r="G75" s="654">
        <f>F74*G73</f>
        <v>0</v>
      </c>
      <c r="H75" s="3486"/>
      <c r="I75" s="3487">
        <f>H74*I73</f>
        <v>0</v>
      </c>
      <c r="J75" s="3486"/>
      <c r="K75" s="3487">
        <f>J74*K73</f>
        <v>0</v>
      </c>
      <c r="L75" s="3486"/>
      <c r="M75" s="3487">
        <f>L74*M73</f>
        <v>0</v>
      </c>
      <c r="N75" s="3486"/>
      <c r="O75" s="3487">
        <f>N74*O73</f>
        <v>0</v>
      </c>
      <c r="P75" s="3486"/>
      <c r="Q75" s="3487">
        <f>P74*Q73</f>
        <v>0</v>
      </c>
      <c r="R75" s="3486"/>
      <c r="S75" s="3487">
        <f>R74*S73</f>
        <v>0</v>
      </c>
    </row>
    <row r="76" spans="1:19">
      <c r="A76" s="3479"/>
      <c r="B76" s="3480"/>
      <c r="C76" s="3481"/>
      <c r="D76" s="3482"/>
      <c r="E76" s="3483"/>
      <c r="F76" s="3484"/>
      <c r="G76" s="654"/>
      <c r="H76" s="3486"/>
      <c r="I76" s="3487"/>
      <c r="J76" s="3486"/>
      <c r="K76" s="3487"/>
      <c r="L76" s="3486"/>
      <c r="M76" s="3487"/>
      <c r="N76" s="3486"/>
      <c r="O76" s="3487"/>
      <c r="P76" s="3486"/>
      <c r="Q76" s="3487"/>
      <c r="R76" s="3486"/>
      <c r="S76" s="3487"/>
    </row>
    <row r="77" spans="1:19">
      <c r="A77" s="3479"/>
      <c r="B77" s="3480" t="s">
        <v>2978</v>
      </c>
      <c r="C77" s="3481"/>
      <c r="D77" s="3482"/>
      <c r="E77" s="3483"/>
      <c r="F77" s="3484"/>
      <c r="G77" s="654">
        <f>SUM(G73:G75)</f>
        <v>673618</v>
      </c>
      <c r="H77" s="3488"/>
      <c r="I77" s="3487">
        <f>SUM(I73:I75)</f>
        <v>2628144</v>
      </c>
      <c r="J77" s="3488"/>
      <c r="K77" s="3487">
        <f>SUM(K73:K75)</f>
        <v>10000</v>
      </c>
      <c r="L77" s="3488"/>
      <c r="M77" s="3487">
        <f>SUM(M73:M75)</f>
        <v>10000</v>
      </c>
      <c r="N77" s="3488"/>
      <c r="O77" s="3487">
        <f>SUM(O73:O75)</f>
        <v>10000</v>
      </c>
      <c r="P77" s="3488"/>
      <c r="Q77" s="3487">
        <f>SUM(Q73:Q75)</f>
        <v>10000</v>
      </c>
      <c r="R77" s="3488"/>
      <c r="S77" s="3487">
        <f>SUM(S73:S75)</f>
        <v>10000</v>
      </c>
    </row>
    <row r="78" spans="1:19">
      <c r="A78" s="3479"/>
      <c r="B78" s="3489" t="s">
        <v>2979</v>
      </c>
      <c r="C78" s="3481"/>
      <c r="D78" s="3482"/>
      <c r="E78" s="3483"/>
      <c r="F78" s="3489"/>
      <c r="G78" s="655">
        <v>0</v>
      </c>
      <c r="H78" s="3490"/>
      <c r="I78" s="3491">
        <v>0</v>
      </c>
      <c r="J78" s="3490"/>
      <c r="K78" s="3491">
        <v>0</v>
      </c>
      <c r="L78" s="3490"/>
      <c r="M78" s="3491">
        <v>0</v>
      </c>
      <c r="N78" s="3490"/>
      <c r="O78" s="3491">
        <v>0</v>
      </c>
      <c r="P78" s="3490"/>
      <c r="Q78" s="3491">
        <v>0</v>
      </c>
      <c r="R78" s="3492"/>
      <c r="S78" s="3491">
        <v>0</v>
      </c>
    </row>
    <row r="79" spans="1:19">
      <c r="A79" s="3479"/>
      <c r="B79" s="3493"/>
      <c r="C79" s="3481"/>
      <c r="D79" s="3482"/>
      <c r="E79" s="3483"/>
      <c r="F79" s="3484"/>
      <c r="G79" s="656"/>
      <c r="H79" s="3494"/>
      <c r="I79" s="3495"/>
      <c r="J79" s="3494"/>
      <c r="K79" s="3494"/>
      <c r="L79" s="3494"/>
      <c r="M79" s="3494"/>
      <c r="N79" s="3494"/>
      <c r="O79" s="3494"/>
      <c r="P79" s="3494"/>
      <c r="Q79" s="3494"/>
      <c r="R79" s="3494"/>
      <c r="S79" s="3494"/>
    </row>
    <row r="80" spans="1:19" ht="16.5" hidden="1" thickTop="1" thickBot="1">
      <c r="A80" s="830" t="s">
        <v>2980</v>
      </c>
      <c r="B80" s="831"/>
      <c r="C80" s="12"/>
      <c r="D80" s="169"/>
      <c r="E80" s="177"/>
      <c r="F80" s="12"/>
      <c r="G80" s="228"/>
      <c r="H80" s="20"/>
      <c r="I80" s="20"/>
      <c r="J80" s="20"/>
      <c r="K80" s="20"/>
      <c r="L80" s="20"/>
      <c r="M80" s="20"/>
      <c r="N80" s="20"/>
      <c r="O80" s="20"/>
      <c r="P80" s="20"/>
      <c r="Q80" s="20"/>
      <c r="R80" s="20"/>
      <c r="S80" s="20"/>
    </row>
    <row r="81" spans="1:34" ht="15.75" hidden="1" thickTop="1">
      <c r="A81" s="3297"/>
      <c r="B81" s="3386"/>
      <c r="C81" s="3298"/>
      <c r="D81" s="3496"/>
      <c r="E81" s="3300"/>
      <c r="F81" s="3298"/>
      <c r="G81" s="3367"/>
      <c r="H81" s="3302"/>
      <c r="I81" s="3302"/>
      <c r="J81" s="3302"/>
      <c r="K81" s="3302"/>
      <c r="L81" s="3302"/>
      <c r="M81" s="3302"/>
      <c r="N81" s="3302"/>
      <c r="O81" s="3302"/>
      <c r="P81" s="3302"/>
      <c r="Q81" s="3302"/>
      <c r="R81" s="3302"/>
      <c r="S81" s="3302"/>
    </row>
    <row r="82" spans="1:34" hidden="1">
      <c r="A82" s="3297"/>
      <c r="B82" s="3386"/>
      <c r="C82" s="3298"/>
      <c r="D82" s="3496"/>
      <c r="E82" s="3300"/>
      <c r="F82" s="3298"/>
      <c r="G82" s="3367"/>
      <c r="H82" s="3302"/>
      <c r="I82" s="3302"/>
      <c r="J82" s="3302"/>
      <c r="K82" s="3302"/>
      <c r="L82" s="3302"/>
      <c r="M82" s="3302"/>
      <c r="N82" s="3302"/>
      <c r="O82" s="3302"/>
      <c r="P82" s="3302"/>
      <c r="Q82" s="3302"/>
      <c r="R82" s="3302"/>
      <c r="S82" s="3302"/>
    </row>
    <row r="83" spans="1:34" ht="15.75" hidden="1" thickBot="1">
      <c r="A83" s="3297"/>
      <c r="B83" s="3386"/>
      <c r="C83" s="3298"/>
      <c r="D83" s="3496"/>
      <c r="E83" s="3300"/>
      <c r="F83" s="3298"/>
      <c r="G83" s="3367"/>
      <c r="H83" s="3302"/>
      <c r="I83" s="3302"/>
      <c r="J83" s="3302"/>
      <c r="K83" s="3302"/>
      <c r="L83" s="3302"/>
      <c r="M83" s="3302"/>
      <c r="N83" s="3302"/>
      <c r="O83" s="3302"/>
      <c r="P83" s="3302"/>
      <c r="Q83" s="3302"/>
      <c r="R83" s="3302"/>
      <c r="S83" s="3302"/>
    </row>
    <row r="84" spans="1:34" s="2" customFormat="1" ht="16.5" hidden="1" thickTop="1" thickBot="1">
      <c r="A84" s="830" t="s">
        <v>2981</v>
      </c>
      <c r="B84" s="831"/>
      <c r="C84" s="12"/>
      <c r="D84" s="169"/>
      <c r="E84" s="177"/>
      <c r="F84" s="12"/>
      <c r="G84" s="228"/>
      <c r="H84" s="20"/>
      <c r="I84" s="20"/>
      <c r="J84" s="20"/>
      <c r="K84" s="20"/>
      <c r="L84" s="20"/>
      <c r="M84" s="20"/>
      <c r="N84" s="20"/>
      <c r="O84" s="20"/>
      <c r="P84" s="20"/>
      <c r="Q84" s="20"/>
      <c r="R84" s="20"/>
      <c r="S84" s="20"/>
      <c r="T84"/>
      <c r="U84"/>
      <c r="V84"/>
      <c r="W84"/>
      <c r="X84"/>
      <c r="Y84"/>
      <c r="Z84"/>
      <c r="AA84"/>
      <c r="AB84"/>
      <c r="AC84"/>
      <c r="AD84"/>
      <c r="AE84"/>
      <c r="AF84"/>
      <c r="AG84"/>
      <c r="AH84"/>
    </row>
    <row r="85" spans="1:34" s="2" customFormat="1" ht="15.75" hidden="1" thickTop="1">
      <c r="A85" s="3297"/>
      <c r="B85" s="3386"/>
      <c r="C85" s="3298"/>
      <c r="D85" s="3496"/>
      <c r="E85" s="3300"/>
      <c r="F85" s="3298"/>
      <c r="G85" s="3367"/>
      <c r="H85" s="3302"/>
      <c r="I85" s="3302"/>
      <c r="J85" s="3302"/>
      <c r="K85" s="3302"/>
      <c r="L85" s="3302"/>
      <c r="M85" s="3302"/>
      <c r="N85" s="3302"/>
      <c r="O85" s="3302"/>
      <c r="P85" s="3302"/>
      <c r="Q85" s="3302"/>
      <c r="R85" s="3302"/>
      <c r="S85" s="3302"/>
      <c r="T85"/>
      <c r="U85"/>
      <c r="V85"/>
      <c r="W85"/>
      <c r="X85"/>
      <c r="Y85"/>
      <c r="Z85"/>
      <c r="AA85"/>
      <c r="AB85"/>
      <c r="AC85"/>
      <c r="AD85"/>
      <c r="AE85"/>
      <c r="AF85"/>
      <c r="AG85"/>
      <c r="AH85"/>
    </row>
    <row r="86" spans="1:34" s="2" customFormat="1" hidden="1">
      <c r="A86" s="3297"/>
      <c r="B86" s="3386"/>
      <c r="C86" s="3298"/>
      <c r="D86" s="3496"/>
      <c r="E86" s="3300"/>
      <c r="F86" s="3298"/>
      <c r="G86" s="3367"/>
      <c r="H86" s="3302"/>
      <c r="I86" s="3302"/>
      <c r="J86" s="3302"/>
      <c r="K86" s="3302"/>
      <c r="L86" s="3302"/>
      <c r="M86" s="3302"/>
      <c r="N86" s="3302"/>
      <c r="O86" s="3302"/>
      <c r="P86" s="3302"/>
      <c r="Q86" s="3302"/>
      <c r="R86" s="3302"/>
      <c r="S86" s="3302"/>
      <c r="T86"/>
      <c r="U86"/>
      <c r="V86"/>
      <c r="W86"/>
      <c r="X86"/>
      <c r="Y86"/>
      <c r="Z86"/>
      <c r="AA86"/>
      <c r="AB86"/>
      <c r="AC86"/>
      <c r="AD86"/>
      <c r="AE86"/>
      <c r="AF86"/>
      <c r="AG86"/>
      <c r="AH86"/>
    </row>
    <row r="87" spans="1:34" ht="15.75" hidden="1" thickBot="1">
      <c r="A87" s="3297"/>
      <c r="B87" s="3386"/>
      <c r="C87" s="3298"/>
      <c r="D87" s="3496"/>
      <c r="E87" s="3300"/>
      <c r="F87" s="3298"/>
      <c r="G87" s="3367"/>
      <c r="H87" s="3302"/>
      <c r="I87" s="3302"/>
      <c r="J87" s="3302"/>
      <c r="K87" s="3302"/>
      <c r="L87" s="3302"/>
      <c r="M87" s="3302"/>
      <c r="N87" s="3302"/>
      <c r="O87" s="3302"/>
      <c r="P87" s="3302"/>
      <c r="Q87" s="3302"/>
      <c r="R87" s="3302"/>
      <c r="S87" s="3302"/>
    </row>
    <row r="88" spans="1:34" s="2" customFormat="1" ht="16.5" hidden="1" thickTop="1" thickBot="1">
      <c r="A88" s="830" t="s">
        <v>2982</v>
      </c>
      <c r="B88" s="831"/>
      <c r="C88" s="12"/>
      <c r="D88" s="169"/>
      <c r="E88" s="177"/>
      <c r="F88" s="12"/>
      <c r="G88" s="228"/>
      <c r="H88" s="20"/>
      <c r="I88" s="20"/>
      <c r="J88" s="20"/>
      <c r="K88" s="20"/>
      <c r="L88" s="20"/>
      <c r="M88" s="20"/>
      <c r="N88" s="20"/>
      <c r="O88" s="20"/>
      <c r="P88" s="20"/>
      <c r="Q88" s="20"/>
      <c r="R88" s="20"/>
      <c r="S88" s="20"/>
      <c r="T88"/>
      <c r="U88"/>
      <c r="V88"/>
      <c r="W88"/>
      <c r="X88"/>
      <c r="Y88"/>
      <c r="Z88"/>
      <c r="AA88"/>
      <c r="AB88"/>
      <c r="AC88"/>
      <c r="AD88"/>
      <c r="AE88"/>
      <c r="AF88"/>
      <c r="AG88"/>
      <c r="AH88"/>
    </row>
    <row r="89" spans="1:34" s="2" customFormat="1" ht="15.75" hidden="1" thickTop="1">
      <c r="A89" s="3297"/>
      <c r="B89" s="3386"/>
      <c r="C89" s="3298"/>
      <c r="D89" s="3496"/>
      <c r="E89" s="3300"/>
      <c r="F89" s="3298"/>
      <c r="G89" s="3367"/>
      <c r="H89" s="3302"/>
      <c r="I89" s="3368"/>
      <c r="J89" s="3302"/>
      <c r="K89" s="3302"/>
      <c r="L89" s="3302"/>
      <c r="M89" s="3302"/>
      <c r="N89" s="3302"/>
      <c r="O89" s="3302"/>
      <c r="P89" s="3302"/>
      <c r="Q89" s="3302"/>
      <c r="R89" s="3302"/>
      <c r="S89" s="3302"/>
      <c r="T89"/>
      <c r="U89"/>
      <c r="V89"/>
      <c r="W89"/>
      <c r="X89"/>
      <c r="Y89"/>
      <c r="Z89"/>
      <c r="AA89"/>
      <c r="AB89"/>
      <c r="AC89"/>
      <c r="AD89"/>
      <c r="AE89"/>
      <c r="AF89"/>
      <c r="AG89"/>
      <c r="AH89"/>
    </row>
    <row r="90" spans="1:34" s="2" customFormat="1" hidden="1">
      <c r="A90" s="3497"/>
      <c r="B90" s="3386"/>
      <c r="C90" s="3387"/>
      <c r="D90" s="3406"/>
      <c r="E90" s="3389"/>
      <c r="F90" s="3387"/>
      <c r="G90" s="3498"/>
      <c r="H90" s="3499"/>
      <c r="I90" s="3499"/>
      <c r="J90" s="3499"/>
      <c r="K90" s="3499"/>
      <c r="L90" s="3499"/>
      <c r="M90" s="3499"/>
      <c r="N90" s="3499"/>
      <c r="O90" s="3499"/>
      <c r="P90" s="3499"/>
      <c r="Q90" s="3499"/>
      <c r="R90" s="3499"/>
      <c r="S90" s="3499"/>
      <c r="T90"/>
      <c r="U90"/>
      <c r="V90"/>
      <c r="W90"/>
      <c r="X90"/>
      <c r="Y90"/>
      <c r="Z90"/>
      <c r="AA90"/>
      <c r="AB90"/>
      <c r="AC90"/>
      <c r="AD90"/>
      <c r="AE90"/>
      <c r="AF90"/>
      <c r="AG90"/>
      <c r="AH90"/>
    </row>
    <row r="91" spans="1:34" s="2" customFormat="1" ht="15.75" hidden="1" thickBot="1">
      <c r="A91" s="3500"/>
      <c r="B91" s="3501"/>
      <c r="C91" s="3387"/>
      <c r="D91" s="3406"/>
      <c r="E91" s="3389"/>
      <c r="F91" s="3387"/>
      <c r="G91" s="3498"/>
      <c r="H91" s="3502"/>
      <c r="I91" s="3502"/>
      <c r="J91" s="3502"/>
      <c r="K91" s="3502"/>
      <c r="L91" s="3502"/>
      <c r="M91" s="3502"/>
      <c r="N91" s="3502"/>
      <c r="O91" s="3502"/>
      <c r="P91" s="3502"/>
      <c r="Q91" s="3502"/>
      <c r="R91" s="3502"/>
      <c r="S91" s="3502"/>
      <c r="T91"/>
      <c r="U91"/>
      <c r="V91"/>
      <c r="W91"/>
      <c r="X91"/>
      <c r="Y91"/>
      <c r="Z91"/>
      <c r="AA91"/>
      <c r="AB91"/>
      <c r="AC91"/>
      <c r="AD91"/>
      <c r="AE91"/>
      <c r="AF91"/>
      <c r="AG91"/>
    </row>
    <row r="92" spans="1:34" s="2" customFormat="1" ht="16.5" hidden="1" thickTop="1" thickBot="1">
      <c r="A92" s="830" t="s">
        <v>2983</v>
      </c>
      <c r="B92" s="831"/>
      <c r="C92" s="12"/>
      <c r="D92" s="169"/>
      <c r="E92" s="177"/>
      <c r="F92" s="12"/>
      <c r="G92" s="228"/>
      <c r="H92" s="20"/>
      <c r="I92" s="20"/>
      <c r="J92" s="20"/>
      <c r="K92" s="20"/>
      <c r="L92" s="20"/>
      <c r="M92" s="20"/>
      <c r="N92" s="20"/>
      <c r="O92" s="20"/>
      <c r="P92" s="20"/>
      <c r="Q92" s="20"/>
      <c r="R92" s="20"/>
      <c r="S92" s="20"/>
      <c r="T92"/>
      <c r="U92"/>
      <c r="V92"/>
      <c r="W92"/>
      <c r="X92"/>
      <c r="Y92"/>
      <c r="Z92"/>
      <c r="AA92"/>
      <c r="AB92"/>
      <c r="AC92"/>
      <c r="AD92"/>
      <c r="AE92"/>
      <c r="AF92"/>
      <c r="AG92"/>
      <c r="AH92"/>
    </row>
    <row r="93" spans="1:34" ht="15.75" hidden="1" thickTop="1">
      <c r="A93" s="3303"/>
      <c r="B93" s="3304"/>
      <c r="C93" s="3298"/>
      <c r="D93" s="3496"/>
      <c r="E93" s="3300"/>
      <c r="F93" s="3298"/>
      <c r="G93" s="3367"/>
      <c r="H93" s="3302"/>
      <c r="I93" s="3302"/>
      <c r="J93" s="3302"/>
      <c r="K93" s="3302"/>
      <c r="L93" s="3302"/>
      <c r="M93" s="3302"/>
      <c r="N93" s="3302"/>
      <c r="O93" s="3302"/>
      <c r="P93" s="3302"/>
      <c r="Q93" s="3302"/>
      <c r="R93" s="3302"/>
      <c r="S93" s="3302"/>
      <c r="AH93" s="2"/>
    </row>
    <row r="94" spans="1:34" hidden="1">
      <c r="A94" s="3500"/>
      <c r="B94" s="3501"/>
      <c r="C94" s="3387"/>
      <c r="D94" s="3406"/>
      <c r="E94" s="3389"/>
      <c r="F94" s="3387"/>
      <c r="G94" s="3498"/>
      <c r="H94" s="3503"/>
      <c r="I94" s="3503"/>
      <c r="J94" s="3503"/>
      <c r="K94" s="3503"/>
      <c r="L94" s="3503"/>
      <c r="M94" s="3503"/>
      <c r="N94" s="3503"/>
      <c r="O94" s="3503"/>
      <c r="P94" s="3503"/>
      <c r="Q94" s="3503"/>
      <c r="R94" s="3503"/>
      <c r="S94" s="3503"/>
      <c r="AH94" s="2"/>
    </row>
    <row r="95" spans="1:34" ht="15.75" hidden="1" thickBot="1">
      <c r="A95" s="3500"/>
      <c r="B95" s="3501"/>
      <c r="C95" s="3387"/>
      <c r="D95" s="3406"/>
      <c r="E95" s="3389"/>
      <c r="F95" s="3387"/>
      <c r="G95" s="3498"/>
      <c r="H95" s="3503"/>
      <c r="I95" s="3503"/>
      <c r="J95" s="3503"/>
      <c r="K95" s="3503"/>
      <c r="L95" s="3503"/>
      <c r="M95" s="3503"/>
      <c r="N95" s="3503"/>
      <c r="O95" s="3503"/>
      <c r="P95" s="3503"/>
      <c r="Q95" s="3503"/>
      <c r="R95" s="3503"/>
      <c r="S95" s="3503"/>
      <c r="AH95" s="2"/>
    </row>
    <row r="96" spans="1:34" ht="16.5" hidden="1" thickTop="1" thickBot="1">
      <c r="A96" s="830" t="s">
        <v>2984</v>
      </c>
      <c r="B96" s="831"/>
      <c r="C96" s="12"/>
      <c r="D96" s="169"/>
      <c r="E96" s="177"/>
      <c r="F96" s="12"/>
      <c r="G96" s="228"/>
      <c r="H96" s="20"/>
      <c r="I96" s="20"/>
      <c r="J96" s="20"/>
      <c r="K96" s="20"/>
      <c r="L96" s="20"/>
      <c r="M96" s="20"/>
      <c r="N96" s="20"/>
      <c r="O96" s="20"/>
      <c r="P96" s="20"/>
      <c r="Q96" s="20"/>
      <c r="R96" s="20"/>
      <c r="S96" s="20"/>
    </row>
    <row r="97" spans="1:19" ht="15.75" hidden="1" thickTop="1">
      <c r="A97" s="3497"/>
      <c r="B97" s="3386" t="s">
        <v>2985</v>
      </c>
      <c r="C97" s="3387"/>
      <c r="D97" s="3406"/>
      <c r="E97" s="3389"/>
      <c r="F97" s="3387"/>
      <c r="G97" s="3498"/>
      <c r="H97" s="3503"/>
      <c r="I97" s="3503"/>
      <c r="J97" s="3503"/>
      <c r="K97" s="3503"/>
      <c r="L97" s="3503"/>
      <c r="M97" s="3503"/>
      <c r="N97" s="3503"/>
      <c r="O97" s="3503"/>
      <c r="P97" s="3503"/>
      <c r="Q97" s="3503"/>
      <c r="R97" s="3503"/>
      <c r="S97" s="3503"/>
    </row>
    <row r="98" spans="1:19" hidden="1">
      <c r="A98" s="3497"/>
      <c r="B98" s="3386" t="s">
        <v>2986</v>
      </c>
      <c r="C98" s="3387"/>
      <c r="D98" s="3406"/>
      <c r="E98" s="3389"/>
      <c r="F98" s="3387"/>
      <c r="G98" s="3498"/>
      <c r="H98" s="3503"/>
      <c r="I98" s="3503"/>
      <c r="J98" s="3503"/>
      <c r="K98" s="3503"/>
      <c r="L98" s="3503"/>
      <c r="M98" s="3503"/>
      <c r="N98" s="3503"/>
      <c r="O98" s="3503"/>
      <c r="P98" s="3503"/>
      <c r="Q98" s="3503"/>
      <c r="R98" s="3503"/>
      <c r="S98" s="3503"/>
    </row>
    <row r="99" spans="1:19" hidden="1">
      <c r="A99" s="3497"/>
      <c r="B99" s="3386" t="s">
        <v>2987</v>
      </c>
      <c r="C99" s="3387"/>
      <c r="D99" s="3406"/>
      <c r="E99" s="3389"/>
      <c r="F99" s="3387"/>
      <c r="G99" s="3498"/>
      <c r="H99" s="3503"/>
      <c r="I99" s="3503"/>
      <c r="J99" s="3503"/>
      <c r="K99" s="3503"/>
      <c r="L99" s="3503"/>
      <c r="M99" s="3503"/>
      <c r="N99" s="3503"/>
      <c r="O99" s="3503"/>
      <c r="P99" s="3503"/>
      <c r="Q99" s="3503"/>
      <c r="R99" s="3503"/>
      <c r="S99" s="3503"/>
    </row>
    <row r="100" spans="1:19" hidden="1">
      <c r="A100" s="3497"/>
      <c r="B100" s="3386" t="s">
        <v>2988</v>
      </c>
      <c r="C100" s="3387"/>
      <c r="D100" s="3406"/>
      <c r="E100" s="3389"/>
      <c r="F100" s="3387"/>
      <c r="G100" s="3498"/>
      <c r="H100" s="3503"/>
      <c r="I100" s="3503"/>
      <c r="J100" s="3503"/>
      <c r="K100" s="3503"/>
      <c r="L100" s="3503"/>
      <c r="M100" s="3503"/>
      <c r="N100" s="3503"/>
      <c r="O100" s="3503"/>
      <c r="P100" s="3503"/>
      <c r="Q100" s="3503"/>
      <c r="R100" s="3503"/>
      <c r="S100" s="3503"/>
    </row>
    <row r="101" spans="1:19" ht="15.75" hidden="1" thickBot="1">
      <c r="A101" s="646"/>
      <c r="B101" s="619"/>
      <c r="C101" s="616"/>
      <c r="D101" s="621"/>
      <c r="E101" s="622"/>
      <c r="F101" s="616"/>
      <c r="G101" s="620"/>
      <c r="H101" s="647"/>
      <c r="I101" s="647"/>
      <c r="J101" s="647"/>
      <c r="K101" s="647"/>
      <c r="L101" s="647"/>
      <c r="M101" s="647"/>
      <c r="N101" s="647"/>
      <c r="O101" s="647"/>
      <c r="P101" s="647"/>
      <c r="Q101" s="647"/>
      <c r="R101" s="647"/>
      <c r="S101" s="647"/>
    </row>
    <row r="102" spans="1:19" ht="16.5" hidden="1" thickTop="1" thickBot="1">
      <c r="A102" s="7" t="s">
        <v>2989</v>
      </c>
      <c r="B102" s="8"/>
      <c r="C102" s="12"/>
      <c r="D102" s="169"/>
      <c r="E102" s="177"/>
      <c r="F102" s="12"/>
      <c r="G102" s="228"/>
      <c r="H102" s="20"/>
      <c r="I102" s="20"/>
      <c r="J102" s="20"/>
      <c r="K102" s="20"/>
      <c r="L102" s="20"/>
      <c r="M102" s="20"/>
      <c r="N102" s="20"/>
      <c r="O102" s="20"/>
      <c r="P102" s="20"/>
      <c r="Q102" s="20"/>
      <c r="R102" s="20"/>
      <c r="S102" s="20"/>
    </row>
    <row r="103" spans="1:19" ht="15.75" hidden="1" thickTop="1">
      <c r="A103" s="3297"/>
      <c r="B103" s="3305" t="s">
        <v>2990</v>
      </c>
      <c r="C103" s="3298"/>
      <c r="D103" s="3496"/>
      <c r="E103" s="3300"/>
      <c r="F103" s="3298"/>
      <c r="G103" s="3367"/>
      <c r="H103" s="3306"/>
      <c r="I103" s="3306"/>
      <c r="J103" s="3306"/>
      <c r="K103" s="3306"/>
      <c r="L103" s="3306"/>
      <c r="M103" s="3306"/>
      <c r="N103" s="3306"/>
      <c r="O103" s="3306"/>
      <c r="P103" s="3306"/>
      <c r="Q103" s="3306"/>
      <c r="R103" s="3306"/>
      <c r="S103" s="3306"/>
    </row>
    <row r="104" spans="1:19" hidden="1">
      <c r="A104" s="3497"/>
      <c r="B104" s="3386" t="s">
        <v>2991</v>
      </c>
      <c r="C104" s="3387"/>
      <c r="D104" s="3406"/>
      <c r="E104" s="3389"/>
      <c r="F104" s="3387"/>
      <c r="G104" s="3498"/>
      <c r="H104" s="3504"/>
      <c r="I104" s="3504"/>
      <c r="J104" s="3504"/>
      <c r="K104" s="3504"/>
      <c r="L104" s="3504"/>
      <c r="M104" s="3504"/>
      <c r="N104" s="3504"/>
      <c r="O104" s="3504"/>
      <c r="P104" s="3504"/>
      <c r="Q104" s="3504"/>
      <c r="R104" s="3504"/>
      <c r="S104" s="3504"/>
    </row>
    <row r="105" spans="1:19" ht="15.75" hidden="1" thickBot="1">
      <c r="A105" s="3505"/>
      <c r="B105" s="3224" t="s">
        <v>2992</v>
      </c>
      <c r="C105" s="3225"/>
      <c r="D105" s="3506"/>
      <c r="E105" s="3473"/>
      <c r="F105" s="3225"/>
      <c r="G105" s="3507"/>
      <c r="H105" s="3508"/>
      <c r="I105" s="3508"/>
      <c r="J105" s="3508"/>
      <c r="K105" s="3508"/>
      <c r="L105" s="3508"/>
      <c r="M105" s="3508"/>
      <c r="N105" s="3508"/>
      <c r="O105" s="3508"/>
      <c r="P105" s="3508"/>
      <c r="Q105" s="3508"/>
      <c r="R105" s="3508"/>
      <c r="S105" s="3508"/>
    </row>
    <row r="106" spans="1:19" ht="15.75" thickBot="1"/>
    <row r="107" spans="1:19" ht="16.5" thickTop="1" thickBot="1">
      <c r="A107" s="59" t="s">
        <v>2993</v>
      </c>
      <c r="B107" s="61"/>
      <c r="G107" s="237" t="s">
        <v>3584</v>
      </c>
      <c r="I107" s="236"/>
    </row>
    <row r="108" spans="1:19" ht="15.75" thickTop="1">
      <c r="A108" s="60" t="s">
        <v>2936</v>
      </c>
      <c r="B108" s="3509"/>
      <c r="G108" s="251" t="s">
        <v>6976</v>
      </c>
      <c r="I108" s="236"/>
    </row>
    <row r="109" spans="1:19">
      <c r="A109" s="3510" t="s">
        <v>2939</v>
      </c>
      <c r="B109" s="3509"/>
      <c r="G109" s="252" t="s">
        <v>3586</v>
      </c>
      <c r="I109" s="3309"/>
      <c r="K109" s="3511"/>
    </row>
    <row r="110" spans="1:19">
      <c r="A110" s="3512" t="s">
        <v>2941</v>
      </c>
      <c r="B110" s="3513"/>
      <c r="G110" s="237" t="s">
        <v>3589</v>
      </c>
      <c r="I110" s="236"/>
    </row>
    <row r="111" spans="1:19">
      <c r="A111" s="3512" t="s">
        <v>2943</v>
      </c>
      <c r="B111" s="3514"/>
      <c r="G111" s="237" t="s">
        <v>3590</v>
      </c>
      <c r="I111" s="3309"/>
      <c r="K111" s="3515"/>
    </row>
    <row r="112" spans="1:19" ht="15.75" thickBot="1">
      <c r="A112" s="3516" t="s">
        <v>2994</v>
      </c>
      <c r="B112" s="3517">
        <f>$I$77</f>
        <v>2628144</v>
      </c>
      <c r="G112" s="237" t="s">
        <v>3591</v>
      </c>
      <c r="I112" s="236"/>
    </row>
    <row r="113" spans="1:9" ht="15.75" thickTop="1">
      <c r="I113" s="236"/>
    </row>
    <row r="114" spans="1:9">
      <c r="A114" s="62"/>
      <c r="B114" s="1" t="s">
        <v>2995</v>
      </c>
    </row>
    <row r="115" spans="1:9">
      <c r="A115" s="63"/>
      <c r="B115" s="1" t="s">
        <v>2996</v>
      </c>
    </row>
  </sheetData>
  <mergeCells count="35">
    <mergeCell ref="R8:S8"/>
    <mergeCell ref="R5:S5"/>
    <mergeCell ref="R6:S6"/>
    <mergeCell ref="R7:S7"/>
    <mergeCell ref="H5:I5"/>
    <mergeCell ref="H6:I6"/>
    <mergeCell ref="H7:I7"/>
    <mergeCell ref="H8:I8"/>
    <mergeCell ref="J5:K5"/>
    <mergeCell ref="J6:K6"/>
    <mergeCell ref="J7:K7"/>
    <mergeCell ref="J8:K8"/>
    <mergeCell ref="L5:M5"/>
    <mergeCell ref="P7:Q7"/>
    <mergeCell ref="P8:Q8"/>
    <mergeCell ref="P5:Q5"/>
    <mergeCell ref="P6:Q6"/>
    <mergeCell ref="J9:K9"/>
    <mergeCell ref="L9:M9"/>
    <mergeCell ref="N9:O9"/>
    <mergeCell ref="P9:Q9"/>
    <mergeCell ref="N5:O5"/>
    <mergeCell ref="N6:O6"/>
    <mergeCell ref="N7:O7"/>
    <mergeCell ref="N8:O8"/>
    <mergeCell ref="L6:M6"/>
    <mergeCell ref="L7:M7"/>
    <mergeCell ref="L8:M8"/>
    <mergeCell ref="A84:B84"/>
    <mergeCell ref="A88:B88"/>
    <mergeCell ref="A92:B92"/>
    <mergeCell ref="A96:B96"/>
    <mergeCell ref="R9:S9"/>
    <mergeCell ref="H9:I9"/>
    <mergeCell ref="A80:B80"/>
  </mergeCells>
  <conditionalFormatting sqref="H11:H18 J11:J18 L11:L18 N11:N18 P11:P18 R11:R18">
    <cfRule type="cellIs" dxfId="41" priority="7" operator="equal">
      <formula>"X"</formula>
    </cfRule>
    <cfRule type="cellIs" dxfId="40" priority="8" operator="equal">
      <formula>"I"</formula>
    </cfRule>
  </conditionalFormatting>
  <conditionalFormatting sqref="H20:H72 J20:J72 L20:L72 N20:N72 P20:P72 R20:R72">
    <cfRule type="cellIs" dxfId="39" priority="1" operator="equal">
      <formula>"X"</formula>
    </cfRule>
    <cfRule type="cellIs" dxfId="38" priority="2" operator="equal">
      <formula>"I"</formula>
    </cfRule>
  </conditionalFormatting>
  <hyperlinks>
    <hyperlink ref="B4" location="'Cost Summary'!A1" display="BACK TO SUMMARY SHEET" xr:uid="{1EC9D609-952B-45F4-8CAF-CC4BF483C4FB}"/>
    <hyperlink ref="H8" r:id="rId1" xr:uid="{6517EE36-5CE8-4F32-8468-142CCD1B9239}"/>
  </hyperlinks>
  <printOptions horizontalCentered="1"/>
  <pageMargins left="0.2" right="0.2" top="0.75" bottom="0.75" header="0.3" footer="0.3"/>
  <pageSetup paperSize="3" scale="75" fitToHeight="0" orientation="landscape" horizontalDpi="300" verticalDpi="300" r:id="rId2"/>
  <rowBreaks count="1" manualBreakCount="1">
    <brk id="77" max="6"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24D9-7FE3-4582-9271-D55F8BE70176}">
  <sheetPr>
    <tabColor rgb="FFFFFF00"/>
    <pageSetUpPr fitToPage="1"/>
  </sheetPr>
  <dimension ref="A1:AH94"/>
  <sheetViews>
    <sheetView zoomScale="90" zoomScaleNormal="90" workbookViewId="0">
      <pane ySplit="10" topLeftCell="A25" activePane="bottomLeft" state="frozen"/>
      <selection pane="bottomLeft" activeCell="A59" sqref="A59"/>
      <selection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41" t="s">
        <v>5926</v>
      </c>
      <c r="I5" s="842"/>
      <c r="J5" s="841"/>
      <c r="K5" s="842"/>
      <c r="L5" s="841"/>
      <c r="M5" s="842"/>
      <c r="N5" s="841"/>
      <c r="O5" s="842"/>
      <c r="P5" s="841"/>
      <c r="Q5" s="842"/>
      <c r="R5" s="841"/>
      <c r="S5" s="842"/>
    </row>
    <row r="6" spans="1:19">
      <c r="A6" s="3518" t="s">
        <v>2938</v>
      </c>
      <c r="B6" s="3519" t="s">
        <v>2608</v>
      </c>
      <c r="C6" s="3520"/>
      <c r="D6" s="3521"/>
      <c r="E6" s="3522"/>
      <c r="F6" s="3520"/>
      <c r="G6" s="657" t="s">
        <v>2939</v>
      </c>
      <c r="H6" s="3523"/>
      <c r="I6" s="843"/>
      <c r="J6" s="3523"/>
      <c r="K6" s="843"/>
      <c r="L6" s="3523"/>
      <c r="M6" s="843"/>
      <c r="N6" s="3523"/>
      <c r="O6" s="843"/>
      <c r="P6" s="3523"/>
      <c r="Q6" s="843"/>
      <c r="R6" s="3523"/>
      <c r="S6" s="843"/>
    </row>
    <row r="7" spans="1:19">
      <c r="A7" s="3518" t="s">
        <v>2940</v>
      </c>
      <c r="B7" s="3524" t="s">
        <v>2733</v>
      </c>
      <c r="C7" s="3520"/>
      <c r="D7" s="3521"/>
      <c r="E7" s="3522"/>
      <c r="F7" s="3520"/>
      <c r="G7" s="3525" t="s">
        <v>2941</v>
      </c>
      <c r="H7" s="3526"/>
      <c r="I7" s="844"/>
      <c r="J7" s="3526"/>
      <c r="K7" s="844"/>
      <c r="L7" s="3526"/>
      <c r="M7" s="844"/>
      <c r="N7" s="3526"/>
      <c r="O7" s="844"/>
      <c r="P7" s="3526"/>
      <c r="Q7" s="844"/>
      <c r="R7" s="3526"/>
      <c r="S7" s="844"/>
    </row>
    <row r="8" spans="1:19">
      <c r="A8" s="3518" t="s">
        <v>2942</v>
      </c>
      <c r="B8" s="3527"/>
      <c r="C8" s="3520"/>
      <c r="D8" s="3521"/>
      <c r="E8" s="3522"/>
      <c r="F8" s="3520"/>
      <c r="G8" s="3525" t="s">
        <v>2943</v>
      </c>
      <c r="H8" s="3528"/>
      <c r="I8" s="845"/>
      <c r="J8" s="3528"/>
      <c r="K8" s="845"/>
      <c r="L8" s="3528"/>
      <c r="M8" s="845"/>
      <c r="N8" s="3528"/>
      <c r="O8" s="845"/>
      <c r="P8" s="3528"/>
      <c r="Q8" s="845"/>
      <c r="R8" s="3528"/>
      <c r="S8" s="845"/>
    </row>
    <row r="9" spans="1:19" ht="15.75" thickBot="1">
      <c r="A9" s="3529"/>
      <c r="B9" s="3530"/>
      <c r="C9" s="616"/>
      <c r="D9" s="621"/>
      <c r="E9" s="622"/>
      <c r="F9" s="3531"/>
      <c r="G9" s="3532" t="s">
        <v>2944</v>
      </c>
      <c r="H9" s="3533">
        <f t="shared" ref="H9" si="0">I$56</f>
        <v>0</v>
      </c>
      <c r="I9" s="3534"/>
      <c r="J9" s="3535">
        <f>K$56</f>
        <v>0</v>
      </c>
      <c r="K9" s="3536"/>
      <c r="L9" s="3533">
        <f t="shared" ref="L9" si="1">M$56</f>
        <v>0</v>
      </c>
      <c r="M9" s="3534"/>
      <c r="N9" s="3533">
        <f t="shared" ref="N9" si="2">O$56</f>
        <v>0</v>
      </c>
      <c r="O9" s="3534"/>
      <c r="P9" s="3533">
        <f t="shared" ref="P9" si="3">Q$56</f>
        <v>0</v>
      </c>
      <c r="Q9" s="3534"/>
      <c r="R9" s="3533">
        <f t="shared" ref="R9" si="4">S$56</f>
        <v>0</v>
      </c>
      <c r="S9" s="3534"/>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315"/>
      <c r="B11" s="2889" t="s">
        <v>2953</v>
      </c>
      <c r="C11" s="659"/>
      <c r="D11" s="3521"/>
      <c r="E11" s="3522"/>
      <c r="F11" s="3520"/>
      <c r="G11" s="660"/>
      <c r="H11" s="3537"/>
      <c r="I11" s="182"/>
      <c r="J11" s="3537"/>
      <c r="K11" s="3316"/>
      <c r="L11" s="3537"/>
      <c r="M11" s="3317"/>
      <c r="N11" s="3537"/>
      <c r="O11" s="3317"/>
      <c r="P11" s="3537"/>
      <c r="Q11" s="3317"/>
      <c r="R11" s="3537"/>
      <c r="S11" s="3317"/>
    </row>
    <row r="12" spans="1:19">
      <c r="A12" s="3318"/>
      <c r="B12" s="2963" t="s">
        <v>2954</v>
      </c>
      <c r="C12" s="3520"/>
      <c r="D12" s="3521"/>
      <c r="E12" s="3522"/>
      <c r="F12" s="3520"/>
      <c r="G12" s="660"/>
      <c r="H12" s="3537"/>
      <c r="I12" s="3317"/>
      <c r="J12" s="3537"/>
      <c r="K12" s="3316"/>
      <c r="L12" s="3537"/>
      <c r="M12" s="3317"/>
      <c r="N12" s="3537"/>
      <c r="O12" s="3317"/>
      <c r="P12" s="3537"/>
      <c r="Q12" s="3317"/>
      <c r="R12" s="3537"/>
      <c r="S12" s="3317"/>
    </row>
    <row r="13" spans="1:19">
      <c r="A13" s="3538"/>
      <c r="B13" s="3319" t="s">
        <v>2955</v>
      </c>
      <c r="C13" s="3520"/>
      <c r="D13" s="3521"/>
      <c r="E13" s="3522"/>
      <c r="F13" s="3520"/>
      <c r="G13" s="660"/>
      <c r="H13" s="3537"/>
      <c r="I13" s="3317"/>
      <c r="J13" s="3537"/>
      <c r="K13" s="3316"/>
      <c r="L13" s="3537"/>
      <c r="M13" s="3317"/>
      <c r="N13" s="3537"/>
      <c r="O13" s="3317"/>
      <c r="P13" s="3537"/>
      <c r="Q13" s="3317"/>
      <c r="R13" s="3537"/>
      <c r="S13" s="3317"/>
    </row>
    <row r="14" spans="1:19">
      <c r="A14" s="3538"/>
      <c r="B14" s="3321" t="s">
        <v>2956</v>
      </c>
      <c r="C14" s="3520"/>
      <c r="D14" s="3521"/>
      <c r="E14" s="3522"/>
      <c r="F14" s="3520"/>
      <c r="G14" s="660"/>
      <c r="H14" s="3537"/>
      <c r="I14" s="3317"/>
      <c r="J14" s="3537"/>
      <c r="K14" s="3316"/>
      <c r="L14" s="3537"/>
      <c r="M14" s="3317"/>
      <c r="N14" s="3537"/>
      <c r="O14" s="3317"/>
      <c r="P14" s="3537"/>
      <c r="Q14" s="3317"/>
      <c r="R14" s="3537"/>
      <c r="S14" s="3317"/>
    </row>
    <row r="15" spans="1:19">
      <c r="A15" s="3538"/>
      <c r="B15" s="3321" t="s">
        <v>2957</v>
      </c>
      <c r="C15" s="3520"/>
      <c r="D15" s="3521"/>
      <c r="E15" s="3522"/>
      <c r="F15" s="3520"/>
      <c r="G15" s="660"/>
      <c r="H15" s="3537"/>
      <c r="I15" s="3316"/>
      <c r="J15" s="3537"/>
      <c r="K15" s="3316"/>
      <c r="L15" s="3537"/>
      <c r="M15" s="3316"/>
      <c r="N15" s="3537"/>
      <c r="O15" s="3316"/>
      <c r="P15" s="3537"/>
      <c r="Q15" s="3316"/>
      <c r="R15" s="3537"/>
      <c r="S15" s="3316"/>
    </row>
    <row r="16" spans="1:19">
      <c r="A16" s="3538"/>
      <c r="B16" s="3321" t="s">
        <v>2958</v>
      </c>
      <c r="C16" s="3520"/>
      <c r="D16" s="3521"/>
      <c r="E16" s="3522"/>
      <c r="F16" s="3520"/>
      <c r="G16" s="660"/>
      <c r="H16" s="3537"/>
      <c r="I16" s="3317"/>
      <c r="J16" s="3537"/>
      <c r="K16" s="3316"/>
      <c r="L16" s="3537"/>
      <c r="M16" s="3317"/>
      <c r="N16" s="3537"/>
      <c r="O16" s="3317"/>
      <c r="P16" s="3537"/>
      <c r="Q16" s="3317"/>
      <c r="R16" s="3537"/>
      <c r="S16" s="3317"/>
    </row>
    <row r="17" spans="1:19">
      <c r="A17" s="3538"/>
      <c r="B17" s="3321" t="s">
        <v>2959</v>
      </c>
      <c r="C17" s="3520"/>
      <c r="D17" s="3521"/>
      <c r="E17" s="3522"/>
      <c r="F17" s="3520"/>
      <c r="G17" s="660"/>
      <c r="H17" s="3537"/>
      <c r="I17" s="3317"/>
      <c r="J17" s="3537"/>
      <c r="K17" s="3316"/>
      <c r="L17" s="3537"/>
      <c r="M17" s="3317"/>
      <c r="N17" s="3537"/>
      <c r="O17" s="3317"/>
      <c r="P17" s="3537"/>
      <c r="Q17" s="3317"/>
      <c r="R17" s="3537"/>
      <c r="S17" s="3317"/>
    </row>
    <row r="18" spans="1:19">
      <c r="A18" s="3538"/>
      <c r="B18" s="3323" t="s">
        <v>2960</v>
      </c>
      <c r="C18" s="3520"/>
      <c r="D18" s="3521"/>
      <c r="E18" s="3522"/>
      <c r="F18" s="3520"/>
      <c r="G18" s="660"/>
      <c r="H18" s="3537"/>
      <c r="I18" s="3317"/>
      <c r="J18" s="3537"/>
      <c r="K18" s="3316"/>
      <c r="L18" s="3537"/>
      <c r="M18" s="3317"/>
      <c r="N18" s="3537"/>
      <c r="O18" s="3317"/>
      <c r="P18" s="3537"/>
      <c r="Q18" s="3317"/>
      <c r="R18" s="3537"/>
      <c r="S18" s="3317"/>
    </row>
    <row r="19" spans="1:19">
      <c r="A19" s="3538"/>
      <c r="B19" s="3324" t="s">
        <v>2961</v>
      </c>
      <c r="C19" s="3539"/>
      <c r="D19" s="3540"/>
      <c r="E19" s="3541"/>
      <c r="F19" s="3542"/>
      <c r="G19" s="661"/>
      <c r="H19" s="3543"/>
      <c r="I19" s="3326"/>
      <c r="J19" s="3543"/>
      <c r="K19" s="3327"/>
      <c r="L19" s="3543"/>
      <c r="M19" s="3326"/>
      <c r="N19" s="3543"/>
      <c r="O19" s="3326"/>
      <c r="P19" s="3543"/>
      <c r="Q19" s="3326"/>
      <c r="R19" s="3543"/>
      <c r="S19" s="3326"/>
    </row>
    <row r="20" spans="1:19">
      <c r="A20" s="3538"/>
      <c r="B20" s="3328"/>
      <c r="C20" s="3520"/>
      <c r="D20" s="3521"/>
      <c r="E20" s="3522"/>
      <c r="F20" s="3544"/>
      <c r="G20" s="660"/>
      <c r="H20" s="3537"/>
      <c r="I20" s="3320"/>
      <c r="J20" s="3537"/>
      <c r="K20" s="3322"/>
      <c r="L20" s="3537"/>
      <c r="M20" s="3320"/>
      <c r="N20" s="3537"/>
      <c r="O20" s="3320"/>
      <c r="P20" s="3537"/>
      <c r="Q20" s="3320"/>
      <c r="R20" s="3537"/>
      <c r="S20" s="3320"/>
    </row>
    <row r="21" spans="1:19">
      <c r="A21" s="3538"/>
      <c r="B21" s="3446" t="s">
        <v>2699</v>
      </c>
      <c r="C21" s="3520"/>
      <c r="D21" s="3521"/>
      <c r="E21" s="3522"/>
      <c r="F21" s="3544"/>
      <c r="G21" s="662">
        <f t="shared" ref="G21:G50" si="5">ROUND(D21*F21,0)</f>
        <v>0</v>
      </c>
      <c r="H21" s="3537"/>
      <c r="I21" s="3322"/>
      <c r="J21" s="3537"/>
      <c r="K21" s="3322"/>
      <c r="L21" s="3537"/>
      <c r="M21" s="3320"/>
      <c r="N21" s="3537"/>
      <c r="O21" s="3320"/>
      <c r="P21" s="3537"/>
      <c r="Q21" s="3320"/>
      <c r="R21" s="3537"/>
      <c r="S21" s="3320"/>
    </row>
    <row r="22" spans="1:19">
      <c r="A22" s="3538"/>
      <c r="B22" s="3330"/>
      <c r="C22" s="3520"/>
      <c r="D22" s="3521"/>
      <c r="E22" s="3522"/>
      <c r="F22" s="3544"/>
      <c r="G22" s="662">
        <f t="shared" si="5"/>
        <v>0</v>
      </c>
      <c r="H22" s="3537"/>
      <c r="I22" s="3322"/>
      <c r="J22" s="3537"/>
      <c r="K22" s="3322"/>
      <c r="L22" s="3537"/>
      <c r="M22" s="3320"/>
      <c r="N22" s="3537"/>
      <c r="O22" s="3320"/>
      <c r="P22" s="3537"/>
      <c r="Q22" s="3320"/>
      <c r="R22" s="3537"/>
      <c r="S22" s="3320"/>
    </row>
    <row r="23" spans="1:19">
      <c r="A23" s="3538"/>
      <c r="B23" s="3331" t="s">
        <v>3113</v>
      </c>
      <c r="C23" s="3520"/>
      <c r="D23" s="3521"/>
      <c r="E23" s="3522"/>
      <c r="F23" s="3544"/>
      <c r="G23" s="662">
        <f t="shared" si="5"/>
        <v>0</v>
      </c>
      <c r="H23" s="3537"/>
      <c r="I23" s="3322"/>
      <c r="J23" s="3537"/>
      <c r="K23" s="3322"/>
      <c r="L23" s="3537"/>
      <c r="M23" s="3320"/>
      <c r="N23" s="3537"/>
      <c r="O23" s="3320"/>
      <c r="P23" s="3537"/>
      <c r="Q23" s="3320"/>
      <c r="R23" s="3537"/>
      <c r="S23" s="3320"/>
    </row>
    <row r="24" spans="1:19" s="175" customFormat="1" ht="45">
      <c r="A24" s="3538"/>
      <c r="B24" s="3545" t="s">
        <v>6977</v>
      </c>
      <c r="C24" s="3546"/>
      <c r="D24" s="3547"/>
      <c r="E24" s="3463"/>
      <c r="F24" s="3548"/>
      <c r="G24" s="668">
        <f t="shared" si="5"/>
        <v>0</v>
      </c>
      <c r="H24" s="3465"/>
      <c r="I24" s="3344"/>
      <c r="J24" s="3465"/>
      <c r="K24" s="3344"/>
      <c r="L24" s="3465"/>
      <c r="M24" s="3410"/>
      <c r="N24" s="3465"/>
      <c r="O24" s="3410"/>
      <c r="P24" s="3465"/>
      <c r="Q24" s="3410"/>
      <c r="R24" s="3465"/>
      <c r="S24" s="3410"/>
    </row>
    <row r="25" spans="1:19" s="175" customFormat="1" ht="45">
      <c r="A25" s="3538"/>
      <c r="B25" s="3545" t="s">
        <v>6978</v>
      </c>
      <c r="C25" s="3546"/>
      <c r="D25" s="3547"/>
      <c r="E25" s="3463"/>
      <c r="F25" s="3548"/>
      <c r="G25" s="668"/>
      <c r="H25" s="3465"/>
      <c r="I25" s="3344"/>
      <c r="J25" s="3465"/>
      <c r="K25" s="3344"/>
      <c r="L25" s="3465"/>
      <c r="M25" s="3410"/>
      <c r="N25" s="3465"/>
      <c r="O25" s="3410"/>
      <c r="P25" s="3465"/>
      <c r="Q25" s="3410"/>
      <c r="R25" s="3465"/>
      <c r="S25" s="3410"/>
    </row>
    <row r="26" spans="1:19">
      <c r="A26" s="3466" t="s">
        <v>2587</v>
      </c>
      <c r="B26" s="3331" t="s">
        <v>6979</v>
      </c>
      <c r="C26" s="3520"/>
      <c r="D26" s="3521">
        <v>1</v>
      </c>
      <c r="E26" s="3522" t="s">
        <v>2818</v>
      </c>
      <c r="F26" s="3544" t="s">
        <v>6980</v>
      </c>
      <c r="G26" s="662" t="e">
        <f t="shared" si="5"/>
        <v>#VALUE!</v>
      </c>
      <c r="H26" s="3537"/>
      <c r="I26" s="3322"/>
      <c r="J26" s="3537"/>
      <c r="K26" s="3322"/>
      <c r="L26" s="3537"/>
      <c r="M26" s="3320"/>
      <c r="N26" s="3537"/>
      <c r="O26" s="3320"/>
      <c r="P26" s="3537"/>
      <c r="Q26" s="3320"/>
      <c r="R26" s="3537"/>
      <c r="S26" s="3320"/>
    </row>
    <row r="27" spans="1:19">
      <c r="A27" s="3538"/>
      <c r="B27" s="3331"/>
      <c r="C27" s="3520"/>
      <c r="D27" s="3521"/>
      <c r="E27" s="3522"/>
      <c r="F27" s="3544"/>
      <c r="G27" s="662">
        <f t="shared" si="5"/>
        <v>0</v>
      </c>
      <c r="H27" s="3537"/>
      <c r="I27" s="3322"/>
      <c r="J27" s="3537"/>
      <c r="K27" s="3322"/>
      <c r="L27" s="3537"/>
      <c r="M27" s="3320"/>
      <c r="N27" s="3537"/>
      <c r="O27" s="3320"/>
      <c r="P27" s="3537"/>
      <c r="Q27" s="3320"/>
      <c r="R27" s="3537"/>
      <c r="S27" s="3320"/>
    </row>
    <row r="28" spans="1:19">
      <c r="A28" s="3538"/>
      <c r="B28" s="3328"/>
      <c r="C28" s="3520"/>
      <c r="D28" s="3521"/>
      <c r="E28" s="3522"/>
      <c r="F28" s="3544"/>
      <c r="G28" s="662">
        <f t="shared" si="5"/>
        <v>0</v>
      </c>
      <c r="H28" s="3537"/>
      <c r="I28" s="3322"/>
      <c r="J28" s="3537"/>
      <c r="K28" s="3322"/>
      <c r="L28" s="3537"/>
      <c r="M28" s="3320"/>
      <c r="N28" s="3537"/>
      <c r="O28" s="3320"/>
      <c r="P28" s="3537"/>
      <c r="Q28" s="3320"/>
      <c r="R28" s="3537"/>
      <c r="S28" s="3320"/>
    </row>
    <row r="29" spans="1:19">
      <c r="A29" s="3538"/>
      <c r="B29" s="3328"/>
      <c r="C29" s="3520"/>
      <c r="D29" s="3521"/>
      <c r="E29" s="3522"/>
      <c r="F29" s="3544"/>
      <c r="G29" s="662">
        <f t="shared" si="5"/>
        <v>0</v>
      </c>
      <c r="H29" s="3537"/>
      <c r="I29" s="3322"/>
      <c r="J29" s="3537"/>
      <c r="K29" s="3322"/>
      <c r="L29" s="3537"/>
      <c r="M29" s="3320"/>
      <c r="N29" s="3537"/>
      <c r="O29" s="3320"/>
      <c r="P29" s="3537"/>
      <c r="Q29" s="3320"/>
      <c r="R29" s="3537"/>
      <c r="S29" s="3320"/>
    </row>
    <row r="30" spans="1:19">
      <c r="A30" s="3538"/>
      <c r="B30" s="3328"/>
      <c r="C30" s="3520"/>
      <c r="D30" s="3521"/>
      <c r="E30" s="3522"/>
      <c r="F30" s="3544"/>
      <c r="G30" s="662">
        <f t="shared" si="5"/>
        <v>0</v>
      </c>
      <c r="H30" s="3537"/>
      <c r="I30" s="3322"/>
      <c r="J30" s="3537"/>
      <c r="K30" s="3322"/>
      <c r="L30" s="3537"/>
      <c r="M30" s="3320"/>
      <c r="N30" s="3537"/>
      <c r="O30" s="3320"/>
      <c r="P30" s="3537"/>
      <c r="Q30" s="3320"/>
      <c r="R30" s="3537"/>
      <c r="S30" s="3320"/>
    </row>
    <row r="31" spans="1:19">
      <c r="A31" s="3538"/>
      <c r="B31" s="3328"/>
      <c r="C31" s="3520"/>
      <c r="D31" s="3521"/>
      <c r="E31" s="3522"/>
      <c r="F31" s="3544"/>
      <c r="G31" s="662">
        <f t="shared" si="5"/>
        <v>0</v>
      </c>
      <c r="H31" s="3537"/>
      <c r="I31" s="3322"/>
      <c r="J31" s="3537"/>
      <c r="K31" s="3322"/>
      <c r="L31" s="3537"/>
      <c r="M31" s="3320"/>
      <c r="N31" s="3537"/>
      <c r="O31" s="3320"/>
      <c r="P31" s="3537"/>
      <c r="Q31" s="3320"/>
      <c r="R31" s="3537"/>
      <c r="S31" s="3320"/>
    </row>
    <row r="32" spans="1:19">
      <c r="A32" s="3538"/>
      <c r="B32" s="3328"/>
      <c r="C32" s="3520"/>
      <c r="D32" s="3521"/>
      <c r="E32" s="3522"/>
      <c r="F32" s="3544"/>
      <c r="G32" s="662">
        <f t="shared" si="5"/>
        <v>0</v>
      </c>
      <c r="H32" s="3537"/>
      <c r="I32" s="3322"/>
      <c r="J32" s="3537"/>
      <c r="K32" s="3322"/>
      <c r="L32" s="3537"/>
      <c r="M32" s="3320"/>
      <c r="N32" s="3537"/>
      <c r="O32" s="3320"/>
      <c r="P32" s="3537"/>
      <c r="Q32" s="3320"/>
      <c r="R32" s="3537"/>
      <c r="S32" s="3320"/>
    </row>
    <row r="33" spans="1:19">
      <c r="A33" s="3538"/>
      <c r="B33" s="3328"/>
      <c r="C33" s="3520"/>
      <c r="D33" s="3521"/>
      <c r="E33" s="3522"/>
      <c r="F33" s="3544"/>
      <c r="G33" s="662">
        <f t="shared" si="5"/>
        <v>0</v>
      </c>
      <c r="H33" s="3537"/>
      <c r="I33" s="3322"/>
      <c r="J33" s="3537"/>
      <c r="K33" s="3322"/>
      <c r="L33" s="3537"/>
      <c r="M33" s="3320"/>
      <c r="N33" s="3537"/>
      <c r="O33" s="3320"/>
      <c r="P33" s="3537"/>
      <c r="Q33" s="3320"/>
      <c r="R33" s="3537"/>
      <c r="S33" s="3320"/>
    </row>
    <row r="34" spans="1:19">
      <c r="A34" s="3538"/>
      <c r="B34" s="3328"/>
      <c r="C34" s="3520"/>
      <c r="D34" s="3521"/>
      <c r="E34" s="3522"/>
      <c r="F34" s="3544"/>
      <c r="G34" s="662">
        <f t="shared" si="5"/>
        <v>0</v>
      </c>
      <c r="H34" s="3537"/>
      <c r="I34" s="3322"/>
      <c r="J34" s="3537"/>
      <c r="K34" s="3322"/>
      <c r="L34" s="3537"/>
      <c r="M34" s="3320"/>
      <c r="N34" s="3537"/>
      <c r="O34" s="3320"/>
      <c r="P34" s="3537"/>
      <c r="Q34" s="3320"/>
      <c r="R34" s="3537"/>
      <c r="S34" s="3320"/>
    </row>
    <row r="35" spans="1:19">
      <c r="A35" s="3538"/>
      <c r="B35" s="3328"/>
      <c r="C35" s="3520"/>
      <c r="D35" s="3521"/>
      <c r="E35" s="3522"/>
      <c r="F35" s="3544"/>
      <c r="G35" s="662">
        <f t="shared" si="5"/>
        <v>0</v>
      </c>
      <c r="H35" s="3537"/>
      <c r="I35" s="3322"/>
      <c r="J35" s="3537"/>
      <c r="K35" s="3322"/>
      <c r="L35" s="3537"/>
      <c r="M35" s="3320"/>
      <c r="N35" s="3537"/>
      <c r="O35" s="3320"/>
      <c r="P35" s="3537"/>
      <c r="Q35" s="3320"/>
      <c r="R35" s="3537"/>
      <c r="S35" s="3320"/>
    </row>
    <row r="36" spans="1:19">
      <c r="A36" s="3538"/>
      <c r="B36" s="3328"/>
      <c r="C36" s="3520"/>
      <c r="D36" s="3521"/>
      <c r="E36" s="3522"/>
      <c r="F36" s="3544"/>
      <c r="G36" s="662">
        <f t="shared" si="5"/>
        <v>0</v>
      </c>
      <c r="H36" s="3537"/>
      <c r="I36" s="3322"/>
      <c r="J36" s="3537"/>
      <c r="K36" s="3322"/>
      <c r="L36" s="3537"/>
      <c r="M36" s="3320"/>
      <c r="N36" s="3537"/>
      <c r="O36" s="3320"/>
      <c r="P36" s="3537"/>
      <c r="Q36" s="3320"/>
      <c r="R36" s="3537"/>
      <c r="S36" s="3320"/>
    </row>
    <row r="37" spans="1:19">
      <c r="A37" s="3538"/>
      <c r="B37" s="3328"/>
      <c r="C37" s="3520"/>
      <c r="D37" s="3521"/>
      <c r="E37" s="3522"/>
      <c r="F37" s="3544"/>
      <c r="G37" s="662">
        <f t="shared" si="5"/>
        <v>0</v>
      </c>
      <c r="H37" s="3537"/>
      <c r="I37" s="3322"/>
      <c r="J37" s="3537"/>
      <c r="K37" s="3322"/>
      <c r="L37" s="3537"/>
      <c r="M37" s="3320"/>
      <c r="N37" s="3537"/>
      <c r="O37" s="3320"/>
      <c r="P37" s="3537"/>
      <c r="Q37" s="3320"/>
      <c r="R37" s="3537"/>
      <c r="S37" s="3320"/>
    </row>
    <row r="38" spans="1:19">
      <c r="A38" s="3538"/>
      <c r="B38" s="3328"/>
      <c r="C38" s="3520"/>
      <c r="D38" s="3521"/>
      <c r="E38" s="3522"/>
      <c r="F38" s="3544"/>
      <c r="G38" s="662">
        <f t="shared" si="5"/>
        <v>0</v>
      </c>
      <c r="H38" s="3537"/>
      <c r="I38" s="3322"/>
      <c r="J38" s="3537"/>
      <c r="K38" s="3322"/>
      <c r="L38" s="3537"/>
      <c r="M38" s="3320"/>
      <c r="N38" s="3537"/>
      <c r="O38" s="3320"/>
      <c r="P38" s="3537"/>
      <c r="Q38" s="3320"/>
      <c r="R38" s="3537"/>
      <c r="S38" s="3320"/>
    </row>
    <row r="39" spans="1:19">
      <c r="A39" s="3538"/>
      <c r="B39" s="3328"/>
      <c r="C39" s="3520"/>
      <c r="D39" s="3521"/>
      <c r="E39" s="3522"/>
      <c r="F39" s="3544"/>
      <c r="G39" s="662">
        <f t="shared" si="5"/>
        <v>0</v>
      </c>
      <c r="H39" s="3537"/>
      <c r="I39" s="3322"/>
      <c r="J39" s="3537"/>
      <c r="K39" s="3322"/>
      <c r="L39" s="3537"/>
      <c r="M39" s="3320"/>
      <c r="N39" s="3537"/>
      <c r="O39" s="3320"/>
      <c r="P39" s="3537"/>
      <c r="Q39" s="3320"/>
      <c r="R39" s="3537"/>
      <c r="S39" s="3320"/>
    </row>
    <row r="40" spans="1:19">
      <c r="A40" s="3538"/>
      <c r="B40" s="3328"/>
      <c r="C40" s="3520"/>
      <c r="D40" s="3521"/>
      <c r="E40" s="3522"/>
      <c r="F40" s="3544"/>
      <c r="G40" s="662">
        <f t="shared" si="5"/>
        <v>0</v>
      </c>
      <c r="H40" s="3537"/>
      <c r="I40" s="3322"/>
      <c r="J40" s="3537"/>
      <c r="K40" s="3322"/>
      <c r="L40" s="3537"/>
      <c r="M40" s="3320"/>
      <c r="N40" s="3537"/>
      <c r="O40" s="3320"/>
      <c r="P40" s="3537"/>
      <c r="Q40" s="3320"/>
      <c r="R40" s="3537"/>
      <c r="S40" s="3320"/>
    </row>
    <row r="41" spans="1:19">
      <c r="A41" s="3538"/>
      <c r="B41" s="3328"/>
      <c r="C41" s="3520"/>
      <c r="D41" s="3521"/>
      <c r="E41" s="3522"/>
      <c r="F41" s="3544"/>
      <c r="G41" s="662">
        <f t="shared" si="5"/>
        <v>0</v>
      </c>
      <c r="H41" s="3537"/>
      <c r="I41" s="3322"/>
      <c r="J41" s="3537"/>
      <c r="K41" s="3322"/>
      <c r="L41" s="3537"/>
      <c r="M41" s="3320"/>
      <c r="N41" s="3537"/>
      <c r="O41" s="3320"/>
      <c r="P41" s="3537"/>
      <c r="Q41" s="3320"/>
      <c r="R41" s="3537"/>
      <c r="S41" s="3320"/>
    </row>
    <row r="42" spans="1:19">
      <c r="A42" s="3538"/>
      <c r="B42" s="3328"/>
      <c r="C42" s="3520"/>
      <c r="D42" s="3521"/>
      <c r="E42" s="3522"/>
      <c r="F42" s="3544"/>
      <c r="G42" s="662">
        <f t="shared" si="5"/>
        <v>0</v>
      </c>
      <c r="H42" s="3537"/>
      <c r="I42" s="3322"/>
      <c r="J42" s="3537"/>
      <c r="K42" s="3322"/>
      <c r="L42" s="3537"/>
      <c r="M42" s="3320"/>
      <c r="N42" s="3537"/>
      <c r="O42" s="3320"/>
      <c r="P42" s="3537"/>
      <c r="Q42" s="3320"/>
      <c r="R42" s="3537"/>
      <c r="S42" s="3320"/>
    </row>
    <row r="43" spans="1:19">
      <c r="A43" s="3538"/>
      <c r="B43" s="3328"/>
      <c r="C43" s="3520"/>
      <c r="D43" s="3521"/>
      <c r="E43" s="3522"/>
      <c r="F43" s="3544"/>
      <c r="G43" s="662">
        <f t="shared" si="5"/>
        <v>0</v>
      </c>
      <c r="H43" s="3537"/>
      <c r="I43" s="3322"/>
      <c r="J43" s="3537"/>
      <c r="K43" s="3322"/>
      <c r="L43" s="3537"/>
      <c r="M43" s="3320"/>
      <c r="N43" s="3537"/>
      <c r="O43" s="3320"/>
      <c r="P43" s="3537"/>
      <c r="Q43" s="3320"/>
      <c r="R43" s="3537"/>
      <c r="S43" s="3320"/>
    </row>
    <row r="44" spans="1:19">
      <c r="A44" s="3538"/>
      <c r="B44" s="3328"/>
      <c r="C44" s="3520"/>
      <c r="D44" s="3521"/>
      <c r="E44" s="3522"/>
      <c r="F44" s="3544"/>
      <c r="G44" s="662">
        <f t="shared" si="5"/>
        <v>0</v>
      </c>
      <c r="H44" s="3537"/>
      <c r="I44" s="3322"/>
      <c r="J44" s="3537"/>
      <c r="K44" s="3322"/>
      <c r="L44" s="3537"/>
      <c r="M44" s="3320"/>
      <c r="N44" s="3537"/>
      <c r="O44" s="3320"/>
      <c r="P44" s="3537"/>
      <c r="Q44" s="3320"/>
      <c r="R44" s="3537"/>
      <c r="S44" s="3320"/>
    </row>
    <row r="45" spans="1:19">
      <c r="A45" s="3538"/>
      <c r="B45" s="3328"/>
      <c r="C45" s="3520"/>
      <c r="D45" s="3521"/>
      <c r="E45" s="3522"/>
      <c r="F45" s="3544"/>
      <c r="G45" s="662">
        <f t="shared" si="5"/>
        <v>0</v>
      </c>
      <c r="H45" s="3537"/>
      <c r="I45" s="3322"/>
      <c r="J45" s="3537"/>
      <c r="K45" s="3322"/>
      <c r="L45" s="3537"/>
      <c r="M45" s="3320"/>
      <c r="N45" s="3537"/>
      <c r="O45" s="3320"/>
      <c r="P45" s="3537"/>
      <c r="Q45" s="3320"/>
      <c r="R45" s="3537"/>
      <c r="S45" s="3320"/>
    </row>
    <row r="46" spans="1:19">
      <c r="A46" s="3538"/>
      <c r="B46" s="3328"/>
      <c r="C46" s="3520"/>
      <c r="D46" s="3521"/>
      <c r="E46" s="3522"/>
      <c r="F46" s="3544"/>
      <c r="G46" s="662">
        <f t="shared" si="5"/>
        <v>0</v>
      </c>
      <c r="H46" s="3537"/>
      <c r="I46" s="3322"/>
      <c r="J46" s="3537"/>
      <c r="K46" s="3322"/>
      <c r="L46" s="3537"/>
      <c r="M46" s="3320"/>
      <c r="N46" s="3537"/>
      <c r="O46" s="3320"/>
      <c r="P46" s="3537"/>
      <c r="Q46" s="3320"/>
      <c r="R46" s="3537"/>
      <c r="S46" s="3320"/>
    </row>
    <row r="47" spans="1:19">
      <c r="A47" s="3538"/>
      <c r="B47" s="3328"/>
      <c r="C47" s="3520"/>
      <c r="D47" s="3521"/>
      <c r="E47" s="3522"/>
      <c r="F47" s="3544"/>
      <c r="G47" s="662">
        <f t="shared" si="5"/>
        <v>0</v>
      </c>
      <c r="H47" s="3537"/>
      <c r="I47" s="3322"/>
      <c r="J47" s="3537"/>
      <c r="K47" s="3322"/>
      <c r="L47" s="3537"/>
      <c r="M47" s="3320"/>
      <c r="N47" s="3537"/>
      <c r="O47" s="3320"/>
      <c r="P47" s="3537"/>
      <c r="Q47" s="3320"/>
      <c r="R47" s="3537"/>
      <c r="S47" s="3320"/>
    </row>
    <row r="48" spans="1:19">
      <c r="A48" s="3538"/>
      <c r="B48" s="3328"/>
      <c r="C48" s="3520"/>
      <c r="D48" s="3521"/>
      <c r="E48" s="3522"/>
      <c r="F48" s="3544"/>
      <c r="G48" s="662">
        <f t="shared" si="5"/>
        <v>0</v>
      </c>
      <c r="H48" s="3537"/>
      <c r="I48" s="3322"/>
      <c r="J48" s="3537"/>
      <c r="K48" s="3322"/>
      <c r="L48" s="3537"/>
      <c r="M48" s="3320"/>
      <c r="N48" s="3537"/>
      <c r="O48" s="3320"/>
      <c r="P48" s="3537"/>
      <c r="Q48" s="3320"/>
      <c r="R48" s="3537"/>
      <c r="S48" s="3320"/>
    </row>
    <row r="49" spans="1:34">
      <c r="A49" s="3538"/>
      <c r="B49" s="3328"/>
      <c r="C49" s="3520"/>
      <c r="D49" s="3521"/>
      <c r="E49" s="3522"/>
      <c r="F49" s="3544"/>
      <c r="G49" s="662">
        <f t="shared" si="5"/>
        <v>0</v>
      </c>
      <c r="H49" s="3537"/>
      <c r="I49" s="3322"/>
      <c r="J49" s="3537"/>
      <c r="K49" s="3322"/>
      <c r="L49" s="3537"/>
      <c r="M49" s="3320"/>
      <c r="N49" s="3537"/>
      <c r="O49" s="3320"/>
      <c r="P49" s="3537"/>
      <c r="Q49" s="3320"/>
      <c r="R49" s="3537"/>
      <c r="S49" s="3320"/>
    </row>
    <row r="50" spans="1:34">
      <c r="A50" s="3538"/>
      <c r="B50" s="3328"/>
      <c r="C50" s="3520"/>
      <c r="D50" s="3521"/>
      <c r="E50" s="3522"/>
      <c r="F50" s="3544"/>
      <c r="G50" s="662">
        <f t="shared" si="5"/>
        <v>0</v>
      </c>
      <c r="H50" s="3537"/>
      <c r="I50" s="3322"/>
      <c r="J50" s="3537"/>
      <c r="K50" s="3322"/>
      <c r="L50" s="3537"/>
      <c r="M50" s="3320"/>
      <c r="N50" s="3537"/>
      <c r="O50" s="3320"/>
      <c r="P50" s="3537"/>
      <c r="Q50" s="3320"/>
      <c r="R50" s="3537"/>
      <c r="S50" s="3320"/>
    </row>
    <row r="51" spans="1:34" ht="15.75" thickBot="1">
      <c r="A51" s="3538"/>
      <c r="B51" s="3468"/>
      <c r="C51" s="3458"/>
      <c r="D51" s="3455"/>
      <c r="E51" s="3522"/>
      <c r="F51" s="3456"/>
      <c r="G51" s="662"/>
      <c r="H51" s="3537"/>
      <c r="I51" s="3322"/>
      <c r="J51" s="3537"/>
      <c r="K51" s="3322"/>
      <c r="L51" s="3537"/>
      <c r="M51" s="3322"/>
      <c r="N51" s="3537"/>
      <c r="O51" s="3322"/>
      <c r="P51" s="3537"/>
      <c r="Q51" s="3322"/>
      <c r="R51" s="3537"/>
      <c r="S51" s="3322"/>
    </row>
    <row r="52" spans="1:34" ht="15.75" thickTop="1">
      <c r="A52" s="13"/>
      <c r="B52" s="226" t="s">
        <v>3265</v>
      </c>
      <c r="C52" s="15"/>
      <c r="D52" s="168"/>
      <c r="E52" s="176"/>
      <c r="F52" s="17"/>
      <c r="G52" s="227" t="e">
        <f>SUBTOTAL(9,G21:G51)</f>
        <v>#VALUE!</v>
      </c>
      <c r="H52" s="19"/>
      <c r="I52" s="225">
        <f>SUBTOTAL(9,I21:I51)</f>
        <v>0</v>
      </c>
      <c r="J52" s="19"/>
      <c r="K52" s="225">
        <f>SUBTOTAL(9,K21:K51)</f>
        <v>0</v>
      </c>
      <c r="L52" s="19"/>
      <c r="M52" s="225">
        <f>SUBTOTAL(9,M21:M51)</f>
        <v>0</v>
      </c>
      <c r="N52" s="19"/>
      <c r="O52" s="164">
        <f>SUM(O19:O51)</f>
        <v>0</v>
      </c>
      <c r="P52" s="19"/>
      <c r="Q52" s="164">
        <f>SUM(Q19:Q51)</f>
        <v>0</v>
      </c>
      <c r="R52" s="19"/>
      <c r="S52" s="164">
        <f>SUM(S19:S51)</f>
        <v>0</v>
      </c>
    </row>
    <row r="53" spans="1:34">
      <c r="A53" s="3479"/>
      <c r="B53" s="3480" t="s">
        <v>2976</v>
      </c>
      <c r="C53" s="3481"/>
      <c r="D53" s="3482"/>
      <c r="E53" s="3483"/>
      <c r="F53" s="3484"/>
      <c r="G53" s="654"/>
      <c r="H53" s="3485">
        <v>0</v>
      </c>
      <c r="I53" s="645"/>
      <c r="J53" s="3485">
        <v>0</v>
      </c>
      <c r="K53" s="645"/>
      <c r="L53" s="3485">
        <v>0</v>
      </c>
      <c r="M53" s="645"/>
      <c r="N53" s="3485">
        <v>0</v>
      </c>
      <c r="O53" s="645"/>
      <c r="P53" s="3485">
        <v>0</v>
      </c>
      <c r="Q53" s="645"/>
      <c r="R53" s="3485">
        <v>0</v>
      </c>
      <c r="S53" s="645"/>
    </row>
    <row r="54" spans="1:34">
      <c r="A54" s="3479"/>
      <c r="B54" s="3480" t="s">
        <v>2977</v>
      </c>
      <c r="C54" s="3481"/>
      <c r="D54" s="3482"/>
      <c r="E54" s="3483"/>
      <c r="F54" s="3484"/>
      <c r="G54" s="654" t="e">
        <f>F53*G52</f>
        <v>#VALUE!</v>
      </c>
      <c r="H54" s="3486"/>
      <c r="I54" s="3487">
        <f>H53*I52</f>
        <v>0</v>
      </c>
      <c r="J54" s="3486"/>
      <c r="K54" s="3487">
        <f>J53*K52</f>
        <v>0</v>
      </c>
      <c r="L54" s="3486"/>
      <c r="M54" s="3487">
        <f>L53*M52</f>
        <v>0</v>
      </c>
      <c r="N54" s="3486"/>
      <c r="O54" s="3487">
        <f>N53*O52</f>
        <v>0</v>
      </c>
      <c r="P54" s="3486"/>
      <c r="Q54" s="3487">
        <f>P53*Q52</f>
        <v>0</v>
      </c>
      <c r="R54" s="3486"/>
      <c r="S54" s="3487">
        <f>R53*S52</f>
        <v>0</v>
      </c>
    </row>
    <row r="55" spans="1:34">
      <c r="A55" s="3479"/>
      <c r="B55" s="3480"/>
      <c r="C55" s="3481"/>
      <c r="D55" s="3482"/>
      <c r="E55" s="3483"/>
      <c r="F55" s="3484"/>
      <c r="G55" s="654"/>
      <c r="H55" s="3486"/>
      <c r="I55" s="3487"/>
      <c r="J55" s="3486"/>
      <c r="K55" s="3487"/>
      <c r="L55" s="3486"/>
      <c r="M55" s="3487"/>
      <c r="N55" s="3486"/>
      <c r="O55" s="3487"/>
      <c r="P55" s="3486"/>
      <c r="Q55" s="3487"/>
      <c r="R55" s="3486"/>
      <c r="S55" s="3487"/>
    </row>
    <row r="56" spans="1:34">
      <c r="A56" s="3479"/>
      <c r="B56" s="3480" t="s">
        <v>2978</v>
      </c>
      <c r="C56" s="3481"/>
      <c r="D56" s="3482"/>
      <c r="E56" s="3483"/>
      <c r="F56" s="3484"/>
      <c r="G56" s="654" t="e">
        <f>SUM(G52:G54)</f>
        <v>#VALUE!</v>
      </c>
      <c r="H56" s="3488"/>
      <c r="I56" s="3487">
        <f>SUM(I52:I54)</f>
        <v>0</v>
      </c>
      <c r="J56" s="3488"/>
      <c r="K56" s="3487">
        <f>SUM(K52:K54)</f>
        <v>0</v>
      </c>
      <c r="L56" s="3488"/>
      <c r="M56" s="3487">
        <f>SUM(M52:M54)</f>
        <v>0</v>
      </c>
      <c r="N56" s="3488"/>
      <c r="O56" s="3487">
        <f>SUM(O52:O54)</f>
        <v>0</v>
      </c>
      <c r="P56" s="3488"/>
      <c r="Q56" s="3487">
        <f>SUM(Q52:Q54)</f>
        <v>0</v>
      </c>
      <c r="R56" s="3488"/>
      <c r="S56" s="3487">
        <f>SUM(S52:S54)</f>
        <v>0</v>
      </c>
    </row>
    <row r="57" spans="1:34">
      <c r="A57" s="3479"/>
      <c r="B57" s="3489" t="s">
        <v>2979</v>
      </c>
      <c r="C57" s="3481"/>
      <c r="D57" s="3482"/>
      <c r="E57" s="3483"/>
      <c r="F57" s="3489"/>
      <c r="G57" s="655" t="e">
        <f>G56/'Area Calculations'!$F$5</f>
        <v>#VALUE!</v>
      </c>
      <c r="H57" s="3490"/>
      <c r="I57" s="3491">
        <f>I56/'Area Calculations'!$F$5</f>
        <v>0</v>
      </c>
      <c r="J57" s="3490"/>
      <c r="K57" s="3491">
        <f>K56/'Area Calculations'!$F$5</f>
        <v>0</v>
      </c>
      <c r="L57" s="3490"/>
      <c r="M57" s="3491">
        <f>M56/'Area Calculations'!$F$5</f>
        <v>0</v>
      </c>
      <c r="N57" s="3490"/>
      <c r="O57" s="3491">
        <f>O56/'Area Calculations'!$F$5</f>
        <v>0</v>
      </c>
      <c r="P57" s="3490"/>
      <c r="Q57" s="3491">
        <f>Q56/'Area Calculations'!$F$5</f>
        <v>0</v>
      </c>
      <c r="R57" s="3492"/>
      <c r="S57" s="3491">
        <f>S56/'Area Calculations'!$F$5</f>
        <v>0</v>
      </c>
    </row>
    <row r="58" spans="1:34">
      <c r="A58" s="3479"/>
      <c r="B58" s="3493"/>
      <c r="C58" s="3481"/>
      <c r="D58" s="3482"/>
      <c r="E58" s="3483"/>
      <c r="F58" s="3484"/>
      <c r="G58" s="656"/>
      <c r="H58" s="3494"/>
      <c r="I58" s="3495"/>
      <c r="J58" s="3494"/>
      <c r="K58" s="3495"/>
      <c r="L58" s="3494"/>
      <c r="M58" s="3494"/>
      <c r="N58" s="3494"/>
      <c r="O58" s="3494"/>
      <c r="P58" s="3494"/>
      <c r="Q58" s="3494"/>
      <c r="R58" s="3494"/>
      <c r="S58" s="3494"/>
    </row>
    <row r="59" spans="1:34" ht="16.5" hidden="1" thickTop="1" thickBot="1">
      <c r="A59" s="830" t="s">
        <v>2980</v>
      </c>
      <c r="B59" s="831"/>
      <c r="C59" s="12"/>
      <c r="D59" s="169"/>
      <c r="E59" s="177"/>
      <c r="F59" s="12"/>
      <c r="G59" s="228"/>
      <c r="H59" s="20"/>
      <c r="I59" s="20"/>
      <c r="J59" s="20"/>
      <c r="K59" s="20"/>
      <c r="L59" s="20"/>
      <c r="M59" s="20"/>
      <c r="N59" s="20"/>
      <c r="O59" s="20"/>
      <c r="P59" s="20"/>
      <c r="Q59" s="20"/>
      <c r="R59" s="20"/>
      <c r="S59" s="20"/>
    </row>
    <row r="60" spans="1:34" ht="15.75" hidden="1" thickTop="1">
      <c r="A60" s="3297"/>
      <c r="B60" s="3519"/>
      <c r="C60" s="3298"/>
      <c r="D60" s="3496"/>
      <c r="E60" s="3300"/>
      <c r="F60" s="3298"/>
      <c r="G60" s="3367"/>
      <c r="H60" s="3302"/>
      <c r="I60" s="3302"/>
      <c r="J60" s="3302"/>
      <c r="K60" s="3302"/>
      <c r="L60" s="3302"/>
      <c r="M60" s="3302"/>
      <c r="N60" s="3302"/>
      <c r="O60" s="3302"/>
      <c r="P60" s="3302"/>
      <c r="Q60" s="3302"/>
      <c r="R60" s="3302"/>
      <c r="S60" s="3302"/>
    </row>
    <row r="61" spans="1:34" hidden="1">
      <c r="A61" s="3297"/>
      <c r="B61" s="3519"/>
      <c r="C61" s="3298"/>
      <c r="D61" s="3496"/>
      <c r="E61" s="3300"/>
      <c r="F61" s="3298"/>
      <c r="G61" s="3367"/>
      <c r="H61" s="3302"/>
      <c r="I61" s="3302"/>
      <c r="J61" s="3302"/>
      <c r="K61" s="3302"/>
      <c r="L61" s="3302"/>
      <c r="M61" s="3302"/>
      <c r="N61" s="3302"/>
      <c r="O61" s="3302"/>
      <c r="P61" s="3302"/>
      <c r="Q61" s="3302"/>
      <c r="R61" s="3302"/>
      <c r="S61" s="3302"/>
    </row>
    <row r="62" spans="1:34" ht="15.75" hidden="1" thickBot="1">
      <c r="A62" s="3297"/>
      <c r="B62" s="3519"/>
      <c r="C62" s="3298"/>
      <c r="D62" s="3496"/>
      <c r="E62" s="3300"/>
      <c r="F62" s="3298"/>
      <c r="G62" s="3367"/>
      <c r="H62" s="3302"/>
      <c r="I62" s="3302"/>
      <c r="J62" s="3302"/>
      <c r="K62" s="3302"/>
      <c r="L62" s="3302"/>
      <c r="M62" s="3302"/>
      <c r="N62" s="3302"/>
      <c r="O62" s="3302"/>
      <c r="P62" s="3302"/>
      <c r="Q62" s="3302"/>
      <c r="R62" s="3302"/>
      <c r="S62" s="3302"/>
    </row>
    <row r="63" spans="1:34" s="2" customFormat="1" ht="16.5" hidden="1" thickTop="1" thickBot="1">
      <c r="A63" s="830" t="s">
        <v>2981</v>
      </c>
      <c r="B63" s="831"/>
      <c r="C63" s="12"/>
      <c r="D63" s="169"/>
      <c r="E63" s="177"/>
      <c r="F63" s="12"/>
      <c r="G63" s="228"/>
      <c r="H63" s="20"/>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hidden="1" thickTop="1">
      <c r="A64" s="3297"/>
      <c r="B64" s="3519"/>
      <c r="C64" s="3298"/>
      <c r="D64" s="3496"/>
      <c r="E64" s="3300"/>
      <c r="F64" s="3298"/>
      <c r="G64" s="3367"/>
      <c r="H64" s="3302"/>
      <c r="I64" s="3302"/>
      <c r="J64" s="3302"/>
      <c r="K64" s="3302"/>
      <c r="L64" s="3302"/>
      <c r="M64" s="3302"/>
      <c r="N64" s="3302"/>
      <c r="O64" s="3302"/>
      <c r="P64" s="3302"/>
      <c r="Q64" s="3302"/>
      <c r="R64" s="3302"/>
      <c r="S64" s="3302"/>
      <c r="T64"/>
      <c r="U64"/>
      <c r="V64"/>
      <c r="W64"/>
      <c r="X64"/>
      <c r="Y64"/>
      <c r="Z64"/>
      <c r="AA64"/>
      <c r="AB64"/>
      <c r="AC64"/>
      <c r="AD64"/>
      <c r="AE64"/>
      <c r="AF64"/>
      <c r="AG64"/>
      <c r="AH64"/>
    </row>
    <row r="65" spans="1:34" s="2" customFormat="1" hidden="1">
      <c r="A65" s="3297"/>
      <c r="B65" s="3519"/>
      <c r="C65" s="3298"/>
      <c r="D65" s="3496"/>
      <c r="E65" s="3300"/>
      <c r="F65" s="3298"/>
      <c r="G65" s="3367"/>
      <c r="H65" s="3302"/>
      <c r="I65" s="3302"/>
      <c r="J65" s="3302"/>
      <c r="K65" s="3302"/>
      <c r="L65" s="3302"/>
      <c r="M65" s="3302"/>
      <c r="N65" s="3302"/>
      <c r="O65" s="3302"/>
      <c r="P65" s="3302"/>
      <c r="Q65" s="3302"/>
      <c r="R65" s="3302"/>
      <c r="S65" s="3302"/>
      <c r="T65"/>
      <c r="U65"/>
      <c r="V65"/>
      <c r="W65"/>
      <c r="X65"/>
      <c r="Y65"/>
      <c r="Z65"/>
      <c r="AA65"/>
      <c r="AB65"/>
      <c r="AC65"/>
      <c r="AD65"/>
      <c r="AE65"/>
      <c r="AF65"/>
      <c r="AG65"/>
      <c r="AH65"/>
    </row>
    <row r="66" spans="1:34" ht="15.75" hidden="1" thickBot="1">
      <c r="A66" s="3297"/>
      <c r="B66" s="3519"/>
      <c r="C66" s="3298"/>
      <c r="D66" s="3496"/>
      <c r="E66" s="3300"/>
      <c r="F66" s="3298"/>
      <c r="G66" s="3367"/>
      <c r="H66" s="3302"/>
      <c r="I66" s="3302"/>
      <c r="J66" s="3302"/>
      <c r="K66" s="3302"/>
      <c r="L66" s="3302"/>
      <c r="M66" s="3302"/>
      <c r="N66" s="3302"/>
      <c r="O66" s="3302"/>
      <c r="P66" s="3302"/>
      <c r="Q66" s="3302"/>
      <c r="R66" s="3302"/>
      <c r="S66" s="3302"/>
    </row>
    <row r="67" spans="1:34" s="2" customFormat="1" ht="16.5" hidden="1" thickTop="1" thickBot="1">
      <c r="A67" s="830" t="s">
        <v>2982</v>
      </c>
      <c r="B67" s="831"/>
      <c r="C67" s="12"/>
      <c r="D67" s="169"/>
      <c r="E67" s="177"/>
      <c r="F67" s="12"/>
      <c r="G67" s="228"/>
      <c r="H67" s="20"/>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hidden="1" thickTop="1">
      <c r="A68" s="3297"/>
      <c r="B68" s="3519"/>
      <c r="C68" s="3298"/>
      <c r="D68" s="3496"/>
      <c r="E68" s="3300"/>
      <c r="F68" s="3298"/>
      <c r="G68" s="3367"/>
      <c r="H68" s="3302"/>
      <c r="I68" s="3302"/>
      <c r="J68" s="3302"/>
      <c r="K68" s="3302"/>
      <c r="L68" s="3302"/>
      <c r="M68" s="3302"/>
      <c r="N68" s="3302"/>
      <c r="O68" s="3302"/>
      <c r="P68" s="3302"/>
      <c r="Q68" s="3302"/>
      <c r="R68" s="3302"/>
      <c r="S68" s="3302"/>
      <c r="T68"/>
      <c r="U68"/>
      <c r="V68"/>
      <c r="W68"/>
      <c r="X68"/>
      <c r="Y68"/>
      <c r="Z68"/>
      <c r="AA68"/>
      <c r="AB68"/>
      <c r="AC68"/>
      <c r="AD68"/>
      <c r="AE68"/>
      <c r="AF68"/>
      <c r="AG68"/>
      <c r="AH68"/>
    </row>
    <row r="69" spans="1:34" s="2" customFormat="1" hidden="1">
      <c r="A69" s="3497"/>
      <c r="B69" s="3519"/>
      <c r="C69" s="3520"/>
      <c r="D69" s="3521"/>
      <c r="E69" s="3522"/>
      <c r="F69" s="3520"/>
      <c r="G69" s="3498"/>
      <c r="H69" s="3499"/>
      <c r="I69" s="3499"/>
      <c r="J69" s="3499"/>
      <c r="K69" s="3499"/>
      <c r="L69" s="3499"/>
      <c r="M69" s="3499"/>
      <c r="N69" s="3499"/>
      <c r="O69" s="3499"/>
      <c r="P69" s="3499"/>
      <c r="Q69" s="3499"/>
      <c r="R69" s="3499"/>
      <c r="S69" s="3499"/>
      <c r="T69"/>
      <c r="U69"/>
      <c r="V69"/>
      <c r="W69"/>
      <c r="X69"/>
      <c r="Y69"/>
      <c r="Z69"/>
      <c r="AA69"/>
      <c r="AB69"/>
      <c r="AC69"/>
      <c r="AD69"/>
      <c r="AE69"/>
      <c r="AF69"/>
      <c r="AG69"/>
      <c r="AH69"/>
    </row>
    <row r="70" spans="1:34" s="2" customFormat="1" ht="15.75" hidden="1" thickBot="1">
      <c r="A70" s="3500"/>
      <c r="B70" s="3501"/>
      <c r="C70" s="3520"/>
      <c r="D70" s="3521"/>
      <c r="E70" s="3522"/>
      <c r="F70" s="3520"/>
      <c r="G70" s="3498"/>
      <c r="H70" s="3502"/>
      <c r="I70" s="3502"/>
      <c r="J70" s="3502"/>
      <c r="K70" s="3502"/>
      <c r="L70" s="3502"/>
      <c r="M70" s="3502"/>
      <c r="N70" s="3502"/>
      <c r="O70" s="3502"/>
      <c r="P70" s="3502"/>
      <c r="Q70" s="3502"/>
      <c r="R70" s="3502"/>
      <c r="S70" s="3502"/>
    </row>
    <row r="71" spans="1:34" s="2" customFormat="1" ht="16.5" hidden="1" thickTop="1" thickBot="1">
      <c r="A71" s="830" t="s">
        <v>2983</v>
      </c>
      <c r="B71" s="831"/>
      <c r="C71" s="12"/>
      <c r="D71" s="169"/>
      <c r="E71" s="177"/>
      <c r="F71" s="12"/>
      <c r="G71" s="228"/>
      <c r="H71" s="20"/>
      <c r="I71" s="20"/>
      <c r="J71" s="20"/>
      <c r="K71" s="20"/>
      <c r="L71" s="20"/>
      <c r="M71" s="20"/>
      <c r="N71" s="20"/>
      <c r="O71" s="20"/>
      <c r="P71" s="20"/>
      <c r="Q71" s="20"/>
      <c r="R71" s="20"/>
      <c r="S71" s="20"/>
      <c r="T71"/>
      <c r="U71"/>
      <c r="V71"/>
      <c r="W71"/>
      <c r="X71"/>
      <c r="Y71"/>
      <c r="Z71"/>
      <c r="AA71"/>
      <c r="AB71"/>
      <c r="AC71"/>
      <c r="AD71"/>
      <c r="AE71"/>
      <c r="AF71"/>
      <c r="AG71"/>
      <c r="AH71"/>
    </row>
    <row r="72" spans="1:34" ht="15.75" hidden="1" thickTop="1">
      <c r="A72" s="3303"/>
      <c r="B72" s="3304"/>
      <c r="C72" s="3298"/>
      <c r="D72" s="3496"/>
      <c r="E72" s="3300"/>
      <c r="F72" s="3298"/>
      <c r="G72" s="3367"/>
      <c r="H72" s="3302"/>
      <c r="I72" s="3302"/>
      <c r="J72" s="3302"/>
      <c r="K72" s="3302"/>
      <c r="L72" s="3302"/>
      <c r="M72" s="3302"/>
      <c r="N72" s="3302"/>
      <c r="O72" s="3302"/>
      <c r="P72" s="3302"/>
      <c r="Q72" s="3302"/>
      <c r="R72" s="3302"/>
      <c r="S72" s="3302"/>
      <c r="T72" s="2"/>
      <c r="U72" s="2"/>
      <c r="V72" s="2"/>
      <c r="W72" s="2"/>
      <c r="X72" s="2"/>
      <c r="Y72" s="2"/>
      <c r="Z72" s="2"/>
      <c r="AA72" s="2"/>
      <c r="AB72" s="2"/>
      <c r="AC72" s="2"/>
      <c r="AD72" s="2"/>
      <c r="AE72" s="2"/>
      <c r="AF72" s="2"/>
      <c r="AG72" s="2"/>
      <c r="AH72" s="2"/>
    </row>
    <row r="73" spans="1:34" hidden="1">
      <c r="A73" s="3500"/>
      <c r="B73" s="3501"/>
      <c r="C73" s="3520"/>
      <c r="D73" s="3521"/>
      <c r="E73" s="3522"/>
      <c r="F73" s="3520"/>
      <c r="G73" s="3498"/>
      <c r="H73" s="3503"/>
      <c r="I73" s="3503"/>
      <c r="J73" s="3503"/>
      <c r="K73" s="3503"/>
      <c r="L73" s="3503"/>
      <c r="M73" s="3503"/>
      <c r="N73" s="3503"/>
      <c r="O73" s="3503"/>
      <c r="P73" s="3503"/>
      <c r="Q73" s="3503"/>
      <c r="R73" s="3503"/>
      <c r="S73" s="3503"/>
      <c r="T73" s="2"/>
      <c r="U73" s="2"/>
      <c r="V73" s="2"/>
      <c r="W73" s="2"/>
      <c r="X73" s="2"/>
      <c r="Y73" s="2"/>
      <c r="Z73" s="2"/>
      <c r="AA73" s="2"/>
      <c r="AB73" s="2"/>
      <c r="AC73" s="2"/>
      <c r="AD73" s="2"/>
      <c r="AE73" s="2"/>
      <c r="AF73" s="2"/>
      <c r="AG73" s="2"/>
      <c r="AH73" s="2"/>
    </row>
    <row r="74" spans="1:34" ht="15.75" hidden="1" thickBot="1">
      <c r="A74" s="3500"/>
      <c r="B74" s="3501"/>
      <c r="C74" s="3520"/>
      <c r="D74" s="3521"/>
      <c r="E74" s="3522"/>
      <c r="F74" s="3520"/>
      <c r="G74" s="3498"/>
      <c r="H74" s="3503"/>
      <c r="I74" s="3503"/>
      <c r="J74" s="3503"/>
      <c r="K74" s="3503"/>
      <c r="L74" s="3503"/>
      <c r="M74" s="3503"/>
      <c r="N74" s="3503"/>
      <c r="O74" s="3503"/>
      <c r="P74" s="3503"/>
      <c r="Q74" s="3503"/>
      <c r="R74" s="3503"/>
      <c r="S74" s="3503"/>
      <c r="T74" s="2"/>
      <c r="U74" s="2"/>
      <c r="V74" s="2"/>
      <c r="W74" s="2"/>
      <c r="X74" s="2"/>
      <c r="Y74" s="2"/>
      <c r="Z74" s="2"/>
      <c r="AA74" s="2"/>
      <c r="AB74" s="2"/>
      <c r="AC74" s="2"/>
      <c r="AD74" s="2"/>
      <c r="AE74" s="2"/>
      <c r="AF74" s="2"/>
      <c r="AG74" s="2"/>
      <c r="AH74" s="2"/>
    </row>
    <row r="75" spans="1:34" ht="16.5" hidden="1" thickTop="1" thickBot="1">
      <c r="A75" s="830" t="s">
        <v>2984</v>
      </c>
      <c r="B75" s="831"/>
      <c r="C75" s="12"/>
      <c r="D75" s="169"/>
      <c r="E75" s="177"/>
      <c r="F75" s="12"/>
      <c r="G75" s="228"/>
      <c r="H75" s="20"/>
      <c r="I75" s="20"/>
      <c r="J75" s="20"/>
      <c r="K75" s="20"/>
      <c r="L75" s="20"/>
      <c r="M75" s="20"/>
      <c r="N75" s="20"/>
      <c r="O75" s="20"/>
      <c r="P75" s="20"/>
      <c r="Q75" s="20"/>
      <c r="R75" s="20"/>
      <c r="S75" s="20"/>
    </row>
    <row r="76" spans="1:34" ht="15.75" hidden="1" thickTop="1">
      <c r="A76" s="3497"/>
      <c r="B76" s="3519" t="s">
        <v>2985</v>
      </c>
      <c r="C76" s="3520"/>
      <c r="D76" s="3521"/>
      <c r="E76" s="3522"/>
      <c r="F76" s="3520"/>
      <c r="G76" s="3498"/>
      <c r="H76" s="3503"/>
      <c r="I76" s="3503"/>
      <c r="J76" s="3503"/>
      <c r="K76" s="3503"/>
      <c r="L76" s="3503"/>
      <c r="M76" s="3503"/>
      <c r="N76" s="3503"/>
      <c r="O76" s="3503"/>
      <c r="P76" s="3503"/>
      <c r="Q76" s="3503"/>
      <c r="R76" s="3503"/>
      <c r="S76" s="3503"/>
    </row>
    <row r="77" spans="1:34" hidden="1">
      <c r="A77" s="3497"/>
      <c r="B77" s="3519" t="s">
        <v>2986</v>
      </c>
      <c r="C77" s="3520"/>
      <c r="D77" s="3521"/>
      <c r="E77" s="3522"/>
      <c r="F77" s="3520"/>
      <c r="G77" s="3498"/>
      <c r="H77" s="3503"/>
      <c r="I77" s="3503"/>
      <c r="J77" s="3503"/>
      <c r="K77" s="3503"/>
      <c r="L77" s="3503"/>
      <c r="M77" s="3503"/>
      <c r="N77" s="3503"/>
      <c r="O77" s="3503"/>
      <c r="P77" s="3503"/>
      <c r="Q77" s="3503"/>
      <c r="R77" s="3503"/>
      <c r="S77" s="3503"/>
    </row>
    <row r="78" spans="1:34" hidden="1">
      <c r="A78" s="3497"/>
      <c r="B78" s="3519" t="s">
        <v>2987</v>
      </c>
      <c r="C78" s="3520"/>
      <c r="D78" s="3521"/>
      <c r="E78" s="3522"/>
      <c r="F78" s="3520"/>
      <c r="G78" s="3498"/>
      <c r="H78" s="3503"/>
      <c r="I78" s="3503"/>
      <c r="J78" s="3503"/>
      <c r="K78" s="3503"/>
      <c r="L78" s="3503"/>
      <c r="M78" s="3503"/>
      <c r="N78" s="3503"/>
      <c r="O78" s="3503"/>
      <c r="P78" s="3503"/>
      <c r="Q78" s="3503"/>
      <c r="R78" s="3503"/>
      <c r="S78" s="3503"/>
    </row>
    <row r="79" spans="1:34" hidden="1">
      <c r="A79" s="3497"/>
      <c r="B79" s="3519" t="s">
        <v>2988</v>
      </c>
      <c r="C79" s="3520"/>
      <c r="D79" s="3521"/>
      <c r="E79" s="3522"/>
      <c r="F79" s="3520"/>
      <c r="G79" s="3498"/>
      <c r="H79" s="3503"/>
      <c r="I79" s="3503"/>
      <c r="J79" s="3503"/>
      <c r="K79" s="3503"/>
      <c r="L79" s="3503"/>
      <c r="M79" s="3503"/>
      <c r="N79" s="3503"/>
      <c r="O79" s="3503"/>
      <c r="P79" s="3503"/>
      <c r="Q79" s="3503"/>
      <c r="R79" s="3503"/>
      <c r="S79" s="3503"/>
    </row>
    <row r="80" spans="1:34" ht="15.75" hidden="1" thickBot="1">
      <c r="A80" s="646"/>
      <c r="B80" s="619"/>
      <c r="C80" s="616"/>
      <c r="D80" s="621"/>
      <c r="E80" s="622"/>
      <c r="F80" s="616"/>
      <c r="G80" s="620"/>
      <c r="H80" s="647"/>
      <c r="I80" s="647"/>
      <c r="J80" s="647"/>
      <c r="K80" s="647"/>
      <c r="L80" s="647"/>
      <c r="M80" s="647"/>
      <c r="N80" s="647"/>
      <c r="O80" s="647"/>
      <c r="P80" s="647"/>
      <c r="Q80" s="647"/>
      <c r="R80" s="647"/>
      <c r="S80" s="647"/>
    </row>
    <row r="81" spans="1:19" ht="16.5" hidden="1" thickTop="1" thickBot="1">
      <c r="A81" s="7" t="s">
        <v>2989</v>
      </c>
      <c r="B81" s="8"/>
      <c r="C81" s="12"/>
      <c r="D81" s="169"/>
      <c r="E81" s="177"/>
      <c r="F81" s="12"/>
      <c r="G81" s="228"/>
      <c r="H81" s="20"/>
      <c r="I81" s="20"/>
      <c r="J81" s="20"/>
      <c r="K81" s="20"/>
      <c r="L81" s="20"/>
      <c r="M81" s="20"/>
      <c r="N81" s="20"/>
      <c r="O81" s="20"/>
      <c r="P81" s="20"/>
      <c r="Q81" s="20"/>
      <c r="R81" s="20"/>
      <c r="S81" s="20"/>
    </row>
    <row r="82" spans="1:19" ht="15.75" hidden="1" thickTop="1">
      <c r="A82" s="3297"/>
      <c r="B82" s="3305" t="s">
        <v>2990</v>
      </c>
      <c r="C82" s="3298"/>
      <c r="D82" s="3496"/>
      <c r="E82" s="3300"/>
      <c r="F82" s="3298"/>
      <c r="G82" s="3367"/>
      <c r="H82" s="3306"/>
      <c r="I82" s="3306"/>
      <c r="J82" s="3306"/>
      <c r="K82" s="3306"/>
      <c r="L82" s="3306"/>
      <c r="M82" s="3306"/>
      <c r="N82" s="3306"/>
      <c r="O82" s="3306"/>
      <c r="P82" s="3306"/>
      <c r="Q82" s="3306"/>
      <c r="R82" s="3306"/>
      <c r="S82" s="3306"/>
    </row>
    <row r="83" spans="1:19" hidden="1">
      <c r="A83" s="3497"/>
      <c r="B83" s="3519" t="s">
        <v>2991</v>
      </c>
      <c r="C83" s="3520"/>
      <c r="D83" s="3521"/>
      <c r="E83" s="3522"/>
      <c r="F83" s="3520"/>
      <c r="G83" s="3498"/>
      <c r="H83" s="3504"/>
      <c r="I83" s="3504"/>
      <c r="J83" s="3504"/>
      <c r="K83" s="3504"/>
      <c r="L83" s="3504"/>
      <c r="M83" s="3504"/>
      <c r="N83" s="3504"/>
      <c r="O83" s="3504"/>
      <c r="P83" s="3504"/>
      <c r="Q83" s="3504"/>
      <c r="R83" s="3504"/>
      <c r="S83" s="3504"/>
    </row>
    <row r="84" spans="1:19" ht="15.75" hidden="1" thickBot="1">
      <c r="A84" s="3197"/>
      <c r="B84" s="3530" t="s">
        <v>2992</v>
      </c>
      <c r="C84" s="3531"/>
      <c r="D84" s="3549"/>
      <c r="E84" s="3199"/>
      <c r="F84" s="3531"/>
      <c r="G84" s="3200"/>
      <c r="H84" s="3201"/>
      <c r="I84" s="3201"/>
      <c r="J84" s="3201"/>
      <c r="K84" s="3201"/>
      <c r="L84" s="3201"/>
      <c r="M84" s="3201"/>
      <c r="N84" s="3201"/>
      <c r="O84" s="3201"/>
      <c r="P84" s="3201"/>
      <c r="Q84" s="3201"/>
      <c r="R84" s="3201"/>
      <c r="S84" s="3201"/>
    </row>
    <row r="85" spans="1:19" ht="15.75" thickBot="1"/>
    <row r="86" spans="1:19" ht="16.5" thickTop="1" thickBot="1">
      <c r="A86" s="59" t="s">
        <v>2993</v>
      </c>
      <c r="B86" s="61"/>
    </row>
    <row r="87" spans="1:19" ht="15.75" thickTop="1">
      <c r="A87" s="60" t="s">
        <v>2936</v>
      </c>
      <c r="B87" s="3509"/>
    </row>
    <row r="88" spans="1:19">
      <c r="A88" s="3510" t="s">
        <v>2939</v>
      </c>
      <c r="B88" s="3509"/>
    </row>
    <row r="89" spans="1:19">
      <c r="A89" s="3512" t="s">
        <v>2941</v>
      </c>
      <c r="B89" s="3513"/>
    </row>
    <row r="90" spans="1:19">
      <c r="A90" s="3512" t="s">
        <v>2943</v>
      </c>
      <c r="B90" s="3514"/>
    </row>
    <row r="91" spans="1:19" ht="15.75" thickBot="1">
      <c r="A91" s="3207" t="s">
        <v>2994</v>
      </c>
      <c r="B91" s="3208">
        <f>$I$56</f>
        <v>0</v>
      </c>
    </row>
    <row r="92" spans="1:19" ht="15.75" thickTop="1"/>
    <row r="93" spans="1:19">
      <c r="A93" s="62"/>
      <c r="B93" s="1" t="s">
        <v>2995</v>
      </c>
    </row>
    <row r="94" spans="1:19">
      <c r="A94" s="63"/>
      <c r="B94" s="1" t="s">
        <v>2996</v>
      </c>
    </row>
  </sheetData>
  <mergeCells count="35">
    <mergeCell ref="R5:S5"/>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 ref="A59:B59"/>
    <mergeCell ref="A63:B63"/>
    <mergeCell ref="A67:B67"/>
    <mergeCell ref="A71:B71"/>
    <mergeCell ref="A75:B75"/>
  </mergeCells>
  <conditionalFormatting sqref="H11:H18 L11:L18 N11:N18 P11:P18 R11:R18 H20:H51 J20:J51 L20:L51 N20:N51 P20:P51 R20:R51">
    <cfRule type="cellIs" dxfId="37" priority="7" operator="equal">
      <formula>"X"</formula>
    </cfRule>
    <cfRule type="cellIs" dxfId="36" priority="8" operator="equal">
      <formula>"I"</formula>
    </cfRule>
  </conditionalFormatting>
  <conditionalFormatting sqref="J11:J18">
    <cfRule type="cellIs" dxfId="35" priority="5" operator="equal">
      <formula>"X"</formula>
    </cfRule>
    <cfRule type="cellIs" dxfId="34" priority="6" operator="equal">
      <formula>"I"</formula>
    </cfRule>
  </conditionalFormatting>
  <hyperlinks>
    <hyperlink ref="B4" location="'Cost Summary'!A1" display="BACK TO SUMMARY SHEET" xr:uid="{63F1C505-732C-40D6-992A-4CB674AFD900}"/>
  </hyperlinks>
  <pageMargins left="0.2" right="0.2" top="0.5" bottom="0.75" header="0.3" footer="0.3"/>
  <pageSetup paperSize="3" scale="78" fitToHeight="0" orientation="landscape" horizontalDpi="300" verticalDpi="3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2446-1ABE-4886-A09B-53D830A89548}">
  <sheetPr>
    <tabColor rgb="FFFFFF00"/>
    <pageSetUpPr fitToPage="1"/>
  </sheetPr>
  <dimension ref="A1:AH93"/>
  <sheetViews>
    <sheetView zoomScale="90" zoomScaleNormal="90" workbookViewId="0">
      <pane ySplit="10" topLeftCell="A15" activePane="bottomLeft" state="frozen"/>
      <selection pane="bottomLeft" activeCell="B32" sqref="B32"/>
      <selection activeCell="B4" sqref="B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41"/>
      <c r="I5" s="842"/>
      <c r="J5" s="841"/>
      <c r="K5" s="842"/>
      <c r="L5" s="841"/>
      <c r="M5" s="842"/>
      <c r="N5" s="841"/>
      <c r="O5" s="842"/>
      <c r="P5" s="841"/>
      <c r="Q5" s="842"/>
      <c r="R5" s="841"/>
      <c r="S5" s="842"/>
    </row>
    <row r="6" spans="1:19">
      <c r="A6" s="3518" t="s">
        <v>2938</v>
      </c>
      <c r="B6" s="3519" t="s">
        <v>6981</v>
      </c>
      <c r="C6" s="3520"/>
      <c r="D6" s="3521"/>
      <c r="E6" s="3522"/>
      <c r="F6" s="3520"/>
      <c r="G6" s="657" t="s">
        <v>2939</v>
      </c>
      <c r="H6" s="3523"/>
      <c r="I6" s="843"/>
      <c r="J6" s="3523"/>
      <c r="K6" s="843"/>
      <c r="L6" s="3523"/>
      <c r="M6" s="843"/>
      <c r="N6" s="3523"/>
      <c r="O6" s="843"/>
      <c r="P6" s="3523"/>
      <c r="Q6" s="843"/>
      <c r="R6" s="3523"/>
      <c r="S6" s="843"/>
    </row>
    <row r="7" spans="1:19">
      <c r="A7" s="3518" t="s">
        <v>2940</v>
      </c>
      <c r="B7" s="3524" t="s">
        <v>6982</v>
      </c>
      <c r="C7" s="3520"/>
      <c r="D7" s="3521"/>
      <c r="E7" s="3522"/>
      <c r="F7" s="3520"/>
      <c r="G7" s="3525" t="s">
        <v>2941</v>
      </c>
      <c r="H7" s="3526"/>
      <c r="I7" s="844"/>
      <c r="J7" s="3526"/>
      <c r="K7" s="844"/>
      <c r="L7" s="3526"/>
      <c r="M7" s="844"/>
      <c r="N7" s="3526"/>
      <c r="O7" s="844"/>
      <c r="P7" s="3526"/>
      <c r="Q7" s="844"/>
      <c r="R7" s="3526"/>
      <c r="S7" s="844"/>
    </row>
    <row r="8" spans="1:19">
      <c r="A8" s="3518" t="s">
        <v>2942</v>
      </c>
      <c r="B8" s="3527"/>
      <c r="C8" s="3520"/>
      <c r="D8" s="3521"/>
      <c r="E8" s="3522"/>
      <c r="F8" s="3520"/>
      <c r="G8" s="3525" t="s">
        <v>2943</v>
      </c>
      <c r="H8" s="3528"/>
      <c r="I8" s="845"/>
      <c r="J8" s="3528"/>
      <c r="K8" s="845"/>
      <c r="L8" s="3528"/>
      <c r="M8" s="845"/>
      <c r="N8" s="3528"/>
      <c r="O8" s="845"/>
      <c r="P8" s="3528"/>
      <c r="Q8" s="845"/>
      <c r="R8" s="3528"/>
      <c r="S8" s="845"/>
    </row>
    <row r="9" spans="1:19" ht="15.75" thickBot="1">
      <c r="A9" s="3223"/>
      <c r="B9" s="3224"/>
      <c r="C9" s="616"/>
      <c r="D9" s="621"/>
      <c r="E9" s="622"/>
      <c r="F9" s="3225"/>
      <c r="G9" s="3226" t="s">
        <v>2944</v>
      </c>
      <c r="H9" s="3227">
        <f t="shared" ref="H9" si="0">I$55</f>
        <v>204809</v>
      </c>
      <c r="I9" s="3228"/>
      <c r="J9" s="3229">
        <f>K$55</f>
        <v>0</v>
      </c>
      <c r="K9" s="3230"/>
      <c r="L9" s="3227">
        <f t="shared" ref="L9" si="1">M$55</f>
        <v>0</v>
      </c>
      <c r="M9" s="3228"/>
      <c r="N9" s="3227">
        <f t="shared" ref="N9" si="2">O$55</f>
        <v>0</v>
      </c>
      <c r="O9" s="3228"/>
      <c r="P9" s="3227">
        <f t="shared" ref="P9" si="3">Q$55</f>
        <v>0</v>
      </c>
      <c r="Q9" s="3228"/>
      <c r="R9" s="3227">
        <f t="shared" ref="R9" si="4">S$55</f>
        <v>0</v>
      </c>
      <c r="S9" s="322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315"/>
      <c r="B11" s="2889" t="s">
        <v>2953</v>
      </c>
      <c r="C11" s="659"/>
      <c r="D11" s="3521"/>
      <c r="E11" s="3522"/>
      <c r="F11" s="3520"/>
      <c r="G11" s="660"/>
      <c r="H11" s="3232"/>
      <c r="I11" s="182"/>
      <c r="J11" s="3232"/>
      <c r="K11" s="3316"/>
      <c r="L11" s="3232"/>
      <c r="M11" s="3317"/>
      <c r="N11" s="3232"/>
      <c r="O11" s="3317"/>
      <c r="P11" s="3232"/>
      <c r="Q11" s="3317"/>
      <c r="R11" s="3232"/>
      <c r="S11" s="3317"/>
    </row>
    <row r="12" spans="1:19">
      <c r="A12" s="3318"/>
      <c r="B12" s="2963" t="s">
        <v>2954</v>
      </c>
      <c r="C12" s="3520"/>
      <c r="D12" s="3521"/>
      <c r="E12" s="3522"/>
      <c r="F12" s="3520"/>
      <c r="G12" s="660"/>
      <c r="H12" s="3232"/>
      <c r="I12" s="3317"/>
      <c r="J12" s="3232"/>
      <c r="K12" s="3316"/>
      <c r="L12" s="3232"/>
      <c r="M12" s="3317"/>
      <c r="N12" s="3232"/>
      <c r="O12" s="3317"/>
      <c r="P12" s="3232"/>
      <c r="Q12" s="3317"/>
      <c r="R12" s="3232"/>
      <c r="S12" s="3317"/>
    </row>
    <row r="13" spans="1:19">
      <c r="A13" s="3538"/>
      <c r="B13" s="3319" t="s">
        <v>2955</v>
      </c>
      <c r="C13" s="3520"/>
      <c r="D13" s="3521"/>
      <c r="E13" s="3522"/>
      <c r="F13" s="3520"/>
      <c r="G13" s="660"/>
      <c r="H13" s="3232"/>
      <c r="I13" s="3317"/>
      <c r="J13" s="3232"/>
      <c r="K13" s="3316"/>
      <c r="L13" s="3232"/>
      <c r="M13" s="3317"/>
      <c r="N13" s="3232"/>
      <c r="O13" s="3317"/>
      <c r="P13" s="3232"/>
      <c r="Q13" s="3317"/>
      <c r="R13" s="3232"/>
      <c r="S13" s="3317"/>
    </row>
    <row r="14" spans="1:19">
      <c r="A14" s="3538"/>
      <c r="B14" s="3321" t="s">
        <v>2956</v>
      </c>
      <c r="C14" s="3520"/>
      <c r="D14" s="3521"/>
      <c r="E14" s="3522"/>
      <c r="F14" s="3520"/>
      <c r="G14" s="660"/>
      <c r="H14" s="3232"/>
      <c r="I14" s="3317"/>
      <c r="J14" s="3232"/>
      <c r="K14" s="3316"/>
      <c r="L14" s="3232"/>
      <c r="M14" s="3317"/>
      <c r="N14" s="3232"/>
      <c r="O14" s="3317"/>
      <c r="P14" s="3232"/>
      <c r="Q14" s="3317"/>
      <c r="R14" s="3232"/>
      <c r="S14" s="3317"/>
    </row>
    <row r="15" spans="1:19">
      <c r="A15" s="3538"/>
      <c r="B15" s="3321" t="s">
        <v>2957</v>
      </c>
      <c r="C15" s="3520"/>
      <c r="D15" s="3521"/>
      <c r="E15" s="3522"/>
      <c r="F15" s="3520"/>
      <c r="G15" s="660"/>
      <c r="H15" s="3232"/>
      <c r="I15" s="3316"/>
      <c r="J15" s="3232"/>
      <c r="K15" s="3316"/>
      <c r="L15" s="3232"/>
      <c r="M15" s="3316"/>
      <c r="N15" s="3232"/>
      <c r="O15" s="3316"/>
      <c r="P15" s="3232"/>
      <c r="Q15" s="3316"/>
      <c r="R15" s="3232"/>
      <c r="S15" s="3316"/>
    </row>
    <row r="16" spans="1:19">
      <c r="A16" s="3538"/>
      <c r="B16" s="3321" t="s">
        <v>2958</v>
      </c>
      <c r="C16" s="3520"/>
      <c r="D16" s="3521"/>
      <c r="E16" s="3522"/>
      <c r="F16" s="3520"/>
      <c r="G16" s="660"/>
      <c r="H16" s="3232"/>
      <c r="I16" s="3317"/>
      <c r="J16" s="3232"/>
      <c r="K16" s="3316"/>
      <c r="L16" s="3232"/>
      <c r="M16" s="3317"/>
      <c r="N16" s="3232"/>
      <c r="O16" s="3317"/>
      <c r="P16" s="3232"/>
      <c r="Q16" s="3317"/>
      <c r="R16" s="3232"/>
      <c r="S16" s="3317"/>
    </row>
    <row r="17" spans="1:19">
      <c r="A17" s="3538"/>
      <c r="B17" s="3321" t="s">
        <v>2959</v>
      </c>
      <c r="C17" s="3520"/>
      <c r="D17" s="3521"/>
      <c r="E17" s="3522"/>
      <c r="F17" s="3520"/>
      <c r="G17" s="660"/>
      <c r="H17" s="3232"/>
      <c r="I17" s="3317"/>
      <c r="J17" s="3232"/>
      <c r="K17" s="3316"/>
      <c r="L17" s="3232"/>
      <c r="M17" s="3317"/>
      <c r="N17" s="3232"/>
      <c r="O17" s="3317"/>
      <c r="P17" s="3232"/>
      <c r="Q17" s="3317"/>
      <c r="R17" s="3232"/>
      <c r="S17" s="3317"/>
    </row>
    <row r="18" spans="1:19">
      <c r="A18" s="3538"/>
      <c r="B18" s="3323" t="s">
        <v>2960</v>
      </c>
      <c r="C18" s="3520"/>
      <c r="D18" s="3521"/>
      <c r="E18" s="3522"/>
      <c r="F18" s="3520"/>
      <c r="G18" s="660"/>
      <c r="H18" s="3232"/>
      <c r="I18" s="3317"/>
      <c r="J18" s="3232"/>
      <c r="K18" s="3316"/>
      <c r="L18" s="3232"/>
      <c r="M18" s="3317"/>
      <c r="N18" s="3232"/>
      <c r="O18" s="3317"/>
      <c r="P18" s="3232"/>
      <c r="Q18" s="3317"/>
      <c r="R18" s="3232"/>
      <c r="S18" s="3317"/>
    </row>
    <row r="19" spans="1:19">
      <c r="A19" s="3538"/>
      <c r="B19" s="3324" t="s">
        <v>2961</v>
      </c>
      <c r="C19" s="3539"/>
      <c r="D19" s="3540"/>
      <c r="E19" s="3541"/>
      <c r="F19" s="3542"/>
      <c r="G19" s="661"/>
      <c r="H19" s="3245"/>
      <c r="I19" s="3326"/>
      <c r="J19" s="3245"/>
      <c r="K19" s="3327"/>
      <c r="L19" s="3245"/>
      <c r="M19" s="3326"/>
      <c r="N19" s="3245"/>
      <c r="O19" s="3326"/>
      <c r="P19" s="3245"/>
      <c r="Q19" s="3326"/>
      <c r="R19" s="3245"/>
      <c r="S19" s="3326"/>
    </row>
    <row r="20" spans="1:19">
      <c r="A20" s="3538"/>
      <c r="B20" s="3328"/>
      <c r="C20" s="3520"/>
      <c r="D20" s="3521"/>
      <c r="E20" s="3522"/>
      <c r="F20" s="3544"/>
      <c r="G20" s="660"/>
      <c r="H20" s="3232"/>
      <c r="I20" s="3320"/>
      <c r="J20" s="3232"/>
      <c r="K20" s="3322"/>
      <c r="L20" s="3232"/>
      <c r="M20" s="3320"/>
      <c r="N20" s="3232"/>
      <c r="O20" s="3320"/>
      <c r="P20" s="3232"/>
      <c r="Q20" s="3320"/>
      <c r="R20" s="3232"/>
      <c r="S20" s="3320"/>
    </row>
    <row r="21" spans="1:19">
      <c r="A21" s="3538"/>
      <c r="B21" s="3446" t="s">
        <v>2699</v>
      </c>
      <c r="C21" s="3520"/>
      <c r="D21" s="3521"/>
      <c r="E21" s="3522"/>
      <c r="F21" s="3544"/>
      <c r="G21" s="660"/>
      <c r="H21" s="3232"/>
      <c r="I21" s="3329">
        <f>SUBTOTAL(9,I22:I50)</f>
        <v>204809</v>
      </c>
      <c r="J21" s="3232"/>
      <c r="K21" s="3322"/>
      <c r="L21" s="3232"/>
      <c r="M21" s="3320"/>
      <c r="N21" s="3232"/>
      <c r="O21" s="3320"/>
      <c r="P21" s="3232"/>
      <c r="Q21" s="3320"/>
      <c r="R21" s="3232"/>
      <c r="S21" s="3320"/>
    </row>
    <row r="22" spans="1:19">
      <c r="A22" s="3538"/>
      <c r="B22" s="3328"/>
      <c r="C22" s="3520"/>
      <c r="D22" s="3521"/>
      <c r="E22" s="3522"/>
      <c r="F22" s="3544"/>
      <c r="G22" s="660"/>
      <c r="H22" s="3232"/>
      <c r="I22" s="3320"/>
      <c r="J22" s="3232"/>
      <c r="K22" s="3322"/>
      <c r="L22" s="3232"/>
      <c r="M22" s="3320"/>
      <c r="N22" s="3232"/>
      <c r="O22" s="3320"/>
      <c r="P22" s="3232"/>
      <c r="Q22" s="3320"/>
      <c r="R22" s="3232"/>
      <c r="S22" s="3320"/>
    </row>
    <row r="23" spans="1:19">
      <c r="A23" s="3538"/>
      <c r="B23" s="3328" t="s">
        <v>6983</v>
      </c>
      <c r="C23" s="3520"/>
      <c r="D23" s="3521"/>
      <c r="E23" s="3522"/>
      <c r="F23" s="3544"/>
      <c r="G23" s="662">
        <f t="shared" ref="G23:G50" si="5">ROUND(D23*F23,0)</f>
        <v>0</v>
      </c>
      <c r="H23" s="3232"/>
      <c r="I23" s="3322">
        <f>G23</f>
        <v>0</v>
      </c>
      <c r="J23" s="3232"/>
      <c r="K23" s="3322"/>
      <c r="L23" s="3232"/>
      <c r="M23" s="3320"/>
      <c r="N23" s="3232"/>
      <c r="O23" s="3320"/>
      <c r="P23" s="3232"/>
      <c r="Q23" s="3320"/>
      <c r="R23" s="3232"/>
      <c r="S23" s="3320"/>
    </row>
    <row r="24" spans="1:19">
      <c r="A24" s="3538"/>
      <c r="B24" s="3330" t="s">
        <v>6984</v>
      </c>
      <c r="C24" s="3520"/>
      <c r="D24" s="3521"/>
      <c r="E24" s="3522"/>
      <c r="F24" s="3544"/>
      <c r="G24" s="662">
        <f t="shared" si="5"/>
        <v>0</v>
      </c>
      <c r="H24" s="3232"/>
      <c r="I24" s="3322">
        <f t="shared" ref="I24:I50" si="6">G24</f>
        <v>0</v>
      </c>
      <c r="J24" s="3232"/>
      <c r="K24" s="3322"/>
      <c r="L24" s="3232"/>
      <c r="M24" s="3320"/>
      <c r="N24" s="3232"/>
      <c r="O24" s="3320"/>
      <c r="P24" s="3232"/>
      <c r="Q24" s="3320"/>
      <c r="R24" s="3232"/>
      <c r="S24" s="3320"/>
    </row>
    <row r="25" spans="1:19">
      <c r="A25" s="3538"/>
      <c r="B25" s="3330" t="s">
        <v>6985</v>
      </c>
      <c r="C25" s="3520"/>
      <c r="D25" s="3521">
        <f>190*(17+34)</f>
        <v>9690</v>
      </c>
      <c r="E25" s="3522" t="s">
        <v>2845</v>
      </c>
      <c r="F25" s="3544">
        <f>1447374/(1770*(15+30))</f>
        <v>18.171676082862522</v>
      </c>
      <c r="G25" s="662">
        <f t="shared" si="5"/>
        <v>176084</v>
      </c>
      <c r="H25" s="3232"/>
      <c r="I25" s="3322">
        <f t="shared" si="6"/>
        <v>176084</v>
      </c>
      <c r="J25" s="3232"/>
      <c r="K25" s="3322"/>
      <c r="L25" s="3232"/>
      <c r="M25" s="3320"/>
      <c r="N25" s="3232"/>
      <c r="O25" s="3320"/>
      <c r="P25" s="3232"/>
      <c r="Q25" s="3320"/>
      <c r="R25" s="3232"/>
      <c r="S25" s="3320"/>
    </row>
    <row r="26" spans="1:19">
      <c r="A26" s="3538"/>
      <c r="B26" s="3330" t="s">
        <v>6986</v>
      </c>
      <c r="C26" s="3520"/>
      <c r="D26" s="3521"/>
      <c r="E26" s="3522"/>
      <c r="F26" s="3544"/>
      <c r="G26" s="662">
        <f t="shared" si="5"/>
        <v>0</v>
      </c>
      <c r="H26" s="3232"/>
      <c r="I26" s="3322">
        <f t="shared" si="6"/>
        <v>0</v>
      </c>
      <c r="J26" s="3232"/>
      <c r="K26" s="3322"/>
      <c r="L26" s="3232"/>
      <c r="M26" s="3320"/>
      <c r="N26" s="3232"/>
      <c r="O26" s="3320"/>
      <c r="P26" s="3232"/>
      <c r="Q26" s="3320"/>
      <c r="R26" s="3232"/>
      <c r="S26" s="3320"/>
    </row>
    <row r="27" spans="1:19">
      <c r="A27" s="3538"/>
      <c r="B27" s="3330" t="s">
        <v>6987</v>
      </c>
      <c r="C27" s="3520"/>
      <c r="D27" s="3521">
        <f>190*(17+34)</f>
        <v>9690</v>
      </c>
      <c r="E27" s="3522" t="s">
        <v>2845</v>
      </c>
      <c r="F27" s="3544">
        <f>33.39/45</f>
        <v>0.74199999999999999</v>
      </c>
      <c r="G27" s="662">
        <f t="shared" si="5"/>
        <v>7190</v>
      </c>
      <c r="H27" s="3232"/>
      <c r="I27" s="3322">
        <f t="shared" si="6"/>
        <v>7190</v>
      </c>
      <c r="J27" s="3232"/>
      <c r="K27" s="3322"/>
      <c r="L27" s="3232"/>
      <c r="M27" s="3320"/>
      <c r="N27" s="3232"/>
      <c r="O27" s="3320"/>
      <c r="P27" s="3232"/>
      <c r="Q27" s="3320"/>
      <c r="R27" s="3232"/>
      <c r="S27" s="3320"/>
    </row>
    <row r="28" spans="1:19">
      <c r="A28" s="3538"/>
      <c r="B28" s="3328"/>
      <c r="C28" s="3520"/>
      <c r="D28" s="3521"/>
      <c r="E28" s="3522"/>
      <c r="F28" s="3544"/>
      <c r="G28" s="662">
        <f t="shared" si="5"/>
        <v>0</v>
      </c>
      <c r="H28" s="3232"/>
      <c r="I28" s="3322">
        <f t="shared" si="6"/>
        <v>0</v>
      </c>
      <c r="J28" s="3232"/>
      <c r="K28" s="3322"/>
      <c r="L28" s="3232"/>
      <c r="M28" s="3320"/>
      <c r="N28" s="3232"/>
      <c r="O28" s="3320"/>
      <c r="P28" s="3232"/>
      <c r="Q28" s="3320"/>
      <c r="R28" s="3232"/>
      <c r="S28" s="3320"/>
    </row>
    <row r="29" spans="1:19">
      <c r="A29" s="3538"/>
      <c r="B29" s="3328" t="s">
        <v>6988</v>
      </c>
      <c r="C29" s="3520"/>
      <c r="D29" s="3521">
        <f>SUM(I23:I28)</f>
        <v>183274</v>
      </c>
      <c r="E29" s="3522"/>
      <c r="F29" s="3550">
        <v>0.11749999999999999</v>
      </c>
      <c r="G29" s="662">
        <f t="shared" si="5"/>
        <v>21535</v>
      </c>
      <c r="H29" s="3232"/>
      <c r="I29" s="3322">
        <f t="shared" si="6"/>
        <v>21535</v>
      </c>
      <c r="J29" s="3232"/>
      <c r="K29" s="3322"/>
      <c r="L29" s="3232"/>
      <c r="M29" s="3320"/>
      <c r="N29" s="3232"/>
      <c r="O29" s="3320"/>
      <c r="P29" s="3232"/>
      <c r="Q29" s="3320"/>
      <c r="R29" s="3232"/>
      <c r="S29" s="3320"/>
    </row>
    <row r="30" spans="1:19">
      <c r="A30" s="3538"/>
      <c r="B30" s="3328"/>
      <c r="C30" s="3520"/>
      <c r="D30" s="3521"/>
      <c r="E30" s="3522"/>
      <c r="F30" s="3544"/>
      <c r="G30" s="662">
        <f t="shared" si="5"/>
        <v>0</v>
      </c>
      <c r="H30" s="3232"/>
      <c r="I30" s="3322">
        <f t="shared" si="6"/>
        <v>0</v>
      </c>
      <c r="J30" s="3232"/>
      <c r="K30" s="3322"/>
      <c r="L30" s="3232"/>
      <c r="M30" s="3320"/>
      <c r="N30" s="3232"/>
      <c r="O30" s="3320"/>
      <c r="P30" s="3232"/>
      <c r="Q30" s="3320"/>
      <c r="R30" s="3232"/>
      <c r="S30" s="3320"/>
    </row>
    <row r="31" spans="1:19">
      <c r="A31" s="3538"/>
      <c r="B31" s="3328"/>
      <c r="C31" s="3520"/>
      <c r="D31" s="3521"/>
      <c r="E31" s="3522"/>
      <c r="F31" s="3544">
        <f>F25*1.12</f>
        <v>20.352277212806026</v>
      </c>
      <c r="G31" s="662">
        <f t="shared" si="5"/>
        <v>0</v>
      </c>
      <c r="H31" s="3232"/>
      <c r="I31" s="3322">
        <f t="shared" si="6"/>
        <v>0</v>
      </c>
      <c r="J31" s="3232"/>
      <c r="K31" s="3322"/>
      <c r="L31" s="3232"/>
      <c r="M31" s="3320"/>
      <c r="N31" s="3232"/>
      <c r="O31" s="3320"/>
      <c r="P31" s="3232"/>
      <c r="Q31" s="3320"/>
      <c r="R31" s="3232"/>
      <c r="S31" s="3320"/>
    </row>
    <row r="32" spans="1:19">
      <c r="A32" s="3538"/>
      <c r="B32" s="3328"/>
      <c r="C32" s="3520"/>
      <c r="D32" s="3521"/>
      <c r="E32" s="3522"/>
      <c r="F32" s="3544">
        <f>F27*1.12</f>
        <v>0.83104000000000011</v>
      </c>
      <c r="G32" s="662">
        <f t="shared" si="5"/>
        <v>0</v>
      </c>
      <c r="H32" s="3232"/>
      <c r="I32" s="3322">
        <f t="shared" si="6"/>
        <v>0</v>
      </c>
      <c r="J32" s="3232"/>
      <c r="K32" s="3322"/>
      <c r="L32" s="3232"/>
      <c r="M32" s="3320"/>
      <c r="N32" s="3232"/>
      <c r="O32" s="3320"/>
      <c r="P32" s="3232"/>
      <c r="Q32" s="3320"/>
      <c r="R32" s="3232"/>
      <c r="S32" s="3320"/>
    </row>
    <row r="33" spans="1:19">
      <c r="A33" s="3538"/>
      <c r="B33" s="3328"/>
      <c r="C33" s="3520"/>
      <c r="D33" s="3521"/>
      <c r="E33" s="3522"/>
      <c r="F33" s="3544"/>
      <c r="G33" s="662">
        <f t="shared" si="5"/>
        <v>0</v>
      </c>
      <c r="H33" s="3232"/>
      <c r="I33" s="3322">
        <f t="shared" si="6"/>
        <v>0</v>
      </c>
      <c r="J33" s="3232"/>
      <c r="K33" s="3322"/>
      <c r="L33" s="3232"/>
      <c r="M33" s="3320"/>
      <c r="N33" s="3232"/>
      <c r="O33" s="3320"/>
      <c r="P33" s="3232"/>
      <c r="Q33" s="3320"/>
      <c r="R33" s="3232"/>
      <c r="S33" s="3320"/>
    </row>
    <row r="34" spans="1:19">
      <c r="A34" s="3538"/>
      <c r="B34" s="3328"/>
      <c r="C34" s="3520"/>
      <c r="D34" s="3521"/>
      <c r="E34" s="3522"/>
      <c r="F34" s="3544"/>
      <c r="G34" s="662">
        <f t="shared" si="5"/>
        <v>0</v>
      </c>
      <c r="H34" s="3232"/>
      <c r="I34" s="3322">
        <f t="shared" si="6"/>
        <v>0</v>
      </c>
      <c r="J34" s="3232"/>
      <c r="K34" s="3322"/>
      <c r="L34" s="3232"/>
      <c r="M34" s="3320"/>
      <c r="N34" s="3232"/>
      <c r="O34" s="3320"/>
      <c r="P34" s="3232"/>
      <c r="Q34" s="3320"/>
      <c r="R34" s="3232"/>
      <c r="S34" s="3320"/>
    </row>
    <row r="35" spans="1:19">
      <c r="A35" s="3538"/>
      <c r="B35" s="3328"/>
      <c r="C35" s="3520"/>
      <c r="D35" s="3521"/>
      <c r="E35" s="3522"/>
      <c r="F35" s="3544"/>
      <c r="G35" s="662">
        <f t="shared" si="5"/>
        <v>0</v>
      </c>
      <c r="H35" s="3232"/>
      <c r="I35" s="3322">
        <f t="shared" si="6"/>
        <v>0</v>
      </c>
      <c r="J35" s="3232"/>
      <c r="K35" s="3322"/>
      <c r="L35" s="3232"/>
      <c r="M35" s="3320"/>
      <c r="N35" s="3232"/>
      <c r="O35" s="3320"/>
      <c r="P35" s="3232"/>
      <c r="Q35" s="3320"/>
      <c r="R35" s="3232"/>
      <c r="S35" s="3320"/>
    </row>
    <row r="36" spans="1:19">
      <c r="A36" s="3538"/>
      <c r="B36" s="3328"/>
      <c r="C36" s="3520"/>
      <c r="D36" s="3521"/>
      <c r="E36" s="3522"/>
      <c r="F36" s="3544"/>
      <c r="G36" s="662">
        <f t="shared" si="5"/>
        <v>0</v>
      </c>
      <c r="H36" s="3232"/>
      <c r="I36" s="3322">
        <f t="shared" si="6"/>
        <v>0</v>
      </c>
      <c r="J36" s="3232"/>
      <c r="K36" s="3322"/>
      <c r="L36" s="3232"/>
      <c r="M36" s="3320"/>
      <c r="N36" s="3232"/>
      <c r="O36" s="3320"/>
      <c r="P36" s="3232"/>
      <c r="Q36" s="3320"/>
      <c r="R36" s="3232"/>
      <c r="S36" s="3320"/>
    </row>
    <row r="37" spans="1:19">
      <c r="A37" s="3538"/>
      <c r="B37" s="3328"/>
      <c r="C37" s="3520"/>
      <c r="D37" s="3521"/>
      <c r="E37" s="3522"/>
      <c r="F37" s="3544"/>
      <c r="G37" s="662">
        <f t="shared" si="5"/>
        <v>0</v>
      </c>
      <c r="H37" s="3232"/>
      <c r="I37" s="3322">
        <f t="shared" si="6"/>
        <v>0</v>
      </c>
      <c r="J37" s="3232"/>
      <c r="K37" s="3322"/>
      <c r="L37" s="3232"/>
      <c r="M37" s="3320"/>
      <c r="N37" s="3232"/>
      <c r="O37" s="3320"/>
      <c r="P37" s="3232"/>
      <c r="Q37" s="3320"/>
      <c r="R37" s="3232"/>
      <c r="S37" s="3320"/>
    </row>
    <row r="38" spans="1:19">
      <c r="A38" s="3538"/>
      <c r="B38" s="3328"/>
      <c r="C38" s="3520"/>
      <c r="D38" s="3521"/>
      <c r="E38" s="3522"/>
      <c r="F38" s="3544"/>
      <c r="G38" s="662">
        <f t="shared" si="5"/>
        <v>0</v>
      </c>
      <c r="H38" s="3232"/>
      <c r="I38" s="3322">
        <f t="shared" si="6"/>
        <v>0</v>
      </c>
      <c r="J38" s="3232"/>
      <c r="K38" s="3322"/>
      <c r="L38" s="3232"/>
      <c r="M38" s="3320"/>
      <c r="N38" s="3232"/>
      <c r="O38" s="3320"/>
      <c r="P38" s="3232"/>
      <c r="Q38" s="3320"/>
      <c r="R38" s="3232"/>
      <c r="S38" s="3320"/>
    </row>
    <row r="39" spans="1:19">
      <c r="A39" s="3538"/>
      <c r="B39" s="3328"/>
      <c r="C39" s="3520"/>
      <c r="D39" s="3521"/>
      <c r="E39" s="3522"/>
      <c r="F39" s="3544"/>
      <c r="G39" s="662">
        <f t="shared" si="5"/>
        <v>0</v>
      </c>
      <c r="H39" s="3232"/>
      <c r="I39" s="3322">
        <f t="shared" si="6"/>
        <v>0</v>
      </c>
      <c r="J39" s="3232"/>
      <c r="K39" s="3322"/>
      <c r="L39" s="3232"/>
      <c r="M39" s="3320"/>
      <c r="N39" s="3232"/>
      <c r="O39" s="3320"/>
      <c r="P39" s="3232"/>
      <c r="Q39" s="3320"/>
      <c r="R39" s="3232"/>
      <c r="S39" s="3320"/>
    </row>
    <row r="40" spans="1:19">
      <c r="A40" s="3538"/>
      <c r="B40" s="3328"/>
      <c r="C40" s="3520"/>
      <c r="D40" s="3521"/>
      <c r="E40" s="3522"/>
      <c r="F40" s="3544"/>
      <c r="G40" s="662">
        <f t="shared" si="5"/>
        <v>0</v>
      </c>
      <c r="H40" s="3232"/>
      <c r="I40" s="3322">
        <f t="shared" si="6"/>
        <v>0</v>
      </c>
      <c r="J40" s="3232"/>
      <c r="K40" s="3322"/>
      <c r="L40" s="3232"/>
      <c r="M40" s="3320"/>
      <c r="N40" s="3232"/>
      <c r="O40" s="3320"/>
      <c r="P40" s="3232"/>
      <c r="Q40" s="3320"/>
      <c r="R40" s="3232"/>
      <c r="S40" s="3320"/>
    </row>
    <row r="41" spans="1:19">
      <c r="A41" s="3538"/>
      <c r="B41" s="3328"/>
      <c r="C41" s="3520"/>
      <c r="D41" s="3521"/>
      <c r="E41" s="3522"/>
      <c r="F41" s="3544"/>
      <c r="G41" s="662">
        <f t="shared" si="5"/>
        <v>0</v>
      </c>
      <c r="H41" s="3232"/>
      <c r="I41" s="3322">
        <f t="shared" si="6"/>
        <v>0</v>
      </c>
      <c r="J41" s="3232"/>
      <c r="K41" s="3322"/>
      <c r="L41" s="3232"/>
      <c r="M41" s="3320"/>
      <c r="N41" s="3232"/>
      <c r="O41" s="3320"/>
      <c r="P41" s="3232"/>
      <c r="Q41" s="3320"/>
      <c r="R41" s="3232"/>
      <c r="S41" s="3320"/>
    </row>
    <row r="42" spans="1:19">
      <c r="A42" s="3538"/>
      <c r="B42" s="3328"/>
      <c r="C42" s="3520"/>
      <c r="D42" s="3521"/>
      <c r="E42" s="3522"/>
      <c r="F42" s="3544"/>
      <c r="G42" s="662">
        <f t="shared" si="5"/>
        <v>0</v>
      </c>
      <c r="H42" s="3232"/>
      <c r="I42" s="3322">
        <f t="shared" si="6"/>
        <v>0</v>
      </c>
      <c r="J42" s="3232"/>
      <c r="K42" s="3322"/>
      <c r="L42" s="3232"/>
      <c r="M42" s="3320"/>
      <c r="N42" s="3232"/>
      <c r="O42" s="3320"/>
      <c r="P42" s="3232"/>
      <c r="Q42" s="3320"/>
      <c r="R42" s="3232"/>
      <c r="S42" s="3320"/>
    </row>
    <row r="43" spans="1:19">
      <c r="A43" s="3538"/>
      <c r="B43" s="3328"/>
      <c r="C43" s="3520"/>
      <c r="D43" s="3521"/>
      <c r="E43" s="3522"/>
      <c r="F43" s="3544"/>
      <c r="G43" s="662">
        <f t="shared" si="5"/>
        <v>0</v>
      </c>
      <c r="H43" s="3232"/>
      <c r="I43" s="3322">
        <f t="shared" si="6"/>
        <v>0</v>
      </c>
      <c r="J43" s="3232"/>
      <c r="K43" s="3322"/>
      <c r="L43" s="3232"/>
      <c r="M43" s="3320"/>
      <c r="N43" s="3232"/>
      <c r="O43" s="3320"/>
      <c r="P43" s="3232"/>
      <c r="Q43" s="3320"/>
      <c r="R43" s="3232"/>
      <c r="S43" s="3320"/>
    </row>
    <row r="44" spans="1:19">
      <c r="A44" s="3538"/>
      <c r="B44" s="3328"/>
      <c r="C44" s="3520"/>
      <c r="D44" s="3521"/>
      <c r="E44" s="3522"/>
      <c r="F44" s="3544"/>
      <c r="G44" s="662">
        <f t="shared" si="5"/>
        <v>0</v>
      </c>
      <c r="H44" s="3232"/>
      <c r="I44" s="3322">
        <f t="shared" si="6"/>
        <v>0</v>
      </c>
      <c r="J44" s="3232"/>
      <c r="K44" s="3322"/>
      <c r="L44" s="3232"/>
      <c r="M44" s="3320"/>
      <c r="N44" s="3232"/>
      <c r="O44" s="3320"/>
      <c r="P44" s="3232"/>
      <c r="Q44" s="3320"/>
      <c r="R44" s="3232"/>
      <c r="S44" s="3320"/>
    </row>
    <row r="45" spans="1:19">
      <c r="A45" s="3538"/>
      <c r="B45" s="3328"/>
      <c r="C45" s="3520"/>
      <c r="D45" s="3521"/>
      <c r="E45" s="3522"/>
      <c r="F45" s="3544"/>
      <c r="G45" s="662">
        <f t="shared" si="5"/>
        <v>0</v>
      </c>
      <c r="H45" s="3232"/>
      <c r="I45" s="3322">
        <f t="shared" si="6"/>
        <v>0</v>
      </c>
      <c r="J45" s="3232"/>
      <c r="K45" s="3322"/>
      <c r="L45" s="3232"/>
      <c r="M45" s="3320"/>
      <c r="N45" s="3232"/>
      <c r="O45" s="3320"/>
      <c r="P45" s="3232"/>
      <c r="Q45" s="3320"/>
      <c r="R45" s="3232"/>
      <c r="S45" s="3320"/>
    </row>
    <row r="46" spans="1:19">
      <c r="A46" s="3538"/>
      <c r="B46" s="3328"/>
      <c r="C46" s="3520"/>
      <c r="D46" s="3521"/>
      <c r="E46" s="3522"/>
      <c r="F46" s="3544"/>
      <c r="G46" s="662">
        <f t="shared" si="5"/>
        <v>0</v>
      </c>
      <c r="H46" s="3232"/>
      <c r="I46" s="3322">
        <f t="shared" si="6"/>
        <v>0</v>
      </c>
      <c r="J46" s="3232"/>
      <c r="K46" s="3322"/>
      <c r="L46" s="3232"/>
      <c r="M46" s="3320"/>
      <c r="N46" s="3232"/>
      <c r="O46" s="3320"/>
      <c r="P46" s="3232"/>
      <c r="Q46" s="3320"/>
      <c r="R46" s="3232"/>
      <c r="S46" s="3320"/>
    </row>
    <row r="47" spans="1:19">
      <c r="A47" s="3538"/>
      <c r="B47" s="3328"/>
      <c r="C47" s="3520"/>
      <c r="D47" s="3521"/>
      <c r="E47" s="3522"/>
      <c r="F47" s="3544"/>
      <c r="G47" s="662">
        <f t="shared" si="5"/>
        <v>0</v>
      </c>
      <c r="H47" s="3232"/>
      <c r="I47" s="3322">
        <f t="shared" si="6"/>
        <v>0</v>
      </c>
      <c r="J47" s="3232"/>
      <c r="K47" s="3322"/>
      <c r="L47" s="3232"/>
      <c r="M47" s="3320"/>
      <c r="N47" s="3232"/>
      <c r="O47" s="3320"/>
      <c r="P47" s="3232"/>
      <c r="Q47" s="3320"/>
      <c r="R47" s="3232"/>
      <c r="S47" s="3320"/>
    </row>
    <row r="48" spans="1:19">
      <c r="A48" s="3538"/>
      <c r="B48" s="3328"/>
      <c r="C48" s="3520"/>
      <c r="D48" s="3521"/>
      <c r="E48" s="3522"/>
      <c r="F48" s="3544"/>
      <c r="G48" s="662">
        <f t="shared" si="5"/>
        <v>0</v>
      </c>
      <c r="H48" s="3232"/>
      <c r="I48" s="3322">
        <f t="shared" si="6"/>
        <v>0</v>
      </c>
      <c r="J48" s="3232"/>
      <c r="K48" s="3322"/>
      <c r="L48" s="3232"/>
      <c r="M48" s="3320"/>
      <c r="N48" s="3232"/>
      <c r="O48" s="3320"/>
      <c r="P48" s="3232"/>
      <c r="Q48" s="3320"/>
      <c r="R48" s="3232"/>
      <c r="S48" s="3320"/>
    </row>
    <row r="49" spans="1:34">
      <c r="A49" s="3538"/>
      <c r="B49" s="3328"/>
      <c r="C49" s="3520"/>
      <c r="D49" s="3521"/>
      <c r="E49" s="3522"/>
      <c r="F49" s="3544"/>
      <c r="G49" s="662">
        <f t="shared" si="5"/>
        <v>0</v>
      </c>
      <c r="H49" s="3232"/>
      <c r="I49" s="3322">
        <f t="shared" si="6"/>
        <v>0</v>
      </c>
      <c r="J49" s="3232"/>
      <c r="K49" s="3322"/>
      <c r="L49" s="3232"/>
      <c r="M49" s="3320"/>
      <c r="N49" s="3232"/>
      <c r="O49" s="3320"/>
      <c r="P49" s="3232"/>
      <c r="Q49" s="3320"/>
      <c r="R49" s="3232"/>
      <c r="S49" s="3320"/>
    </row>
    <row r="50" spans="1:34" ht="15.75" thickBot="1">
      <c r="A50" s="3538"/>
      <c r="B50" s="3328"/>
      <c r="C50" s="3520"/>
      <c r="D50" s="3521"/>
      <c r="E50" s="3522"/>
      <c r="F50" s="3544"/>
      <c r="G50" s="662">
        <f t="shared" si="5"/>
        <v>0</v>
      </c>
      <c r="H50" s="3232"/>
      <c r="I50" s="3322">
        <f t="shared" si="6"/>
        <v>0</v>
      </c>
      <c r="J50" s="3232"/>
      <c r="K50" s="3322"/>
      <c r="L50" s="3232"/>
      <c r="M50" s="3320"/>
      <c r="N50" s="3232"/>
      <c r="O50" s="3320"/>
      <c r="P50" s="3232"/>
      <c r="Q50" s="3320"/>
      <c r="R50" s="3232"/>
      <c r="S50" s="3320"/>
    </row>
    <row r="51" spans="1:34" ht="15.75" thickTop="1">
      <c r="A51" s="13"/>
      <c r="B51" s="226" t="s">
        <v>3265</v>
      </c>
      <c r="C51" s="15"/>
      <c r="D51" s="168"/>
      <c r="E51" s="176"/>
      <c r="F51" s="17"/>
      <c r="G51" s="227">
        <f>SUBTOTAL(9,G23:G50)</f>
        <v>204809</v>
      </c>
      <c r="H51" s="19"/>
      <c r="I51" s="225">
        <f>SUBTOTAL(9,I23:I50)</f>
        <v>204809</v>
      </c>
      <c r="J51" s="19"/>
      <c r="K51" s="225">
        <f>SUBTOTAL(9,K23:K50)</f>
        <v>0</v>
      </c>
      <c r="L51" s="19"/>
      <c r="M51" s="225">
        <f>SUBTOTAL(9,M23:M50)</f>
        <v>0</v>
      </c>
      <c r="N51" s="19"/>
      <c r="O51" s="164">
        <f>SUM(O19:O50)</f>
        <v>0</v>
      </c>
      <c r="P51" s="19"/>
      <c r="Q51" s="164">
        <f>SUM(Q19:Q50)</f>
        <v>0</v>
      </c>
      <c r="R51" s="19"/>
      <c r="S51" s="164">
        <f>SUM(S19:S50)</f>
        <v>0</v>
      </c>
    </row>
    <row r="52" spans="1:34">
      <c r="A52" s="3479"/>
      <c r="B52" s="3480" t="s">
        <v>2976</v>
      </c>
      <c r="C52" s="3481"/>
      <c r="D52" s="3482"/>
      <c r="E52" s="3483"/>
      <c r="F52" s="3484"/>
      <c r="G52" s="654"/>
      <c r="H52" s="3425">
        <v>0</v>
      </c>
      <c r="I52" s="645"/>
      <c r="J52" s="3425">
        <v>0</v>
      </c>
      <c r="K52" s="645"/>
      <c r="L52" s="3425">
        <v>0</v>
      </c>
      <c r="M52" s="645"/>
      <c r="N52" s="3425">
        <v>0</v>
      </c>
      <c r="O52" s="645"/>
      <c r="P52" s="3425">
        <v>0</v>
      </c>
      <c r="Q52" s="645"/>
      <c r="R52" s="3425">
        <v>0</v>
      </c>
      <c r="S52" s="645"/>
    </row>
    <row r="53" spans="1:34">
      <c r="A53" s="3479"/>
      <c r="B53" s="3480" t="s">
        <v>2977</v>
      </c>
      <c r="C53" s="3481"/>
      <c r="D53" s="3482"/>
      <c r="E53" s="3483"/>
      <c r="F53" s="3484"/>
      <c r="G53" s="654">
        <f>F52*G51</f>
        <v>0</v>
      </c>
      <c r="H53" s="3426"/>
      <c r="I53" s="3427">
        <f>H52*I51</f>
        <v>0</v>
      </c>
      <c r="J53" s="3426"/>
      <c r="K53" s="3427">
        <f>J52*K51</f>
        <v>0</v>
      </c>
      <c r="L53" s="3426"/>
      <c r="M53" s="3427">
        <f>L52*M51</f>
        <v>0</v>
      </c>
      <c r="N53" s="3426"/>
      <c r="O53" s="3427">
        <f>N52*O51</f>
        <v>0</v>
      </c>
      <c r="P53" s="3426"/>
      <c r="Q53" s="3427">
        <f>P52*Q51</f>
        <v>0</v>
      </c>
      <c r="R53" s="3426"/>
      <c r="S53" s="3427">
        <f>R52*S51</f>
        <v>0</v>
      </c>
    </row>
    <row r="54" spans="1:34">
      <c r="A54" s="3479"/>
      <c r="B54" s="3480"/>
      <c r="C54" s="3481"/>
      <c r="D54" s="3482"/>
      <c r="E54" s="3483"/>
      <c r="F54" s="3484"/>
      <c r="G54" s="654"/>
      <c r="H54" s="3426"/>
      <c r="I54" s="3427"/>
      <c r="J54" s="3426"/>
      <c r="K54" s="3427"/>
      <c r="L54" s="3426"/>
      <c r="M54" s="3427"/>
      <c r="N54" s="3426"/>
      <c r="O54" s="3427"/>
      <c r="P54" s="3426"/>
      <c r="Q54" s="3427"/>
      <c r="R54" s="3426"/>
      <c r="S54" s="3427"/>
    </row>
    <row r="55" spans="1:34">
      <c r="A55" s="3479"/>
      <c r="B55" s="3480" t="s">
        <v>2978</v>
      </c>
      <c r="C55" s="3481"/>
      <c r="D55" s="3482"/>
      <c r="E55" s="3483"/>
      <c r="F55" s="3484"/>
      <c r="G55" s="654">
        <f>SUM(G51:G53)</f>
        <v>204809</v>
      </c>
      <c r="H55" s="3428"/>
      <c r="I55" s="3427">
        <f>SUM(I51:I53)</f>
        <v>204809</v>
      </c>
      <c r="J55" s="3428"/>
      <c r="K55" s="3427">
        <f>SUM(K51:K53)</f>
        <v>0</v>
      </c>
      <c r="L55" s="3428"/>
      <c r="M55" s="3427">
        <f>SUM(M51:M53)</f>
        <v>0</v>
      </c>
      <c r="N55" s="3428"/>
      <c r="O55" s="3427">
        <f>SUM(O51:O53)</f>
        <v>0</v>
      </c>
      <c r="P55" s="3428"/>
      <c r="Q55" s="3427">
        <f>SUM(Q51:Q53)</f>
        <v>0</v>
      </c>
      <c r="R55" s="3428"/>
      <c r="S55" s="3427">
        <f>SUM(S51:S53)</f>
        <v>0</v>
      </c>
    </row>
    <row r="56" spans="1:34">
      <c r="A56" s="3479"/>
      <c r="B56" s="3489" t="s">
        <v>2979</v>
      </c>
      <c r="C56" s="3481"/>
      <c r="D56" s="3482"/>
      <c r="E56" s="3483"/>
      <c r="F56" s="3489"/>
      <c r="G56" s="655">
        <f>G55/'Area Calculations'!$F$5</f>
        <v>2.3097370083002526</v>
      </c>
      <c r="H56" s="3429"/>
      <c r="I56" s="3430">
        <f>I55/'Area Calculations'!$F$5</f>
        <v>2.3097370083002526</v>
      </c>
      <c r="J56" s="3429"/>
      <c r="K56" s="3430">
        <f>K55/'Area Calculations'!$F$5</f>
        <v>0</v>
      </c>
      <c r="L56" s="3429"/>
      <c r="M56" s="3430">
        <f>M55/'Area Calculations'!$F$5</f>
        <v>0</v>
      </c>
      <c r="N56" s="3429"/>
      <c r="O56" s="3430">
        <f>O55/'Area Calculations'!$F$5</f>
        <v>0</v>
      </c>
      <c r="P56" s="3429"/>
      <c r="Q56" s="3430">
        <f>Q55/'Area Calculations'!$F$5</f>
        <v>0</v>
      </c>
      <c r="R56" s="3431"/>
      <c r="S56" s="3430">
        <f>S55/'Area Calculations'!$F$5</f>
        <v>0</v>
      </c>
    </row>
    <row r="57" spans="1:34">
      <c r="A57" s="3479"/>
      <c r="B57" s="3493"/>
      <c r="C57" s="3481"/>
      <c r="D57" s="3482"/>
      <c r="E57" s="3483"/>
      <c r="F57" s="3484"/>
      <c r="G57" s="656"/>
      <c r="H57" s="3432"/>
      <c r="I57" s="3433"/>
      <c r="J57" s="3432"/>
      <c r="K57" s="3433"/>
      <c r="L57" s="3432"/>
      <c r="M57" s="3432"/>
      <c r="N57" s="3432"/>
      <c r="O57" s="3432"/>
      <c r="P57" s="3432"/>
      <c r="Q57" s="3432"/>
      <c r="R57" s="3432"/>
      <c r="S57" s="3432"/>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3297"/>
      <c r="B59" s="3519"/>
      <c r="C59" s="3298"/>
      <c r="D59" s="3496"/>
      <c r="E59" s="3300"/>
      <c r="F59" s="3298"/>
      <c r="G59" s="3367"/>
      <c r="H59" s="3302"/>
      <c r="I59" s="3302"/>
      <c r="J59" s="3302"/>
      <c r="K59" s="3302"/>
      <c r="L59" s="3302"/>
      <c r="M59" s="3302"/>
      <c r="N59" s="3302"/>
      <c r="O59" s="3302"/>
      <c r="P59" s="3302"/>
      <c r="Q59" s="3302"/>
      <c r="R59" s="3302"/>
      <c r="S59" s="3302"/>
    </row>
    <row r="60" spans="1:34" hidden="1">
      <c r="A60" s="3297"/>
      <c r="B60" s="3519"/>
      <c r="C60" s="3298"/>
      <c r="D60" s="3496"/>
      <c r="E60" s="3300"/>
      <c r="F60" s="3298"/>
      <c r="G60" s="3367"/>
      <c r="H60" s="3302"/>
      <c r="I60" s="3302"/>
      <c r="J60" s="3302"/>
      <c r="K60" s="3302"/>
      <c r="L60" s="3302"/>
      <c r="M60" s="3302"/>
      <c r="N60" s="3302"/>
      <c r="O60" s="3302"/>
      <c r="P60" s="3302"/>
      <c r="Q60" s="3302"/>
      <c r="R60" s="3302"/>
      <c r="S60" s="3302"/>
    </row>
    <row r="61" spans="1:34" ht="15.75" hidden="1" thickBot="1">
      <c r="A61" s="3297"/>
      <c r="B61" s="3519"/>
      <c r="C61" s="3298"/>
      <c r="D61" s="3496"/>
      <c r="E61" s="3300"/>
      <c r="F61" s="3298"/>
      <c r="G61" s="3367"/>
      <c r="H61" s="3302"/>
      <c r="I61" s="3302"/>
      <c r="J61" s="3302"/>
      <c r="K61" s="3302"/>
      <c r="L61" s="3302"/>
      <c r="M61" s="3302"/>
      <c r="N61" s="3302"/>
      <c r="O61" s="3302"/>
      <c r="P61" s="3302"/>
      <c r="Q61" s="3302"/>
      <c r="R61" s="3302"/>
      <c r="S61" s="3302"/>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3297"/>
      <c r="B63" s="3519"/>
      <c r="C63" s="3298"/>
      <c r="D63" s="3496"/>
      <c r="E63" s="3300"/>
      <c r="F63" s="3298"/>
      <c r="G63" s="3367"/>
      <c r="H63" s="3302"/>
      <c r="I63" s="3302"/>
      <c r="J63" s="3302"/>
      <c r="K63" s="3302"/>
      <c r="L63" s="3302"/>
      <c r="M63" s="3302"/>
      <c r="N63" s="3302"/>
      <c r="O63" s="3302"/>
      <c r="P63" s="3302"/>
      <c r="Q63" s="3302"/>
      <c r="R63" s="3302"/>
      <c r="S63" s="3302"/>
      <c r="T63"/>
      <c r="U63"/>
      <c r="V63"/>
      <c r="W63"/>
      <c r="X63"/>
      <c r="Y63"/>
      <c r="Z63"/>
      <c r="AA63"/>
      <c r="AB63"/>
      <c r="AC63"/>
      <c r="AD63"/>
      <c r="AE63"/>
      <c r="AF63"/>
      <c r="AG63"/>
      <c r="AH63"/>
    </row>
    <row r="64" spans="1:34" s="2" customFormat="1" hidden="1">
      <c r="A64" s="3297"/>
      <c r="B64" s="3519"/>
      <c r="C64" s="3298"/>
      <c r="D64" s="3496"/>
      <c r="E64" s="3300"/>
      <c r="F64" s="3298"/>
      <c r="G64" s="3367"/>
      <c r="H64" s="3302"/>
      <c r="I64" s="3302"/>
      <c r="J64" s="3302"/>
      <c r="K64" s="3302"/>
      <c r="L64" s="3302"/>
      <c r="M64" s="3302"/>
      <c r="N64" s="3302"/>
      <c r="O64" s="3302"/>
      <c r="P64" s="3302"/>
      <c r="Q64" s="3302"/>
      <c r="R64" s="3302"/>
      <c r="S64" s="3302"/>
      <c r="T64"/>
      <c r="U64"/>
      <c r="V64"/>
      <c r="W64"/>
      <c r="X64"/>
      <c r="Y64"/>
      <c r="Z64"/>
      <c r="AA64"/>
      <c r="AB64"/>
      <c r="AC64"/>
      <c r="AD64"/>
      <c r="AE64"/>
      <c r="AF64"/>
      <c r="AG64"/>
      <c r="AH64"/>
    </row>
    <row r="65" spans="1:34" ht="15.75" hidden="1" thickBot="1">
      <c r="A65" s="3297"/>
      <c r="B65" s="3519"/>
      <c r="C65" s="3298"/>
      <c r="D65" s="3496"/>
      <c r="E65" s="3300"/>
      <c r="F65" s="3298"/>
      <c r="G65" s="3367"/>
      <c r="H65" s="3302"/>
      <c r="I65" s="3302"/>
      <c r="J65" s="3302"/>
      <c r="K65" s="3302"/>
      <c r="L65" s="3302"/>
      <c r="M65" s="3302"/>
      <c r="N65" s="3302"/>
      <c r="O65" s="3302"/>
      <c r="P65" s="3302"/>
      <c r="Q65" s="3302"/>
      <c r="R65" s="3302"/>
      <c r="S65" s="3302"/>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3297"/>
      <c r="B67" s="3519"/>
      <c r="C67" s="3298"/>
      <c r="D67" s="3496"/>
      <c r="E67" s="3300"/>
      <c r="F67" s="3298"/>
      <c r="G67" s="3367"/>
      <c r="H67" s="3302"/>
      <c r="I67" s="3302"/>
      <c r="J67" s="3302"/>
      <c r="K67" s="3302"/>
      <c r="L67" s="3302"/>
      <c r="M67" s="3302"/>
      <c r="N67" s="3302"/>
      <c r="O67" s="3302"/>
      <c r="P67" s="3302"/>
      <c r="Q67" s="3302"/>
      <c r="R67" s="3302"/>
      <c r="S67" s="3302"/>
      <c r="T67"/>
      <c r="U67"/>
      <c r="V67"/>
      <c r="W67"/>
      <c r="X67"/>
      <c r="Y67"/>
      <c r="Z67"/>
      <c r="AA67"/>
      <c r="AB67"/>
      <c r="AC67"/>
      <c r="AD67"/>
      <c r="AE67"/>
      <c r="AF67"/>
      <c r="AG67"/>
      <c r="AH67"/>
    </row>
    <row r="68" spans="1:34" s="2" customFormat="1" hidden="1">
      <c r="A68" s="3497"/>
      <c r="B68" s="3519"/>
      <c r="C68" s="3520"/>
      <c r="D68" s="3521"/>
      <c r="E68" s="3522"/>
      <c r="F68" s="3520"/>
      <c r="G68" s="3498"/>
      <c r="H68" s="3434"/>
      <c r="I68" s="3434"/>
      <c r="J68" s="3434"/>
      <c r="K68" s="3434"/>
      <c r="L68" s="3434"/>
      <c r="M68" s="3434"/>
      <c r="N68" s="3434"/>
      <c r="O68" s="3434"/>
      <c r="P68" s="3434"/>
      <c r="Q68" s="3434"/>
      <c r="R68" s="3434"/>
      <c r="S68" s="3434"/>
      <c r="T68"/>
      <c r="U68"/>
      <c r="V68"/>
      <c r="W68"/>
      <c r="X68"/>
      <c r="Y68"/>
      <c r="Z68"/>
      <c r="AA68"/>
      <c r="AB68"/>
      <c r="AC68"/>
      <c r="AD68"/>
      <c r="AE68"/>
      <c r="AF68"/>
      <c r="AG68"/>
      <c r="AH68"/>
    </row>
    <row r="69" spans="1:34" s="2" customFormat="1" ht="15.75" hidden="1" thickBot="1">
      <c r="A69" s="3500"/>
      <c r="B69" s="3501"/>
      <c r="C69" s="3520"/>
      <c r="D69" s="3521"/>
      <c r="E69" s="3522"/>
      <c r="F69" s="3520"/>
      <c r="G69" s="3498"/>
      <c r="H69" s="3435"/>
      <c r="I69" s="3435"/>
      <c r="J69" s="3435"/>
      <c r="K69" s="3435"/>
      <c r="L69" s="3435"/>
      <c r="M69" s="3435"/>
      <c r="N69" s="3435"/>
      <c r="O69" s="3435"/>
      <c r="P69" s="3435"/>
      <c r="Q69" s="3435"/>
      <c r="R69" s="3435"/>
      <c r="S69" s="3435"/>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3303"/>
      <c r="B71" s="3304"/>
      <c r="C71" s="3298"/>
      <c r="D71" s="3496"/>
      <c r="E71" s="3300"/>
      <c r="F71" s="3298"/>
      <c r="G71" s="3367"/>
      <c r="H71" s="3302"/>
      <c r="I71" s="3302"/>
      <c r="J71" s="3302"/>
      <c r="K71" s="3302"/>
      <c r="L71" s="3302"/>
      <c r="M71" s="3302"/>
      <c r="N71" s="3302"/>
      <c r="O71" s="3302"/>
      <c r="P71" s="3302"/>
      <c r="Q71" s="3302"/>
      <c r="R71" s="3302"/>
      <c r="S71" s="3302"/>
      <c r="T71" s="2"/>
      <c r="U71" s="2"/>
      <c r="V71" s="2"/>
      <c r="W71" s="2"/>
      <c r="X71" s="2"/>
      <c r="Y71" s="2"/>
      <c r="Z71" s="2"/>
      <c r="AA71" s="2"/>
      <c r="AB71" s="2"/>
      <c r="AC71" s="2"/>
      <c r="AD71" s="2"/>
      <c r="AE71" s="2"/>
      <c r="AF71" s="2"/>
      <c r="AG71" s="2"/>
      <c r="AH71" s="2"/>
    </row>
    <row r="72" spans="1:34" hidden="1">
      <c r="A72" s="3500"/>
      <c r="B72" s="3501"/>
      <c r="C72" s="3520"/>
      <c r="D72" s="3521"/>
      <c r="E72" s="3522"/>
      <c r="F72" s="3520"/>
      <c r="G72" s="3498"/>
      <c r="H72" s="3436"/>
      <c r="I72" s="3436"/>
      <c r="J72" s="3436"/>
      <c r="K72" s="3436"/>
      <c r="L72" s="3436"/>
      <c r="M72" s="3436"/>
      <c r="N72" s="3436"/>
      <c r="O72" s="3436"/>
      <c r="P72" s="3436"/>
      <c r="Q72" s="3436"/>
      <c r="R72" s="3436"/>
      <c r="S72" s="3436"/>
      <c r="T72" s="2"/>
      <c r="U72" s="2"/>
      <c r="V72" s="2"/>
      <c r="W72" s="2"/>
      <c r="X72" s="2"/>
      <c r="Y72" s="2"/>
      <c r="Z72" s="2"/>
      <c r="AA72" s="2"/>
      <c r="AB72" s="2"/>
      <c r="AC72" s="2"/>
      <c r="AD72" s="2"/>
      <c r="AE72" s="2"/>
      <c r="AF72" s="2"/>
      <c r="AG72" s="2"/>
      <c r="AH72" s="2"/>
    </row>
    <row r="73" spans="1:34" ht="15.75" hidden="1" thickBot="1">
      <c r="A73" s="3500"/>
      <c r="B73" s="3501"/>
      <c r="C73" s="3520"/>
      <c r="D73" s="3521"/>
      <c r="E73" s="3522"/>
      <c r="F73" s="3520"/>
      <c r="G73" s="3498"/>
      <c r="H73" s="3436"/>
      <c r="I73" s="3436"/>
      <c r="J73" s="3436"/>
      <c r="K73" s="3436"/>
      <c r="L73" s="3436"/>
      <c r="M73" s="3436"/>
      <c r="N73" s="3436"/>
      <c r="O73" s="3436"/>
      <c r="P73" s="3436"/>
      <c r="Q73" s="3436"/>
      <c r="R73" s="3436"/>
      <c r="S73" s="3436"/>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3497"/>
      <c r="B75" s="3519" t="s">
        <v>2985</v>
      </c>
      <c r="C75" s="3520"/>
      <c r="D75" s="3521"/>
      <c r="E75" s="3522"/>
      <c r="F75" s="3520"/>
      <c r="G75" s="3498"/>
      <c r="H75" s="3436"/>
      <c r="I75" s="3436"/>
      <c r="J75" s="3436"/>
      <c r="K75" s="3436"/>
      <c r="L75" s="3436"/>
      <c r="M75" s="3436"/>
      <c r="N75" s="3436"/>
      <c r="O75" s="3436"/>
      <c r="P75" s="3436"/>
      <c r="Q75" s="3436"/>
      <c r="R75" s="3436"/>
      <c r="S75" s="3436"/>
    </row>
    <row r="76" spans="1:34" hidden="1">
      <c r="A76" s="3497"/>
      <c r="B76" s="3519" t="s">
        <v>2986</v>
      </c>
      <c r="C76" s="3520"/>
      <c r="D76" s="3521"/>
      <c r="E76" s="3522"/>
      <c r="F76" s="3520"/>
      <c r="G76" s="3498"/>
      <c r="H76" s="3436"/>
      <c r="I76" s="3436"/>
      <c r="J76" s="3436"/>
      <c r="K76" s="3436"/>
      <c r="L76" s="3436"/>
      <c r="M76" s="3436"/>
      <c r="N76" s="3436"/>
      <c r="O76" s="3436"/>
      <c r="P76" s="3436"/>
      <c r="Q76" s="3436"/>
      <c r="R76" s="3436"/>
      <c r="S76" s="3436"/>
    </row>
    <row r="77" spans="1:34" hidden="1">
      <c r="A77" s="3497"/>
      <c r="B77" s="3519" t="s">
        <v>2987</v>
      </c>
      <c r="C77" s="3520"/>
      <c r="D77" s="3521"/>
      <c r="E77" s="3522"/>
      <c r="F77" s="3520"/>
      <c r="G77" s="3498"/>
      <c r="H77" s="3436"/>
      <c r="I77" s="3436"/>
      <c r="J77" s="3436"/>
      <c r="K77" s="3436"/>
      <c r="L77" s="3436"/>
      <c r="M77" s="3436"/>
      <c r="N77" s="3436"/>
      <c r="O77" s="3436"/>
      <c r="P77" s="3436"/>
      <c r="Q77" s="3436"/>
      <c r="R77" s="3436"/>
      <c r="S77" s="3436"/>
    </row>
    <row r="78" spans="1:34" hidden="1">
      <c r="A78" s="3497"/>
      <c r="B78" s="3519" t="s">
        <v>2988</v>
      </c>
      <c r="C78" s="3520"/>
      <c r="D78" s="3521"/>
      <c r="E78" s="3522"/>
      <c r="F78" s="3520"/>
      <c r="G78" s="3498"/>
      <c r="H78" s="3436"/>
      <c r="I78" s="3436"/>
      <c r="J78" s="3436"/>
      <c r="K78" s="3436"/>
      <c r="L78" s="3436"/>
      <c r="M78" s="3436"/>
      <c r="N78" s="3436"/>
      <c r="O78" s="3436"/>
      <c r="P78" s="3436"/>
      <c r="Q78" s="3436"/>
      <c r="R78" s="3436"/>
      <c r="S78" s="3436"/>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3297"/>
      <c r="B81" s="3305" t="s">
        <v>2990</v>
      </c>
      <c r="C81" s="3298"/>
      <c r="D81" s="3496"/>
      <c r="E81" s="3300"/>
      <c r="F81" s="3298"/>
      <c r="G81" s="3367"/>
      <c r="H81" s="3306"/>
      <c r="I81" s="3306"/>
      <c r="J81" s="3306"/>
      <c r="K81" s="3306"/>
      <c r="L81" s="3306"/>
      <c r="M81" s="3306"/>
      <c r="N81" s="3306"/>
      <c r="O81" s="3306"/>
      <c r="P81" s="3306"/>
      <c r="Q81" s="3306"/>
      <c r="R81" s="3306"/>
      <c r="S81" s="3306"/>
    </row>
    <row r="82" spans="1:19" hidden="1">
      <c r="A82" s="3497"/>
      <c r="B82" s="3519" t="s">
        <v>2991</v>
      </c>
      <c r="C82" s="3520"/>
      <c r="D82" s="3521"/>
      <c r="E82" s="3522"/>
      <c r="F82" s="3520"/>
      <c r="G82" s="3498"/>
      <c r="H82" s="3437"/>
      <c r="I82" s="3437"/>
      <c r="J82" s="3437"/>
      <c r="K82" s="3437"/>
      <c r="L82" s="3437"/>
      <c r="M82" s="3437"/>
      <c r="N82" s="3437"/>
      <c r="O82" s="3437"/>
      <c r="P82" s="3437"/>
      <c r="Q82" s="3437"/>
      <c r="R82" s="3437"/>
      <c r="S82" s="3437"/>
    </row>
    <row r="83" spans="1:19" ht="15.75" hidden="1" thickBot="1">
      <c r="A83" s="3197"/>
      <c r="B83" s="3224" t="s">
        <v>2992</v>
      </c>
      <c r="C83" s="3225"/>
      <c r="D83" s="3549"/>
      <c r="E83" s="3199"/>
      <c r="F83" s="3225"/>
      <c r="G83" s="3200"/>
      <c r="H83" s="3201"/>
      <c r="I83" s="3201"/>
      <c r="J83" s="3201"/>
      <c r="K83" s="3201"/>
      <c r="L83" s="3201"/>
      <c r="M83" s="3201"/>
      <c r="N83" s="3201"/>
      <c r="O83" s="3201"/>
      <c r="P83" s="3201"/>
      <c r="Q83" s="3201"/>
      <c r="R83" s="3201"/>
      <c r="S83" s="3201"/>
    </row>
    <row r="84" spans="1:19" ht="15.75" thickBot="1"/>
    <row r="85" spans="1:19" ht="16.5" thickTop="1" thickBot="1">
      <c r="A85" s="59" t="s">
        <v>2993</v>
      </c>
      <c r="B85" s="61"/>
    </row>
    <row r="86" spans="1:19" ht="15.75" thickTop="1">
      <c r="A86" s="60" t="s">
        <v>2936</v>
      </c>
      <c r="B86" s="3202"/>
    </row>
    <row r="87" spans="1:19">
      <c r="A87" s="3510" t="s">
        <v>2939</v>
      </c>
      <c r="B87" s="3202"/>
    </row>
    <row r="88" spans="1:19">
      <c r="A88" s="3204" t="s">
        <v>2941</v>
      </c>
      <c r="B88" s="3205"/>
    </row>
    <row r="89" spans="1:19">
      <c r="A89" s="3204" t="s">
        <v>2943</v>
      </c>
      <c r="B89" s="3206"/>
    </row>
    <row r="90" spans="1:19" ht="15.75" thickBot="1">
      <c r="A90" s="3207" t="s">
        <v>2994</v>
      </c>
      <c r="B90" s="3208">
        <f>$I$55</f>
        <v>204809</v>
      </c>
    </row>
    <row r="91" spans="1:19" ht="15.75" thickTop="1"/>
    <row r="92" spans="1:19">
      <c r="A92" s="62"/>
      <c r="B92" s="1" t="s">
        <v>2995</v>
      </c>
    </row>
    <row r="93" spans="1:19">
      <c r="A93" s="63"/>
      <c r="B93" s="1" t="s">
        <v>2996</v>
      </c>
    </row>
  </sheetData>
  <mergeCells count="35">
    <mergeCell ref="A58:B58"/>
    <mergeCell ref="A62:B62"/>
    <mergeCell ref="A66:B66"/>
    <mergeCell ref="A70:B70"/>
    <mergeCell ref="A74:B74"/>
    <mergeCell ref="H9:I9"/>
    <mergeCell ref="L9:M9"/>
    <mergeCell ref="N9:O9"/>
    <mergeCell ref="P9:Q9"/>
    <mergeCell ref="R9:S9"/>
    <mergeCell ref="J9:K9"/>
    <mergeCell ref="H8:I8"/>
    <mergeCell ref="L8:M8"/>
    <mergeCell ref="N8:O8"/>
    <mergeCell ref="P8:Q8"/>
    <mergeCell ref="R8:S8"/>
    <mergeCell ref="J8:K8"/>
    <mergeCell ref="H7:I7"/>
    <mergeCell ref="L7:M7"/>
    <mergeCell ref="N7:O7"/>
    <mergeCell ref="P7:Q7"/>
    <mergeCell ref="R7:S7"/>
    <mergeCell ref="J7:K7"/>
    <mergeCell ref="H6:I6"/>
    <mergeCell ref="L6:M6"/>
    <mergeCell ref="N6:O6"/>
    <mergeCell ref="P6:Q6"/>
    <mergeCell ref="R6:S6"/>
    <mergeCell ref="J6:K6"/>
    <mergeCell ref="H5:I5"/>
    <mergeCell ref="L5:M5"/>
    <mergeCell ref="N5:O5"/>
    <mergeCell ref="P5:Q5"/>
    <mergeCell ref="R5:S5"/>
    <mergeCell ref="J5:K5"/>
  </mergeCells>
  <conditionalFormatting sqref="H11:H18 L11:L18 N11:N18 P11:P18 R11:R18">
    <cfRule type="cellIs" dxfId="33" priority="9" operator="equal">
      <formula>"X"</formula>
    </cfRule>
    <cfRule type="cellIs" dxfId="32" priority="10" operator="equal">
      <formula>"I"</formula>
    </cfRule>
  </conditionalFormatting>
  <conditionalFormatting sqref="H20:H50">
    <cfRule type="cellIs" dxfId="31" priority="1" operator="equal">
      <formula>"X"</formula>
    </cfRule>
    <cfRule type="cellIs" dxfId="30" priority="2" operator="equal">
      <formula>"I"</formula>
    </cfRule>
  </conditionalFormatting>
  <conditionalFormatting sqref="J11:J18">
    <cfRule type="cellIs" dxfId="29" priority="5" operator="equal">
      <formula>"X"</formula>
    </cfRule>
    <cfRule type="cellIs" dxfId="28" priority="6" operator="equal">
      <formula>"I"</formula>
    </cfRule>
  </conditionalFormatting>
  <conditionalFormatting sqref="J20:J50 L20:L50 N20:N50 P20:P50 R20:R50">
    <cfRule type="cellIs" dxfId="27" priority="3" operator="equal">
      <formula>"X"</formula>
    </cfRule>
    <cfRule type="cellIs" dxfId="26" priority="4" operator="equal">
      <formula>"I"</formula>
    </cfRule>
  </conditionalFormatting>
  <hyperlinks>
    <hyperlink ref="B4" location="'Cost Summary'!A1" display="BACK TO SUMMARY SHEET" xr:uid="{9117B5B1-532A-422C-AC67-FB95B7450211}"/>
  </hyperlinks>
  <pageMargins left="0.2" right="0.2" top="0.5" bottom="0.75" header="0.3" footer="0.3"/>
  <pageSetup paperSize="3" scale="78" fitToHeight="0" orientation="landscape" horizontalDpi="300" verticalDpi="3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ACBB-36A2-427B-B0C7-A567B611C2AD}">
  <sheetPr>
    <tabColor rgb="FF00B050"/>
    <pageSetUpPr fitToPage="1"/>
  </sheetPr>
  <dimension ref="A1:AH183"/>
  <sheetViews>
    <sheetView zoomScale="90" zoomScaleNormal="90" workbookViewId="0">
      <pane xSplit="6" ySplit="10" topLeftCell="G105" activePane="bottomRight" state="frozen"/>
      <selection pane="bottomRight" activeCell="B119" sqref="B119"/>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2" width="15" style="58" bestFit="1" customWidth="1"/>
    <col min="23" max="24" width="12.140625" style="58" bestFit="1" customWidth="1"/>
    <col min="25" max="25" width="15" style="58" bestFit="1" customWidth="1"/>
    <col min="26" max="29" width="8.42578125" style="58" bestFit="1" customWidth="1"/>
    <col min="30" max="30" width="7.28515625" style="58" bestFit="1" customWidth="1"/>
  </cols>
  <sheetData>
    <row r="1" spans="1:30">
      <c r="F1" s="178"/>
      <c r="G1" s="56" t="s">
        <v>2928</v>
      </c>
    </row>
    <row r="2" spans="1:30">
      <c r="F2" s="179" t="s">
        <v>2929</v>
      </c>
      <c r="G2" s="56" t="s">
        <v>2930</v>
      </c>
    </row>
    <row r="3" spans="1:30">
      <c r="F3" s="180" t="s">
        <v>2931</v>
      </c>
      <c r="G3" s="56" t="s">
        <v>2932</v>
      </c>
    </row>
    <row r="4" spans="1:30" ht="15.75" thickBot="1">
      <c r="B4" s="181" t="s">
        <v>2933</v>
      </c>
      <c r="F4" s="170"/>
      <c r="G4" s="2" t="s">
        <v>2934</v>
      </c>
    </row>
    <row r="5" spans="1:30" ht="15.75" customHeight="1" thickTop="1">
      <c r="A5" s="3" t="s">
        <v>2935</v>
      </c>
      <c r="B5" s="4" t="s">
        <v>84</v>
      </c>
      <c r="C5" s="5"/>
      <c r="D5" s="166"/>
      <c r="E5" s="171"/>
      <c r="F5" s="5"/>
      <c r="G5" s="6" t="s">
        <v>2936</v>
      </c>
      <c r="H5" s="841" t="s">
        <v>5926</v>
      </c>
      <c r="I5" s="842"/>
      <c r="J5" s="837"/>
      <c r="K5" s="837"/>
      <c r="L5" s="837"/>
      <c r="M5" s="838"/>
      <c r="N5" s="837"/>
      <c r="O5" s="838"/>
      <c r="P5" s="837"/>
      <c r="Q5" s="838"/>
      <c r="R5" s="837"/>
      <c r="S5" s="838"/>
    </row>
    <row r="6" spans="1:30">
      <c r="A6" s="3518" t="s">
        <v>2938</v>
      </c>
      <c r="B6" s="3519" t="s">
        <v>377</v>
      </c>
      <c r="C6" s="3520"/>
      <c r="D6" s="3521"/>
      <c r="E6" s="3522"/>
      <c r="F6" s="3520"/>
      <c r="G6" s="657" t="s">
        <v>2939</v>
      </c>
      <c r="H6" s="3551"/>
      <c r="I6" s="3551"/>
      <c r="J6" s="3552"/>
      <c r="K6" s="3552"/>
      <c r="L6" s="3552"/>
      <c r="M6" s="839"/>
      <c r="N6" s="3552"/>
      <c r="O6" s="839"/>
      <c r="P6" s="3552"/>
      <c r="Q6" s="839"/>
      <c r="R6" s="3552"/>
      <c r="S6" s="839"/>
    </row>
    <row r="7" spans="1:30">
      <c r="A7" s="3518" t="s">
        <v>2940</v>
      </c>
      <c r="B7" s="3524" t="s">
        <v>2680</v>
      </c>
      <c r="C7" s="3520"/>
      <c r="D7" s="3521"/>
      <c r="E7" s="3522"/>
      <c r="F7" s="3520"/>
      <c r="G7" s="3525" t="s">
        <v>2941</v>
      </c>
      <c r="H7" s="3551"/>
      <c r="I7" s="3551"/>
      <c r="J7" s="3553"/>
      <c r="K7" s="3553"/>
      <c r="L7" s="3553"/>
      <c r="M7" s="840"/>
      <c r="N7" s="3553"/>
      <c r="O7" s="840"/>
      <c r="P7" s="3553"/>
      <c r="Q7" s="840"/>
      <c r="R7" s="3553"/>
      <c r="S7" s="840"/>
    </row>
    <row r="8" spans="1:30">
      <c r="A8" s="3518" t="s">
        <v>2942</v>
      </c>
      <c r="B8" s="3527"/>
      <c r="C8" s="3520"/>
      <c r="D8" s="3521"/>
      <c r="E8" s="3522"/>
      <c r="F8" s="3520"/>
      <c r="G8" s="3525" t="s">
        <v>2943</v>
      </c>
      <c r="H8" s="3554"/>
      <c r="I8" s="3554"/>
      <c r="J8" s="3555"/>
      <c r="K8" s="3555"/>
      <c r="L8" s="3555"/>
      <c r="M8" s="836"/>
      <c r="N8" s="3555"/>
      <c r="O8" s="836"/>
      <c r="P8" s="3555"/>
      <c r="Q8" s="836"/>
      <c r="R8" s="3555"/>
      <c r="S8" s="836"/>
    </row>
    <row r="9" spans="1:30" ht="15.75" thickBot="1">
      <c r="A9" s="3223"/>
      <c r="B9" s="3224"/>
      <c r="C9" s="616"/>
      <c r="D9" s="621"/>
      <c r="E9" s="622"/>
      <c r="F9" s="3225"/>
      <c r="G9" s="3226" t="s">
        <v>2944</v>
      </c>
      <c r="H9" s="3227">
        <f>I$145</f>
        <v>2205447</v>
      </c>
      <c r="I9" s="3227"/>
      <c r="J9" s="3227">
        <f>K$145</f>
        <v>0</v>
      </c>
      <c r="K9" s="3227"/>
      <c r="L9" s="3227">
        <f>M$145</f>
        <v>0</v>
      </c>
      <c r="M9" s="3228"/>
      <c r="N9" s="3227">
        <f>O$145</f>
        <v>0</v>
      </c>
      <c r="O9" s="3228"/>
      <c r="P9" s="3227">
        <f>Q$145</f>
        <v>0</v>
      </c>
      <c r="Q9" s="3228"/>
      <c r="R9" s="3227">
        <f>S$145</f>
        <v>0</v>
      </c>
      <c r="S9" s="3228"/>
    </row>
    <row r="10" spans="1:30"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U10" s="560"/>
      <c r="V10" s="560"/>
      <c r="W10" s="560"/>
      <c r="X10" s="560"/>
      <c r="Y10" s="560"/>
      <c r="Z10" s="560"/>
      <c r="AA10" s="560"/>
      <c r="AB10" s="560"/>
      <c r="AC10" s="560"/>
      <c r="AD10" s="560"/>
    </row>
    <row r="11" spans="1:30" ht="16.5" thickTop="1" thickBot="1">
      <c r="A11" s="3315"/>
      <c r="B11" s="2889" t="s">
        <v>2953</v>
      </c>
      <c r="C11" s="659"/>
      <c r="D11" s="3521"/>
      <c r="E11" s="3522"/>
      <c r="F11" s="3520"/>
      <c r="G11" s="660"/>
      <c r="H11" s="3232"/>
      <c r="I11" s="182"/>
      <c r="J11" s="3232"/>
      <c r="K11" s="182"/>
      <c r="L11" s="3232"/>
      <c r="M11" s="3317"/>
      <c r="N11" s="3232"/>
      <c r="O11" s="3317"/>
      <c r="P11" s="3232"/>
      <c r="Q11" s="3317"/>
      <c r="R11" s="3232"/>
      <c r="S11" s="3317"/>
    </row>
    <row r="12" spans="1:30">
      <c r="A12" s="3318"/>
      <c r="B12" s="2963" t="s">
        <v>2954</v>
      </c>
      <c r="C12" s="3520"/>
      <c r="D12" s="3521"/>
      <c r="E12" s="3522"/>
      <c r="F12" s="3520"/>
      <c r="G12" s="660"/>
      <c r="H12" s="3232"/>
      <c r="I12" s="3317"/>
      <c r="J12" s="3232"/>
      <c r="K12" s="3317"/>
      <c r="L12" s="3232"/>
      <c r="M12" s="3317"/>
      <c r="N12" s="3232"/>
      <c r="O12" s="3317"/>
      <c r="P12" s="3232"/>
      <c r="Q12" s="3317"/>
      <c r="R12" s="3232"/>
      <c r="S12" s="3317"/>
    </row>
    <row r="13" spans="1:30">
      <c r="A13" s="3538"/>
      <c r="B13" s="3319" t="s">
        <v>2955</v>
      </c>
      <c r="C13" s="3520"/>
      <c r="D13" s="3521"/>
      <c r="E13" s="3522"/>
      <c r="F13" s="3520"/>
      <c r="G13" s="660"/>
      <c r="H13" s="3232"/>
      <c r="I13" s="3317"/>
      <c r="J13" s="3232"/>
      <c r="K13" s="3317"/>
      <c r="L13" s="3232"/>
      <c r="M13" s="3317"/>
      <c r="N13" s="3232"/>
      <c r="O13" s="3317"/>
      <c r="P13" s="3232"/>
      <c r="Q13" s="3317"/>
      <c r="R13" s="3232"/>
      <c r="S13" s="3317"/>
    </row>
    <row r="14" spans="1:30">
      <c r="A14" s="3538"/>
      <c r="B14" s="3321" t="s">
        <v>2956</v>
      </c>
      <c r="C14" s="3520"/>
      <c r="D14" s="3521"/>
      <c r="E14" s="3522"/>
      <c r="F14" s="3520"/>
      <c r="G14" s="660"/>
      <c r="H14" s="3232"/>
      <c r="I14" s="3317"/>
      <c r="J14" s="3232"/>
      <c r="K14" s="3317"/>
      <c r="L14" s="3232"/>
      <c r="M14" s="3317"/>
      <c r="N14" s="3232"/>
      <c r="O14" s="3317"/>
      <c r="P14" s="3232"/>
      <c r="Q14" s="3317"/>
      <c r="R14" s="3232"/>
      <c r="S14" s="3317"/>
    </row>
    <row r="15" spans="1:30">
      <c r="A15" s="3538"/>
      <c r="B15" s="3321" t="s">
        <v>2957</v>
      </c>
      <c r="C15" s="3520"/>
      <c r="D15" s="3521"/>
      <c r="E15" s="3522"/>
      <c r="F15" s="3520"/>
      <c r="G15" s="660"/>
      <c r="H15" s="3232"/>
      <c r="I15" s="3316"/>
      <c r="J15" s="3232"/>
      <c r="K15" s="3316"/>
      <c r="L15" s="3232"/>
      <c r="M15" s="3316"/>
      <c r="N15" s="3232"/>
      <c r="O15" s="3316"/>
      <c r="P15" s="3232"/>
      <c r="Q15" s="3316"/>
      <c r="R15" s="3232"/>
      <c r="S15" s="3316"/>
    </row>
    <row r="16" spans="1:30">
      <c r="A16" s="3538"/>
      <c r="B16" s="3321" t="s">
        <v>2958</v>
      </c>
      <c r="C16" s="3520"/>
      <c r="D16" s="3521"/>
      <c r="E16" s="3522"/>
      <c r="F16" s="3520"/>
      <c r="G16" s="660"/>
      <c r="H16" s="3232"/>
      <c r="I16" s="3317"/>
      <c r="J16" s="3232"/>
      <c r="K16" s="3317"/>
      <c r="L16" s="3232"/>
      <c r="M16" s="3317"/>
      <c r="N16" s="3232"/>
      <c r="O16" s="3317"/>
      <c r="P16" s="3232"/>
      <c r="Q16" s="3317"/>
      <c r="R16" s="3232"/>
      <c r="S16" s="3317"/>
    </row>
    <row r="17" spans="1:30">
      <c r="A17" s="3538"/>
      <c r="B17" s="3321" t="s">
        <v>2959</v>
      </c>
      <c r="C17" s="3520"/>
      <c r="D17" s="3521"/>
      <c r="E17" s="3522"/>
      <c r="F17" s="3520"/>
      <c r="G17" s="660"/>
      <c r="H17" s="3232"/>
      <c r="I17" s="3317"/>
      <c r="J17" s="3232"/>
      <c r="K17" s="3317"/>
      <c r="L17" s="3232"/>
      <c r="M17" s="3317"/>
      <c r="N17" s="3232"/>
      <c r="O17" s="3317"/>
      <c r="P17" s="3232"/>
      <c r="Q17" s="3317"/>
      <c r="R17" s="3232"/>
      <c r="S17" s="3317"/>
    </row>
    <row r="18" spans="1:30">
      <c r="A18" s="3538"/>
      <c r="B18" s="3323" t="s">
        <v>2960</v>
      </c>
      <c r="C18" s="3520"/>
      <c r="D18" s="3521"/>
      <c r="E18" s="3522"/>
      <c r="F18" s="3520"/>
      <c r="G18" s="660"/>
      <c r="H18" s="3232"/>
      <c r="I18" s="3317"/>
      <c r="J18" s="3232"/>
      <c r="K18" s="3317"/>
      <c r="L18" s="3232"/>
      <c r="M18" s="3317"/>
      <c r="N18" s="3232"/>
      <c r="O18" s="3317"/>
      <c r="P18" s="3232"/>
      <c r="Q18" s="3317"/>
      <c r="R18" s="3232"/>
      <c r="S18" s="3317"/>
    </row>
    <row r="19" spans="1:30">
      <c r="A19" s="3538"/>
      <c r="B19" s="3324" t="s">
        <v>2961</v>
      </c>
      <c r="C19" s="3539"/>
      <c r="D19" s="3540"/>
      <c r="E19" s="3541"/>
      <c r="F19" s="3542"/>
      <c r="G19" s="661"/>
      <c r="H19" s="3245"/>
      <c r="I19" s="3326"/>
      <c r="J19" s="3245"/>
      <c r="K19" s="3326"/>
      <c r="L19" s="3245"/>
      <c r="M19" s="3326"/>
      <c r="N19" s="3245"/>
      <c r="O19" s="3326"/>
      <c r="P19" s="3245"/>
      <c r="Q19" s="3326"/>
      <c r="R19" s="3245"/>
      <c r="S19" s="3326"/>
    </row>
    <row r="20" spans="1:30">
      <c r="A20" s="3538"/>
      <c r="B20" s="3328"/>
      <c r="C20" s="3520"/>
      <c r="D20" s="3521"/>
      <c r="E20" s="3522"/>
      <c r="F20" s="3544"/>
      <c r="G20" s="660"/>
      <c r="H20" s="3232"/>
      <c r="I20" s="3320"/>
      <c r="J20" s="3232"/>
      <c r="K20" s="3320"/>
      <c r="L20" s="3232"/>
      <c r="M20" s="3320"/>
      <c r="N20" s="3232"/>
      <c r="O20" s="3320"/>
      <c r="P20" s="3232"/>
      <c r="Q20" s="3320"/>
      <c r="R20" s="3232"/>
      <c r="S20" s="3320"/>
    </row>
    <row r="21" spans="1:30">
      <c r="A21" s="3538"/>
      <c r="B21" s="452" t="s">
        <v>2610</v>
      </c>
      <c r="C21" s="3520"/>
      <c r="D21" s="3521"/>
      <c r="E21" s="3522"/>
      <c r="F21" s="3544"/>
      <c r="G21" s="662">
        <f t="shared" ref="G21" si="0">ROUND(D21*F21,0)</f>
        <v>0</v>
      </c>
      <c r="H21" s="3232"/>
      <c r="I21" s="3329">
        <f>SUBTOTAL(9,I22:I140)</f>
        <v>2205447</v>
      </c>
      <c r="J21" s="3232"/>
      <c r="K21" s="3329">
        <f>SUBTOTAL(9,K22:K140)</f>
        <v>0</v>
      </c>
      <c r="L21" s="3232"/>
      <c r="M21" s="3329">
        <f>SUBTOTAL(9,M22:M140)</f>
        <v>0</v>
      </c>
      <c r="N21" s="3232"/>
      <c r="O21" s="3329">
        <f>SUBTOTAL(9,O22:O140)</f>
        <v>0</v>
      </c>
      <c r="P21" s="3232"/>
      <c r="Q21" s="3329">
        <f>SUBTOTAL(9,Q22:Q140)</f>
        <v>0</v>
      </c>
      <c r="R21" s="3232"/>
      <c r="S21" s="3329">
        <f>SUBTOTAL(9,S22:S140)</f>
        <v>0</v>
      </c>
    </row>
    <row r="22" spans="1:30">
      <c r="A22" s="3538"/>
      <c r="B22" s="3331" t="s">
        <v>6989</v>
      </c>
      <c r="C22" s="3520"/>
      <c r="D22" s="3521"/>
      <c r="E22" s="3522"/>
      <c r="F22" s="3544"/>
      <c r="G22" s="662">
        <f t="shared" ref="G22:G89" si="1">ROUND(D22*F22,0)</f>
        <v>0</v>
      </c>
      <c r="H22" s="3232"/>
      <c r="I22" s="3320"/>
      <c r="J22" s="3232"/>
      <c r="K22" s="3320"/>
      <c r="L22" s="3232"/>
      <c r="M22" s="3320"/>
      <c r="N22" s="3232"/>
      <c r="O22" s="3320"/>
      <c r="P22" s="3232"/>
      <c r="Q22" s="3320"/>
      <c r="R22" s="3232"/>
      <c r="S22" s="3320"/>
    </row>
    <row r="23" spans="1:30">
      <c r="A23" s="3538"/>
      <c r="B23" s="3330" t="s">
        <v>6944</v>
      </c>
      <c r="C23" s="3520"/>
      <c r="D23" s="3521">
        <v>368.76666666666665</v>
      </c>
      <c r="E23" s="3522" t="s">
        <v>6945</v>
      </c>
      <c r="F23" s="3544"/>
      <c r="G23" s="662">
        <f t="shared" si="1"/>
        <v>0</v>
      </c>
      <c r="H23" s="3232"/>
      <c r="I23" s="3320"/>
      <c r="J23" s="3232"/>
      <c r="K23" s="3320"/>
      <c r="L23" s="3232"/>
      <c r="M23" s="3320"/>
      <c r="N23" s="3232"/>
      <c r="O23" s="3320"/>
      <c r="P23" s="3232"/>
      <c r="Q23" s="3320"/>
      <c r="R23" s="3232"/>
      <c r="S23" s="3320"/>
    </row>
    <row r="24" spans="1:30">
      <c r="A24" s="3538"/>
      <c r="B24" s="3330" t="s">
        <v>6946</v>
      </c>
      <c r="C24" s="3520"/>
      <c r="D24" s="3521">
        <v>368.76666666666665</v>
      </c>
      <c r="E24" s="3522" t="s">
        <v>6945</v>
      </c>
      <c r="F24" s="3544"/>
      <c r="G24" s="662">
        <f t="shared" si="1"/>
        <v>0</v>
      </c>
      <c r="H24" s="3232"/>
      <c r="I24" s="3320"/>
      <c r="J24" s="3232"/>
      <c r="K24" s="3320"/>
      <c r="L24" s="3232"/>
      <c r="M24" s="3320"/>
      <c r="N24" s="3232"/>
      <c r="O24" s="3320"/>
      <c r="P24" s="3232"/>
      <c r="Q24" s="3320"/>
      <c r="R24" s="3232"/>
      <c r="S24" s="3320"/>
    </row>
    <row r="25" spans="1:30">
      <c r="A25" s="3538"/>
      <c r="B25" s="3330" t="s">
        <v>6947</v>
      </c>
      <c r="C25" s="3520"/>
      <c r="D25" s="3521">
        <v>3877.2888888888888</v>
      </c>
      <c r="E25" s="3522" t="s">
        <v>6945</v>
      </c>
      <c r="F25" s="3544"/>
      <c r="G25" s="662">
        <f t="shared" si="1"/>
        <v>0</v>
      </c>
      <c r="H25" s="3232"/>
      <c r="I25" s="3320"/>
      <c r="J25" s="3232"/>
      <c r="K25" s="3320"/>
      <c r="L25" s="3232"/>
      <c r="M25" s="3320"/>
      <c r="N25" s="3232"/>
      <c r="O25" s="3320"/>
      <c r="P25" s="3232"/>
      <c r="Q25" s="3320"/>
      <c r="R25" s="3232"/>
      <c r="S25" s="3320"/>
    </row>
    <row r="26" spans="1:30">
      <c r="A26" s="3538"/>
      <c r="B26" s="3330" t="s">
        <v>6948</v>
      </c>
      <c r="C26" s="3520"/>
      <c r="D26" s="3521">
        <v>3877.2888888888888</v>
      </c>
      <c r="E26" s="3522" t="s">
        <v>6945</v>
      </c>
      <c r="F26" s="3544"/>
      <c r="G26" s="662">
        <f t="shared" si="1"/>
        <v>0</v>
      </c>
      <c r="H26" s="3232"/>
      <c r="I26" s="3320"/>
      <c r="J26" s="3232"/>
      <c r="K26" s="3320"/>
      <c r="L26" s="3232"/>
      <c r="M26" s="3320"/>
      <c r="N26" s="3232"/>
      <c r="O26" s="3320"/>
      <c r="P26" s="3232"/>
      <c r="Q26" s="3320"/>
      <c r="R26" s="3232"/>
      <c r="S26" s="3320"/>
    </row>
    <row r="27" spans="1:30">
      <c r="A27" s="3538"/>
      <c r="B27" s="3330" t="s">
        <v>6949</v>
      </c>
      <c r="C27" s="3520"/>
      <c r="D27" s="3521">
        <v>980.44444444444446</v>
      </c>
      <c r="E27" s="3522" t="s">
        <v>6945</v>
      </c>
      <c r="F27" s="3544"/>
      <c r="G27" s="662">
        <f t="shared" si="1"/>
        <v>0</v>
      </c>
      <c r="H27" s="3232"/>
      <c r="I27" s="3320"/>
      <c r="J27" s="3232"/>
      <c r="K27" s="3320"/>
      <c r="L27" s="3232"/>
      <c r="M27" s="3320"/>
      <c r="N27" s="3232"/>
      <c r="O27" s="3320"/>
      <c r="P27" s="3232"/>
      <c r="Q27" s="3320"/>
      <c r="R27" s="3232"/>
      <c r="S27" s="3320"/>
    </row>
    <row r="28" spans="1:30">
      <c r="A28" s="3538"/>
      <c r="B28" s="3330" t="s">
        <v>6950</v>
      </c>
      <c r="C28" s="3520"/>
      <c r="D28" s="3521">
        <v>980.44444444444446</v>
      </c>
      <c r="E28" s="3522" t="s">
        <v>6945</v>
      </c>
      <c r="F28" s="3544"/>
      <c r="G28" s="662">
        <f t="shared" si="1"/>
        <v>0</v>
      </c>
      <c r="H28" s="3232"/>
      <c r="I28" s="3320"/>
      <c r="J28" s="3232"/>
      <c r="K28" s="3320"/>
      <c r="L28" s="3232"/>
      <c r="M28" s="3320"/>
      <c r="N28" s="3232"/>
      <c r="O28" s="3320"/>
      <c r="P28" s="3232"/>
      <c r="Q28" s="3320"/>
      <c r="R28" s="3232"/>
      <c r="S28" s="3320"/>
    </row>
    <row r="29" spans="1:30">
      <c r="A29" s="3538"/>
      <c r="B29" s="3330"/>
      <c r="C29" s="3520"/>
      <c r="D29" s="3521"/>
      <c r="E29" s="3522"/>
      <c r="F29" s="3544"/>
      <c r="G29" s="662">
        <f t="shared" si="1"/>
        <v>0</v>
      </c>
      <c r="H29" s="3232"/>
      <c r="I29" s="3320"/>
      <c r="J29" s="3232"/>
      <c r="K29" s="3320"/>
      <c r="L29" s="3232"/>
      <c r="M29" s="3320"/>
      <c r="N29" s="3232"/>
      <c r="O29" s="3320"/>
      <c r="P29" s="3232"/>
      <c r="Q29" s="3320"/>
      <c r="R29" s="3232"/>
      <c r="S29" s="3320"/>
    </row>
    <row r="30" spans="1:30">
      <c r="A30" s="3538"/>
      <c r="B30" s="3328" t="s">
        <v>6990</v>
      </c>
      <c r="C30" s="3520"/>
      <c r="D30" s="3521"/>
      <c r="E30" s="3522"/>
      <c r="F30" s="3544"/>
      <c r="G30" s="662">
        <f t="shared" si="1"/>
        <v>0</v>
      </c>
      <c r="H30" s="3232"/>
      <c r="I30" s="3556" t="s">
        <v>6991</v>
      </c>
      <c r="J30" s="3232"/>
      <c r="K30" s="3320"/>
      <c r="L30" s="3232"/>
      <c r="M30" s="3320"/>
      <c r="N30" s="3232"/>
      <c r="O30" s="3320"/>
      <c r="P30" s="3232"/>
      <c r="Q30" s="3320"/>
      <c r="R30" s="3232"/>
      <c r="S30" s="3320"/>
      <c r="AD30" s="58" t="s">
        <v>2795</v>
      </c>
    </row>
    <row r="31" spans="1:30">
      <c r="A31" s="3538"/>
      <c r="B31" s="3330" t="s">
        <v>6992</v>
      </c>
      <c r="C31" s="3520"/>
      <c r="D31" s="3521">
        <v>4605</v>
      </c>
      <c r="E31" s="3522" t="s">
        <v>2845</v>
      </c>
      <c r="F31" s="3544">
        <v>8</v>
      </c>
      <c r="G31" s="662">
        <f t="shared" si="1"/>
        <v>36840</v>
      </c>
      <c r="H31" s="3232"/>
      <c r="I31" s="3322">
        <v>29612</v>
      </c>
      <c r="J31" s="3232"/>
      <c r="K31" s="3320"/>
      <c r="L31" s="3232"/>
      <c r="M31" s="3320"/>
      <c r="N31" s="3232"/>
      <c r="O31" s="3320"/>
      <c r="P31" s="3232"/>
      <c r="Q31" s="3320"/>
      <c r="R31" s="3232"/>
      <c r="S31" s="3320"/>
      <c r="AD31" s="58" t="s">
        <v>2795</v>
      </c>
    </row>
    <row r="32" spans="1:30">
      <c r="A32" s="3538"/>
      <c r="B32" s="3330" t="s">
        <v>6993</v>
      </c>
      <c r="C32" s="3520"/>
      <c r="D32" s="3521">
        <v>11769</v>
      </c>
      <c r="E32" s="3522" t="s">
        <v>2845</v>
      </c>
      <c r="F32" s="3544">
        <v>15</v>
      </c>
      <c r="G32" s="662">
        <f t="shared" si="1"/>
        <v>176535</v>
      </c>
      <c r="H32" s="3232"/>
      <c r="I32" s="3346">
        <f>$G32</f>
        <v>176535</v>
      </c>
      <c r="J32" s="3232"/>
      <c r="K32" s="3320"/>
      <c r="L32" s="3232"/>
      <c r="M32" s="3320"/>
      <c r="N32" s="3232"/>
      <c r="O32" s="3320"/>
      <c r="P32" s="3232"/>
      <c r="Q32" s="3320"/>
      <c r="R32" s="3232"/>
      <c r="S32" s="3320"/>
      <c r="AD32" s="58" t="s">
        <v>2795</v>
      </c>
    </row>
    <row r="33" spans="1:30">
      <c r="A33" s="3538"/>
      <c r="B33" s="3330" t="s">
        <v>6994</v>
      </c>
      <c r="C33" s="3520" t="s">
        <v>6995</v>
      </c>
      <c r="D33" s="3521">
        <v>3318.9</v>
      </c>
      <c r="E33" s="3522" t="s">
        <v>2845</v>
      </c>
      <c r="F33" s="3544">
        <v>20</v>
      </c>
      <c r="G33" s="662">
        <f t="shared" si="1"/>
        <v>66378</v>
      </c>
      <c r="H33" s="3232"/>
      <c r="I33" s="3322">
        <v>312032</v>
      </c>
      <c r="J33" s="3232"/>
      <c r="K33" s="3320"/>
      <c r="L33" s="3232"/>
      <c r="M33" s="3320"/>
      <c r="N33" s="3232"/>
      <c r="O33" s="3320"/>
      <c r="P33" s="3232"/>
      <c r="Q33" s="3320"/>
      <c r="R33" s="3232"/>
      <c r="S33" s="3320"/>
    </row>
    <row r="34" spans="1:30">
      <c r="A34" s="3538"/>
      <c r="B34" s="3330" t="s">
        <v>6996</v>
      </c>
      <c r="C34" s="3520"/>
      <c r="D34" s="3521">
        <v>23183.999999999996</v>
      </c>
      <c r="E34" s="3522" t="s">
        <v>2845</v>
      </c>
      <c r="F34" s="3544">
        <v>8</v>
      </c>
      <c r="G34" s="662">
        <f t="shared" si="1"/>
        <v>185472</v>
      </c>
      <c r="H34" s="3232"/>
      <c r="I34" s="3322">
        <v>249535</v>
      </c>
      <c r="J34" s="3232"/>
      <c r="K34" s="3320"/>
      <c r="L34" s="3232"/>
      <c r="M34" s="3320"/>
      <c r="N34" s="3232"/>
      <c r="O34" s="3320"/>
      <c r="P34" s="3232"/>
      <c r="Q34" s="3320"/>
      <c r="R34" s="3232"/>
      <c r="S34" s="3320"/>
    </row>
    <row r="35" spans="1:30">
      <c r="A35" s="3538"/>
      <c r="B35" s="3330"/>
      <c r="C35" s="3520"/>
      <c r="D35" s="3521"/>
      <c r="E35" s="3522"/>
      <c r="F35" s="3544"/>
      <c r="G35" s="662">
        <f t="shared" si="1"/>
        <v>0</v>
      </c>
      <c r="H35" s="3232"/>
      <c r="I35" s="3320"/>
      <c r="J35" s="3232"/>
      <c r="K35" s="3320"/>
      <c r="L35" s="3232"/>
      <c r="M35" s="3320"/>
      <c r="N35" s="3232"/>
      <c r="O35" s="3320"/>
      <c r="P35" s="3232"/>
      <c r="Q35" s="3320"/>
      <c r="R35" s="3232"/>
      <c r="S35" s="3320"/>
    </row>
    <row r="36" spans="1:30" s="175" customFormat="1" ht="30">
      <c r="A36" s="3466" t="s">
        <v>2587</v>
      </c>
      <c r="B36" s="3557" t="s">
        <v>6997</v>
      </c>
      <c r="C36" s="3546"/>
      <c r="D36" s="3558">
        <f>D44+D45+D49+D50+D54+D55+D60+D61+D65+D66+D70+D71+D75+D76+D80+D81+D85+D86+D90+D91</f>
        <v>1033.4892592592591</v>
      </c>
      <c r="E36" s="3463" t="s">
        <v>3034</v>
      </c>
      <c r="F36" s="3548">
        <v>780</v>
      </c>
      <c r="G36" s="653">
        <f>ROUND(D36*F36,-3)</f>
        <v>806000</v>
      </c>
      <c r="H36" s="3559"/>
      <c r="I36" s="3560">
        <f>$G36</f>
        <v>806000</v>
      </c>
      <c r="J36" s="3559"/>
      <c r="K36" s="3320"/>
      <c r="L36" s="3232"/>
      <c r="M36" s="3320"/>
      <c r="N36" s="3232"/>
      <c r="O36" s="3320"/>
      <c r="P36" s="3232"/>
      <c r="Q36" s="3320"/>
      <c r="R36" s="3232"/>
      <c r="S36" s="3320"/>
      <c r="U36" s="560"/>
      <c r="V36" s="560"/>
      <c r="W36" s="560"/>
      <c r="X36" s="560"/>
      <c r="Y36" s="560"/>
      <c r="Z36" s="560"/>
      <c r="AA36" s="560"/>
      <c r="AB36" s="560"/>
      <c r="AC36" s="560"/>
      <c r="AD36" s="560"/>
    </row>
    <row r="37" spans="1:30" s="175" customFormat="1">
      <c r="A37" s="3538"/>
      <c r="B37" s="3561" t="s">
        <v>6998</v>
      </c>
      <c r="C37" s="3520"/>
      <c r="D37" s="3558"/>
      <c r="E37" s="3463"/>
      <c r="F37" s="3548"/>
      <c r="G37" s="662">
        <f t="shared" ref="G37" si="2">ROUND(D37*F37,0)</f>
        <v>0</v>
      </c>
      <c r="H37" s="3562"/>
      <c r="I37" s="3563"/>
      <c r="J37" s="3562"/>
      <c r="K37" s="3320"/>
      <c r="L37" s="3232"/>
      <c r="M37" s="3320"/>
      <c r="N37" s="3232"/>
      <c r="O37" s="3320"/>
      <c r="P37" s="3232"/>
      <c r="Q37" s="3320"/>
      <c r="R37" s="3562"/>
      <c r="S37" s="3563"/>
      <c r="U37" s="560"/>
      <c r="V37" s="560"/>
      <c r="W37" s="560"/>
      <c r="X37" s="560"/>
      <c r="Y37" s="560"/>
      <c r="Z37" s="560"/>
      <c r="AA37" s="560"/>
      <c r="AB37" s="560"/>
      <c r="AC37" s="560"/>
      <c r="AD37" s="560"/>
    </row>
    <row r="38" spans="1:30" s="175" customFormat="1">
      <c r="A38" s="3538"/>
      <c r="B38" s="3447" t="s">
        <v>6999</v>
      </c>
      <c r="C38" s="3520" t="s">
        <v>7000</v>
      </c>
      <c r="D38" s="3558"/>
      <c r="E38" s="3522" t="s">
        <v>2864</v>
      </c>
      <c r="F38" s="3548"/>
      <c r="G38" s="662">
        <f t="shared" si="1"/>
        <v>0</v>
      </c>
      <c r="H38" s="3562"/>
      <c r="I38" s="3563"/>
      <c r="J38" s="3562"/>
      <c r="K38" s="3320"/>
      <c r="L38" s="3232"/>
      <c r="M38" s="3320"/>
      <c r="N38" s="3232"/>
      <c r="O38" s="3320"/>
      <c r="P38" s="3232"/>
      <c r="Q38" s="3320"/>
      <c r="R38" s="3562"/>
      <c r="S38" s="3563"/>
      <c r="U38" s="560"/>
      <c r="V38" s="560"/>
      <c r="W38" s="560"/>
      <c r="X38" s="560"/>
      <c r="Y38" s="560"/>
      <c r="Z38" s="560"/>
      <c r="AA38" s="560"/>
      <c r="AB38" s="560"/>
      <c r="AC38" s="560"/>
      <c r="AD38" s="560"/>
    </row>
    <row r="39" spans="1:30" s="175" customFormat="1">
      <c r="A39" s="3538"/>
      <c r="B39" s="3448" t="s">
        <v>7001</v>
      </c>
      <c r="C39" s="3520"/>
      <c r="D39" s="3558"/>
      <c r="E39" s="3522" t="s">
        <v>3031</v>
      </c>
      <c r="F39" s="3548"/>
      <c r="G39" s="662">
        <f t="shared" si="1"/>
        <v>0</v>
      </c>
      <c r="H39" s="3562"/>
      <c r="I39" s="3563"/>
      <c r="J39" s="3562"/>
      <c r="K39" s="3320"/>
      <c r="L39" s="3232"/>
      <c r="M39" s="3320"/>
      <c r="N39" s="3232"/>
      <c r="O39" s="3320"/>
      <c r="P39" s="3232"/>
      <c r="Q39" s="3320"/>
      <c r="R39" s="3562"/>
      <c r="S39" s="3563"/>
      <c r="U39" s="560"/>
      <c r="V39" s="560"/>
      <c r="W39" s="560"/>
      <c r="X39" s="560"/>
      <c r="Y39" s="560"/>
      <c r="Z39" s="560"/>
      <c r="AA39" s="560"/>
      <c r="AB39" s="560"/>
      <c r="AC39" s="560"/>
      <c r="AD39" s="560"/>
    </row>
    <row r="40" spans="1:30" s="175" customFormat="1">
      <c r="A40" s="3538"/>
      <c r="B40" s="3564"/>
      <c r="C40" s="3520"/>
      <c r="D40" s="3558"/>
      <c r="E40" s="3522" t="s">
        <v>3031</v>
      </c>
      <c r="F40" s="3548"/>
      <c r="G40" s="662">
        <f t="shared" si="1"/>
        <v>0</v>
      </c>
      <c r="H40" s="3562"/>
      <c r="I40" s="3563"/>
      <c r="J40" s="3562"/>
      <c r="K40" s="3320"/>
      <c r="L40" s="3232"/>
      <c r="M40" s="3320"/>
      <c r="N40" s="3232"/>
      <c r="O40" s="3320"/>
      <c r="P40" s="3232"/>
      <c r="Q40" s="3320"/>
      <c r="R40" s="3562"/>
      <c r="S40" s="3563"/>
      <c r="U40" s="560"/>
      <c r="V40" s="560"/>
      <c r="W40" s="560"/>
      <c r="X40" s="560"/>
      <c r="Y40" s="560"/>
      <c r="Z40" s="560"/>
      <c r="AA40" s="560"/>
      <c r="AB40" s="560"/>
      <c r="AC40" s="560"/>
      <c r="AD40" s="560"/>
    </row>
    <row r="41" spans="1:30" s="175" customFormat="1">
      <c r="A41" s="3538"/>
      <c r="B41" s="3448"/>
      <c r="C41" s="3520"/>
      <c r="D41" s="3558"/>
      <c r="E41" s="3522" t="s">
        <v>2845</v>
      </c>
      <c r="F41" s="3548"/>
      <c r="G41" s="662">
        <f t="shared" si="1"/>
        <v>0</v>
      </c>
      <c r="H41" s="3562"/>
      <c r="I41" s="3563"/>
      <c r="J41" s="3562"/>
      <c r="K41" s="3320"/>
      <c r="L41" s="3232"/>
      <c r="M41" s="3320"/>
      <c r="N41" s="3232"/>
      <c r="O41" s="3320"/>
      <c r="P41" s="3232"/>
      <c r="Q41" s="3320"/>
      <c r="R41" s="3562"/>
      <c r="S41" s="3563"/>
      <c r="U41" s="560"/>
      <c r="V41" s="560"/>
      <c r="W41" s="560"/>
      <c r="X41" s="560"/>
      <c r="Y41" s="560"/>
      <c r="Z41" s="560"/>
      <c r="AA41" s="560"/>
      <c r="AB41" s="560"/>
      <c r="AC41" s="560"/>
      <c r="AD41" s="560"/>
    </row>
    <row r="42" spans="1:30" s="175" customFormat="1">
      <c r="A42" s="3538"/>
      <c r="B42" s="3448"/>
      <c r="C42" s="3520"/>
      <c r="D42" s="3558"/>
      <c r="E42" s="3522" t="s">
        <v>3031</v>
      </c>
      <c r="F42" s="3548"/>
      <c r="G42" s="662">
        <f t="shared" si="1"/>
        <v>0</v>
      </c>
      <c r="H42" s="3562"/>
      <c r="I42" s="3563"/>
      <c r="J42" s="3562"/>
      <c r="K42" s="3320"/>
      <c r="L42" s="3232"/>
      <c r="M42" s="3320"/>
      <c r="N42" s="3232"/>
      <c r="O42" s="3320"/>
      <c r="P42" s="3232"/>
      <c r="Q42" s="3320"/>
      <c r="R42" s="3562"/>
      <c r="S42" s="3563"/>
      <c r="U42" s="560"/>
      <c r="V42" s="560"/>
      <c r="W42" s="560"/>
      <c r="X42" s="560"/>
      <c r="Y42" s="560"/>
      <c r="Z42" s="560"/>
      <c r="AA42" s="560"/>
      <c r="AB42" s="560"/>
      <c r="AC42" s="560"/>
      <c r="AD42" s="560"/>
    </row>
    <row r="43" spans="1:30">
      <c r="A43" s="3538"/>
      <c r="B43" s="3565" t="s">
        <v>7002</v>
      </c>
      <c r="C43" s="3520" t="s">
        <v>7000</v>
      </c>
      <c r="D43" s="3521">
        <v>282</v>
      </c>
      <c r="E43" s="3522" t="s">
        <v>2864</v>
      </c>
      <c r="F43" s="3544"/>
      <c r="G43" s="662">
        <f t="shared" si="1"/>
        <v>0</v>
      </c>
      <c r="H43" s="3232"/>
      <c r="I43" s="3320"/>
      <c r="J43" s="3232"/>
      <c r="K43" s="3320"/>
      <c r="L43" s="3232"/>
      <c r="M43" s="3320"/>
      <c r="N43" s="3232"/>
      <c r="O43" s="3320"/>
      <c r="P43" s="3232"/>
      <c r="Q43" s="3320"/>
      <c r="R43" s="3232"/>
      <c r="S43" s="3320"/>
    </row>
    <row r="44" spans="1:30">
      <c r="A44" s="3566">
        <v>3.5</v>
      </c>
      <c r="B44" s="3448" t="s">
        <v>7003</v>
      </c>
      <c r="C44" s="3520"/>
      <c r="D44" s="3521">
        <f>D43*3.5*2/27</f>
        <v>73.111111111111114</v>
      </c>
      <c r="E44" s="3522" t="s">
        <v>3031</v>
      </c>
      <c r="F44" s="3544"/>
      <c r="G44" s="662">
        <f t="shared" si="1"/>
        <v>0</v>
      </c>
      <c r="H44" s="3232"/>
      <c r="I44" s="3320"/>
      <c r="J44" s="3232"/>
      <c r="K44" s="3320"/>
      <c r="L44" s="3232"/>
      <c r="M44" s="3320"/>
      <c r="N44" s="3232"/>
      <c r="O44" s="3320"/>
      <c r="P44" s="3232"/>
      <c r="Q44" s="3320"/>
      <c r="R44" s="3232"/>
      <c r="S44" s="3320"/>
    </row>
    <row r="45" spans="1:30">
      <c r="A45" s="3566">
        <f>A44*0.7</f>
        <v>2.4499999999999997</v>
      </c>
      <c r="B45" s="3564" t="s">
        <v>7004</v>
      </c>
      <c r="C45" s="3520"/>
      <c r="D45" s="3521">
        <f>D43*2.5*1/27</f>
        <v>26.111111111111111</v>
      </c>
      <c r="E45" s="3522" t="s">
        <v>3031</v>
      </c>
      <c r="F45" s="3544"/>
      <c r="G45" s="662">
        <f t="shared" si="1"/>
        <v>0</v>
      </c>
      <c r="H45" s="3232"/>
      <c r="I45" s="3320"/>
      <c r="J45" s="3232"/>
      <c r="K45" s="3320"/>
      <c r="L45" s="3232"/>
      <c r="M45" s="3320"/>
      <c r="N45" s="3232"/>
      <c r="O45" s="3320"/>
      <c r="P45" s="3232"/>
      <c r="Q45" s="3320"/>
      <c r="R45" s="3232"/>
      <c r="S45" s="3320"/>
    </row>
    <row r="46" spans="1:30">
      <c r="A46" s="3457">
        <f>37.81-35.31</f>
        <v>2.5</v>
      </c>
      <c r="B46" s="3448" t="s">
        <v>7005</v>
      </c>
      <c r="C46" s="3520"/>
      <c r="D46" s="3521">
        <f>D43*A46</f>
        <v>705</v>
      </c>
      <c r="E46" s="3522" t="s">
        <v>2845</v>
      </c>
      <c r="F46" s="3544"/>
      <c r="G46" s="662">
        <f t="shared" si="1"/>
        <v>0</v>
      </c>
      <c r="H46" s="3232"/>
      <c r="I46" s="3320"/>
      <c r="J46" s="3232"/>
      <c r="K46" s="3320"/>
      <c r="L46" s="3232"/>
      <c r="M46" s="3320"/>
      <c r="N46" s="3232"/>
      <c r="O46" s="3320"/>
      <c r="P46" s="3232"/>
      <c r="Q46" s="3320"/>
      <c r="R46" s="3232"/>
      <c r="S46" s="3320"/>
    </row>
    <row r="47" spans="1:30">
      <c r="A47" s="3457"/>
      <c r="B47" s="3448" t="s">
        <v>7006</v>
      </c>
      <c r="C47" s="3520"/>
      <c r="D47" s="3521">
        <f>D43*(A44*0.75)*2/27</f>
        <v>54.833333333333336</v>
      </c>
      <c r="E47" s="3522" t="s">
        <v>3031</v>
      </c>
      <c r="F47" s="3544"/>
      <c r="G47" s="662">
        <f t="shared" si="1"/>
        <v>0</v>
      </c>
      <c r="H47" s="3232"/>
      <c r="I47" s="3320"/>
      <c r="J47" s="3232"/>
      <c r="K47" s="3320"/>
      <c r="L47" s="3232"/>
      <c r="M47" s="3320"/>
      <c r="N47" s="3232"/>
      <c r="O47" s="3320"/>
      <c r="P47" s="3232"/>
      <c r="Q47" s="3320"/>
      <c r="R47" s="3232"/>
      <c r="S47" s="3320"/>
    </row>
    <row r="48" spans="1:30">
      <c r="A48" s="3538"/>
      <c r="B48" s="3447" t="s">
        <v>7007</v>
      </c>
      <c r="C48" s="3520" t="s">
        <v>7000</v>
      </c>
      <c r="D48" s="3521">
        <v>76</v>
      </c>
      <c r="E48" s="3522" t="s">
        <v>2864</v>
      </c>
      <c r="F48" s="3544"/>
      <c r="G48" s="662">
        <f t="shared" si="1"/>
        <v>0</v>
      </c>
      <c r="H48" s="3232"/>
      <c r="I48" s="3320"/>
      <c r="J48" s="3232"/>
      <c r="K48" s="3320"/>
      <c r="L48" s="3232"/>
      <c r="M48" s="3320"/>
      <c r="N48" s="3232"/>
      <c r="O48" s="3320"/>
      <c r="P48" s="3232"/>
      <c r="Q48" s="3320"/>
      <c r="R48" s="3232"/>
      <c r="S48" s="3320"/>
    </row>
    <row r="49" spans="1:29">
      <c r="A49" s="3566">
        <v>7</v>
      </c>
      <c r="B49" s="3448" t="s">
        <v>7008</v>
      </c>
      <c r="C49" s="3520"/>
      <c r="D49" s="3521">
        <f>D48*7*1/27</f>
        <v>19.703703703703702</v>
      </c>
      <c r="E49" s="3522" t="s">
        <v>3031</v>
      </c>
      <c r="F49" s="3544"/>
      <c r="G49" s="662">
        <f t="shared" si="1"/>
        <v>0</v>
      </c>
      <c r="H49" s="3232"/>
      <c r="I49" s="3320"/>
      <c r="J49" s="3232"/>
      <c r="K49" s="3320"/>
      <c r="L49" s="3232"/>
      <c r="M49" s="3320"/>
      <c r="N49" s="3232"/>
      <c r="O49" s="3320"/>
      <c r="P49" s="3232"/>
      <c r="Q49" s="3320"/>
      <c r="R49" s="3232"/>
      <c r="S49" s="3320"/>
    </row>
    <row r="50" spans="1:29">
      <c r="A50" s="3566">
        <f>A49*0.7</f>
        <v>4.8999999999999995</v>
      </c>
      <c r="B50" s="3564" t="s">
        <v>7009</v>
      </c>
      <c r="C50" s="3520"/>
      <c r="D50" s="3521">
        <f>D48*5*1/27</f>
        <v>14.074074074074074</v>
      </c>
      <c r="E50" s="3522" t="s">
        <v>3031</v>
      </c>
      <c r="F50" s="3544"/>
      <c r="G50" s="662">
        <f t="shared" si="1"/>
        <v>0</v>
      </c>
      <c r="H50" s="3232"/>
      <c r="I50" s="3320"/>
      <c r="J50" s="3232"/>
      <c r="K50" s="3320"/>
      <c r="L50" s="3232"/>
      <c r="M50" s="3320"/>
      <c r="N50" s="3232"/>
      <c r="O50" s="3320"/>
      <c r="P50" s="3232"/>
      <c r="Q50" s="3320"/>
      <c r="R50" s="3232"/>
      <c r="S50" s="3320"/>
    </row>
    <row r="51" spans="1:29">
      <c r="A51" s="3457">
        <f>34-28</f>
        <v>6</v>
      </c>
      <c r="B51" s="3448" t="s">
        <v>7010</v>
      </c>
      <c r="C51" s="3520"/>
      <c r="D51" s="3521">
        <f>D48*A51</f>
        <v>456</v>
      </c>
      <c r="E51" s="3522" t="s">
        <v>2845</v>
      </c>
      <c r="F51" s="3544"/>
      <c r="G51" s="662">
        <f t="shared" si="1"/>
        <v>0</v>
      </c>
      <c r="H51" s="3232"/>
      <c r="I51" s="3320"/>
      <c r="J51" s="3232"/>
      <c r="K51" s="3320"/>
      <c r="L51" s="3232"/>
      <c r="M51" s="3320"/>
      <c r="N51" s="3232"/>
      <c r="O51" s="3320"/>
      <c r="P51" s="3232"/>
      <c r="Q51" s="3320"/>
      <c r="R51" s="3232"/>
      <c r="S51" s="3320"/>
    </row>
    <row r="52" spans="1:29">
      <c r="A52" s="3457"/>
      <c r="B52" s="3448" t="s">
        <v>7006</v>
      </c>
      <c r="C52" s="3520"/>
      <c r="D52" s="3521">
        <f>D48*(A49*0.75)*2/27</f>
        <v>29.555555555555557</v>
      </c>
      <c r="E52" s="3522" t="s">
        <v>3031</v>
      </c>
      <c r="F52" s="3544"/>
      <c r="G52" s="662">
        <f t="shared" si="1"/>
        <v>0</v>
      </c>
      <c r="H52" s="3232"/>
      <c r="I52" s="3320"/>
      <c r="J52" s="3232"/>
      <c r="K52" s="3320"/>
      <c r="L52" s="3232"/>
      <c r="M52" s="3320"/>
      <c r="N52" s="3232"/>
      <c r="O52" s="3320"/>
      <c r="P52" s="3232"/>
      <c r="Q52" s="3320"/>
      <c r="R52" s="3232"/>
      <c r="S52" s="3320"/>
    </row>
    <row r="53" spans="1:29">
      <c r="A53" s="3538"/>
      <c r="B53" s="3565" t="s">
        <v>7011</v>
      </c>
      <c r="C53" s="3520" t="s">
        <v>7012</v>
      </c>
      <c r="D53" s="3521">
        <v>58</v>
      </c>
      <c r="E53" s="3522" t="s">
        <v>2864</v>
      </c>
      <c r="F53" s="3544"/>
      <c r="G53" s="662">
        <f t="shared" si="1"/>
        <v>0</v>
      </c>
      <c r="H53" s="3232"/>
      <c r="I53" s="3320"/>
      <c r="J53" s="3232"/>
      <c r="K53" s="3320"/>
      <c r="L53" s="3232"/>
      <c r="M53" s="3320"/>
      <c r="N53" s="3232"/>
      <c r="O53" s="3320"/>
      <c r="P53" s="3232"/>
      <c r="Q53" s="3320"/>
      <c r="R53" s="3232"/>
      <c r="S53" s="3320"/>
    </row>
    <row r="54" spans="1:29">
      <c r="A54" s="3566">
        <v>9</v>
      </c>
      <c r="B54" s="3448" t="s">
        <v>7013</v>
      </c>
      <c r="C54" s="3520"/>
      <c r="D54" s="3521">
        <f>D53*9*1/27</f>
        <v>19.333333333333332</v>
      </c>
      <c r="E54" s="3522" t="s">
        <v>3031</v>
      </c>
      <c r="F54" s="3544"/>
      <c r="G54" s="662">
        <f t="shared" si="1"/>
        <v>0</v>
      </c>
      <c r="H54" s="3232"/>
      <c r="I54" s="3320"/>
      <c r="J54" s="3232"/>
      <c r="K54" s="3320"/>
      <c r="L54" s="3232"/>
      <c r="M54" s="3320"/>
      <c r="N54" s="3232"/>
      <c r="O54" s="3320"/>
      <c r="P54" s="3232"/>
      <c r="Q54" s="3320"/>
      <c r="R54" s="3232"/>
      <c r="S54" s="3320"/>
    </row>
    <row r="55" spans="1:29">
      <c r="A55" s="3566">
        <f>A54*0.7</f>
        <v>6.3</v>
      </c>
      <c r="B55" s="3567" t="s">
        <v>7014</v>
      </c>
      <c r="C55" s="3520"/>
      <c r="D55" s="3521">
        <f>D53*6.5*1/27</f>
        <v>13.962962962962964</v>
      </c>
      <c r="E55" s="3522" t="s">
        <v>3031</v>
      </c>
      <c r="F55" s="3544"/>
      <c r="G55" s="662">
        <f t="shared" si="1"/>
        <v>0</v>
      </c>
      <c r="H55" s="3232"/>
      <c r="I55" s="3320"/>
      <c r="J55" s="3232"/>
      <c r="K55" s="3320"/>
      <c r="L55" s="3232"/>
      <c r="M55" s="3320"/>
      <c r="N55" s="3232"/>
      <c r="O55" s="3320"/>
      <c r="P55" s="3232"/>
      <c r="Q55" s="3320"/>
      <c r="R55" s="3232"/>
      <c r="S55" s="3320"/>
    </row>
    <row r="56" spans="1:29">
      <c r="A56" s="3457">
        <f>42-34</f>
        <v>8</v>
      </c>
      <c r="B56" s="3568" t="s">
        <v>7015</v>
      </c>
      <c r="C56" s="3520"/>
      <c r="D56" s="3521">
        <f>D53*A56</f>
        <v>464</v>
      </c>
      <c r="E56" s="3522" t="s">
        <v>2845</v>
      </c>
      <c r="F56" s="3544"/>
      <c r="G56" s="662">
        <f t="shared" si="1"/>
        <v>0</v>
      </c>
      <c r="H56" s="3232"/>
      <c r="I56" s="3320"/>
      <c r="J56" s="3232"/>
      <c r="K56" s="3320"/>
      <c r="L56" s="3232"/>
      <c r="M56" s="3320"/>
      <c r="N56" s="3232"/>
      <c r="O56" s="3320"/>
      <c r="P56" s="3232"/>
      <c r="Q56" s="3320"/>
      <c r="R56" s="3232"/>
      <c r="S56" s="3320"/>
    </row>
    <row r="57" spans="1:29">
      <c r="A57" s="3457">
        <f>42-36</f>
        <v>6</v>
      </c>
      <c r="B57" s="3448" t="s">
        <v>7016</v>
      </c>
      <c r="C57" s="3520"/>
      <c r="D57" s="3521">
        <f>D53*A57</f>
        <v>348</v>
      </c>
      <c r="E57" s="3522" t="s">
        <v>2845</v>
      </c>
      <c r="F57" s="3544"/>
      <c r="G57" s="662">
        <f t="shared" si="1"/>
        <v>0</v>
      </c>
      <c r="H57" s="3232"/>
      <c r="I57" s="3320"/>
      <c r="J57" s="3232"/>
      <c r="K57" s="3320"/>
      <c r="L57" s="3232"/>
      <c r="M57" s="3320"/>
      <c r="N57" s="3232"/>
      <c r="O57" s="3320"/>
      <c r="P57" s="3232"/>
      <c r="Q57" s="3320"/>
      <c r="R57" s="3232"/>
      <c r="S57" s="3320"/>
    </row>
    <row r="58" spans="1:29">
      <c r="A58" s="3457"/>
      <c r="B58" s="3448" t="s">
        <v>7006</v>
      </c>
      <c r="C58" s="3520"/>
      <c r="D58" s="3521">
        <f>D53*(A54*0.75)*2/27</f>
        <v>29</v>
      </c>
      <c r="E58" s="3522" t="s">
        <v>3031</v>
      </c>
      <c r="F58" s="3544"/>
      <c r="G58" s="662">
        <f t="shared" si="1"/>
        <v>0</v>
      </c>
      <c r="H58" s="3232"/>
      <c r="I58" s="3320"/>
      <c r="J58" s="3232"/>
      <c r="K58" s="3320"/>
      <c r="L58" s="3232"/>
      <c r="M58" s="3320"/>
      <c r="N58" s="3232"/>
      <c r="O58" s="3320"/>
      <c r="P58" s="3232"/>
      <c r="Q58" s="3320"/>
      <c r="R58" s="3232"/>
      <c r="S58" s="3320"/>
    </row>
    <row r="59" spans="1:29">
      <c r="A59" s="3538"/>
      <c r="B59" s="3447" t="s">
        <v>7017</v>
      </c>
      <c r="C59" s="3520" t="s">
        <v>7000</v>
      </c>
      <c r="D59" s="3521">
        <v>187</v>
      </c>
      <c r="E59" s="3522" t="s">
        <v>2864</v>
      </c>
      <c r="F59" s="3544"/>
      <c r="G59" s="662">
        <f t="shared" si="1"/>
        <v>0</v>
      </c>
      <c r="H59" s="3232"/>
      <c r="I59" s="3320"/>
      <c r="J59" s="3232"/>
      <c r="K59" s="3320"/>
      <c r="L59" s="3232"/>
      <c r="M59" s="3320"/>
      <c r="N59" s="3232"/>
      <c r="O59" s="3320"/>
      <c r="P59" s="3232"/>
      <c r="Q59" s="3320"/>
      <c r="R59" s="3232"/>
      <c r="S59" s="3320"/>
      <c r="U59" s="58">
        <v>40</v>
      </c>
      <c r="V59" s="58">
        <v>33</v>
      </c>
      <c r="W59" s="58">
        <v>30</v>
      </c>
    </row>
    <row r="60" spans="1:29">
      <c r="A60" s="3566">
        <v>9</v>
      </c>
      <c r="B60" s="3448" t="s">
        <v>7018</v>
      </c>
      <c r="C60" s="3520"/>
      <c r="D60" s="3521">
        <f>D59*9*1/27</f>
        <v>62.333333333333336</v>
      </c>
      <c r="E60" s="3522" t="s">
        <v>3031</v>
      </c>
      <c r="F60" s="3544"/>
      <c r="G60" s="662">
        <f t="shared" si="1"/>
        <v>0</v>
      </c>
      <c r="H60" s="3232"/>
      <c r="I60" s="3320"/>
      <c r="J60" s="3232"/>
      <c r="K60" s="3320"/>
      <c r="L60" s="3232"/>
      <c r="M60" s="3320"/>
      <c r="N60" s="3232"/>
      <c r="O60" s="3320"/>
      <c r="P60" s="3232"/>
      <c r="Q60" s="3320"/>
      <c r="R60" s="3232"/>
      <c r="S60" s="3320"/>
      <c r="U60" s="58">
        <v>27</v>
      </c>
      <c r="V60" s="58">
        <v>26.5</v>
      </c>
      <c r="W60" s="58">
        <v>26</v>
      </c>
    </row>
    <row r="61" spans="1:29">
      <c r="A61" s="3566">
        <f>A60*0.7</f>
        <v>6.3</v>
      </c>
      <c r="B61" s="3564" t="s">
        <v>7019</v>
      </c>
      <c r="C61" s="3520"/>
      <c r="D61" s="3521">
        <f>D59*6.5*1/27</f>
        <v>45.018518518518519</v>
      </c>
      <c r="E61" s="3522" t="s">
        <v>3031</v>
      </c>
      <c r="F61" s="3544"/>
      <c r="G61" s="662">
        <f t="shared" si="1"/>
        <v>0</v>
      </c>
      <c r="H61" s="3232"/>
      <c r="I61" s="3320"/>
      <c r="J61" s="3232"/>
      <c r="K61" s="3320"/>
      <c r="L61" s="3232"/>
      <c r="M61" s="3320"/>
      <c r="N61" s="3232"/>
      <c r="O61" s="3320"/>
      <c r="P61" s="3232"/>
      <c r="Q61" s="3320"/>
      <c r="R61" s="3232"/>
      <c r="S61" s="3320"/>
      <c r="U61" s="58">
        <f>U59-U60</f>
        <v>13</v>
      </c>
      <c r="V61" s="58">
        <f t="shared" ref="V61:W61" si="3">V59-V60</f>
        <v>6.5</v>
      </c>
      <c r="W61" s="58">
        <f t="shared" si="3"/>
        <v>4</v>
      </c>
      <c r="X61" s="58">
        <f>AVERAGE(U61:W61)</f>
        <v>7.833333333333333</v>
      </c>
    </row>
    <row r="62" spans="1:29">
      <c r="A62" s="3457">
        <v>8</v>
      </c>
      <c r="B62" s="3448" t="s">
        <v>7015</v>
      </c>
      <c r="C62" s="3520"/>
      <c r="D62" s="3521">
        <f>A62*D59</f>
        <v>1496</v>
      </c>
      <c r="E62" s="3522" t="s">
        <v>2845</v>
      </c>
      <c r="F62" s="3544"/>
      <c r="G62" s="662">
        <f t="shared" si="1"/>
        <v>0</v>
      </c>
      <c r="H62" s="3232"/>
      <c r="I62" s="3320"/>
      <c r="J62" s="3232"/>
      <c r="K62" s="3320"/>
      <c r="L62" s="3232"/>
      <c r="M62" s="3320"/>
      <c r="N62" s="3232"/>
      <c r="O62" s="3320"/>
      <c r="P62" s="3232"/>
      <c r="Q62" s="3320"/>
      <c r="R62" s="3232"/>
      <c r="S62" s="3320"/>
    </row>
    <row r="63" spans="1:29">
      <c r="A63" s="3457"/>
      <c r="B63" s="3448" t="s">
        <v>7006</v>
      </c>
      <c r="C63" s="3520"/>
      <c r="D63" s="3521">
        <f>D59*(A60*0.75)*2/27</f>
        <v>93.5</v>
      </c>
      <c r="E63" s="3522" t="s">
        <v>3031</v>
      </c>
      <c r="F63" s="3544"/>
      <c r="G63" s="662">
        <f t="shared" si="1"/>
        <v>0</v>
      </c>
      <c r="H63" s="3232"/>
      <c r="I63" s="3320"/>
      <c r="J63" s="3232"/>
      <c r="K63" s="3320"/>
      <c r="L63" s="3232"/>
      <c r="M63" s="3320"/>
      <c r="N63" s="3232"/>
      <c r="O63" s="3320"/>
      <c r="P63" s="3232"/>
      <c r="Q63" s="3320"/>
      <c r="R63" s="3232"/>
      <c r="S63" s="3320"/>
    </row>
    <row r="64" spans="1:29">
      <c r="A64" s="3538"/>
      <c r="B64" s="3447" t="s">
        <v>7020</v>
      </c>
      <c r="C64" s="3520" t="s">
        <v>7000</v>
      </c>
      <c r="D64" s="3521">
        <f>452+57</f>
        <v>509</v>
      </c>
      <c r="E64" s="3522" t="s">
        <v>2864</v>
      </c>
      <c r="F64" s="3544"/>
      <c r="G64" s="662">
        <f t="shared" si="1"/>
        <v>0</v>
      </c>
      <c r="H64" s="3232"/>
      <c r="I64" s="3320"/>
      <c r="J64" s="3232"/>
      <c r="K64" s="3320"/>
      <c r="L64" s="3232"/>
      <c r="M64" s="3320"/>
      <c r="N64" s="3232"/>
      <c r="O64" s="3320"/>
      <c r="P64" s="3232"/>
      <c r="Q64" s="3320"/>
      <c r="R64" s="3232"/>
      <c r="S64" s="3320"/>
      <c r="U64" s="58">
        <v>31.5</v>
      </c>
      <c r="V64" s="58">
        <v>31.5</v>
      </c>
      <c r="W64" s="58">
        <v>31.5</v>
      </c>
      <c r="X64" s="58">
        <v>31.5</v>
      </c>
      <c r="Y64" s="58">
        <v>32.17</v>
      </c>
      <c r="Z64" s="58">
        <v>35.5</v>
      </c>
      <c r="AA64" s="58">
        <v>38</v>
      </c>
      <c r="AB64" s="58">
        <v>40</v>
      </c>
      <c r="AC64" s="58">
        <v>45</v>
      </c>
    </row>
    <row r="65" spans="1:32">
      <c r="A65" s="3457">
        <v>5.75</v>
      </c>
      <c r="B65" s="3448" t="s">
        <v>7021</v>
      </c>
      <c r="C65" s="3520"/>
      <c r="D65" s="3521">
        <f>D64*5.75*1/27</f>
        <v>108.39814814814815</v>
      </c>
      <c r="E65" s="3522" t="s">
        <v>3031</v>
      </c>
      <c r="F65" s="3544"/>
      <c r="G65" s="662">
        <f t="shared" si="1"/>
        <v>0</v>
      </c>
      <c r="H65" s="3232"/>
      <c r="I65" s="3320"/>
      <c r="J65" s="3232"/>
      <c r="K65" s="3320"/>
      <c r="L65" s="3232"/>
      <c r="M65" s="3320"/>
      <c r="N65" s="3232"/>
      <c r="O65" s="3320"/>
      <c r="P65" s="3232"/>
      <c r="Q65" s="3320"/>
      <c r="R65" s="3232"/>
      <c r="S65" s="3320"/>
      <c r="U65" s="58">
        <v>26.76</v>
      </c>
      <c r="V65" s="58">
        <v>26.37</v>
      </c>
      <c r="W65" s="58">
        <v>26.05</v>
      </c>
      <c r="X65" s="58">
        <v>25.75</v>
      </c>
      <c r="Y65" s="58">
        <v>26</v>
      </c>
      <c r="Z65" s="58">
        <v>32</v>
      </c>
      <c r="AA65" s="58">
        <v>35.5</v>
      </c>
      <c r="AB65" s="58">
        <v>34.5</v>
      </c>
      <c r="AC65" s="58">
        <v>41</v>
      </c>
      <c r="AE65" s="300"/>
      <c r="AF65" s="300"/>
    </row>
    <row r="66" spans="1:32">
      <c r="A66" s="3566">
        <f>A65*0.7</f>
        <v>4.0249999999999995</v>
      </c>
      <c r="B66" s="3564" t="s">
        <v>7022</v>
      </c>
      <c r="C66" s="3520"/>
      <c r="D66" s="3521">
        <f>D64*4*4/27</f>
        <v>301.62962962962962</v>
      </c>
      <c r="E66" s="3522" t="s">
        <v>3031</v>
      </c>
      <c r="F66" s="3544"/>
      <c r="G66" s="662">
        <f t="shared" si="1"/>
        <v>0</v>
      </c>
      <c r="H66" s="3232"/>
      <c r="I66" s="3320"/>
      <c r="J66" s="3232"/>
      <c r="K66" s="3320"/>
      <c r="L66" s="3232"/>
      <c r="M66" s="3320"/>
      <c r="N66" s="3232"/>
      <c r="O66" s="3320"/>
      <c r="P66" s="3232"/>
      <c r="Q66" s="3320"/>
      <c r="R66" s="3232"/>
      <c r="S66" s="3320"/>
      <c r="U66" s="58">
        <f>U64-U65</f>
        <v>4.7399999999999984</v>
      </c>
      <c r="V66" s="58">
        <f t="shared" ref="V66:AC66" si="4">V64-V65</f>
        <v>5.129999999999999</v>
      </c>
      <c r="W66" s="58">
        <f t="shared" si="4"/>
        <v>5.4499999999999993</v>
      </c>
      <c r="X66" s="58">
        <f t="shared" si="4"/>
        <v>5.75</v>
      </c>
      <c r="Y66" s="58">
        <f t="shared" si="4"/>
        <v>6.1700000000000017</v>
      </c>
      <c r="Z66" s="58">
        <f t="shared" si="4"/>
        <v>3.5</v>
      </c>
      <c r="AA66" s="58">
        <f t="shared" si="4"/>
        <v>2.5</v>
      </c>
      <c r="AB66" s="58">
        <f t="shared" si="4"/>
        <v>5.5</v>
      </c>
      <c r="AC66" s="58">
        <f t="shared" si="4"/>
        <v>4</v>
      </c>
      <c r="AD66" s="58">
        <f>AVERAGE(U66:AC66)</f>
        <v>4.7488888888888887</v>
      </c>
      <c r="AE66" s="300"/>
      <c r="AF66" s="300"/>
    </row>
    <row r="67" spans="1:32">
      <c r="A67" s="3457">
        <v>4.75</v>
      </c>
      <c r="B67" s="3448" t="s">
        <v>7015</v>
      </c>
      <c r="C67" s="3520"/>
      <c r="D67" s="3521">
        <f>D64*A67</f>
        <v>2417.75</v>
      </c>
      <c r="E67" s="3522" t="s">
        <v>2845</v>
      </c>
      <c r="F67" s="3544"/>
      <c r="G67" s="662">
        <f t="shared" si="1"/>
        <v>0</v>
      </c>
      <c r="H67" s="3232"/>
      <c r="I67" s="3320"/>
      <c r="J67" s="3232"/>
      <c r="K67" s="3320"/>
      <c r="L67" s="3232"/>
      <c r="M67" s="3320"/>
      <c r="N67" s="3232"/>
      <c r="O67" s="3320"/>
      <c r="P67" s="3232"/>
      <c r="Q67" s="3320"/>
      <c r="R67" s="3232"/>
      <c r="S67" s="3320"/>
      <c r="AE67" s="300"/>
      <c r="AF67" s="300"/>
    </row>
    <row r="68" spans="1:32">
      <c r="A68" s="3457"/>
      <c r="B68" s="3448" t="s">
        <v>7006</v>
      </c>
      <c r="C68" s="3520"/>
      <c r="D68" s="3521">
        <f>D64*(A65*0.75)*2/27</f>
        <v>162.59722222222223</v>
      </c>
      <c r="E68" s="3522" t="s">
        <v>3031</v>
      </c>
      <c r="F68" s="3544"/>
      <c r="G68" s="662">
        <f t="shared" si="1"/>
        <v>0</v>
      </c>
      <c r="H68" s="3232"/>
      <c r="I68" s="3320"/>
      <c r="J68" s="3232"/>
      <c r="K68" s="3320"/>
      <c r="L68" s="3232"/>
      <c r="M68" s="3320"/>
      <c r="N68" s="3232"/>
      <c r="O68" s="3320"/>
      <c r="P68" s="3232"/>
      <c r="Q68" s="3320"/>
      <c r="R68" s="3232"/>
      <c r="S68" s="3320"/>
      <c r="AE68" s="300"/>
      <c r="AF68" s="300"/>
    </row>
    <row r="69" spans="1:32">
      <c r="A69" s="3457"/>
      <c r="B69" s="3447" t="s">
        <v>7023</v>
      </c>
      <c r="C69" s="3520"/>
      <c r="D69" s="3521">
        <v>74</v>
      </c>
      <c r="E69" s="3522" t="s">
        <v>2864</v>
      </c>
      <c r="F69" s="3544"/>
      <c r="G69" s="662">
        <f t="shared" si="1"/>
        <v>0</v>
      </c>
      <c r="H69" s="3232"/>
      <c r="I69" s="3320"/>
      <c r="J69" s="3232"/>
      <c r="K69" s="3320"/>
      <c r="L69" s="3232"/>
      <c r="M69" s="3320"/>
      <c r="N69" s="3232"/>
      <c r="O69" s="3320"/>
      <c r="P69" s="3232"/>
      <c r="Q69" s="3320"/>
      <c r="R69" s="3232"/>
      <c r="S69" s="3320"/>
      <c r="U69" s="58">
        <v>44</v>
      </c>
      <c r="V69" s="58">
        <v>38</v>
      </c>
      <c r="W69" s="58">
        <v>35</v>
      </c>
      <c r="X69" s="58">
        <v>28</v>
      </c>
      <c r="AE69" s="300"/>
      <c r="AF69" s="300"/>
    </row>
    <row r="70" spans="1:32">
      <c r="A70" s="3457">
        <v>10.25</v>
      </c>
      <c r="B70" s="3448" t="s">
        <v>7024</v>
      </c>
      <c r="C70" s="3520"/>
      <c r="D70" s="3521">
        <f>D69*10.25*1/27</f>
        <v>28.092592592592592</v>
      </c>
      <c r="E70" s="3522" t="s">
        <v>3031</v>
      </c>
      <c r="F70" s="3544"/>
      <c r="G70" s="662">
        <f t="shared" si="1"/>
        <v>0</v>
      </c>
      <c r="H70" s="3232"/>
      <c r="I70" s="3320"/>
      <c r="J70" s="3232"/>
      <c r="K70" s="3320"/>
      <c r="L70" s="3232"/>
      <c r="M70" s="3320"/>
      <c r="N70" s="3232"/>
      <c r="O70" s="3320"/>
      <c r="P70" s="3232"/>
      <c r="Q70" s="3320"/>
      <c r="R70" s="3232"/>
      <c r="S70" s="3320"/>
      <c r="U70" s="58">
        <v>27</v>
      </c>
      <c r="V70" s="58">
        <v>27</v>
      </c>
      <c r="W70" s="58">
        <v>27</v>
      </c>
      <c r="X70" s="58">
        <v>27</v>
      </c>
      <c r="AE70" s="300"/>
      <c r="AF70" s="300"/>
    </row>
    <row r="71" spans="1:32">
      <c r="A71" s="3566">
        <f>A70*0.7</f>
        <v>7.1749999999999998</v>
      </c>
      <c r="B71" s="3448" t="s">
        <v>7025</v>
      </c>
      <c r="C71" s="3520"/>
      <c r="D71" s="3521">
        <f>D69*7.25*1/27</f>
        <v>19.87037037037037</v>
      </c>
      <c r="E71" s="3522" t="s">
        <v>3031</v>
      </c>
      <c r="F71" s="3544"/>
      <c r="G71" s="662">
        <f t="shared" si="1"/>
        <v>0</v>
      </c>
      <c r="H71" s="3232"/>
      <c r="I71" s="3320"/>
      <c r="J71" s="3232"/>
      <c r="K71" s="3320"/>
      <c r="L71" s="3232"/>
      <c r="M71" s="3320"/>
      <c r="N71" s="3232"/>
      <c r="O71" s="3320"/>
      <c r="P71" s="3232"/>
      <c r="Q71" s="3320"/>
      <c r="R71" s="3232"/>
      <c r="S71" s="3320"/>
      <c r="U71" s="58">
        <f t="shared" ref="U71:X71" si="5">U69-U70</f>
        <v>17</v>
      </c>
      <c r="V71" s="58">
        <f t="shared" si="5"/>
        <v>11</v>
      </c>
      <c r="W71" s="58">
        <f t="shared" si="5"/>
        <v>8</v>
      </c>
      <c r="X71" s="58">
        <f t="shared" si="5"/>
        <v>1</v>
      </c>
      <c r="Y71" s="58">
        <f>AVERAGE(U71:X71)</f>
        <v>9.25</v>
      </c>
      <c r="AE71" s="300"/>
      <c r="AF71" s="300"/>
    </row>
    <row r="72" spans="1:32">
      <c r="A72" s="3457">
        <v>9.25</v>
      </c>
      <c r="B72" s="3448" t="s">
        <v>7015</v>
      </c>
      <c r="C72" s="3520"/>
      <c r="D72" s="3521">
        <f>D69*A72</f>
        <v>684.5</v>
      </c>
      <c r="E72" s="3522" t="s">
        <v>2845</v>
      </c>
      <c r="F72" s="3544"/>
      <c r="G72" s="662">
        <f t="shared" si="1"/>
        <v>0</v>
      </c>
      <c r="H72" s="3232"/>
      <c r="I72" s="3320"/>
      <c r="J72" s="3232"/>
      <c r="K72" s="3320"/>
      <c r="L72" s="3232"/>
      <c r="M72" s="3320"/>
      <c r="N72" s="3232"/>
      <c r="O72" s="3320"/>
      <c r="P72" s="3232"/>
      <c r="Q72" s="3320"/>
      <c r="R72" s="3232"/>
      <c r="S72" s="3320"/>
      <c r="AE72" s="300"/>
      <c r="AF72" s="300"/>
    </row>
    <row r="73" spans="1:32">
      <c r="A73" s="3457"/>
      <c r="B73" s="3448" t="s">
        <v>7006</v>
      </c>
      <c r="C73" s="3520"/>
      <c r="D73" s="3521">
        <f>D69*(A70*0.75)*2/27</f>
        <v>42.138888888888886</v>
      </c>
      <c r="E73" s="3522" t="s">
        <v>3031</v>
      </c>
      <c r="F73" s="3544"/>
      <c r="G73" s="662">
        <f t="shared" si="1"/>
        <v>0</v>
      </c>
      <c r="H73" s="3232"/>
      <c r="I73" s="3320"/>
      <c r="J73" s="3232"/>
      <c r="K73" s="3320"/>
      <c r="L73" s="3232"/>
      <c r="M73" s="3320"/>
      <c r="N73" s="3232"/>
      <c r="O73" s="3320"/>
      <c r="P73" s="3232"/>
      <c r="Q73" s="3320"/>
      <c r="R73" s="3232"/>
      <c r="S73" s="3320"/>
      <c r="AE73" s="300"/>
      <c r="AF73" s="300"/>
    </row>
    <row r="74" spans="1:32">
      <c r="A74" s="3457"/>
      <c r="B74" s="3447" t="s">
        <v>7026</v>
      </c>
      <c r="C74" s="3520"/>
      <c r="D74" s="3521">
        <v>158</v>
      </c>
      <c r="E74" s="3522" t="s">
        <v>2864</v>
      </c>
      <c r="F74" s="3544"/>
      <c r="G74" s="662">
        <f t="shared" si="1"/>
        <v>0</v>
      </c>
      <c r="H74" s="3232"/>
      <c r="I74" s="3320"/>
      <c r="J74" s="3232"/>
      <c r="K74" s="3320"/>
      <c r="L74" s="3232"/>
      <c r="M74" s="3320"/>
      <c r="N74" s="3232"/>
      <c r="O74" s="3320"/>
      <c r="P74" s="3232"/>
      <c r="Q74" s="3320"/>
      <c r="R74" s="3232"/>
      <c r="S74" s="3320"/>
      <c r="U74" s="58">
        <v>44</v>
      </c>
      <c r="V74" s="58">
        <v>40</v>
      </c>
      <c r="W74" s="58">
        <v>38</v>
      </c>
      <c r="X74" s="58">
        <v>34</v>
      </c>
      <c r="Y74" s="58">
        <v>32</v>
      </c>
      <c r="Z74" s="58">
        <v>32</v>
      </c>
      <c r="AE74" s="300"/>
      <c r="AF74" s="300"/>
    </row>
    <row r="75" spans="1:32">
      <c r="A75" s="3457">
        <v>8.5</v>
      </c>
      <c r="B75" s="3448" t="s">
        <v>7027</v>
      </c>
      <c r="C75" s="3520"/>
      <c r="D75" s="3521">
        <f>D74*8.5*1/27</f>
        <v>49.74074074074074</v>
      </c>
      <c r="E75" s="3522" t="s">
        <v>3031</v>
      </c>
      <c r="F75" s="3544"/>
      <c r="G75" s="662">
        <f t="shared" si="1"/>
        <v>0</v>
      </c>
      <c r="H75" s="3232"/>
      <c r="I75" s="3320"/>
      <c r="J75" s="3232"/>
      <c r="K75" s="3320"/>
      <c r="L75" s="3232"/>
      <c r="M75" s="3320"/>
      <c r="N75" s="3232"/>
      <c r="O75" s="3320"/>
      <c r="P75" s="3232"/>
      <c r="Q75" s="3320"/>
      <c r="R75" s="3232"/>
      <c r="S75" s="3320"/>
      <c r="U75" s="58">
        <v>27</v>
      </c>
      <c r="V75" s="58">
        <v>28</v>
      </c>
      <c r="W75" s="58">
        <v>32</v>
      </c>
      <c r="X75" s="58">
        <v>32</v>
      </c>
      <c r="Y75" s="58">
        <v>28</v>
      </c>
      <c r="Z75" s="58">
        <v>28</v>
      </c>
      <c r="AE75" s="300"/>
      <c r="AF75" s="300"/>
    </row>
    <row r="76" spans="1:32">
      <c r="A76" s="3566">
        <f>A75*0.7</f>
        <v>5.9499999999999993</v>
      </c>
      <c r="B76" s="3448" t="s">
        <v>7028</v>
      </c>
      <c r="C76" s="3520"/>
      <c r="D76" s="3521">
        <f>D74*6*1/27</f>
        <v>35.111111111111114</v>
      </c>
      <c r="E76" s="3522" t="s">
        <v>3031</v>
      </c>
      <c r="F76" s="3544"/>
      <c r="G76" s="662">
        <f t="shared" si="1"/>
        <v>0</v>
      </c>
      <c r="H76" s="3232"/>
      <c r="I76" s="3320"/>
      <c r="J76" s="3232"/>
      <c r="K76" s="3320"/>
      <c r="L76" s="3232"/>
      <c r="M76" s="3320"/>
      <c r="N76" s="3232"/>
      <c r="O76" s="3320"/>
      <c r="P76" s="3232"/>
      <c r="Q76" s="3320"/>
      <c r="R76" s="3232"/>
      <c r="S76" s="3320"/>
      <c r="U76" s="58">
        <f t="shared" ref="U76" si="6">U74-U75</f>
        <v>17</v>
      </c>
      <c r="V76" s="58">
        <f t="shared" ref="V76" si="7">V74-V75</f>
        <v>12</v>
      </c>
      <c r="W76" s="58">
        <f t="shared" ref="W76" si="8">W74-W75</f>
        <v>6</v>
      </c>
      <c r="X76" s="58">
        <f t="shared" ref="X76" si="9">X74-X75</f>
        <v>2</v>
      </c>
      <c r="Y76" s="58">
        <f t="shared" ref="Y76" si="10">Y74-Y75</f>
        <v>4</v>
      </c>
      <c r="Z76" s="58">
        <f t="shared" ref="Z76" si="11">Z74-Z75</f>
        <v>4</v>
      </c>
      <c r="AA76" s="58">
        <f>AVERAGE(U76:Z76)</f>
        <v>7.5</v>
      </c>
      <c r="AE76" s="300"/>
      <c r="AF76" s="300"/>
    </row>
    <row r="77" spans="1:32">
      <c r="A77" s="3457">
        <v>7.5</v>
      </c>
      <c r="B77" s="3448" t="s">
        <v>7015</v>
      </c>
      <c r="C77" s="3520"/>
      <c r="D77" s="3521">
        <f>D74*A77</f>
        <v>1185</v>
      </c>
      <c r="E77" s="3522" t="s">
        <v>2845</v>
      </c>
      <c r="F77" s="3544"/>
      <c r="G77" s="662">
        <f t="shared" si="1"/>
        <v>0</v>
      </c>
      <c r="H77" s="3232"/>
      <c r="I77" s="3320"/>
      <c r="J77" s="3232"/>
      <c r="K77" s="3320"/>
      <c r="L77" s="3232"/>
      <c r="M77" s="3320"/>
      <c r="N77" s="3232"/>
      <c r="O77" s="3320"/>
      <c r="P77" s="3232"/>
      <c r="Q77" s="3320"/>
      <c r="R77" s="3232"/>
      <c r="S77" s="3320"/>
      <c r="AE77" s="300"/>
      <c r="AF77" s="300"/>
    </row>
    <row r="78" spans="1:32">
      <c r="A78" s="3457"/>
      <c r="B78" s="3448" t="s">
        <v>7006</v>
      </c>
      <c r="C78" s="3520"/>
      <c r="D78" s="3521">
        <f>D74*(A75*0.75)*2/27</f>
        <v>74.611111111111114</v>
      </c>
      <c r="E78" s="3522" t="s">
        <v>3031</v>
      </c>
      <c r="F78" s="3544"/>
      <c r="G78" s="662">
        <f t="shared" si="1"/>
        <v>0</v>
      </c>
      <c r="H78" s="3232"/>
      <c r="I78" s="3320"/>
      <c r="J78" s="3232"/>
      <c r="K78" s="3320"/>
      <c r="L78" s="3232"/>
      <c r="M78" s="3320"/>
      <c r="N78" s="3232"/>
      <c r="O78" s="3320"/>
      <c r="P78" s="3232"/>
      <c r="Q78" s="3320"/>
      <c r="R78" s="3232"/>
      <c r="S78" s="3320"/>
      <c r="AE78" s="300"/>
      <c r="AF78" s="300"/>
    </row>
    <row r="79" spans="1:32">
      <c r="A79" s="3457"/>
      <c r="B79" s="3447" t="s">
        <v>7029</v>
      </c>
      <c r="C79" s="3520" t="s">
        <v>7030</v>
      </c>
      <c r="D79" s="3521">
        <v>192</v>
      </c>
      <c r="E79" s="3522" t="s">
        <v>2864</v>
      </c>
      <c r="F79" s="3544"/>
      <c r="G79" s="662">
        <f t="shared" si="1"/>
        <v>0</v>
      </c>
      <c r="H79" s="3232"/>
      <c r="I79" s="3320"/>
      <c r="J79" s="3232"/>
      <c r="K79" s="3320"/>
      <c r="L79" s="3232"/>
      <c r="M79" s="3320"/>
      <c r="N79" s="3232"/>
      <c r="O79" s="3320"/>
      <c r="P79" s="3232"/>
      <c r="Q79" s="3320"/>
      <c r="R79" s="3232"/>
      <c r="S79" s="3320"/>
      <c r="AE79" s="300"/>
      <c r="AF79" s="300"/>
    </row>
    <row r="80" spans="1:32">
      <c r="A80" s="3566">
        <f>A82*1.3</f>
        <v>11.700000000000001</v>
      </c>
      <c r="B80" s="3448" t="s">
        <v>7031</v>
      </c>
      <c r="C80" s="3520"/>
      <c r="D80" s="3521">
        <f>D79*13*1/27</f>
        <v>92.444444444444443</v>
      </c>
      <c r="E80" s="3522" t="s">
        <v>3031</v>
      </c>
      <c r="F80" s="3544"/>
      <c r="G80" s="662">
        <f t="shared" si="1"/>
        <v>0</v>
      </c>
      <c r="H80" s="3232"/>
      <c r="I80" s="3320"/>
      <c r="J80" s="3232"/>
      <c r="K80" s="3320"/>
      <c r="L80" s="3232"/>
      <c r="M80" s="3320"/>
      <c r="N80" s="3232"/>
      <c r="O80" s="3320"/>
      <c r="P80" s="3232"/>
      <c r="Q80" s="3320"/>
      <c r="R80" s="3232"/>
      <c r="S80" s="3320"/>
      <c r="AE80" s="300"/>
      <c r="AF80" s="300"/>
    </row>
    <row r="81" spans="1:19">
      <c r="A81" s="449"/>
      <c r="B81" s="3448" t="s">
        <v>7032</v>
      </c>
      <c r="C81" s="3520"/>
      <c r="D81" s="3521">
        <f>D79*8.78*1/27</f>
        <v>62.435555555555545</v>
      </c>
      <c r="E81" s="3522" t="s">
        <v>3031</v>
      </c>
      <c r="F81" s="3544"/>
      <c r="G81" s="662">
        <f t="shared" si="1"/>
        <v>0</v>
      </c>
      <c r="H81" s="3232"/>
      <c r="I81" s="3320"/>
      <c r="J81" s="3232"/>
      <c r="K81" s="3320"/>
      <c r="L81" s="3232"/>
      <c r="M81" s="3320"/>
      <c r="N81" s="3232"/>
      <c r="O81" s="3320"/>
      <c r="P81" s="3232"/>
      <c r="Q81" s="3320"/>
      <c r="R81" s="3232"/>
      <c r="S81" s="3320"/>
    </row>
    <row r="82" spans="1:19">
      <c r="A82" s="3457">
        <v>9</v>
      </c>
      <c r="B82" s="3448" t="s">
        <v>7033</v>
      </c>
      <c r="C82" s="3520"/>
      <c r="D82" s="3521">
        <f>D79*A82</f>
        <v>1728</v>
      </c>
      <c r="E82" s="3522" t="s">
        <v>2845</v>
      </c>
      <c r="F82" s="3544"/>
      <c r="G82" s="662">
        <f t="shared" si="1"/>
        <v>0</v>
      </c>
      <c r="H82" s="3232"/>
      <c r="I82" s="3320"/>
      <c r="J82" s="3232"/>
      <c r="K82" s="3320"/>
      <c r="L82" s="3232"/>
      <c r="M82" s="3320"/>
      <c r="N82" s="3232"/>
      <c r="O82" s="3320"/>
      <c r="P82" s="3232"/>
      <c r="Q82" s="3320"/>
      <c r="R82" s="3232"/>
      <c r="S82" s="3320"/>
    </row>
    <row r="83" spans="1:19">
      <c r="A83" s="3457"/>
      <c r="B83" s="3448" t="s">
        <v>7006</v>
      </c>
      <c r="C83" s="3520"/>
      <c r="D83" s="3521">
        <f>D79*(A80*0.75)*2/27</f>
        <v>124.80000000000001</v>
      </c>
      <c r="E83" s="3522" t="s">
        <v>3031</v>
      </c>
      <c r="F83" s="3544"/>
      <c r="G83" s="662">
        <f t="shared" si="1"/>
        <v>0</v>
      </c>
      <c r="H83" s="3232"/>
      <c r="I83" s="3320"/>
      <c r="J83" s="3232"/>
      <c r="K83" s="3320"/>
      <c r="L83" s="3232"/>
      <c r="M83" s="3320"/>
      <c r="N83" s="3232"/>
      <c r="O83" s="3320"/>
      <c r="P83" s="3232"/>
      <c r="Q83" s="3320"/>
      <c r="R83" s="3232"/>
      <c r="S83" s="3320"/>
    </row>
    <row r="84" spans="1:19">
      <c r="A84" s="3457"/>
      <c r="B84" s="3447" t="s">
        <v>7034</v>
      </c>
      <c r="C84" s="3520"/>
      <c r="D84" s="3521">
        <v>65</v>
      </c>
      <c r="E84" s="3522" t="s">
        <v>2864</v>
      </c>
      <c r="F84" s="3544"/>
      <c r="G84" s="662">
        <f t="shared" si="1"/>
        <v>0</v>
      </c>
      <c r="H84" s="3232"/>
      <c r="I84" s="3320"/>
      <c r="J84" s="3232"/>
      <c r="K84" s="3320"/>
      <c r="L84" s="3232"/>
      <c r="M84" s="3320"/>
      <c r="N84" s="3232"/>
      <c r="O84" s="3320"/>
      <c r="P84" s="3232"/>
      <c r="Q84" s="3320"/>
      <c r="R84" s="3232"/>
      <c r="S84" s="3320"/>
    </row>
    <row r="85" spans="1:19">
      <c r="A85" s="3457">
        <f>65-57</f>
        <v>8</v>
      </c>
      <c r="B85" s="3448" t="s">
        <v>7035</v>
      </c>
      <c r="C85" s="3520"/>
      <c r="D85" s="3521">
        <f>D84*9*1/27</f>
        <v>21.666666666666668</v>
      </c>
      <c r="E85" s="3522" t="s">
        <v>3031</v>
      </c>
      <c r="F85" s="3544"/>
      <c r="G85" s="662">
        <f t="shared" si="1"/>
        <v>0</v>
      </c>
      <c r="H85" s="3232"/>
      <c r="I85" s="3320"/>
      <c r="J85" s="3232"/>
      <c r="K85" s="3320"/>
      <c r="L85" s="3232"/>
      <c r="M85" s="3320"/>
      <c r="N85" s="3232"/>
      <c r="O85" s="3320"/>
      <c r="P85" s="3232"/>
      <c r="Q85" s="3320"/>
      <c r="R85" s="3232"/>
      <c r="S85" s="3320"/>
    </row>
    <row r="86" spans="1:19">
      <c r="A86" s="3566">
        <f>A85*0.7</f>
        <v>5.6</v>
      </c>
      <c r="B86" s="3448" t="s">
        <v>7036</v>
      </c>
      <c r="C86" s="3520"/>
      <c r="D86" s="3521">
        <f>D84*8.78*1/27</f>
        <v>21.137037037037036</v>
      </c>
      <c r="E86" s="3522" t="s">
        <v>3031</v>
      </c>
      <c r="F86" s="3544"/>
      <c r="G86" s="662">
        <f t="shared" si="1"/>
        <v>0</v>
      </c>
      <c r="H86" s="3232"/>
      <c r="I86" s="3320"/>
      <c r="J86" s="3232"/>
      <c r="K86" s="3320"/>
      <c r="L86" s="3232"/>
      <c r="M86" s="3320"/>
      <c r="N86" s="3232"/>
      <c r="O86" s="3320"/>
      <c r="P86" s="3232"/>
      <c r="Q86" s="3320"/>
      <c r="R86" s="3232"/>
      <c r="S86" s="3320"/>
    </row>
    <row r="87" spans="1:19">
      <c r="A87" s="3457">
        <v>8</v>
      </c>
      <c r="B87" s="3448" t="s">
        <v>7033</v>
      </c>
      <c r="C87" s="3520"/>
      <c r="D87" s="3521">
        <f>D84*A87</f>
        <v>520</v>
      </c>
      <c r="E87" s="3522" t="s">
        <v>2845</v>
      </c>
      <c r="F87" s="3544"/>
      <c r="G87" s="662">
        <f t="shared" si="1"/>
        <v>0</v>
      </c>
      <c r="H87" s="3232"/>
      <c r="I87" s="3320"/>
      <c r="J87" s="3232"/>
      <c r="K87" s="3320"/>
      <c r="L87" s="3232"/>
      <c r="M87" s="3320"/>
      <c r="N87" s="3232"/>
      <c r="O87" s="3320"/>
      <c r="P87" s="3232"/>
      <c r="Q87" s="3320"/>
      <c r="R87" s="3232"/>
      <c r="S87" s="3320"/>
    </row>
    <row r="88" spans="1:19">
      <c r="A88" s="3457"/>
      <c r="B88" s="3448" t="s">
        <v>7006</v>
      </c>
      <c r="C88" s="3520"/>
      <c r="D88" s="3521">
        <f>D84*(A85*0.75)*2/27</f>
        <v>28.888888888888889</v>
      </c>
      <c r="E88" s="3522" t="s">
        <v>3031</v>
      </c>
      <c r="F88" s="3544"/>
      <c r="G88" s="662">
        <f t="shared" si="1"/>
        <v>0</v>
      </c>
      <c r="H88" s="3232"/>
      <c r="I88" s="3320"/>
      <c r="J88" s="3232"/>
      <c r="K88" s="3320"/>
      <c r="L88" s="3232"/>
      <c r="M88" s="3320"/>
      <c r="N88" s="3232"/>
      <c r="O88" s="3320"/>
      <c r="P88" s="3232"/>
      <c r="Q88" s="3320"/>
      <c r="R88" s="3232"/>
      <c r="S88" s="3320"/>
    </row>
    <row r="89" spans="1:19">
      <c r="A89" s="3457"/>
      <c r="B89" s="3447" t="s">
        <v>7037</v>
      </c>
      <c r="C89" s="3520"/>
      <c r="D89" s="3521">
        <v>47</v>
      </c>
      <c r="E89" s="3522" t="s">
        <v>2864</v>
      </c>
      <c r="F89" s="3544"/>
      <c r="G89" s="662">
        <f t="shared" si="1"/>
        <v>0</v>
      </c>
      <c r="H89" s="3232"/>
      <c r="I89" s="3320"/>
      <c r="J89" s="3232"/>
      <c r="K89" s="3320"/>
      <c r="L89" s="3232"/>
      <c r="M89" s="3320"/>
      <c r="N89" s="3232"/>
      <c r="O89" s="3320"/>
      <c r="P89" s="3232"/>
      <c r="Q89" s="3320"/>
      <c r="R89" s="3232"/>
      <c r="S89" s="3320"/>
    </row>
    <row r="90" spans="1:19">
      <c r="A90" s="3457">
        <v>9</v>
      </c>
      <c r="B90" s="3448" t="s">
        <v>7038</v>
      </c>
      <c r="C90" s="3520"/>
      <c r="D90" s="3521">
        <f>9*24*0.5*2/27</f>
        <v>8</v>
      </c>
      <c r="E90" s="3522" t="s">
        <v>3031</v>
      </c>
      <c r="F90" s="3544"/>
      <c r="G90" s="662">
        <f t="shared" ref="G90:G139" si="12">ROUND(D90*F90,0)</f>
        <v>0</v>
      </c>
      <c r="H90" s="3232"/>
      <c r="I90" s="3320"/>
      <c r="J90" s="3232"/>
      <c r="K90" s="3320"/>
      <c r="L90" s="3232"/>
      <c r="M90" s="3320"/>
      <c r="N90" s="3232"/>
      <c r="O90" s="3320"/>
      <c r="P90" s="3232"/>
      <c r="Q90" s="3320"/>
      <c r="R90" s="3232"/>
      <c r="S90" s="3320"/>
    </row>
    <row r="91" spans="1:19">
      <c r="A91" s="3566">
        <f>A90*0.7</f>
        <v>6.3</v>
      </c>
      <c r="B91" s="3448" t="s">
        <v>7019</v>
      </c>
      <c r="C91" s="3520"/>
      <c r="D91" s="3521">
        <f>D89*6.5*1/27</f>
        <v>11.314814814814815</v>
      </c>
      <c r="E91" s="3522" t="s">
        <v>3031</v>
      </c>
      <c r="F91" s="3544"/>
      <c r="G91" s="662">
        <f t="shared" si="12"/>
        <v>0</v>
      </c>
      <c r="H91" s="3232"/>
      <c r="I91" s="3320"/>
      <c r="J91" s="3232"/>
      <c r="K91" s="3320"/>
      <c r="L91" s="3232"/>
      <c r="M91" s="3320"/>
      <c r="N91" s="3232"/>
      <c r="O91" s="3320"/>
      <c r="P91" s="3232"/>
      <c r="Q91" s="3320"/>
      <c r="R91" s="3232"/>
      <c r="S91" s="3320"/>
    </row>
    <row r="92" spans="1:19">
      <c r="A92" s="3457"/>
      <c r="B92" s="3448" t="s">
        <v>7033</v>
      </c>
      <c r="C92" s="3520"/>
      <c r="D92" s="3521">
        <f>9*24*0.5*2</f>
        <v>216</v>
      </c>
      <c r="E92" s="3522" t="s">
        <v>2845</v>
      </c>
      <c r="F92" s="3544"/>
      <c r="G92" s="662">
        <f t="shared" si="12"/>
        <v>0</v>
      </c>
      <c r="H92" s="3232"/>
      <c r="I92" s="3320"/>
      <c r="J92" s="3232"/>
      <c r="K92" s="3320"/>
      <c r="L92" s="3232"/>
      <c r="M92" s="3320"/>
      <c r="N92" s="3232"/>
      <c r="O92" s="3320"/>
      <c r="P92" s="3232"/>
      <c r="Q92" s="3320"/>
      <c r="R92" s="3232"/>
      <c r="S92" s="3320"/>
    </row>
    <row r="93" spans="1:19">
      <c r="A93" s="3457"/>
      <c r="B93" s="3448" t="s">
        <v>7006</v>
      </c>
      <c r="C93" s="3520"/>
      <c r="D93" s="3521">
        <f>D89*(A90*0.75)*2/27</f>
        <v>23.5</v>
      </c>
      <c r="E93" s="3522" t="s">
        <v>3031</v>
      </c>
      <c r="F93" s="3544"/>
      <c r="G93" s="662">
        <f t="shared" ref="G93:G94" si="13">ROUND(D93*F93,0)</f>
        <v>0</v>
      </c>
      <c r="H93" s="3232"/>
      <c r="I93" s="3320"/>
      <c r="J93" s="3232"/>
      <c r="K93" s="3320"/>
      <c r="L93" s="3232"/>
      <c r="M93" s="3320"/>
      <c r="N93" s="3232"/>
      <c r="O93" s="3320"/>
      <c r="P93" s="3232"/>
      <c r="Q93" s="3320"/>
      <c r="R93" s="3232"/>
      <c r="S93" s="3320"/>
    </row>
    <row r="94" spans="1:19">
      <c r="A94" s="3457"/>
      <c r="B94" s="3417"/>
      <c r="C94" s="3520"/>
      <c r="D94" s="3521"/>
      <c r="E94" s="3522"/>
      <c r="F94" s="3544"/>
      <c r="G94" s="662">
        <f t="shared" si="13"/>
        <v>0</v>
      </c>
      <c r="H94" s="3232"/>
      <c r="I94" s="3320"/>
      <c r="J94" s="3232"/>
      <c r="K94" s="3320"/>
      <c r="L94" s="3232"/>
      <c r="M94" s="3320"/>
      <c r="N94" s="3232"/>
      <c r="O94" s="3320"/>
      <c r="P94" s="3232"/>
      <c r="Q94" s="3320"/>
      <c r="R94" s="3232"/>
      <c r="S94" s="3320"/>
    </row>
    <row r="95" spans="1:19">
      <c r="A95" s="3538"/>
      <c r="B95" s="3331" t="s">
        <v>7039</v>
      </c>
      <c r="C95" s="3520"/>
      <c r="D95" s="3521">
        <f>D47+D52+D58+D63+D73+D78+D83</f>
        <v>448.43888888888893</v>
      </c>
      <c r="E95" s="3522" t="s">
        <v>3031</v>
      </c>
      <c r="F95" s="3544">
        <v>35</v>
      </c>
      <c r="G95" s="662">
        <f>ROUND(D95*F95,0)</f>
        <v>15695</v>
      </c>
      <c r="H95" s="3232"/>
      <c r="I95" s="3346">
        <f>$G95</f>
        <v>15695</v>
      </c>
      <c r="J95" s="3232"/>
      <c r="K95" s="3320"/>
      <c r="L95" s="3232"/>
      <c r="M95" s="3320"/>
      <c r="N95" s="3232"/>
      <c r="O95" s="3320"/>
      <c r="P95" s="3232"/>
      <c r="Q95" s="3320"/>
      <c r="R95" s="3232"/>
      <c r="S95" s="3320"/>
    </row>
    <row r="96" spans="1:19">
      <c r="A96" s="3457"/>
      <c r="B96" s="3417"/>
      <c r="C96" s="3520"/>
      <c r="D96" s="3521"/>
      <c r="E96" s="3522"/>
      <c r="F96" s="3544"/>
      <c r="G96" s="662">
        <f t="shared" ref="G96" si="14">ROUND(D96*F96,0)</f>
        <v>0</v>
      </c>
      <c r="H96" s="3232"/>
      <c r="I96" s="3320"/>
      <c r="J96" s="3232"/>
      <c r="K96" s="3320"/>
      <c r="L96" s="3232"/>
      <c r="M96" s="3320"/>
      <c r="N96" s="3232"/>
      <c r="O96" s="3320"/>
      <c r="P96" s="3232"/>
      <c r="Q96" s="3320"/>
      <c r="R96" s="3232"/>
      <c r="S96" s="3320"/>
    </row>
    <row r="97" spans="1:30">
      <c r="A97" s="3466" t="s">
        <v>2587</v>
      </c>
      <c r="B97" s="3561" t="s">
        <v>7040</v>
      </c>
      <c r="C97" s="3520"/>
      <c r="D97" s="3569">
        <f>D43+D48+D53+D59+D64+D69+D74+D79+D84+D89</f>
        <v>1648</v>
      </c>
      <c r="E97" s="3522" t="s">
        <v>2864</v>
      </c>
      <c r="F97" s="3544">
        <v>15</v>
      </c>
      <c r="G97" s="669">
        <f>ROUND(D97*F97,-2)</f>
        <v>24700</v>
      </c>
      <c r="H97" s="3232"/>
      <c r="I97" s="3467">
        <f>$G97</f>
        <v>24700</v>
      </c>
      <c r="J97" s="3232"/>
      <c r="K97" s="3320"/>
      <c r="L97" s="3232"/>
      <c r="M97" s="3320"/>
      <c r="N97" s="3232"/>
      <c r="O97" s="3320"/>
      <c r="P97" s="3232"/>
      <c r="Q97" s="3320"/>
      <c r="R97" s="3232"/>
      <c r="S97" s="3320"/>
    </row>
    <row r="98" spans="1:30">
      <c r="A98" s="3457"/>
      <c r="B98" s="3417"/>
      <c r="C98" s="3520"/>
      <c r="D98" s="3521"/>
      <c r="E98" s="3522"/>
      <c r="F98" s="3544"/>
      <c r="G98" s="662">
        <f t="shared" ref="G98:G100" si="15">ROUND(D98*F98,0)</f>
        <v>0</v>
      </c>
      <c r="H98" s="3232"/>
      <c r="I98" s="3320"/>
      <c r="J98" s="3232"/>
      <c r="K98" s="3320"/>
      <c r="L98" s="3232"/>
      <c r="M98" s="3320"/>
      <c r="N98" s="3232"/>
      <c r="O98" s="3320"/>
      <c r="P98" s="3232"/>
      <c r="Q98" s="3320"/>
      <c r="R98" s="3232"/>
      <c r="S98" s="3320"/>
    </row>
    <row r="99" spans="1:30">
      <c r="A99" s="3538"/>
      <c r="B99" s="3328" t="s">
        <v>7041</v>
      </c>
      <c r="C99" s="3520" t="s">
        <v>7042</v>
      </c>
      <c r="D99" s="3521"/>
      <c r="E99" s="3522"/>
      <c r="F99" s="3544"/>
      <c r="G99" s="662">
        <f t="shared" si="15"/>
        <v>0</v>
      </c>
      <c r="H99" s="3232"/>
      <c r="I99" s="3320"/>
      <c r="J99" s="3232"/>
      <c r="K99" s="3320"/>
      <c r="L99" s="3232"/>
      <c r="M99" s="3320"/>
      <c r="N99" s="3232"/>
      <c r="O99" s="3320"/>
      <c r="P99" s="3232"/>
      <c r="Q99" s="3320"/>
      <c r="R99" s="3232"/>
      <c r="S99" s="3320"/>
      <c r="AD99" s="58" t="s">
        <v>2795</v>
      </c>
    </row>
    <row r="100" spans="1:30">
      <c r="A100" s="3538"/>
      <c r="B100" s="3328"/>
      <c r="C100" s="3520"/>
      <c r="D100" s="3521"/>
      <c r="E100" s="3522"/>
      <c r="F100" s="3544"/>
      <c r="G100" s="662">
        <f t="shared" si="15"/>
        <v>0</v>
      </c>
      <c r="H100" s="3232"/>
      <c r="I100" s="3320"/>
      <c r="J100" s="3232"/>
      <c r="K100" s="3320"/>
      <c r="L100" s="3232"/>
      <c r="M100" s="3320"/>
      <c r="N100" s="3232"/>
      <c r="O100" s="3320"/>
      <c r="P100" s="3232"/>
      <c r="Q100" s="3320"/>
      <c r="R100" s="3232"/>
      <c r="S100" s="3320"/>
    </row>
    <row r="101" spans="1:30">
      <c r="A101" s="3466" t="s">
        <v>2587</v>
      </c>
      <c r="B101" s="3328" t="s">
        <v>7043</v>
      </c>
      <c r="C101" s="3520" t="s">
        <v>7044</v>
      </c>
      <c r="D101" s="3521">
        <v>6</v>
      </c>
      <c r="E101" s="3522" t="s">
        <v>2803</v>
      </c>
      <c r="F101" s="3544">
        <v>6600</v>
      </c>
      <c r="G101" s="669">
        <f>ROUND(D101*F101,-2)</f>
        <v>39600</v>
      </c>
      <c r="H101" s="3232"/>
      <c r="I101" s="3467">
        <f>$G101</f>
        <v>39600</v>
      </c>
      <c r="J101" s="3232"/>
      <c r="K101" s="3320"/>
      <c r="L101" s="3232"/>
      <c r="M101" s="3320"/>
      <c r="N101" s="3232"/>
      <c r="O101" s="3320"/>
      <c r="P101" s="3232"/>
      <c r="Q101" s="3320"/>
      <c r="R101" s="3232"/>
      <c r="S101" s="3320"/>
      <c r="AD101" s="58" t="s">
        <v>2795</v>
      </c>
    </row>
    <row r="102" spans="1:30">
      <c r="A102" s="3538"/>
      <c r="B102" s="3330" t="s">
        <v>7045</v>
      </c>
      <c r="C102" s="3520"/>
      <c r="D102" s="3521">
        <f>D101*8*5.25</f>
        <v>252</v>
      </c>
      <c r="E102" s="3522" t="s">
        <v>2845</v>
      </c>
      <c r="F102" s="3544">
        <v>20</v>
      </c>
      <c r="G102" s="662">
        <f t="shared" si="12"/>
        <v>5040</v>
      </c>
      <c r="H102" s="3232"/>
      <c r="I102" s="3320"/>
      <c r="J102" s="3232"/>
      <c r="K102" s="3320"/>
      <c r="L102" s="3232"/>
      <c r="M102" s="3320"/>
      <c r="N102" s="3232"/>
      <c r="O102" s="3320"/>
      <c r="P102" s="3232"/>
      <c r="Q102" s="3320"/>
      <c r="R102" s="3232"/>
      <c r="S102" s="3320"/>
    </row>
    <row r="103" spans="1:30">
      <c r="A103" s="3538"/>
      <c r="B103" s="3330" t="s">
        <v>7046</v>
      </c>
      <c r="C103" s="3520"/>
      <c r="D103" s="3521">
        <f>D101*3*3*1/27</f>
        <v>2</v>
      </c>
      <c r="E103" s="3522" t="s">
        <v>3230</v>
      </c>
      <c r="F103" s="3544">
        <v>780</v>
      </c>
      <c r="G103" s="662">
        <f t="shared" si="12"/>
        <v>1560</v>
      </c>
      <c r="H103" s="3232"/>
      <c r="I103" s="3320"/>
      <c r="J103" s="3232"/>
      <c r="K103" s="3320"/>
      <c r="L103" s="3232"/>
      <c r="M103" s="3320"/>
      <c r="N103" s="3232"/>
      <c r="O103" s="3320"/>
      <c r="P103" s="3232"/>
      <c r="Q103" s="3320"/>
      <c r="R103" s="3232"/>
      <c r="S103" s="3320"/>
    </row>
    <row r="104" spans="1:30">
      <c r="A104" s="3466" t="s">
        <v>2587</v>
      </c>
      <c r="B104" s="3328" t="s">
        <v>7047</v>
      </c>
      <c r="C104" s="3520"/>
      <c r="D104" s="3521">
        <v>37</v>
      </c>
      <c r="E104" s="3522" t="s">
        <v>2864</v>
      </c>
      <c r="F104" s="3544">
        <v>150</v>
      </c>
      <c r="G104" s="669">
        <f>ROUND(D104*F104,-2)</f>
        <v>5600</v>
      </c>
      <c r="H104" s="3232"/>
      <c r="I104" s="3467">
        <f>$G104</f>
        <v>5600</v>
      </c>
      <c r="J104" s="3232"/>
      <c r="K104" s="3320"/>
      <c r="L104" s="3232"/>
      <c r="M104" s="3320"/>
      <c r="N104" s="3232"/>
      <c r="O104" s="3320"/>
      <c r="P104" s="3232"/>
      <c r="Q104" s="3320"/>
      <c r="R104" s="3232"/>
      <c r="S104" s="3320"/>
      <c r="AD104" s="58" t="s">
        <v>2795</v>
      </c>
    </row>
    <row r="105" spans="1:30">
      <c r="A105" s="3538"/>
      <c r="B105" s="3330" t="s">
        <v>7048</v>
      </c>
      <c r="C105" s="3520"/>
      <c r="D105" s="3521">
        <f>D104*6</f>
        <v>222</v>
      </c>
      <c r="E105" s="3522" t="s">
        <v>2845</v>
      </c>
      <c r="F105" s="3544">
        <v>20</v>
      </c>
      <c r="G105" s="662">
        <f t="shared" si="12"/>
        <v>4440</v>
      </c>
      <c r="H105" s="3232"/>
      <c r="I105" s="3320"/>
      <c r="J105" s="3232"/>
      <c r="K105" s="3320"/>
      <c r="L105" s="3232"/>
      <c r="M105" s="3320"/>
      <c r="N105" s="3232"/>
      <c r="O105" s="3320"/>
      <c r="P105" s="3232"/>
      <c r="Q105" s="3320"/>
      <c r="R105" s="3232"/>
      <c r="S105" s="3320"/>
    </row>
    <row r="106" spans="1:30">
      <c r="A106" s="3538"/>
      <c r="B106" s="3330" t="s">
        <v>7049</v>
      </c>
      <c r="C106" s="3520"/>
      <c r="D106" s="3521">
        <f>D104*1*1/27</f>
        <v>1.3703703703703705</v>
      </c>
      <c r="E106" s="3522" t="s">
        <v>3031</v>
      </c>
      <c r="F106" s="3544">
        <v>780</v>
      </c>
      <c r="G106" s="662">
        <f t="shared" si="12"/>
        <v>1069</v>
      </c>
      <c r="H106" s="3232"/>
      <c r="I106" s="3320"/>
      <c r="J106" s="3232"/>
      <c r="K106" s="3320"/>
      <c r="L106" s="3232"/>
      <c r="M106" s="3320"/>
      <c r="N106" s="3232"/>
      <c r="O106" s="3320"/>
      <c r="P106" s="3232"/>
      <c r="Q106" s="3320"/>
      <c r="R106" s="3232"/>
      <c r="S106" s="3320"/>
    </row>
    <row r="107" spans="1:30">
      <c r="A107" s="3466" t="s">
        <v>2587</v>
      </c>
      <c r="B107" s="3328" t="s">
        <v>7050</v>
      </c>
      <c r="C107" s="3520" t="s">
        <v>7051</v>
      </c>
      <c r="D107" s="3521">
        <f>179*0.33*0.67/27</f>
        <v>1.4658111111111112</v>
      </c>
      <c r="E107" s="3522" t="s">
        <v>3230</v>
      </c>
      <c r="F107" s="3544">
        <v>780</v>
      </c>
      <c r="G107" s="669">
        <f>ROUND(D107*F107,-2)</f>
        <v>1100</v>
      </c>
      <c r="H107" s="3232"/>
      <c r="I107" s="3467">
        <f t="shared" ref="I107:I110" si="16">$G107</f>
        <v>1100</v>
      </c>
      <c r="J107" s="3232"/>
      <c r="K107" s="3320"/>
      <c r="L107" s="3232"/>
      <c r="M107" s="3320"/>
      <c r="N107" s="3232"/>
      <c r="O107" s="3320"/>
      <c r="P107" s="3232"/>
      <c r="Q107" s="3320"/>
      <c r="R107" s="3232"/>
      <c r="S107" s="3320"/>
    </row>
    <row r="108" spans="1:30">
      <c r="A108" s="3466" t="s">
        <v>2587</v>
      </c>
      <c r="B108" s="3328" t="s">
        <v>7052</v>
      </c>
      <c r="C108" s="3520"/>
      <c r="D108" s="3521">
        <f>(620-148-149)*0.33*0.67/27</f>
        <v>2.6450111111111112</v>
      </c>
      <c r="E108" s="3522" t="s">
        <v>3230</v>
      </c>
      <c r="F108" s="3544">
        <v>780</v>
      </c>
      <c r="G108" s="669">
        <f>ROUND(D108*F108,-2)</f>
        <v>2100</v>
      </c>
      <c r="H108" s="3232"/>
      <c r="I108" s="3467">
        <f t="shared" si="16"/>
        <v>2100</v>
      </c>
      <c r="J108" s="3232"/>
      <c r="K108" s="3320"/>
      <c r="L108" s="3232"/>
      <c r="M108" s="3320"/>
      <c r="N108" s="3232"/>
      <c r="O108" s="3320"/>
      <c r="P108" s="3232"/>
      <c r="Q108" s="3320"/>
      <c r="R108" s="3232"/>
      <c r="S108" s="3320"/>
    </row>
    <row r="109" spans="1:30">
      <c r="A109" s="3538"/>
      <c r="B109" s="3328"/>
      <c r="C109" s="3520"/>
      <c r="D109" s="3521"/>
      <c r="E109" s="3522"/>
      <c r="F109" s="3544"/>
      <c r="G109" s="662">
        <f t="shared" ref="G109:G126" si="17">ROUND(D109*F109,0)</f>
        <v>0</v>
      </c>
      <c r="H109" s="3232"/>
      <c r="I109" s="3320"/>
      <c r="J109" s="3232"/>
      <c r="K109" s="3320"/>
      <c r="L109" s="3232"/>
      <c r="M109" s="3320"/>
      <c r="N109" s="3232"/>
      <c r="O109" s="3320"/>
      <c r="P109" s="3232"/>
      <c r="Q109" s="3320"/>
      <c r="R109" s="3232"/>
      <c r="S109" s="3320"/>
    </row>
    <row r="110" spans="1:30" s="175" customFormat="1" ht="30">
      <c r="A110" s="3466" t="s">
        <v>2587</v>
      </c>
      <c r="B110" s="3408" t="s">
        <v>7053</v>
      </c>
      <c r="C110" s="3546" t="s">
        <v>7054</v>
      </c>
      <c r="D110" s="3547">
        <f>D113+D115+D117+D118+D120+D122+D124+D126</f>
        <v>7756.25</v>
      </c>
      <c r="E110" s="3463" t="s">
        <v>2845</v>
      </c>
      <c r="F110" s="3548">
        <v>70</v>
      </c>
      <c r="G110" s="668">
        <f t="shared" si="17"/>
        <v>542938</v>
      </c>
      <c r="H110" s="3559"/>
      <c r="I110" s="3560">
        <f t="shared" si="16"/>
        <v>542938</v>
      </c>
      <c r="J110" s="3559"/>
      <c r="K110" s="3320"/>
      <c r="L110" s="3232"/>
      <c r="M110" s="3320"/>
      <c r="N110" s="3232"/>
      <c r="O110" s="3320"/>
      <c r="P110" s="3232"/>
      <c r="Q110" s="3320"/>
      <c r="R110" s="3232"/>
      <c r="S110" s="3320"/>
      <c r="U110" s="58"/>
      <c r="V110" s="560"/>
      <c r="W110" s="560"/>
      <c r="X110" s="560"/>
      <c r="Y110" s="560"/>
      <c r="Z110" s="560"/>
      <c r="AA110" s="560"/>
      <c r="AB110" s="560"/>
      <c r="AC110" s="560"/>
      <c r="AD110" s="560"/>
    </row>
    <row r="111" spans="1:30" s="175" customFormat="1">
      <c r="A111" s="3570"/>
      <c r="B111" s="3408" t="s">
        <v>6998</v>
      </c>
      <c r="C111" s="3546"/>
      <c r="D111" s="3547"/>
      <c r="E111" s="3463"/>
      <c r="F111" s="3548"/>
      <c r="G111" s="668"/>
      <c r="H111" s="3232"/>
      <c r="I111" s="3320"/>
      <c r="J111" s="3232"/>
      <c r="K111" s="3320"/>
      <c r="L111" s="3232"/>
      <c r="M111" s="3320"/>
      <c r="N111" s="3232"/>
      <c r="O111" s="3320"/>
      <c r="P111" s="3232"/>
      <c r="Q111" s="3320"/>
      <c r="R111" s="3232"/>
      <c r="S111" s="3320"/>
      <c r="U111" s="560"/>
      <c r="V111" s="560"/>
      <c r="W111" s="560"/>
      <c r="X111" s="560"/>
      <c r="Y111" s="560"/>
      <c r="Z111" s="560"/>
      <c r="AA111" s="560"/>
      <c r="AB111" s="560"/>
      <c r="AC111" s="560"/>
      <c r="AD111" s="560"/>
    </row>
    <row r="112" spans="1:30">
      <c r="A112" s="3570"/>
      <c r="B112" s="3571" t="s">
        <v>7055</v>
      </c>
      <c r="C112" s="3520" t="s">
        <v>7000</v>
      </c>
      <c r="D112" s="3521">
        <f>D43</f>
        <v>282</v>
      </c>
      <c r="E112" s="3522" t="s">
        <v>2864</v>
      </c>
      <c r="F112" s="3544"/>
      <c r="G112" s="662">
        <f t="shared" si="17"/>
        <v>0</v>
      </c>
      <c r="H112" s="3232"/>
      <c r="I112" s="3320"/>
      <c r="J112" s="3232"/>
      <c r="K112" s="3320"/>
      <c r="L112" s="3232"/>
      <c r="M112" s="3320"/>
      <c r="N112" s="3232"/>
      <c r="O112" s="3320"/>
      <c r="P112" s="3232"/>
      <c r="Q112" s="3320"/>
      <c r="R112" s="3232"/>
      <c r="S112" s="3320"/>
    </row>
    <row r="113" spans="1:32">
      <c r="A113" s="3572"/>
      <c r="B113" s="3417" t="s">
        <v>7005</v>
      </c>
      <c r="C113" s="3520"/>
      <c r="D113" s="3521">
        <f>D46</f>
        <v>705</v>
      </c>
      <c r="E113" s="3522" t="s">
        <v>2845</v>
      </c>
      <c r="F113" s="3544"/>
      <c r="G113" s="662">
        <f t="shared" si="17"/>
        <v>0</v>
      </c>
      <c r="H113" s="3232"/>
      <c r="I113" s="3320"/>
      <c r="J113" s="3232"/>
      <c r="K113" s="3320"/>
      <c r="L113" s="3232"/>
      <c r="M113" s="3320"/>
      <c r="N113" s="3232"/>
      <c r="O113" s="3320"/>
      <c r="P113" s="3232"/>
      <c r="Q113" s="3320"/>
      <c r="R113" s="3232"/>
      <c r="S113" s="3320"/>
    </row>
    <row r="114" spans="1:32">
      <c r="A114" s="3570"/>
      <c r="B114" s="3330" t="s">
        <v>7056</v>
      </c>
      <c r="C114" s="3520" t="s">
        <v>7000</v>
      </c>
      <c r="D114" s="3521">
        <f>D48</f>
        <v>76</v>
      </c>
      <c r="E114" s="3522" t="s">
        <v>2864</v>
      </c>
      <c r="F114" s="3544"/>
      <c r="G114" s="723" t="s">
        <v>7057</v>
      </c>
      <c r="H114" s="3232"/>
      <c r="I114" s="3320"/>
      <c r="J114" s="3232"/>
      <c r="K114" s="3320"/>
      <c r="L114" s="3232"/>
      <c r="M114" s="3320"/>
      <c r="N114" s="3232"/>
      <c r="O114" s="3320"/>
      <c r="P114" s="3232"/>
      <c r="Q114" s="3320"/>
      <c r="R114" s="3232"/>
      <c r="S114" s="3320"/>
    </row>
    <row r="115" spans="1:32">
      <c r="A115" s="3572"/>
      <c r="B115" s="3417" t="s">
        <v>7010</v>
      </c>
      <c r="C115" s="3520"/>
      <c r="D115" s="3521">
        <f>D51</f>
        <v>456</v>
      </c>
      <c r="E115" s="3522" t="s">
        <v>2845</v>
      </c>
      <c r="F115" s="3544"/>
      <c r="G115" s="662">
        <f t="shared" si="17"/>
        <v>0</v>
      </c>
      <c r="H115" s="3232"/>
      <c r="I115" s="3320"/>
      <c r="J115" s="3232"/>
      <c r="K115" s="3320"/>
      <c r="L115" s="3232"/>
      <c r="M115" s="3320"/>
      <c r="N115" s="3232"/>
      <c r="O115" s="3320"/>
      <c r="P115" s="3232"/>
      <c r="Q115" s="3320"/>
      <c r="R115" s="3232"/>
      <c r="S115" s="3320"/>
    </row>
    <row r="116" spans="1:32">
      <c r="A116" s="3573"/>
      <c r="B116" s="3571" t="s">
        <v>7058</v>
      </c>
      <c r="C116" s="3520" t="s">
        <v>7012</v>
      </c>
      <c r="D116" s="3521">
        <f>D53</f>
        <v>58</v>
      </c>
      <c r="E116" s="3522" t="s">
        <v>2864</v>
      </c>
      <c r="F116" s="3544"/>
      <c r="G116" s="662">
        <f t="shared" si="17"/>
        <v>0</v>
      </c>
      <c r="H116" s="3232"/>
      <c r="I116" s="3320"/>
      <c r="J116" s="3232"/>
      <c r="K116" s="3320"/>
      <c r="L116" s="3232"/>
      <c r="M116" s="3320"/>
      <c r="N116" s="3232"/>
      <c r="O116" s="3320"/>
      <c r="P116" s="3232"/>
      <c r="Q116" s="3320"/>
      <c r="R116" s="3232"/>
      <c r="S116" s="3320"/>
    </row>
    <row r="117" spans="1:32">
      <c r="A117" s="3572"/>
      <c r="B117" s="3574" t="s">
        <v>7015</v>
      </c>
      <c r="C117" s="3520"/>
      <c r="D117" s="3521">
        <f>D56</f>
        <v>464</v>
      </c>
      <c r="E117" s="3522" t="s">
        <v>2845</v>
      </c>
      <c r="F117" s="3544"/>
      <c r="G117" s="662">
        <f t="shared" si="17"/>
        <v>0</v>
      </c>
      <c r="H117" s="3232"/>
      <c r="I117" s="3320"/>
      <c r="J117" s="3232"/>
      <c r="K117" s="3320"/>
      <c r="L117" s="3232"/>
      <c r="M117" s="3320"/>
      <c r="N117" s="3232"/>
      <c r="O117" s="3320"/>
      <c r="P117" s="3232"/>
      <c r="Q117" s="3320"/>
      <c r="R117" s="3232"/>
      <c r="S117" s="3320"/>
    </row>
    <row r="118" spans="1:32">
      <c r="A118" s="3572"/>
      <c r="B118" s="3417" t="s">
        <v>7016</v>
      </c>
      <c r="C118" s="3520"/>
      <c r="D118" s="3521">
        <f>D57</f>
        <v>348</v>
      </c>
      <c r="E118" s="3522" t="s">
        <v>2845</v>
      </c>
      <c r="F118" s="3544"/>
      <c r="G118" s="662">
        <f t="shared" si="17"/>
        <v>0</v>
      </c>
      <c r="H118" s="3232"/>
      <c r="I118" s="3320"/>
      <c r="J118" s="3232"/>
      <c r="K118" s="3320"/>
      <c r="L118" s="3232"/>
      <c r="M118" s="3320"/>
      <c r="N118" s="3232"/>
      <c r="O118" s="3320"/>
      <c r="P118" s="3232"/>
      <c r="Q118" s="3320"/>
      <c r="R118" s="3232"/>
      <c r="S118" s="3320"/>
    </row>
    <row r="119" spans="1:32">
      <c r="A119" s="3573"/>
      <c r="B119" s="3330" t="s">
        <v>7059</v>
      </c>
      <c r="C119" s="3520" t="s">
        <v>7000</v>
      </c>
      <c r="D119" s="3521">
        <f>D59</f>
        <v>187</v>
      </c>
      <c r="E119" s="3522" t="s">
        <v>2864</v>
      </c>
      <c r="F119" s="3544"/>
      <c r="G119" s="662">
        <f t="shared" si="17"/>
        <v>0</v>
      </c>
      <c r="H119" s="3232"/>
      <c r="I119" s="3320"/>
      <c r="J119" s="3232"/>
      <c r="K119" s="3320"/>
      <c r="L119" s="3232"/>
      <c r="M119" s="3320"/>
      <c r="N119" s="3232"/>
      <c r="O119" s="3320"/>
      <c r="P119" s="3232"/>
      <c r="Q119" s="3320"/>
      <c r="R119" s="3232"/>
      <c r="S119" s="3320"/>
      <c r="U119" s="58">
        <v>40</v>
      </c>
      <c r="V119" s="58">
        <v>33</v>
      </c>
      <c r="W119" s="58">
        <v>30</v>
      </c>
    </row>
    <row r="120" spans="1:32">
      <c r="A120" s="3572"/>
      <c r="B120" s="3417" t="s">
        <v>7015</v>
      </c>
      <c r="C120" s="3520"/>
      <c r="D120" s="3521">
        <f>D62</f>
        <v>1496</v>
      </c>
      <c r="E120" s="3522" t="s">
        <v>2845</v>
      </c>
      <c r="F120" s="3544"/>
      <c r="G120" s="662">
        <f t="shared" si="17"/>
        <v>0</v>
      </c>
      <c r="H120" s="3232"/>
      <c r="I120" s="3320"/>
      <c r="J120" s="3232"/>
      <c r="K120" s="3320"/>
      <c r="L120" s="3232"/>
      <c r="M120" s="3320"/>
      <c r="N120" s="3232"/>
      <c r="O120" s="3320"/>
      <c r="P120" s="3232"/>
      <c r="Q120" s="3320"/>
      <c r="R120" s="3232"/>
      <c r="S120" s="3320"/>
    </row>
    <row r="121" spans="1:32">
      <c r="A121" s="3575"/>
      <c r="B121" s="3330" t="s">
        <v>7060</v>
      </c>
      <c r="C121" s="3520" t="s">
        <v>7000</v>
      </c>
      <c r="D121" s="3521">
        <f>D64</f>
        <v>509</v>
      </c>
      <c r="E121" s="3522" t="s">
        <v>2864</v>
      </c>
      <c r="F121" s="3544"/>
      <c r="G121" s="662">
        <f t="shared" si="17"/>
        <v>0</v>
      </c>
      <c r="H121" s="3232"/>
      <c r="I121" s="3320"/>
      <c r="J121" s="3232"/>
      <c r="K121" s="3320"/>
      <c r="L121" s="3232"/>
      <c r="M121" s="3320"/>
      <c r="N121" s="3232"/>
      <c r="O121" s="3320"/>
      <c r="P121" s="3232"/>
      <c r="Q121" s="3320"/>
      <c r="R121" s="3232"/>
      <c r="S121" s="3320"/>
      <c r="U121" s="58">
        <v>31.5</v>
      </c>
      <c r="V121" s="58">
        <v>31.5</v>
      </c>
      <c r="W121" s="58">
        <v>31.5</v>
      </c>
      <c r="X121" s="58">
        <v>31.5</v>
      </c>
      <c r="Y121" s="58">
        <v>32.17</v>
      </c>
      <c r="Z121" s="58">
        <v>35.5</v>
      </c>
      <c r="AA121" s="58">
        <v>38</v>
      </c>
      <c r="AB121" s="58">
        <v>40</v>
      </c>
      <c r="AC121" s="58">
        <v>45</v>
      </c>
    </row>
    <row r="122" spans="1:32">
      <c r="A122" s="3572"/>
      <c r="B122" s="3417" t="s">
        <v>7015</v>
      </c>
      <c r="C122" s="3520"/>
      <c r="D122" s="3521">
        <f>D67</f>
        <v>2417.75</v>
      </c>
      <c r="E122" s="3522" t="s">
        <v>2845</v>
      </c>
      <c r="F122" s="3544"/>
      <c r="G122" s="662">
        <f t="shared" si="17"/>
        <v>0</v>
      </c>
      <c r="H122" s="3232"/>
      <c r="I122" s="3320"/>
      <c r="J122" s="3232"/>
      <c r="K122" s="3320"/>
      <c r="L122" s="3232"/>
      <c r="M122" s="3320"/>
      <c r="N122" s="3232"/>
      <c r="O122" s="3320"/>
      <c r="P122" s="3232"/>
      <c r="Q122" s="3320"/>
      <c r="R122" s="3232"/>
      <c r="S122" s="3320"/>
      <c r="AE122" s="300"/>
      <c r="AF122" s="300"/>
    </row>
    <row r="123" spans="1:32">
      <c r="A123" s="3575"/>
      <c r="B123" s="3330" t="s">
        <v>7061</v>
      </c>
      <c r="C123" s="3520"/>
      <c r="D123" s="3521">
        <f>D69</f>
        <v>74</v>
      </c>
      <c r="E123" s="3522" t="s">
        <v>2864</v>
      </c>
      <c r="F123" s="3544"/>
      <c r="G123" s="662">
        <f t="shared" si="17"/>
        <v>0</v>
      </c>
      <c r="H123" s="3232"/>
      <c r="I123" s="3320"/>
      <c r="J123" s="3232"/>
      <c r="K123" s="3320"/>
      <c r="L123" s="3232"/>
      <c r="M123" s="3320"/>
      <c r="N123" s="3232"/>
      <c r="O123" s="3320"/>
      <c r="P123" s="3232"/>
      <c r="Q123" s="3320"/>
      <c r="R123" s="3232"/>
      <c r="S123" s="3320"/>
      <c r="U123" s="58">
        <v>44</v>
      </c>
      <c r="V123" s="58">
        <v>38</v>
      </c>
      <c r="W123" s="58">
        <v>35</v>
      </c>
      <c r="X123" s="58">
        <v>28</v>
      </c>
      <c r="AE123" s="300"/>
      <c r="AF123" s="300"/>
    </row>
    <row r="124" spans="1:32">
      <c r="A124" s="3572"/>
      <c r="B124" s="3417" t="s">
        <v>7015</v>
      </c>
      <c r="C124" s="3520"/>
      <c r="D124" s="3521">
        <f>D72</f>
        <v>684.5</v>
      </c>
      <c r="E124" s="3522" t="s">
        <v>2845</v>
      </c>
      <c r="F124" s="3544"/>
      <c r="G124" s="662">
        <f t="shared" si="17"/>
        <v>0</v>
      </c>
      <c r="H124" s="3232"/>
      <c r="I124" s="3320"/>
      <c r="J124" s="3232"/>
      <c r="K124" s="3320"/>
      <c r="L124" s="3232"/>
      <c r="M124" s="3320"/>
      <c r="N124" s="3232"/>
      <c r="O124" s="3320"/>
      <c r="P124" s="3232"/>
      <c r="Q124" s="3320"/>
      <c r="R124" s="3232"/>
      <c r="S124" s="3320"/>
      <c r="AE124" s="300"/>
      <c r="AF124" s="300"/>
    </row>
    <row r="125" spans="1:32">
      <c r="A125" s="3575"/>
      <c r="B125" s="3330" t="s">
        <v>7062</v>
      </c>
      <c r="C125" s="3520"/>
      <c r="D125" s="3521">
        <f>D74</f>
        <v>158</v>
      </c>
      <c r="E125" s="3522" t="s">
        <v>2864</v>
      </c>
      <c r="F125" s="3544"/>
      <c r="G125" s="662">
        <f t="shared" si="17"/>
        <v>0</v>
      </c>
      <c r="H125" s="3232"/>
      <c r="I125" s="3320"/>
      <c r="J125" s="3232"/>
      <c r="K125" s="3320"/>
      <c r="L125" s="3232"/>
      <c r="M125" s="3320"/>
      <c r="N125" s="3232"/>
      <c r="O125" s="3320"/>
      <c r="P125" s="3232"/>
      <c r="Q125" s="3320"/>
      <c r="R125" s="3232"/>
      <c r="S125" s="3320"/>
      <c r="AE125" s="300"/>
      <c r="AF125" s="300"/>
    </row>
    <row r="126" spans="1:32">
      <c r="A126" s="3576"/>
      <c r="B126" s="3417" t="s">
        <v>7015</v>
      </c>
      <c r="C126" s="3520"/>
      <c r="D126" s="3521">
        <f>D77</f>
        <v>1185</v>
      </c>
      <c r="E126" s="3522" t="s">
        <v>2845</v>
      </c>
      <c r="F126" s="3544"/>
      <c r="G126" s="662">
        <f t="shared" si="17"/>
        <v>0</v>
      </c>
      <c r="H126" s="3232"/>
      <c r="I126" s="3320"/>
      <c r="J126" s="3232"/>
      <c r="K126" s="3320"/>
      <c r="L126" s="3232"/>
      <c r="M126" s="3320"/>
      <c r="N126" s="3232"/>
      <c r="O126" s="3320"/>
      <c r="P126" s="3232"/>
      <c r="Q126" s="3320"/>
      <c r="R126" s="3232"/>
      <c r="S126" s="3320"/>
      <c r="AE126" s="300"/>
      <c r="AF126" s="300"/>
    </row>
    <row r="127" spans="1:32">
      <c r="A127" s="3576"/>
      <c r="B127" s="3417"/>
      <c r="C127" s="3520"/>
      <c r="D127" s="3521"/>
      <c r="E127" s="3522"/>
      <c r="F127" s="3544"/>
      <c r="G127" s="662"/>
      <c r="H127" s="3232"/>
      <c r="I127" s="3320"/>
      <c r="J127" s="3232"/>
      <c r="K127" s="3320"/>
      <c r="L127" s="3232"/>
      <c r="M127" s="3320"/>
      <c r="N127" s="3232"/>
      <c r="O127" s="3320"/>
      <c r="P127" s="3232"/>
      <c r="Q127" s="3320"/>
      <c r="R127" s="3232"/>
      <c r="S127" s="3320"/>
      <c r="AE127" s="300"/>
      <c r="AF127" s="300"/>
    </row>
    <row r="128" spans="1:32">
      <c r="A128" s="3538"/>
      <c r="B128" s="3331" t="s">
        <v>7063</v>
      </c>
      <c r="C128" s="3520" t="s">
        <v>7042</v>
      </c>
      <c r="D128" s="3521">
        <v>235</v>
      </c>
      <c r="E128" s="3522" t="s">
        <v>2864</v>
      </c>
      <c r="F128" s="3544"/>
      <c r="G128" s="662">
        <f>ROUND(D128*F128,0)</f>
        <v>0</v>
      </c>
      <c r="H128" s="3232"/>
      <c r="I128" s="3320"/>
      <c r="J128" s="3232"/>
      <c r="K128" s="3320"/>
      <c r="L128" s="3232"/>
      <c r="M128" s="3320"/>
      <c r="N128" s="3232"/>
      <c r="O128" s="3320"/>
      <c r="P128" s="3232"/>
      <c r="Q128" s="3320"/>
      <c r="R128" s="3232"/>
      <c r="S128" s="3320"/>
      <c r="AD128" s="58" t="s">
        <v>2795</v>
      </c>
    </row>
    <row r="129" spans="1:22">
      <c r="A129" s="3538"/>
      <c r="B129" s="3328" t="s">
        <v>7064</v>
      </c>
      <c r="C129" s="3520" t="s">
        <v>7065</v>
      </c>
      <c r="D129" s="3521">
        <v>241</v>
      </c>
      <c r="E129" s="3522" t="s">
        <v>2864</v>
      </c>
      <c r="F129" s="3544"/>
      <c r="G129" s="662">
        <f t="shared" si="12"/>
        <v>0</v>
      </c>
      <c r="H129" s="3232"/>
      <c r="I129" s="3320"/>
      <c r="J129" s="3232"/>
      <c r="K129" s="3320"/>
      <c r="L129" s="3232"/>
      <c r="M129" s="3320"/>
      <c r="N129" s="3232"/>
      <c r="O129" s="3320"/>
      <c r="P129" s="3232"/>
      <c r="Q129" s="3320"/>
      <c r="R129" s="3232"/>
      <c r="S129" s="3320"/>
    </row>
    <row r="130" spans="1:22">
      <c r="A130" s="3538"/>
      <c r="B130" s="3328"/>
      <c r="C130" s="3520"/>
      <c r="D130" s="3521"/>
      <c r="E130" s="3522"/>
      <c r="F130" s="3544"/>
      <c r="G130" s="662">
        <f t="shared" si="12"/>
        <v>0</v>
      </c>
      <c r="H130" s="3232"/>
      <c r="I130" s="3320"/>
      <c r="J130" s="3232"/>
      <c r="K130" s="3320"/>
      <c r="L130" s="3232"/>
      <c r="M130" s="3320"/>
      <c r="N130" s="3232"/>
      <c r="O130" s="3320"/>
      <c r="P130" s="3232"/>
      <c r="Q130" s="3320"/>
      <c r="R130" s="3232"/>
      <c r="S130" s="3320"/>
    </row>
    <row r="131" spans="1:22">
      <c r="A131" s="3538"/>
      <c r="B131" s="3577" t="s">
        <v>7066</v>
      </c>
      <c r="C131" s="3520"/>
      <c r="D131" s="3569"/>
      <c r="E131" s="3522"/>
      <c r="F131" s="3544"/>
      <c r="G131" s="662">
        <f t="shared" si="12"/>
        <v>0</v>
      </c>
      <c r="H131" s="3578"/>
      <c r="I131" s="3579"/>
      <c r="J131" s="3578"/>
      <c r="K131" s="3320"/>
      <c r="L131" s="3232"/>
      <c r="M131" s="3320"/>
      <c r="N131" s="3232"/>
      <c r="O131" s="3320"/>
      <c r="P131" s="3232"/>
      <c r="Q131" s="3320"/>
      <c r="R131" s="3578"/>
      <c r="S131" s="3579"/>
    </row>
    <row r="132" spans="1:22" ht="75">
      <c r="A132" s="3538"/>
      <c r="B132" s="3580" t="s">
        <v>7067</v>
      </c>
      <c r="C132" s="3520"/>
      <c r="D132" s="3569"/>
      <c r="E132" s="3522"/>
      <c r="F132" s="3544"/>
      <c r="G132" s="662">
        <f t="shared" si="12"/>
        <v>0</v>
      </c>
      <c r="H132" s="3578"/>
      <c r="I132" s="3579"/>
      <c r="J132" s="3578"/>
      <c r="K132" s="3579"/>
      <c r="L132" s="3578"/>
      <c r="M132" s="3579"/>
      <c r="N132" s="3578"/>
      <c r="O132" s="3579"/>
      <c r="P132" s="3578"/>
      <c r="Q132" s="3579"/>
      <c r="R132" s="3578"/>
      <c r="S132" s="3579"/>
    </row>
    <row r="133" spans="1:22" ht="30">
      <c r="A133" s="3538"/>
      <c r="B133" s="3581" t="s">
        <v>7068</v>
      </c>
      <c r="C133" s="3520"/>
      <c r="D133" s="3569"/>
      <c r="E133" s="3522"/>
      <c r="F133" s="3544"/>
      <c r="G133" s="662">
        <f t="shared" si="12"/>
        <v>0</v>
      </c>
      <c r="H133" s="3578"/>
      <c r="I133" s="3579"/>
      <c r="J133" s="3578"/>
      <c r="K133" s="3579"/>
      <c r="L133" s="3578"/>
      <c r="M133" s="3579"/>
      <c r="N133" s="3578"/>
      <c r="O133" s="3579"/>
      <c r="P133" s="3578"/>
      <c r="Q133" s="3579"/>
      <c r="R133" s="3578"/>
      <c r="S133" s="3579"/>
    </row>
    <row r="134" spans="1:22" ht="60">
      <c r="A134" s="3538"/>
      <c r="B134" s="3580" t="s">
        <v>7069</v>
      </c>
      <c r="C134" s="3520"/>
      <c r="D134" s="3569"/>
      <c r="E134" s="3522"/>
      <c r="F134" s="3544"/>
      <c r="G134" s="662">
        <f t="shared" si="12"/>
        <v>0</v>
      </c>
      <c r="H134" s="3578"/>
      <c r="I134" s="3579"/>
      <c r="J134" s="3578"/>
      <c r="K134" s="3579"/>
      <c r="L134" s="3578"/>
      <c r="M134" s="3579"/>
      <c r="N134" s="3578"/>
      <c r="O134" s="3579"/>
      <c r="P134" s="3578"/>
      <c r="Q134" s="3579"/>
      <c r="R134" s="3578"/>
      <c r="S134" s="3579"/>
    </row>
    <row r="135" spans="1:22" ht="30">
      <c r="A135" s="3538"/>
      <c r="B135" s="3581" t="s">
        <v>7070</v>
      </c>
      <c r="C135" s="3520"/>
      <c r="D135" s="3569"/>
      <c r="E135" s="3522"/>
      <c r="F135" s="3544"/>
      <c r="G135" s="662">
        <f t="shared" si="12"/>
        <v>0</v>
      </c>
      <c r="H135" s="3578"/>
      <c r="I135" s="3579"/>
      <c r="J135" s="3578"/>
      <c r="K135" s="3579"/>
      <c r="L135" s="3578"/>
      <c r="M135" s="3579"/>
      <c r="N135" s="3578"/>
      <c r="O135" s="3579"/>
      <c r="P135" s="3578"/>
      <c r="Q135" s="3579"/>
      <c r="R135" s="3578"/>
      <c r="S135" s="3579"/>
    </row>
    <row r="136" spans="1:22">
      <c r="A136" s="3538"/>
      <c r="B136" s="3582"/>
      <c r="C136" s="3520"/>
      <c r="D136" s="3569"/>
      <c r="E136" s="3522"/>
      <c r="F136" s="3544"/>
      <c r="G136" s="662">
        <f t="shared" si="12"/>
        <v>0</v>
      </c>
      <c r="H136" s="3578"/>
      <c r="I136" s="3579"/>
      <c r="J136" s="3578"/>
      <c r="K136" s="3579"/>
      <c r="L136" s="3578"/>
      <c r="M136" s="3579"/>
      <c r="N136" s="3578"/>
      <c r="O136" s="3579"/>
      <c r="P136" s="3578"/>
      <c r="Q136" s="3579"/>
      <c r="R136" s="3578"/>
      <c r="S136" s="3579"/>
    </row>
    <row r="137" spans="1:22">
      <c r="A137" s="3538"/>
      <c r="B137" s="3582"/>
      <c r="C137" s="3520"/>
      <c r="D137" s="3569"/>
      <c r="E137" s="3522"/>
      <c r="F137" s="3544"/>
      <c r="G137" s="662">
        <f t="shared" si="12"/>
        <v>0</v>
      </c>
      <c r="H137" s="3578"/>
      <c r="I137" s="3579"/>
      <c r="J137" s="3578"/>
      <c r="K137" s="3579"/>
      <c r="L137" s="3578"/>
      <c r="M137" s="3579"/>
      <c r="N137" s="3578"/>
      <c r="O137" s="3579"/>
      <c r="P137" s="3578"/>
      <c r="Q137" s="3579"/>
      <c r="R137" s="3578"/>
      <c r="S137" s="3579"/>
    </row>
    <row r="138" spans="1:22">
      <c r="A138" s="3538"/>
      <c r="B138" s="3582"/>
      <c r="C138" s="3520"/>
      <c r="D138" s="3569"/>
      <c r="E138" s="3522"/>
      <c r="F138" s="3544"/>
      <c r="G138" s="662">
        <f t="shared" si="12"/>
        <v>0</v>
      </c>
      <c r="H138" s="3578"/>
      <c r="I138" s="3579"/>
      <c r="J138" s="3578"/>
      <c r="K138" s="3579"/>
      <c r="L138" s="3578"/>
      <c r="M138" s="3579"/>
      <c r="N138" s="3578"/>
      <c r="O138" s="3579"/>
      <c r="P138" s="3578"/>
      <c r="Q138" s="3579"/>
      <c r="R138" s="3578"/>
      <c r="S138" s="3579"/>
    </row>
    <row r="139" spans="1:22">
      <c r="A139" s="3538"/>
      <c r="B139" s="3582"/>
      <c r="C139" s="3520"/>
      <c r="D139" s="3569"/>
      <c r="E139" s="3522"/>
      <c r="F139" s="3544"/>
      <c r="G139" s="662">
        <f t="shared" si="12"/>
        <v>0</v>
      </c>
      <c r="H139" s="3578"/>
      <c r="I139" s="3579"/>
      <c r="J139" s="3578"/>
      <c r="K139" s="3579"/>
      <c r="L139" s="3578"/>
      <c r="M139" s="3579"/>
      <c r="N139" s="3578"/>
      <c r="O139" s="3579"/>
      <c r="P139" s="3578"/>
      <c r="Q139" s="3579"/>
      <c r="R139" s="3578"/>
      <c r="S139" s="3579"/>
    </row>
    <row r="140" spans="1:22" ht="15.75" thickBot="1">
      <c r="A140" s="3538"/>
      <c r="B140" s="3582"/>
      <c r="C140" s="3520"/>
      <c r="D140" s="3569"/>
      <c r="E140" s="3522"/>
      <c r="F140" s="3544"/>
      <c r="G140" s="662"/>
      <c r="H140" s="3578"/>
      <c r="I140" s="3579"/>
      <c r="J140" s="3578"/>
      <c r="K140" s="3579"/>
      <c r="L140" s="3578"/>
      <c r="M140" s="3579"/>
      <c r="N140" s="3578"/>
      <c r="O140" s="3579"/>
      <c r="P140" s="3578"/>
      <c r="Q140" s="3579"/>
      <c r="R140" s="3578"/>
      <c r="S140" s="3579"/>
      <c r="V140" s="572"/>
    </row>
    <row r="141" spans="1:22" ht="15.75" thickTop="1">
      <c r="A141" s="13"/>
      <c r="B141" s="226" t="s">
        <v>3265</v>
      </c>
      <c r="C141" s="15"/>
      <c r="D141" s="168"/>
      <c r="E141" s="176"/>
      <c r="F141" s="17"/>
      <c r="G141" s="227">
        <f>SUBTOTAL(9,G21:G140)</f>
        <v>1915067</v>
      </c>
      <c r="H141" s="19"/>
      <c r="I141" s="225">
        <f>SUBTOTAL(9,I20:I140)</f>
        <v>2205447</v>
      </c>
      <c r="J141" s="19"/>
      <c r="K141" s="225">
        <f>SUBTOTAL(9,K20:K140)</f>
        <v>0</v>
      </c>
      <c r="L141" s="19"/>
      <c r="M141" s="225">
        <f>SUBTOTAL(9,M20:M140)</f>
        <v>0</v>
      </c>
      <c r="N141" s="19"/>
      <c r="O141" s="225">
        <f>SUBTOTAL(9,O20:O140)</f>
        <v>0</v>
      </c>
      <c r="P141" s="19"/>
      <c r="Q141" s="225">
        <f>SUBTOTAL(9,Q20:Q140)</f>
        <v>0</v>
      </c>
      <c r="R141" s="19"/>
      <c r="S141" s="225">
        <f>SUBTOTAL(9,S20:S140)</f>
        <v>0</v>
      </c>
      <c r="V141" s="572"/>
    </row>
    <row r="142" spans="1:22">
      <c r="A142" s="3479"/>
      <c r="B142" s="3480" t="s">
        <v>2976</v>
      </c>
      <c r="C142" s="3481"/>
      <c r="D142" s="3482"/>
      <c r="E142" s="3483"/>
      <c r="F142" s="3484"/>
      <c r="G142" s="654"/>
      <c r="H142" s="3425">
        <v>0</v>
      </c>
      <c r="I142" s="645"/>
      <c r="J142" s="3425">
        <v>0</v>
      </c>
      <c r="K142" s="645"/>
      <c r="L142" s="3425">
        <v>0</v>
      </c>
      <c r="M142" s="645"/>
      <c r="N142" s="3425">
        <v>0</v>
      </c>
      <c r="O142" s="645"/>
      <c r="P142" s="3425">
        <v>0</v>
      </c>
      <c r="Q142" s="645"/>
      <c r="R142" s="3425">
        <v>0</v>
      </c>
      <c r="S142" s="645"/>
    </row>
    <row r="143" spans="1:22">
      <c r="A143" s="3479"/>
      <c r="B143" s="3480" t="s">
        <v>2977</v>
      </c>
      <c r="C143" s="3481"/>
      <c r="D143" s="3482"/>
      <c r="E143" s="3483"/>
      <c r="F143" s="3484"/>
      <c r="G143" s="654">
        <f>F142*G141</f>
        <v>0</v>
      </c>
      <c r="H143" s="3426"/>
      <c r="I143" s="3427">
        <f>H142*I141</f>
        <v>0</v>
      </c>
      <c r="J143" s="3426"/>
      <c r="K143" s="3427">
        <f>J142*K141</f>
        <v>0</v>
      </c>
      <c r="L143" s="3426"/>
      <c r="M143" s="3427">
        <f>L142*M141</f>
        <v>0</v>
      </c>
      <c r="N143" s="3426"/>
      <c r="O143" s="3427">
        <f>N142*O141</f>
        <v>0</v>
      </c>
      <c r="P143" s="3426"/>
      <c r="Q143" s="3427">
        <f>P142*Q141</f>
        <v>0</v>
      </c>
      <c r="R143" s="3426"/>
      <c r="S143" s="3427">
        <f>R142*S141</f>
        <v>0</v>
      </c>
    </row>
    <row r="144" spans="1:22">
      <c r="A144" s="3479"/>
      <c r="B144" s="3480"/>
      <c r="C144" s="3481"/>
      <c r="D144" s="3482"/>
      <c r="E144" s="3483"/>
      <c r="F144" s="3484"/>
      <c r="G144" s="654"/>
      <c r="H144" s="3426"/>
      <c r="I144" s="3427"/>
      <c r="J144" s="3426"/>
      <c r="K144" s="3427"/>
      <c r="L144" s="3426"/>
      <c r="M144" s="3427"/>
      <c r="N144" s="3426"/>
      <c r="O144" s="3427"/>
      <c r="P144" s="3426"/>
      <c r="Q144" s="3427"/>
      <c r="R144" s="3426"/>
      <c r="S144" s="3427"/>
    </row>
    <row r="145" spans="1:34">
      <c r="A145" s="3479"/>
      <c r="B145" s="3480" t="s">
        <v>2978</v>
      </c>
      <c r="C145" s="3481"/>
      <c r="D145" s="3482"/>
      <c r="E145" s="3483"/>
      <c r="F145" s="3484"/>
      <c r="G145" s="654">
        <f>SUM(G141:G143)</f>
        <v>1915067</v>
      </c>
      <c r="H145" s="3428"/>
      <c r="I145" s="3427">
        <f>SUM(I141:I143)</f>
        <v>2205447</v>
      </c>
      <c r="J145" s="3428"/>
      <c r="K145" s="3427">
        <f>SUM(K141:K143)</f>
        <v>0</v>
      </c>
      <c r="L145" s="3428"/>
      <c r="M145" s="3427">
        <f>SUM(M141:M143)</f>
        <v>0</v>
      </c>
      <c r="N145" s="3428"/>
      <c r="O145" s="3427">
        <f>SUM(O141:O143)</f>
        <v>0</v>
      </c>
      <c r="P145" s="3428"/>
      <c r="Q145" s="3427">
        <f>SUM(Q141:Q143)</f>
        <v>0</v>
      </c>
      <c r="R145" s="3428"/>
      <c r="S145" s="3427">
        <f>SUM(S141:S143)</f>
        <v>0</v>
      </c>
    </row>
    <row r="146" spans="1:34">
      <c r="A146" s="3479"/>
      <c r="B146" s="3489" t="s">
        <v>2753</v>
      </c>
      <c r="C146" s="3481"/>
      <c r="D146" s="3482"/>
      <c r="E146" s="3483"/>
      <c r="F146" s="3489"/>
      <c r="G146" s="655">
        <v>0</v>
      </c>
      <c r="H146" s="3429"/>
      <c r="I146" s="3430">
        <v>0</v>
      </c>
      <c r="J146" s="3429"/>
      <c r="K146" s="3430">
        <v>0</v>
      </c>
      <c r="L146" s="3429"/>
      <c r="M146" s="3430">
        <v>0</v>
      </c>
      <c r="N146" s="3429"/>
      <c r="O146" s="3430">
        <v>0</v>
      </c>
      <c r="P146" s="3431"/>
      <c r="Q146" s="3430">
        <v>0</v>
      </c>
      <c r="R146" s="3431"/>
      <c r="S146" s="3430">
        <v>0</v>
      </c>
    </row>
    <row r="147" spans="1:34">
      <c r="A147" s="3479"/>
      <c r="B147" s="3493"/>
      <c r="C147" s="3481"/>
      <c r="D147" s="3482"/>
      <c r="E147" s="3483"/>
      <c r="F147" s="3484"/>
      <c r="G147" s="656"/>
      <c r="H147" s="3432"/>
      <c r="I147" s="3432"/>
      <c r="J147" s="3432"/>
      <c r="K147" s="3432"/>
      <c r="L147" s="3432"/>
      <c r="M147" s="3432"/>
      <c r="N147" s="3432"/>
      <c r="O147" s="3432"/>
      <c r="P147" s="3432"/>
      <c r="Q147" s="3432"/>
      <c r="R147" s="3432"/>
      <c r="S147" s="3432"/>
    </row>
    <row r="148" spans="1:34" ht="15" hidden="1" customHeight="1">
      <c r="A148" s="830" t="s">
        <v>2980</v>
      </c>
      <c r="B148" s="830"/>
      <c r="C148" s="12"/>
      <c r="D148" s="169"/>
      <c r="E148" s="177"/>
      <c r="F148" s="12"/>
      <c r="G148" s="228"/>
      <c r="H148" s="20"/>
      <c r="I148" s="241"/>
      <c r="J148" s="20"/>
      <c r="K148" s="241"/>
      <c r="L148" s="20"/>
      <c r="M148" s="20"/>
      <c r="N148" s="20"/>
      <c r="O148" s="20"/>
      <c r="P148" s="20"/>
      <c r="Q148" s="20"/>
      <c r="R148" s="20"/>
      <c r="S148" s="20"/>
      <c r="V148" s="236"/>
    </row>
    <row r="149" spans="1:34" ht="15" hidden="1" customHeight="1">
      <c r="A149" s="3583"/>
      <c r="B149" s="3519"/>
      <c r="C149" s="3584"/>
      <c r="D149" s="3585"/>
      <c r="E149" s="3586"/>
      <c r="F149" s="3584"/>
      <c r="G149" s="3587"/>
      <c r="H149" s="3588"/>
      <c r="I149" s="3588"/>
      <c r="J149" s="3588"/>
      <c r="K149" s="3588"/>
      <c r="L149" s="3588"/>
      <c r="M149" s="3588"/>
      <c r="N149" s="3588"/>
      <c r="O149" s="3588"/>
      <c r="P149" s="3588"/>
      <c r="Q149" s="3588"/>
      <c r="R149" s="3588"/>
      <c r="S149" s="3588"/>
    </row>
    <row r="150" spans="1:34" ht="15" hidden="1" customHeight="1">
      <c r="A150" s="3583"/>
      <c r="B150" s="3519"/>
      <c r="C150" s="3584"/>
      <c r="D150" s="3585"/>
      <c r="E150" s="3586"/>
      <c r="F150" s="3584"/>
      <c r="G150" s="3587"/>
      <c r="H150" s="3588"/>
      <c r="I150" s="3588"/>
      <c r="J150" s="3588"/>
      <c r="K150" s="3588"/>
      <c r="L150" s="3588"/>
      <c r="M150" s="3588"/>
      <c r="N150" s="3588"/>
      <c r="O150" s="3588"/>
      <c r="P150" s="3588"/>
      <c r="Q150" s="3588"/>
      <c r="R150" s="3588"/>
      <c r="S150" s="3588"/>
      <c r="V150" s="236"/>
    </row>
    <row r="151" spans="1:34" ht="15" hidden="1" customHeight="1">
      <c r="A151" s="3583"/>
      <c r="B151" s="3519"/>
      <c r="C151" s="3584"/>
      <c r="D151" s="3585"/>
      <c r="E151" s="3586"/>
      <c r="F151" s="3584"/>
      <c r="G151" s="3587"/>
      <c r="H151" s="3588"/>
      <c r="I151" s="3588"/>
      <c r="J151" s="3588"/>
      <c r="K151" s="3588"/>
      <c r="L151" s="3588"/>
      <c r="M151" s="3588"/>
      <c r="N151" s="3588"/>
      <c r="O151" s="3588"/>
      <c r="P151" s="3588"/>
      <c r="Q151" s="3588"/>
      <c r="R151" s="3588"/>
      <c r="S151" s="3588"/>
      <c r="V151" s="236"/>
    </row>
    <row r="152" spans="1:34" s="2" customFormat="1" ht="15" hidden="1" customHeight="1">
      <c r="A152" s="830" t="s">
        <v>2981</v>
      </c>
      <c r="B152" s="830"/>
      <c r="C152" s="12"/>
      <c r="D152" s="169"/>
      <c r="E152" s="177"/>
      <c r="F152" s="12"/>
      <c r="G152" s="228"/>
      <c r="H152" s="20"/>
      <c r="I152" s="20"/>
      <c r="J152" s="20"/>
      <c r="K152" s="20"/>
      <c r="L152" s="20"/>
      <c r="M152" s="20"/>
      <c r="N152" s="20"/>
      <c r="O152" s="20"/>
      <c r="P152" s="20"/>
      <c r="Q152" s="20"/>
      <c r="R152" s="20"/>
      <c r="S152" s="20"/>
      <c r="T152"/>
      <c r="U152" s="58"/>
      <c r="V152" s="236"/>
      <c r="W152" s="58"/>
      <c r="X152" s="58"/>
      <c r="Y152" s="58"/>
      <c r="Z152" s="58"/>
      <c r="AA152" s="58"/>
      <c r="AB152" s="58"/>
      <c r="AC152" s="58"/>
      <c r="AD152" s="58"/>
      <c r="AE152"/>
      <c r="AF152"/>
      <c r="AG152"/>
      <c r="AH152"/>
    </row>
    <row r="153" spans="1:34" s="2" customFormat="1" ht="15" hidden="1" customHeight="1">
      <c r="A153" s="3583"/>
      <c r="B153" s="3519"/>
      <c r="C153" s="3584"/>
      <c r="D153" s="3585"/>
      <c r="E153" s="3586"/>
      <c r="F153" s="3584"/>
      <c r="G153" s="3587"/>
      <c r="H153" s="3588"/>
      <c r="I153" s="3588"/>
      <c r="J153" s="3588"/>
      <c r="K153" s="3588"/>
      <c r="L153" s="3588"/>
      <c r="M153" s="3588"/>
      <c r="N153" s="3588"/>
      <c r="O153" s="3588"/>
      <c r="P153" s="3588"/>
      <c r="Q153" s="3588"/>
      <c r="R153" s="3588"/>
      <c r="S153" s="3588"/>
      <c r="T153"/>
      <c r="U153" s="58"/>
      <c r="V153" s="58"/>
      <c r="W153" s="58"/>
      <c r="X153" s="58"/>
      <c r="Y153" s="58"/>
      <c r="Z153" s="58"/>
      <c r="AA153" s="58"/>
      <c r="AB153" s="58"/>
      <c r="AC153" s="58"/>
      <c r="AD153" s="58"/>
      <c r="AE153"/>
      <c r="AF153"/>
      <c r="AG153"/>
      <c r="AH153"/>
    </row>
    <row r="154" spans="1:34" s="2" customFormat="1" ht="15" hidden="1" customHeight="1">
      <c r="A154" s="3583"/>
      <c r="B154" s="3519"/>
      <c r="C154" s="3584"/>
      <c r="D154" s="3585"/>
      <c r="E154" s="3586"/>
      <c r="F154" s="3584"/>
      <c r="G154" s="3587"/>
      <c r="H154" s="3588"/>
      <c r="I154" s="3588"/>
      <c r="J154" s="3588"/>
      <c r="K154" s="3588"/>
      <c r="L154" s="3588"/>
      <c r="M154" s="3588"/>
      <c r="N154" s="3588"/>
      <c r="O154" s="3588"/>
      <c r="P154" s="3588"/>
      <c r="Q154" s="3588"/>
      <c r="R154" s="3588"/>
      <c r="S154" s="3588"/>
      <c r="T154"/>
      <c r="U154" s="58"/>
      <c r="V154" s="58"/>
      <c r="W154" s="58"/>
      <c r="X154" s="58"/>
      <c r="Y154" s="58"/>
      <c r="Z154" s="58"/>
      <c r="AA154" s="58"/>
      <c r="AB154" s="58"/>
      <c r="AC154" s="58"/>
      <c r="AD154" s="58"/>
      <c r="AE154"/>
      <c r="AF154"/>
      <c r="AG154"/>
      <c r="AH154"/>
    </row>
    <row r="155" spans="1:34" ht="15" hidden="1" customHeight="1">
      <c r="A155" s="3583"/>
      <c r="B155" s="3519"/>
      <c r="C155" s="3584"/>
      <c r="D155" s="3585"/>
      <c r="E155" s="3586"/>
      <c r="F155" s="3584"/>
      <c r="G155" s="3587"/>
      <c r="H155" s="3588"/>
      <c r="I155" s="3588"/>
      <c r="J155" s="3588"/>
      <c r="K155" s="3588"/>
      <c r="L155" s="3588"/>
      <c r="M155" s="3588"/>
      <c r="N155" s="3588"/>
      <c r="O155" s="3588"/>
      <c r="P155" s="3588"/>
      <c r="Q155" s="3588"/>
      <c r="R155" s="3588"/>
      <c r="S155" s="3588"/>
    </row>
    <row r="156" spans="1:34" s="2" customFormat="1" ht="15" hidden="1" customHeight="1">
      <c r="A156" s="830" t="s">
        <v>2982</v>
      </c>
      <c r="B156" s="830"/>
      <c r="C156" s="12"/>
      <c r="D156" s="169"/>
      <c r="E156" s="177"/>
      <c r="F156" s="12"/>
      <c r="G156" s="228"/>
      <c r="H156" s="20"/>
      <c r="I156" s="20"/>
      <c r="J156" s="20"/>
      <c r="K156" s="20"/>
      <c r="L156" s="20"/>
      <c r="M156" s="20"/>
      <c r="N156" s="20"/>
      <c r="O156" s="20"/>
      <c r="P156" s="20"/>
      <c r="Q156" s="20"/>
      <c r="R156" s="20"/>
      <c r="S156" s="20"/>
      <c r="T156"/>
      <c r="U156" s="58"/>
      <c r="V156" s="58"/>
      <c r="W156" s="58"/>
      <c r="X156" s="58"/>
      <c r="Y156" s="58"/>
      <c r="Z156" s="58"/>
      <c r="AA156" s="58"/>
      <c r="AB156" s="58"/>
      <c r="AC156" s="58"/>
      <c r="AD156" s="58"/>
      <c r="AE156"/>
      <c r="AF156"/>
      <c r="AG156"/>
      <c r="AH156"/>
    </row>
    <row r="157" spans="1:34" s="2" customFormat="1" ht="15" hidden="1" customHeight="1">
      <c r="A157" s="3583"/>
      <c r="B157" s="3519"/>
      <c r="C157" s="3584"/>
      <c r="D157" s="3585"/>
      <c r="E157" s="3586"/>
      <c r="F157" s="3584"/>
      <c r="G157" s="3587"/>
      <c r="H157" s="3588"/>
      <c r="I157" s="3588"/>
      <c r="J157" s="3588"/>
      <c r="K157" s="3588"/>
      <c r="L157" s="3588"/>
      <c r="M157" s="3588"/>
      <c r="N157" s="3588"/>
      <c r="O157" s="3588"/>
      <c r="P157" s="3588"/>
      <c r="Q157" s="3588"/>
      <c r="R157" s="3588"/>
      <c r="S157" s="3588"/>
      <c r="T157"/>
      <c r="U157" s="58"/>
      <c r="V157" s="58"/>
      <c r="W157" s="58"/>
      <c r="X157" s="58"/>
      <c r="Y157" s="58"/>
      <c r="Z157" s="58"/>
      <c r="AA157" s="58"/>
      <c r="AB157" s="58"/>
      <c r="AC157" s="58"/>
      <c r="AD157" s="58"/>
      <c r="AE157"/>
      <c r="AF157"/>
      <c r="AG157"/>
      <c r="AH157"/>
    </row>
    <row r="158" spans="1:34" s="2" customFormat="1" ht="15" hidden="1" customHeight="1">
      <c r="A158" s="3497"/>
      <c r="B158" s="3519"/>
      <c r="C158" s="3520"/>
      <c r="D158" s="3521"/>
      <c r="E158" s="3522"/>
      <c r="F158" s="3520"/>
      <c r="G158" s="3498"/>
      <c r="H158" s="3434"/>
      <c r="I158" s="3434"/>
      <c r="J158" s="3434"/>
      <c r="K158" s="3434"/>
      <c r="L158" s="3434"/>
      <c r="M158" s="3434"/>
      <c r="N158" s="3434"/>
      <c r="O158" s="3434"/>
      <c r="P158" s="3434"/>
      <c r="Q158" s="3434"/>
      <c r="R158" s="3434"/>
      <c r="S158" s="3434"/>
      <c r="T158"/>
      <c r="U158" s="58"/>
      <c r="V158" s="58"/>
      <c r="W158" s="58"/>
      <c r="X158" s="58"/>
      <c r="Y158" s="58"/>
      <c r="Z158" s="58"/>
      <c r="AA158" s="58"/>
      <c r="AB158" s="58"/>
      <c r="AC158" s="58"/>
      <c r="AD158" s="58"/>
      <c r="AE158"/>
      <c r="AF158"/>
      <c r="AG158"/>
      <c r="AH158"/>
    </row>
    <row r="159" spans="1:34" s="2" customFormat="1" ht="15" hidden="1" customHeight="1">
      <c r="A159" s="3500"/>
      <c r="B159" s="3501"/>
      <c r="C159" s="3520"/>
      <c r="D159" s="3521"/>
      <c r="E159" s="3522"/>
      <c r="F159" s="3520"/>
      <c r="G159" s="3498"/>
      <c r="H159" s="3435"/>
      <c r="I159" s="3435"/>
      <c r="J159" s="3435"/>
      <c r="K159" s="3435"/>
      <c r="L159" s="3435"/>
      <c r="M159" s="3435"/>
      <c r="N159" s="3435"/>
      <c r="O159" s="3435"/>
      <c r="P159" s="3435"/>
      <c r="Q159" s="3435"/>
      <c r="R159" s="3435"/>
      <c r="S159" s="3435"/>
      <c r="U159" s="236"/>
      <c r="V159" s="58"/>
      <c r="W159" s="236"/>
      <c r="X159" s="236"/>
      <c r="Y159" s="236"/>
      <c r="Z159" s="236"/>
      <c r="AA159" s="236"/>
      <c r="AB159" s="236"/>
      <c r="AC159" s="236"/>
      <c r="AD159" s="236"/>
    </row>
    <row r="160" spans="1:34" s="2" customFormat="1" ht="15" hidden="1" customHeight="1">
      <c r="A160" s="830" t="s">
        <v>2983</v>
      </c>
      <c r="B160" s="830"/>
      <c r="C160" s="12"/>
      <c r="D160" s="169"/>
      <c r="E160" s="177"/>
      <c r="F160" s="12"/>
      <c r="G160" s="228"/>
      <c r="H160" s="20"/>
      <c r="I160" s="20"/>
      <c r="J160" s="20"/>
      <c r="K160" s="20"/>
      <c r="L160" s="20"/>
      <c r="M160" s="20"/>
      <c r="N160" s="20"/>
      <c r="O160" s="20"/>
      <c r="P160" s="20"/>
      <c r="Q160" s="20"/>
      <c r="R160" s="20"/>
      <c r="S160" s="20"/>
      <c r="T160"/>
      <c r="U160" s="58"/>
      <c r="V160" s="58"/>
      <c r="W160" s="58"/>
      <c r="X160" s="58"/>
      <c r="Y160" s="58"/>
      <c r="Z160" s="58"/>
      <c r="AA160" s="58"/>
      <c r="AB160" s="58"/>
      <c r="AC160" s="58"/>
      <c r="AD160" s="58"/>
      <c r="AE160"/>
      <c r="AF160"/>
      <c r="AG160"/>
      <c r="AH160"/>
    </row>
    <row r="161" spans="1:34" ht="15" hidden="1" customHeight="1">
      <c r="A161" s="3589"/>
      <c r="B161" s="3590"/>
      <c r="C161" s="3584"/>
      <c r="D161" s="3585"/>
      <c r="E161" s="3586"/>
      <c r="F161" s="3584"/>
      <c r="G161" s="3587"/>
      <c r="H161" s="3588"/>
      <c r="I161" s="3588"/>
      <c r="J161" s="3588"/>
      <c r="K161" s="3588"/>
      <c r="L161" s="3588"/>
      <c r="M161" s="3588"/>
      <c r="N161" s="3588"/>
      <c r="O161" s="3588"/>
      <c r="P161" s="3588"/>
      <c r="Q161" s="3588"/>
      <c r="R161" s="3588"/>
      <c r="S161" s="3588"/>
      <c r="T161" s="2"/>
      <c r="U161" s="236"/>
      <c r="W161" s="236"/>
      <c r="X161" s="236"/>
      <c r="Y161" s="236"/>
      <c r="Z161" s="236"/>
      <c r="AA161" s="236"/>
      <c r="AB161" s="236"/>
      <c r="AC161" s="236"/>
      <c r="AD161" s="236"/>
      <c r="AE161" s="2"/>
      <c r="AF161" s="2"/>
      <c r="AG161" s="2"/>
      <c r="AH161" s="2"/>
    </row>
    <row r="162" spans="1:34" ht="15" hidden="1" customHeight="1">
      <c r="A162" s="3500"/>
      <c r="B162" s="3501"/>
      <c r="C162" s="3520"/>
      <c r="D162" s="3521"/>
      <c r="E162" s="3522"/>
      <c r="F162" s="3520"/>
      <c r="G162" s="3498"/>
      <c r="H162" s="3436"/>
      <c r="I162" s="3436"/>
      <c r="J162" s="3436"/>
      <c r="K162" s="3436"/>
      <c r="L162" s="3436"/>
      <c r="M162" s="3436"/>
      <c r="N162" s="3436"/>
      <c r="O162" s="3436"/>
      <c r="P162" s="3436"/>
      <c r="Q162" s="3436"/>
      <c r="R162" s="3436"/>
      <c r="S162" s="3436"/>
      <c r="T162" s="2"/>
      <c r="U162" s="236"/>
      <c r="W162" s="236"/>
      <c r="X162" s="236"/>
      <c r="Y162" s="236"/>
      <c r="Z162" s="236"/>
      <c r="AA162" s="236"/>
      <c r="AB162" s="236"/>
      <c r="AC162" s="236"/>
      <c r="AD162" s="236"/>
      <c r="AE162" s="2"/>
      <c r="AF162" s="2"/>
      <c r="AG162" s="2"/>
      <c r="AH162" s="2"/>
    </row>
    <row r="163" spans="1:34" ht="15" hidden="1" customHeight="1">
      <c r="A163" s="3500"/>
      <c r="B163" s="3501"/>
      <c r="C163" s="3520"/>
      <c r="D163" s="3521"/>
      <c r="E163" s="3522"/>
      <c r="F163" s="3520"/>
      <c r="G163" s="3498"/>
      <c r="H163" s="3436"/>
      <c r="I163" s="3436"/>
      <c r="J163" s="3436"/>
      <c r="K163" s="3436"/>
      <c r="L163" s="3436"/>
      <c r="M163" s="3436"/>
      <c r="N163" s="3436"/>
      <c r="O163" s="3436"/>
      <c r="P163" s="3436"/>
      <c r="Q163" s="3436"/>
      <c r="R163" s="3436"/>
      <c r="S163" s="3436"/>
      <c r="T163" s="2"/>
      <c r="U163" s="236"/>
      <c r="W163" s="236"/>
      <c r="X163" s="236"/>
      <c r="Y163" s="236"/>
      <c r="Z163" s="236"/>
      <c r="AA163" s="236"/>
      <c r="AB163" s="236"/>
      <c r="AC163" s="236"/>
      <c r="AD163" s="236"/>
      <c r="AE163" s="2"/>
      <c r="AF163" s="2"/>
      <c r="AG163" s="2"/>
      <c r="AH163" s="2"/>
    </row>
    <row r="164" spans="1:34" ht="15" hidden="1" customHeight="1">
      <c r="A164" s="830" t="s">
        <v>2984</v>
      </c>
      <c r="B164" s="830"/>
      <c r="C164" s="12"/>
      <c r="D164" s="169"/>
      <c r="E164" s="177"/>
      <c r="F164" s="12"/>
      <c r="G164" s="228"/>
      <c r="H164" s="20"/>
      <c r="I164" s="20"/>
      <c r="J164" s="20"/>
      <c r="K164" s="20"/>
      <c r="L164" s="20"/>
      <c r="M164" s="20"/>
      <c r="N164" s="20"/>
      <c r="O164" s="20"/>
      <c r="P164" s="20"/>
      <c r="Q164" s="20"/>
      <c r="R164" s="20"/>
      <c r="S164" s="20"/>
    </row>
    <row r="165" spans="1:34" ht="15" hidden="1" customHeight="1">
      <c r="A165" s="3497"/>
      <c r="B165" s="3519" t="s">
        <v>2985</v>
      </c>
      <c r="C165" s="3520"/>
      <c r="D165" s="3521"/>
      <c r="E165" s="3522"/>
      <c r="F165" s="3520"/>
      <c r="G165" s="3498"/>
      <c r="H165" s="3436"/>
      <c r="I165" s="3436"/>
      <c r="J165" s="3436"/>
      <c r="K165" s="3436"/>
      <c r="L165" s="3436"/>
      <c r="M165" s="3436"/>
      <c r="N165" s="3436"/>
      <c r="O165" s="3436"/>
      <c r="P165" s="3436"/>
      <c r="Q165" s="3436"/>
      <c r="R165" s="3436"/>
      <c r="S165" s="3436"/>
    </row>
    <row r="166" spans="1:34" ht="15" hidden="1" customHeight="1">
      <c r="A166" s="3497"/>
      <c r="B166" s="3519" t="s">
        <v>2986</v>
      </c>
      <c r="C166" s="3520"/>
      <c r="D166" s="3521"/>
      <c r="E166" s="3522"/>
      <c r="F166" s="3520"/>
      <c r="G166" s="3498"/>
      <c r="H166" s="3436"/>
      <c r="I166" s="3436"/>
      <c r="J166" s="3436"/>
      <c r="K166" s="3436"/>
      <c r="L166" s="3436"/>
      <c r="M166" s="3436"/>
      <c r="N166" s="3436"/>
      <c r="O166" s="3436"/>
      <c r="P166" s="3436"/>
      <c r="Q166" s="3436"/>
      <c r="R166" s="3436"/>
      <c r="S166" s="3436"/>
    </row>
    <row r="167" spans="1:34" ht="15" hidden="1" customHeight="1">
      <c r="A167" s="3497"/>
      <c r="B167" s="3519" t="s">
        <v>2987</v>
      </c>
      <c r="C167" s="3520"/>
      <c r="D167" s="3521"/>
      <c r="E167" s="3522"/>
      <c r="F167" s="3520"/>
      <c r="G167" s="3498"/>
      <c r="H167" s="3436"/>
      <c r="I167" s="3436"/>
      <c r="J167" s="3436"/>
      <c r="K167" s="3436"/>
      <c r="L167" s="3436"/>
      <c r="M167" s="3436"/>
      <c r="N167" s="3436"/>
      <c r="O167" s="3436"/>
      <c r="P167" s="3436"/>
      <c r="Q167" s="3436"/>
      <c r="R167" s="3436"/>
      <c r="S167" s="3436"/>
    </row>
    <row r="168" spans="1:34" ht="15" hidden="1" customHeight="1">
      <c r="A168" s="3497"/>
      <c r="B168" s="3519" t="s">
        <v>2988</v>
      </c>
      <c r="C168" s="3520"/>
      <c r="D168" s="3521"/>
      <c r="E168" s="3522"/>
      <c r="F168" s="3520"/>
      <c r="G168" s="3498"/>
      <c r="H168" s="3436"/>
      <c r="I168" s="3436"/>
      <c r="J168" s="3436"/>
      <c r="K168" s="3436"/>
      <c r="L168" s="3436"/>
      <c r="M168" s="3436"/>
      <c r="N168" s="3436"/>
      <c r="O168" s="3436"/>
      <c r="P168" s="3436"/>
      <c r="Q168" s="3436"/>
      <c r="R168" s="3436"/>
      <c r="S168" s="3436"/>
    </row>
    <row r="169" spans="1:34" ht="15" hidden="1" customHeight="1">
      <c r="A169" s="646"/>
      <c r="B169" s="619"/>
      <c r="C169" s="616"/>
      <c r="D169" s="621"/>
      <c r="E169" s="622"/>
      <c r="F169" s="616"/>
      <c r="G169" s="620"/>
      <c r="H169" s="647"/>
      <c r="I169" s="647"/>
      <c r="J169" s="647"/>
      <c r="K169" s="647"/>
      <c r="L169" s="647"/>
      <c r="M169" s="647"/>
      <c r="N169" s="647"/>
      <c r="O169" s="647"/>
      <c r="P169" s="647"/>
      <c r="Q169" s="647"/>
      <c r="R169" s="647"/>
      <c r="S169" s="647"/>
    </row>
    <row r="170" spans="1:34" ht="15" hidden="1" customHeight="1">
      <c r="A170" s="7" t="s">
        <v>2989</v>
      </c>
      <c r="B170" s="8"/>
      <c r="C170" s="12"/>
      <c r="D170" s="169"/>
      <c r="E170" s="177"/>
      <c r="F170" s="12"/>
      <c r="G170" s="228"/>
      <c r="H170" s="20"/>
      <c r="I170" s="20"/>
      <c r="J170" s="20"/>
      <c r="K170" s="20"/>
      <c r="L170" s="20"/>
      <c r="M170" s="20"/>
      <c r="N170" s="20"/>
      <c r="O170" s="20"/>
      <c r="P170" s="20"/>
      <c r="Q170" s="20"/>
      <c r="R170" s="20"/>
      <c r="S170" s="20"/>
    </row>
    <row r="171" spans="1:34" ht="15" hidden="1" customHeight="1">
      <c r="A171" s="3583"/>
      <c r="B171" s="3591" t="s">
        <v>2990</v>
      </c>
      <c r="C171" s="3584"/>
      <c r="D171" s="3585"/>
      <c r="E171" s="3586"/>
      <c r="F171" s="3584"/>
      <c r="G171" s="3587"/>
      <c r="H171" s="3592"/>
      <c r="I171" s="3592"/>
      <c r="J171" s="3592"/>
      <c r="K171" s="3592"/>
      <c r="L171" s="3592"/>
      <c r="M171" s="3592"/>
      <c r="N171" s="3592"/>
      <c r="O171" s="3592"/>
      <c r="P171" s="3592"/>
      <c r="Q171" s="3592"/>
      <c r="R171" s="3592"/>
      <c r="S171" s="3592"/>
    </row>
    <row r="172" spans="1:34" ht="15" hidden="1" customHeight="1">
      <c r="A172" s="3497"/>
      <c r="B172" s="3519" t="s">
        <v>2991</v>
      </c>
      <c r="C172" s="3520"/>
      <c r="D172" s="3521"/>
      <c r="E172" s="3522"/>
      <c r="F172" s="3520"/>
      <c r="G172" s="3498"/>
      <c r="H172" s="3437"/>
      <c r="I172" s="3437"/>
      <c r="J172" s="3437"/>
      <c r="K172" s="3437"/>
      <c r="L172" s="3437"/>
      <c r="M172" s="3437"/>
      <c r="N172" s="3437"/>
      <c r="O172" s="3437"/>
      <c r="P172" s="3437"/>
      <c r="Q172" s="3437"/>
      <c r="R172" s="3437"/>
      <c r="S172" s="3437"/>
    </row>
    <row r="173" spans="1:34" ht="15" hidden="1" customHeight="1">
      <c r="A173" s="3197"/>
      <c r="B173" s="3224" t="s">
        <v>2992</v>
      </c>
      <c r="C173" s="3225"/>
      <c r="D173" s="3549"/>
      <c r="E173" s="3199"/>
      <c r="F173" s="3225"/>
      <c r="G173" s="3200"/>
      <c r="H173" s="3201"/>
      <c r="I173" s="3201"/>
      <c r="J173" s="3201"/>
      <c r="K173" s="3201"/>
      <c r="L173" s="3201"/>
      <c r="M173" s="3201"/>
      <c r="N173" s="3201"/>
      <c r="O173" s="3201"/>
      <c r="P173" s="3201"/>
      <c r="Q173" s="3201"/>
      <c r="R173" s="3201"/>
      <c r="S173" s="3201"/>
    </row>
    <row r="174" spans="1:34" ht="15.75" thickBot="1"/>
    <row r="175" spans="1:34" ht="16.5" thickTop="1" thickBot="1">
      <c r="A175" s="59" t="s">
        <v>2993</v>
      </c>
      <c r="B175" s="61"/>
    </row>
    <row r="176" spans="1:34" ht="15.75" thickTop="1">
      <c r="A176" s="60" t="s">
        <v>2936</v>
      </c>
      <c r="B176" s="3202"/>
    </row>
    <row r="177" spans="1:2">
      <c r="A177" s="3510" t="s">
        <v>2939</v>
      </c>
      <c r="B177" s="3202"/>
    </row>
    <row r="178" spans="1:2">
      <c r="A178" s="3204" t="s">
        <v>2941</v>
      </c>
      <c r="B178" s="3205"/>
    </row>
    <row r="179" spans="1:2">
      <c r="A179" s="3204" t="s">
        <v>2943</v>
      </c>
      <c r="B179" s="3206"/>
    </row>
    <row r="180" spans="1:2" ht="15.75" thickBot="1">
      <c r="A180" s="3207" t="s">
        <v>2994</v>
      </c>
      <c r="B180" s="3208">
        <f>$I$145</f>
        <v>2205447</v>
      </c>
    </row>
    <row r="181" spans="1:2" ht="15.75" thickTop="1"/>
    <row r="182" spans="1:2">
      <c r="A182" s="62"/>
      <c r="B182" s="1" t="s">
        <v>2995</v>
      </c>
    </row>
    <row r="183" spans="1:2">
      <c r="A183" s="63"/>
      <c r="B183" s="1" t="s">
        <v>2996</v>
      </c>
    </row>
  </sheetData>
  <mergeCells count="35">
    <mergeCell ref="R9:S9"/>
    <mergeCell ref="N8:O8"/>
    <mergeCell ref="J8:K8"/>
    <mergeCell ref="H8:I8"/>
    <mergeCell ref="P8:Q8"/>
    <mergeCell ref="L8:M8"/>
    <mergeCell ref="R8:S8"/>
    <mergeCell ref="N9:O9"/>
    <mergeCell ref="J9:K9"/>
    <mergeCell ref="H9:I9"/>
    <mergeCell ref="P9:Q9"/>
    <mergeCell ref="L9:M9"/>
    <mergeCell ref="R7:S7"/>
    <mergeCell ref="N6:O6"/>
    <mergeCell ref="J6:K6"/>
    <mergeCell ref="H6:I6"/>
    <mergeCell ref="P6:Q6"/>
    <mergeCell ref="L6:M6"/>
    <mergeCell ref="R6:S6"/>
    <mergeCell ref="N7:O7"/>
    <mergeCell ref="J7:K7"/>
    <mergeCell ref="H7:I7"/>
    <mergeCell ref="P7:Q7"/>
    <mergeCell ref="L7:M7"/>
    <mergeCell ref="R5:S5"/>
    <mergeCell ref="N5:O5"/>
    <mergeCell ref="J5:K5"/>
    <mergeCell ref="H5:I5"/>
    <mergeCell ref="P5:Q5"/>
    <mergeCell ref="L5:M5"/>
    <mergeCell ref="A148:B148"/>
    <mergeCell ref="A152:B152"/>
    <mergeCell ref="A156:B156"/>
    <mergeCell ref="A160:B160"/>
    <mergeCell ref="A164:B164"/>
  </mergeCells>
  <conditionalFormatting sqref="H11:H18 J11:J18 L11:L18 N11:N18 P11:P18 R11:R18 H20:H140 J20:J140 L20:L140 N20:N140 P20:P140 R20:R140">
    <cfRule type="cellIs" dxfId="25" priority="1" operator="equal">
      <formula>"X"</formula>
    </cfRule>
    <cfRule type="cellIs" dxfId="24" priority="2" operator="equal">
      <formula>"I"</formula>
    </cfRule>
  </conditionalFormatting>
  <hyperlinks>
    <hyperlink ref="B4" location="'Cost Summary'!A1" display="BACK TO SUMMARY SHEET" xr:uid="{DAF6B4BD-D2D8-4749-B579-F429AC143649}"/>
  </hyperlinks>
  <pageMargins left="0.2" right="0.2" top="0.5" bottom="0.75" header="0.3" footer="0.3"/>
  <pageSetup scale="91" fitToHeight="0" orientation="portrait" horizontalDpi="300" verticalDpi="300"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2AC0-E2EC-434C-9494-55EA65555026}">
  <sheetPr>
    <tabColor rgb="FF00B050"/>
    <pageSetUpPr fitToPage="1"/>
  </sheetPr>
  <dimension ref="A1:AH108"/>
  <sheetViews>
    <sheetView zoomScale="90" zoomScaleNormal="90" workbookViewId="0">
      <pane xSplit="6" ySplit="10" topLeftCell="G11" activePane="bottomRight" state="frozen"/>
      <selection pane="bottomRight" activeCell="C59" sqref="C59"/>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1" max="22" width="15" style="58" bestFit="1" customWidth="1"/>
    <col min="23" max="24" width="12.140625" style="58" bestFit="1" customWidth="1"/>
    <col min="25" max="25" width="15" style="58" bestFit="1" customWidth="1"/>
    <col min="26" max="29" width="8.42578125" style="58" bestFit="1" customWidth="1"/>
    <col min="30" max="30" width="7.28515625" style="58" bestFit="1" customWidth="1"/>
  </cols>
  <sheetData>
    <row r="1" spans="1:30">
      <c r="F1" s="178"/>
      <c r="G1" s="56" t="s">
        <v>2928</v>
      </c>
    </row>
    <row r="2" spans="1:30">
      <c r="F2" s="179" t="s">
        <v>2929</v>
      </c>
      <c r="G2" s="56" t="s">
        <v>2930</v>
      </c>
    </row>
    <row r="3" spans="1:30">
      <c r="F3" s="180" t="s">
        <v>2931</v>
      </c>
      <c r="G3" s="56" t="s">
        <v>2932</v>
      </c>
    </row>
    <row r="4" spans="1:30" ht="15.75" thickBot="1">
      <c r="B4" s="181" t="s">
        <v>2933</v>
      </c>
      <c r="F4" s="170"/>
      <c r="G4" s="2" t="s">
        <v>2934</v>
      </c>
    </row>
    <row r="5" spans="1:30" ht="15.75" customHeight="1" thickTop="1">
      <c r="A5" s="3" t="s">
        <v>2935</v>
      </c>
      <c r="B5" s="4" t="s">
        <v>84</v>
      </c>
      <c r="C5" s="5"/>
      <c r="D5" s="166"/>
      <c r="E5" s="171"/>
      <c r="F5" s="5"/>
      <c r="G5" s="6" t="s">
        <v>2936</v>
      </c>
      <c r="H5" s="990" t="s">
        <v>6193</v>
      </c>
      <c r="I5" s="990"/>
      <c r="J5" s="837" t="s">
        <v>7071</v>
      </c>
      <c r="K5" s="837"/>
      <c r="L5" s="837" t="s">
        <v>7072</v>
      </c>
      <c r="M5" s="838"/>
      <c r="N5" s="837" t="s">
        <v>7073</v>
      </c>
      <c r="O5" s="838"/>
      <c r="P5" s="837" t="s">
        <v>7074</v>
      </c>
      <c r="Q5" s="838"/>
      <c r="R5" s="837" t="s">
        <v>7075</v>
      </c>
      <c r="S5" s="838"/>
    </row>
    <row r="6" spans="1:30">
      <c r="A6" s="3518" t="s">
        <v>2938</v>
      </c>
      <c r="B6" s="3519" t="s">
        <v>377</v>
      </c>
      <c r="C6" s="3520"/>
      <c r="D6" s="3521"/>
      <c r="E6" s="3522"/>
      <c r="F6" s="3520"/>
      <c r="G6" s="657" t="s">
        <v>2939</v>
      </c>
      <c r="H6" s="3551" t="s">
        <v>6201</v>
      </c>
      <c r="I6" s="3551"/>
      <c r="J6" s="3552" t="s">
        <v>7076</v>
      </c>
      <c r="K6" s="3552"/>
      <c r="L6" s="3552" t="s">
        <v>7077</v>
      </c>
      <c r="M6" s="839"/>
      <c r="N6" s="3552" t="s">
        <v>7078</v>
      </c>
      <c r="O6" s="839"/>
      <c r="P6" s="3552" t="s">
        <v>7079</v>
      </c>
      <c r="Q6" s="839"/>
      <c r="R6" s="3552" t="s">
        <v>3271</v>
      </c>
      <c r="S6" s="839"/>
    </row>
    <row r="7" spans="1:30">
      <c r="A7" s="3518" t="s">
        <v>2940</v>
      </c>
      <c r="B7" s="3524" t="s">
        <v>2680</v>
      </c>
      <c r="C7" s="3520"/>
      <c r="D7" s="3521"/>
      <c r="E7" s="3522"/>
      <c r="F7" s="3520"/>
      <c r="G7" s="3525" t="s">
        <v>2941</v>
      </c>
      <c r="H7" s="3551" t="s">
        <v>6209</v>
      </c>
      <c r="I7" s="3551"/>
      <c r="J7" s="3553" t="s">
        <v>7080</v>
      </c>
      <c r="K7" s="3553"/>
      <c r="L7" s="3553" t="s">
        <v>7081</v>
      </c>
      <c r="M7" s="840"/>
      <c r="N7" s="3553" t="s">
        <v>7082</v>
      </c>
      <c r="O7" s="840"/>
      <c r="P7" s="3553" t="s">
        <v>7083</v>
      </c>
      <c r="Q7" s="840"/>
      <c r="R7" s="3553" t="s">
        <v>3275</v>
      </c>
      <c r="S7" s="840"/>
    </row>
    <row r="8" spans="1:30">
      <c r="A8" s="3518" t="s">
        <v>2942</v>
      </c>
      <c r="B8" s="3527"/>
      <c r="C8" s="3520"/>
      <c r="D8" s="3521"/>
      <c r="E8" s="3522"/>
      <c r="F8" s="3520"/>
      <c r="G8" s="3525" t="s">
        <v>2943</v>
      </c>
      <c r="H8" s="3554" t="s">
        <v>6216</v>
      </c>
      <c r="I8" s="3554"/>
      <c r="J8" s="3555" t="s">
        <v>7084</v>
      </c>
      <c r="K8" s="3555"/>
      <c r="L8" s="3555" t="s">
        <v>7085</v>
      </c>
      <c r="M8" s="836"/>
      <c r="N8" s="3555" t="s">
        <v>7086</v>
      </c>
      <c r="O8" s="836"/>
      <c r="P8" s="3555" t="s">
        <v>7087</v>
      </c>
      <c r="Q8" s="836"/>
      <c r="R8" s="3555" t="s">
        <v>7088</v>
      </c>
      <c r="S8" s="836"/>
    </row>
    <row r="9" spans="1:30" ht="15.75" thickBot="1">
      <c r="A9" s="3223"/>
      <c r="B9" s="3224"/>
      <c r="C9" s="616"/>
      <c r="D9" s="621"/>
      <c r="E9" s="622"/>
      <c r="F9" s="3225"/>
      <c r="G9" s="3226" t="s">
        <v>2944</v>
      </c>
      <c r="H9" s="3227">
        <f>I$70</f>
        <v>2904043</v>
      </c>
      <c r="I9" s="3227"/>
      <c r="J9" s="3227">
        <f>K$70</f>
        <v>3406213</v>
      </c>
      <c r="K9" s="3227"/>
      <c r="L9" s="3227">
        <f>M$70</f>
        <v>4005729.32</v>
      </c>
      <c r="M9" s="3228"/>
      <c r="N9" s="3227">
        <f>O$70</f>
        <v>4006793.8100000005</v>
      </c>
      <c r="O9" s="3228"/>
      <c r="P9" s="3227">
        <f>Q$70</f>
        <v>4504172</v>
      </c>
      <c r="Q9" s="3228"/>
      <c r="R9" s="3227">
        <f>S$70</f>
        <v>6828601.4800000004</v>
      </c>
      <c r="S9" s="3228"/>
    </row>
    <row r="10" spans="1:30"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c r="U10" s="560"/>
      <c r="V10" s="560"/>
      <c r="W10" s="560"/>
      <c r="X10" s="560"/>
      <c r="Y10" s="560"/>
      <c r="Z10" s="560"/>
      <c r="AA10" s="560"/>
      <c r="AB10" s="560"/>
      <c r="AC10" s="560"/>
      <c r="AD10" s="560"/>
    </row>
    <row r="11" spans="1:30" ht="16.5" thickTop="1" thickBot="1">
      <c r="A11" s="3593"/>
      <c r="B11" s="2889" t="s">
        <v>2953</v>
      </c>
      <c r="C11" s="659"/>
      <c r="D11" s="3521"/>
      <c r="E11" s="3522"/>
      <c r="F11" s="3520"/>
      <c r="G11" s="660"/>
      <c r="H11" s="3232"/>
      <c r="I11" s="182"/>
      <c r="J11" s="3232"/>
      <c r="K11" s="182"/>
      <c r="L11" s="3232"/>
      <c r="M11" s="3317"/>
      <c r="N11" s="3232"/>
      <c r="O11" s="3317"/>
      <c r="P11" s="3232"/>
      <c r="Q11" s="3317"/>
      <c r="R11" s="3232"/>
      <c r="S11" s="3317"/>
    </row>
    <row r="12" spans="1:30">
      <c r="A12" s="3594"/>
      <c r="B12" s="2963" t="s">
        <v>2954</v>
      </c>
      <c r="C12" s="3520"/>
      <c r="D12" s="3521"/>
      <c r="E12" s="3522"/>
      <c r="F12" s="3520"/>
      <c r="G12" s="660"/>
      <c r="H12" s="3232"/>
      <c r="I12" s="3317"/>
      <c r="J12" s="3232"/>
      <c r="K12" s="3317"/>
      <c r="L12" s="3232"/>
      <c r="M12" s="3317"/>
      <c r="N12" s="3232"/>
      <c r="O12" s="3317"/>
      <c r="P12" s="3232"/>
      <c r="Q12" s="3317"/>
      <c r="R12" s="3232"/>
      <c r="S12" s="3317"/>
    </row>
    <row r="13" spans="1:30">
      <c r="A13" s="3538"/>
      <c r="B13" s="3595" t="s">
        <v>2955</v>
      </c>
      <c r="C13" s="3520"/>
      <c r="D13" s="3521"/>
      <c r="E13" s="3522"/>
      <c r="F13" s="3520"/>
      <c r="G13" s="660"/>
      <c r="H13" s="3232"/>
      <c r="I13" s="3317"/>
      <c r="J13" s="3232"/>
      <c r="K13" s="3317"/>
      <c r="L13" s="3232"/>
      <c r="M13" s="3317"/>
      <c r="N13" s="3232"/>
      <c r="O13" s="3317"/>
      <c r="P13" s="3232"/>
      <c r="Q13" s="3317"/>
      <c r="R13" s="3232"/>
      <c r="S13" s="3317"/>
    </row>
    <row r="14" spans="1:30">
      <c r="A14" s="3538"/>
      <c r="B14" s="3596" t="s">
        <v>2956</v>
      </c>
      <c r="C14" s="3520"/>
      <c r="D14" s="3521"/>
      <c r="E14" s="3522"/>
      <c r="F14" s="3520"/>
      <c r="G14" s="660"/>
      <c r="H14" s="3232"/>
      <c r="I14" s="3317"/>
      <c r="J14" s="3232"/>
      <c r="K14" s="3317"/>
      <c r="L14" s="3232"/>
      <c r="M14" s="3317"/>
      <c r="N14" s="3232"/>
      <c r="O14" s="3317"/>
      <c r="P14" s="3232"/>
      <c r="Q14" s="3317"/>
      <c r="R14" s="3232"/>
      <c r="S14" s="3317"/>
    </row>
    <row r="15" spans="1:30">
      <c r="A15" s="3538"/>
      <c r="B15" s="3596" t="s">
        <v>2957</v>
      </c>
      <c r="C15" s="3520"/>
      <c r="D15" s="3521"/>
      <c r="E15" s="3522"/>
      <c r="F15" s="3520"/>
      <c r="G15" s="660"/>
      <c r="H15" s="3232"/>
      <c r="I15" s="3316"/>
      <c r="J15" s="3232"/>
      <c r="K15" s="3316"/>
      <c r="L15" s="3232"/>
      <c r="M15" s="3316"/>
      <c r="N15" s="3232"/>
      <c r="O15" s="3316"/>
      <c r="P15" s="3232"/>
      <c r="Q15" s="3316"/>
      <c r="R15" s="3232"/>
      <c r="S15" s="3316"/>
    </row>
    <row r="16" spans="1:30">
      <c r="A16" s="3538"/>
      <c r="B16" s="3596" t="s">
        <v>2958</v>
      </c>
      <c r="C16" s="3520"/>
      <c r="D16" s="3521"/>
      <c r="E16" s="3522"/>
      <c r="F16" s="3520"/>
      <c r="G16" s="660"/>
      <c r="H16" s="3232"/>
      <c r="I16" s="3317"/>
      <c r="J16" s="3232"/>
      <c r="K16" s="3317"/>
      <c r="L16" s="3232"/>
      <c r="M16" s="3317"/>
      <c r="N16" s="3232"/>
      <c r="O16" s="3317"/>
      <c r="P16" s="3232"/>
      <c r="Q16" s="3317"/>
      <c r="R16" s="3232"/>
      <c r="S16" s="3317"/>
    </row>
    <row r="17" spans="1:30">
      <c r="A17" s="3538"/>
      <c r="B17" s="3596" t="s">
        <v>2959</v>
      </c>
      <c r="C17" s="3520"/>
      <c r="D17" s="3521"/>
      <c r="E17" s="3522"/>
      <c r="F17" s="3520"/>
      <c r="G17" s="660"/>
      <c r="H17" s="3232"/>
      <c r="I17" s="3317"/>
      <c r="J17" s="3232"/>
      <c r="K17" s="3597"/>
      <c r="L17" s="3232"/>
      <c r="M17" s="3317"/>
      <c r="N17" s="3232"/>
      <c r="O17" s="3317"/>
      <c r="P17" s="3232"/>
      <c r="Q17" s="3317"/>
      <c r="R17" s="3232"/>
      <c r="S17" s="3317"/>
    </row>
    <row r="18" spans="1:30">
      <c r="A18" s="3538"/>
      <c r="B18" s="3598" t="s">
        <v>2960</v>
      </c>
      <c r="C18" s="3520"/>
      <c r="D18" s="3521"/>
      <c r="E18" s="3522"/>
      <c r="F18" s="3520"/>
      <c r="G18" s="660"/>
      <c r="H18" s="3232"/>
      <c r="I18" s="3317"/>
      <c r="J18" s="3232"/>
      <c r="K18" s="3317"/>
      <c r="L18" s="3232"/>
      <c r="M18" s="3317"/>
      <c r="N18" s="3232"/>
      <c r="O18" s="3317"/>
      <c r="P18" s="3232"/>
      <c r="Q18" s="3317"/>
      <c r="R18" s="3232"/>
      <c r="S18" s="3317"/>
    </row>
    <row r="19" spans="1:30">
      <c r="A19" s="3538"/>
      <c r="B19" s="3599" t="s">
        <v>2961</v>
      </c>
      <c r="C19" s="3539"/>
      <c r="D19" s="3540"/>
      <c r="E19" s="3541"/>
      <c r="F19" s="3542"/>
      <c r="G19" s="661"/>
      <c r="H19" s="3245"/>
      <c r="I19" s="3326"/>
      <c r="J19" s="3245"/>
      <c r="K19" s="3326"/>
      <c r="L19" s="3245"/>
      <c r="M19" s="3326"/>
      <c r="N19" s="3245"/>
      <c r="O19" s="3326"/>
      <c r="P19" s="3245"/>
      <c r="Q19" s="3326"/>
      <c r="R19" s="3245"/>
      <c r="S19" s="3326"/>
    </row>
    <row r="20" spans="1:30">
      <c r="A20" s="3538"/>
      <c r="B20" s="3600"/>
      <c r="C20" s="3520"/>
      <c r="D20" s="3521"/>
      <c r="E20" s="3522"/>
      <c r="F20" s="3544"/>
      <c r="G20" s="660"/>
      <c r="H20" s="3232"/>
      <c r="I20" s="3320"/>
      <c r="J20" s="3232"/>
      <c r="K20" s="3320"/>
      <c r="L20" s="3232"/>
      <c r="M20" s="3320"/>
      <c r="N20" s="3232"/>
      <c r="O20" s="3320"/>
      <c r="P20" s="3232"/>
      <c r="Q20" s="3320"/>
      <c r="R20" s="3232"/>
      <c r="S20" s="3320"/>
    </row>
    <row r="21" spans="1:30">
      <c r="A21" s="3538"/>
      <c r="B21" s="452" t="s">
        <v>2612</v>
      </c>
      <c r="C21" s="3520"/>
      <c r="D21" s="3521"/>
      <c r="E21" s="3522"/>
      <c r="F21" s="3544"/>
      <c r="G21" s="662">
        <f t="shared" ref="G21" si="0">ROUND(D21*F21,0)</f>
        <v>0</v>
      </c>
      <c r="H21" s="3232"/>
      <c r="I21" s="3329">
        <f>SUBTOTAL(9,I22:I65)</f>
        <v>2904043</v>
      </c>
      <c r="J21" s="3232"/>
      <c r="K21" s="3329">
        <f>SUBTOTAL(9,K22:K65)</f>
        <v>3406213</v>
      </c>
      <c r="L21" s="3232"/>
      <c r="M21" s="3329">
        <f>SUBTOTAL(9,M22:M65)</f>
        <v>4005729.32</v>
      </c>
      <c r="N21" s="3232"/>
      <c r="O21" s="3329">
        <f>SUBTOTAL(9,O22:O65)</f>
        <v>4006793.8100000005</v>
      </c>
      <c r="P21" s="3232"/>
      <c r="Q21" s="3329">
        <f>SUBTOTAL(9,Q22:Q65)</f>
        <v>4504172</v>
      </c>
      <c r="R21" s="3232"/>
      <c r="S21" s="3329">
        <f>SUBTOTAL(9,S22:S65)</f>
        <v>6828601.4800000004</v>
      </c>
    </row>
    <row r="22" spans="1:30">
      <c r="A22" s="3538"/>
      <c r="B22" s="3601"/>
      <c r="C22" s="3520"/>
      <c r="D22" s="3521"/>
      <c r="E22" s="3522"/>
      <c r="F22" s="3544"/>
      <c r="G22" s="662">
        <f t="shared" ref="G22:G44" si="1">ROUND(D22*F22,0)</f>
        <v>0</v>
      </c>
      <c r="H22" s="3232"/>
      <c r="I22" s="3320"/>
      <c r="J22" s="3232"/>
      <c r="K22" s="3320"/>
      <c r="L22" s="3232"/>
      <c r="M22" s="3320"/>
      <c r="N22" s="3232"/>
      <c r="O22" s="3320"/>
      <c r="P22" s="3232"/>
      <c r="Q22" s="3320"/>
      <c r="R22" s="3232"/>
      <c r="S22" s="3320"/>
      <c r="V22" s="58" t="s">
        <v>2795</v>
      </c>
    </row>
    <row r="23" spans="1:30">
      <c r="A23" s="3538"/>
      <c r="B23" s="3600" t="s">
        <v>7089</v>
      </c>
      <c r="C23" s="3520"/>
      <c r="D23" s="3521"/>
      <c r="E23" s="3522"/>
      <c r="F23" s="3544"/>
      <c r="G23" s="662">
        <f t="shared" si="1"/>
        <v>0</v>
      </c>
      <c r="H23" s="3232"/>
      <c r="I23" s="3320">
        <v>1185802</v>
      </c>
      <c r="J23" s="3232"/>
      <c r="K23" s="3320"/>
      <c r="L23" s="3232"/>
      <c r="M23" s="3320"/>
      <c r="N23" s="3232"/>
      <c r="O23" s="3320"/>
      <c r="P23" s="3232"/>
      <c r="Q23" s="3320"/>
      <c r="R23" s="3232"/>
      <c r="S23" s="3320"/>
    </row>
    <row r="24" spans="1:30">
      <c r="A24" s="3538"/>
      <c r="B24" s="3601" t="s">
        <v>7090</v>
      </c>
      <c r="C24" s="3520"/>
      <c r="D24" s="3521">
        <f>10184*1.15</f>
        <v>11711.599999999999</v>
      </c>
      <c r="E24" s="3522" t="s">
        <v>2845</v>
      </c>
      <c r="F24" s="3544">
        <v>25</v>
      </c>
      <c r="G24" s="662">
        <f t="shared" si="1"/>
        <v>292790</v>
      </c>
      <c r="H24" s="3232" t="s">
        <v>2931</v>
      </c>
      <c r="I24" s="3320"/>
      <c r="J24" s="3232"/>
      <c r="K24" s="3346">
        <f>$G24</f>
        <v>292790</v>
      </c>
      <c r="L24" s="3232"/>
      <c r="M24" s="3320">
        <v>299785.64</v>
      </c>
      <c r="N24" s="3232"/>
      <c r="O24" s="3320">
        <v>378644.6</v>
      </c>
      <c r="P24" s="3232"/>
      <c r="Q24" s="3320">
        <v>298112</v>
      </c>
      <c r="R24" s="3232"/>
      <c r="S24" s="3602">
        <f>$G24</f>
        <v>292790</v>
      </c>
      <c r="AD24" s="58" t="s">
        <v>2795</v>
      </c>
    </row>
    <row r="25" spans="1:30">
      <c r="A25" s="3538"/>
      <c r="B25" s="3601" t="s">
        <v>7091</v>
      </c>
      <c r="C25" s="3520"/>
      <c r="D25" s="3521">
        <f>19706*1.15</f>
        <v>22661.899999999998</v>
      </c>
      <c r="E25" s="3522" t="s">
        <v>2845</v>
      </c>
      <c r="F25" s="3544"/>
      <c r="G25" s="662">
        <f t="shared" si="1"/>
        <v>0</v>
      </c>
      <c r="H25" s="3232" t="s">
        <v>2931</v>
      </c>
      <c r="I25" s="3320"/>
      <c r="J25" s="3232"/>
      <c r="K25" s="3320">
        <v>468000</v>
      </c>
      <c r="L25" s="3232"/>
      <c r="M25" s="3320">
        <v>755925.59</v>
      </c>
      <c r="N25" s="3232"/>
      <c r="O25" s="3320">
        <v>860341.16</v>
      </c>
      <c r="P25" s="3232"/>
      <c r="Q25" s="3320">
        <v>1188255</v>
      </c>
      <c r="R25" s="3232"/>
      <c r="S25" s="3544">
        <v>963072</v>
      </c>
      <c r="U25" s="58">
        <v>460800</v>
      </c>
      <c r="V25" s="58">
        <v>437760</v>
      </c>
      <c r="W25" s="58">
        <f>U25*0.07</f>
        <v>32256.000000000004</v>
      </c>
      <c r="X25" s="58">
        <f>U25*0.07</f>
        <v>32256.000000000004</v>
      </c>
      <c r="Y25" s="58">
        <f>SUM(U25:X25)</f>
        <v>963072</v>
      </c>
      <c r="AD25" s="58" t="s">
        <v>2795</v>
      </c>
    </row>
    <row r="26" spans="1:30">
      <c r="A26" s="3538"/>
      <c r="B26" s="3601" t="s">
        <v>7092</v>
      </c>
      <c r="C26" s="3520"/>
      <c r="D26" s="3521"/>
      <c r="E26" s="3522"/>
      <c r="F26" s="3544"/>
      <c r="G26" s="662"/>
      <c r="H26" s="3232"/>
      <c r="I26" s="3320"/>
      <c r="J26" s="3232"/>
      <c r="K26" s="3320"/>
      <c r="L26" s="3232"/>
      <c r="M26" s="3320">
        <v>547080.09</v>
      </c>
      <c r="N26" s="3232"/>
      <c r="O26" s="3320"/>
      <c r="P26" s="3232"/>
      <c r="Q26" s="3320">
        <v>638327</v>
      </c>
      <c r="R26" s="3232"/>
      <c r="S26" s="3320"/>
      <c r="W26" s="58">
        <f t="shared" ref="W26:W32" si="2">U26*0.07</f>
        <v>0</v>
      </c>
      <c r="X26" s="58">
        <f t="shared" ref="X26:X32" si="3">U26*0.07</f>
        <v>0</v>
      </c>
      <c r="Y26" s="58">
        <f t="shared" ref="Y26:Y32" si="4">SUM(U26:X26)</f>
        <v>0</v>
      </c>
    </row>
    <row r="27" spans="1:30">
      <c r="A27" s="3538"/>
      <c r="B27" s="3603" t="s">
        <v>7093</v>
      </c>
      <c r="C27" s="3520"/>
      <c r="D27" s="3521">
        <f>454*1.15</f>
        <v>522.09999999999991</v>
      </c>
      <c r="E27" s="3522" t="s">
        <v>2845</v>
      </c>
      <c r="F27" s="3544"/>
      <c r="G27" s="662">
        <f t="shared" si="1"/>
        <v>0</v>
      </c>
      <c r="H27" s="3232" t="s">
        <v>2931</v>
      </c>
      <c r="I27" s="3320"/>
      <c r="J27" s="3232"/>
      <c r="K27" s="3320">
        <v>9825</v>
      </c>
      <c r="L27" s="3232"/>
      <c r="M27" s="3602">
        <v>22000</v>
      </c>
      <c r="N27" s="3232"/>
      <c r="O27" s="3320">
        <v>29125.25</v>
      </c>
      <c r="P27" s="3232" t="s">
        <v>2931</v>
      </c>
      <c r="Q27" s="3320"/>
      <c r="R27" s="3232"/>
      <c r="S27" s="3544">
        <v>21985.919999999998</v>
      </c>
      <c r="U27" s="58">
        <v>10978</v>
      </c>
      <c r="V27" s="58">
        <v>9471</v>
      </c>
      <c r="W27" s="58">
        <f t="shared" si="2"/>
        <v>768.46</v>
      </c>
      <c r="X27" s="58">
        <f t="shared" si="3"/>
        <v>768.46</v>
      </c>
      <c r="Y27" s="58">
        <f t="shared" si="4"/>
        <v>21985.919999999998</v>
      </c>
      <c r="AD27" s="58" t="s">
        <v>2795</v>
      </c>
    </row>
    <row r="28" spans="1:30">
      <c r="A28" s="3538"/>
      <c r="B28" s="3604" t="s">
        <v>7092</v>
      </c>
      <c r="C28" s="3520"/>
      <c r="D28" s="3521">
        <f>4015*1.15</f>
        <v>4617.25</v>
      </c>
      <c r="E28" s="3522" t="s">
        <v>2845</v>
      </c>
      <c r="F28" s="3544"/>
      <c r="G28" s="662">
        <f>ROUND(D28*F28,0)</f>
        <v>0</v>
      </c>
      <c r="H28" s="3232" t="s">
        <v>2931</v>
      </c>
      <c r="I28" s="3320"/>
      <c r="J28" s="3232"/>
      <c r="K28" s="3320">
        <v>116560</v>
      </c>
      <c r="L28" s="3232" t="s">
        <v>2931</v>
      </c>
      <c r="M28" s="3320"/>
      <c r="N28" s="3232"/>
      <c r="O28" s="3320">
        <v>192783.84</v>
      </c>
      <c r="P28" s="3232" t="s">
        <v>2931</v>
      </c>
      <c r="Q28" s="3320"/>
      <c r="R28" s="3232"/>
      <c r="S28" s="3320">
        <v>519350.56</v>
      </c>
      <c r="U28" s="58">
        <v>259204</v>
      </c>
      <c r="V28" s="58">
        <v>223858</v>
      </c>
      <c r="W28" s="58">
        <f t="shared" si="2"/>
        <v>18144.280000000002</v>
      </c>
      <c r="X28" s="58">
        <f t="shared" si="3"/>
        <v>18144.280000000002</v>
      </c>
      <c r="Y28" s="58">
        <f t="shared" si="4"/>
        <v>519350.56000000006</v>
      </c>
      <c r="AD28" s="58" t="s">
        <v>2795</v>
      </c>
    </row>
    <row r="29" spans="1:30">
      <c r="A29" s="3538"/>
      <c r="B29" s="3604" t="s">
        <v>7094</v>
      </c>
      <c r="C29" s="3520"/>
      <c r="D29" s="3521">
        <f>5179*1.15</f>
        <v>5955.8499999999995</v>
      </c>
      <c r="E29" s="3522" t="s">
        <v>2845</v>
      </c>
      <c r="F29" s="3544">
        <f>K29/D29</f>
        <v>23.187286449457257</v>
      </c>
      <c r="G29" s="662">
        <f>ROUND(D29*F29,0)</f>
        <v>138100</v>
      </c>
      <c r="H29" s="3232" t="s">
        <v>2931</v>
      </c>
      <c r="I29" s="3320"/>
      <c r="J29" s="3232"/>
      <c r="K29" s="3320">
        <v>138100</v>
      </c>
      <c r="L29" s="3232" t="s">
        <v>2931</v>
      </c>
      <c r="M29" s="3320"/>
      <c r="N29" s="3232"/>
      <c r="O29" s="3320">
        <v>296909.44</v>
      </c>
      <c r="P29" s="3232" t="s">
        <v>2931</v>
      </c>
      <c r="Q29" s="3320"/>
      <c r="R29" s="3232" t="s">
        <v>2931</v>
      </c>
      <c r="S29" s="3320"/>
      <c r="W29" s="58">
        <f t="shared" si="2"/>
        <v>0</v>
      </c>
      <c r="X29" s="58">
        <f t="shared" si="3"/>
        <v>0</v>
      </c>
      <c r="Y29" s="58">
        <f t="shared" si="4"/>
        <v>0</v>
      </c>
      <c r="AD29" s="58" t="s">
        <v>2795</v>
      </c>
    </row>
    <row r="30" spans="1:30">
      <c r="A30" s="3538"/>
      <c r="B30" s="3600" t="s">
        <v>7095</v>
      </c>
      <c r="C30" s="3520"/>
      <c r="D30" s="3521"/>
      <c r="E30" s="3522"/>
      <c r="F30" s="3544"/>
      <c r="G30" s="662">
        <f t="shared" si="1"/>
        <v>0</v>
      </c>
      <c r="H30" s="3232"/>
      <c r="I30" s="3320"/>
      <c r="J30" s="3232"/>
      <c r="K30" s="3320"/>
      <c r="L30" s="3232"/>
      <c r="M30" s="3320"/>
      <c r="N30" s="3232"/>
      <c r="O30" s="3320"/>
      <c r="P30" s="3232"/>
      <c r="Q30" s="3320"/>
      <c r="R30" s="3232"/>
      <c r="S30" s="3320"/>
      <c r="W30" s="58">
        <f t="shared" si="2"/>
        <v>0</v>
      </c>
      <c r="X30" s="58">
        <f t="shared" si="3"/>
        <v>0</v>
      </c>
      <c r="Y30" s="58">
        <f t="shared" si="4"/>
        <v>0</v>
      </c>
    </row>
    <row r="31" spans="1:30">
      <c r="A31" s="3538"/>
      <c r="B31" s="3601" t="s">
        <v>7096</v>
      </c>
      <c r="C31" s="3520" t="s">
        <v>7097</v>
      </c>
      <c r="D31" s="3521">
        <f>1261*1.15</f>
        <v>1450.1499999999999</v>
      </c>
      <c r="E31" s="3522" t="s">
        <v>2845</v>
      </c>
      <c r="F31" s="3544">
        <v>275</v>
      </c>
      <c r="G31" s="662">
        <f t="shared" si="1"/>
        <v>398791</v>
      </c>
      <c r="H31" s="3232" t="s">
        <v>2931</v>
      </c>
      <c r="I31" s="3320"/>
      <c r="J31" s="3232"/>
      <c r="K31" s="3602">
        <f t="shared" ref="K31:K33" si="5">$G31</f>
        <v>398791</v>
      </c>
      <c r="L31" s="3232"/>
      <c r="M31" s="3602">
        <f t="shared" ref="M31:M33" si="6">$G31</f>
        <v>398791</v>
      </c>
      <c r="N31" s="3232"/>
      <c r="O31" s="3320">
        <v>476987.6</v>
      </c>
      <c r="P31" s="3232"/>
      <c r="Q31" s="3320">
        <v>911237</v>
      </c>
      <c r="R31" s="3232"/>
      <c r="S31" s="3320">
        <v>1484090</v>
      </c>
      <c r="U31" s="58">
        <v>693500</v>
      </c>
      <c r="V31" s="58">
        <v>693500</v>
      </c>
      <c r="W31" s="58">
        <f t="shared" si="2"/>
        <v>48545.000000000007</v>
      </c>
      <c r="X31" s="58">
        <f t="shared" si="3"/>
        <v>48545.000000000007</v>
      </c>
      <c r="Y31" s="58">
        <f t="shared" si="4"/>
        <v>1484090</v>
      </c>
      <c r="AD31" s="58" t="s">
        <v>2795</v>
      </c>
    </row>
    <row r="32" spans="1:30">
      <c r="A32" s="3538"/>
      <c r="B32" s="3601" t="s">
        <v>7098</v>
      </c>
      <c r="C32" s="3520" t="s">
        <v>7097</v>
      </c>
      <c r="D32" s="3521">
        <f>1329*1.15</f>
        <v>1528.35</v>
      </c>
      <c r="E32" s="3522" t="s">
        <v>2845</v>
      </c>
      <c r="F32" s="3544">
        <v>275</v>
      </c>
      <c r="G32" s="662">
        <f t="shared" si="1"/>
        <v>420296</v>
      </c>
      <c r="H32" s="3232" t="s">
        <v>2931</v>
      </c>
      <c r="I32" s="3320"/>
      <c r="J32" s="3232"/>
      <c r="K32" s="3602">
        <f t="shared" si="5"/>
        <v>420296</v>
      </c>
      <c r="L32" s="3232"/>
      <c r="M32" s="3602">
        <f t="shared" si="6"/>
        <v>420296</v>
      </c>
      <c r="N32" s="3232"/>
      <c r="O32" s="3320">
        <v>193555.61</v>
      </c>
      <c r="P32" s="3232" t="s">
        <v>2931</v>
      </c>
      <c r="Q32" s="3320"/>
      <c r="R32" s="3232"/>
      <c r="S32" s="3320">
        <v>286813</v>
      </c>
      <c r="U32" s="58">
        <v>134025</v>
      </c>
      <c r="V32" s="58">
        <v>134025</v>
      </c>
      <c r="W32" s="58">
        <f t="shared" si="2"/>
        <v>9381.75</v>
      </c>
      <c r="X32" s="58">
        <f t="shared" si="3"/>
        <v>9381.75</v>
      </c>
      <c r="Y32" s="58">
        <f t="shared" si="4"/>
        <v>286813.5</v>
      </c>
      <c r="AD32" s="58" t="s">
        <v>2795</v>
      </c>
    </row>
    <row r="33" spans="1:30">
      <c r="A33" s="3538"/>
      <c r="B33" s="3601" t="s">
        <v>7099</v>
      </c>
      <c r="C33" s="3520" t="s">
        <v>7100</v>
      </c>
      <c r="D33" s="3521">
        <f>296*1.15</f>
        <v>340.4</v>
      </c>
      <c r="E33" s="3522" t="s">
        <v>2845</v>
      </c>
      <c r="F33" s="3544">
        <v>275</v>
      </c>
      <c r="G33" s="662">
        <f t="shared" si="1"/>
        <v>93610</v>
      </c>
      <c r="H33" s="3232" t="s">
        <v>2931</v>
      </c>
      <c r="I33" s="3320"/>
      <c r="J33" s="3232"/>
      <c r="K33" s="3602">
        <f t="shared" si="5"/>
        <v>93610</v>
      </c>
      <c r="L33" s="3232"/>
      <c r="M33" s="3602">
        <f t="shared" si="6"/>
        <v>93610</v>
      </c>
      <c r="N33" s="3232"/>
      <c r="O33" s="3320">
        <v>169807.54</v>
      </c>
      <c r="P33" s="3232" t="s">
        <v>2931</v>
      </c>
      <c r="Q33" s="3320"/>
      <c r="R33" s="3232" t="s">
        <v>2931</v>
      </c>
      <c r="S33" s="3320"/>
      <c r="AD33" s="58" t="s">
        <v>2795</v>
      </c>
    </row>
    <row r="34" spans="1:30">
      <c r="A34" s="3538"/>
      <c r="B34" s="3600" t="s">
        <v>7101</v>
      </c>
      <c r="C34" s="3520"/>
      <c r="D34" s="3521"/>
      <c r="E34" s="3522"/>
      <c r="F34" s="3544"/>
      <c r="G34" s="662">
        <f t="shared" si="1"/>
        <v>0</v>
      </c>
      <c r="H34" s="3232"/>
      <c r="I34" s="3320"/>
      <c r="J34" s="3232"/>
      <c r="K34" s="3320"/>
      <c r="L34" s="3232"/>
      <c r="M34" s="3320"/>
      <c r="N34" s="3232"/>
      <c r="O34" s="3320"/>
      <c r="P34" s="3232"/>
      <c r="Q34" s="3320"/>
      <c r="R34" s="3232"/>
      <c r="S34" s="3320"/>
    </row>
    <row r="35" spans="1:30">
      <c r="A35" s="3538"/>
      <c r="B35" s="3605" t="s">
        <v>7102</v>
      </c>
      <c r="C35" s="3520" t="s">
        <v>7103</v>
      </c>
      <c r="D35" s="3521">
        <f>702*1.15</f>
        <v>807.3</v>
      </c>
      <c r="E35" s="3522" t="s">
        <v>2864</v>
      </c>
      <c r="F35" s="3544">
        <v>750</v>
      </c>
      <c r="G35" s="662">
        <f t="shared" si="1"/>
        <v>605475</v>
      </c>
      <c r="H35" s="3232"/>
      <c r="I35" s="3606">
        <f>$G35</f>
        <v>605475</v>
      </c>
      <c r="J35" s="3232"/>
      <c r="K35" s="3602">
        <f>$G35</f>
        <v>605475</v>
      </c>
      <c r="L35" s="3232"/>
      <c r="M35" s="3602">
        <f>$G35</f>
        <v>605475</v>
      </c>
      <c r="N35" s="3232"/>
      <c r="O35" s="3602">
        <f>$G35</f>
        <v>605475</v>
      </c>
      <c r="P35" s="3232"/>
      <c r="Q35" s="3602">
        <f>$G35</f>
        <v>605475</v>
      </c>
      <c r="R35" s="3232"/>
      <c r="S35" s="3602">
        <f>$G35</f>
        <v>605475</v>
      </c>
      <c r="AD35" s="58" t="s">
        <v>2795</v>
      </c>
    </row>
    <row r="36" spans="1:30">
      <c r="A36" s="1974">
        <f>21.22-18.72</f>
        <v>2.5</v>
      </c>
      <c r="B36" s="3605" t="s">
        <v>7104</v>
      </c>
      <c r="C36" s="3520" t="s">
        <v>7103</v>
      </c>
      <c r="D36" s="3521">
        <f>793*1.15</f>
        <v>911.94999999999993</v>
      </c>
      <c r="E36" s="3522" t="s">
        <v>2864</v>
      </c>
      <c r="F36" s="3544">
        <v>750</v>
      </c>
      <c r="G36" s="662">
        <f t="shared" si="1"/>
        <v>683963</v>
      </c>
      <c r="H36" s="3232"/>
      <c r="I36" s="3606">
        <f>$G36</f>
        <v>683963</v>
      </c>
      <c r="J36" s="3232"/>
      <c r="K36" s="3602">
        <f>$G36</f>
        <v>683963</v>
      </c>
      <c r="L36" s="3232"/>
      <c r="M36" s="3602">
        <f>$G36</f>
        <v>683963</v>
      </c>
      <c r="N36" s="3232"/>
      <c r="O36" s="3320">
        <v>594144.16</v>
      </c>
      <c r="P36" s="3232"/>
      <c r="Q36" s="3602">
        <f>$G36</f>
        <v>683963</v>
      </c>
      <c r="R36" s="3232"/>
      <c r="S36" s="3320">
        <v>2554480</v>
      </c>
      <c r="U36" s="58">
        <v>1332000</v>
      </c>
      <c r="V36" s="58">
        <v>1036000</v>
      </c>
      <c r="W36" s="58">
        <f t="shared" ref="W36:W37" si="7">U36*0.07</f>
        <v>93240.000000000015</v>
      </c>
      <c r="X36" s="58">
        <f t="shared" ref="X36:X37" si="8">U36*0.07</f>
        <v>93240.000000000015</v>
      </c>
      <c r="Y36" s="58">
        <f t="shared" ref="Y36:Y37" si="9">SUM(U36:X36)</f>
        <v>2554480</v>
      </c>
      <c r="AD36" s="58" t="s">
        <v>2795</v>
      </c>
    </row>
    <row r="37" spans="1:30">
      <c r="A37" s="3538"/>
      <c r="B37" s="3605" t="s">
        <v>7105</v>
      </c>
      <c r="C37" s="3520" t="s">
        <v>7106</v>
      </c>
      <c r="D37" s="3521">
        <f>105*1.15</f>
        <v>120.74999999999999</v>
      </c>
      <c r="E37" s="3522" t="s">
        <v>2864</v>
      </c>
      <c r="F37" s="3544">
        <v>750</v>
      </c>
      <c r="G37" s="662">
        <f t="shared" si="1"/>
        <v>90563</v>
      </c>
      <c r="H37" s="3232"/>
      <c r="I37" s="3606">
        <f>$G37</f>
        <v>90563</v>
      </c>
      <c r="J37" s="3232"/>
      <c r="K37" s="3602">
        <f>$G37</f>
        <v>90563</v>
      </c>
      <c r="L37" s="3232"/>
      <c r="M37" s="3602">
        <f>$G37</f>
        <v>90563</v>
      </c>
      <c r="N37" s="3232"/>
      <c r="O37" s="3602">
        <f>$G37</f>
        <v>90563</v>
      </c>
      <c r="P37" s="3232"/>
      <c r="Q37" s="3602">
        <f>$G37</f>
        <v>90563</v>
      </c>
      <c r="R37" s="3232"/>
      <c r="S37" s="3320">
        <v>12305</v>
      </c>
      <c r="U37" s="58">
        <v>5750</v>
      </c>
      <c r="V37" s="58">
        <v>5750</v>
      </c>
      <c r="W37" s="58">
        <f t="shared" si="7"/>
        <v>402.50000000000006</v>
      </c>
      <c r="X37" s="58">
        <f t="shared" si="8"/>
        <v>402.50000000000006</v>
      </c>
      <c r="Y37" s="58">
        <f t="shared" si="9"/>
        <v>12305</v>
      </c>
      <c r="AD37" s="58" t="s">
        <v>2795</v>
      </c>
    </row>
    <row r="38" spans="1:30">
      <c r="A38" s="3538"/>
      <c r="B38" s="3600"/>
      <c r="C38" s="3520"/>
      <c r="D38" s="3521"/>
      <c r="E38" s="3522"/>
      <c r="F38" s="3544"/>
      <c r="G38" s="662">
        <f t="shared" si="1"/>
        <v>0</v>
      </c>
      <c r="H38" s="3232"/>
      <c r="I38" s="3320"/>
      <c r="J38" s="3232"/>
      <c r="K38" s="3320"/>
      <c r="L38" s="3232"/>
      <c r="M38" s="3320"/>
      <c r="N38" s="3232"/>
      <c r="O38" s="3320"/>
      <c r="P38" s="3232"/>
      <c r="Q38" s="3320"/>
      <c r="R38" s="3232"/>
      <c r="S38" s="3320"/>
    </row>
    <row r="39" spans="1:30">
      <c r="A39" s="3538"/>
      <c r="B39" s="3600" t="s">
        <v>7107</v>
      </c>
      <c r="C39" s="3520"/>
      <c r="D39" s="3521">
        <v>8824</v>
      </c>
      <c r="E39" s="3522" t="s">
        <v>2845</v>
      </c>
      <c r="F39" s="3544">
        <v>10</v>
      </c>
      <c r="G39" s="662">
        <f t="shared" si="1"/>
        <v>88240</v>
      </c>
      <c r="H39" s="3232"/>
      <c r="I39" s="3602">
        <f>$G39</f>
        <v>88240</v>
      </c>
      <c r="J39" s="3232"/>
      <c r="K39" s="3602">
        <f>$G39</f>
        <v>88240</v>
      </c>
      <c r="L39" s="3232"/>
      <c r="M39" s="3602">
        <f>$G39</f>
        <v>88240</v>
      </c>
      <c r="N39" s="3232"/>
      <c r="O39" s="3320">
        <v>80095.41</v>
      </c>
      <c r="P39" s="3232"/>
      <c r="Q39" s="3602">
        <f>$G39</f>
        <v>88240</v>
      </c>
      <c r="R39" s="3232"/>
      <c r="S39" s="3602">
        <f>$G39</f>
        <v>88240</v>
      </c>
      <c r="AD39" s="58" t="s">
        <v>2795</v>
      </c>
    </row>
    <row r="40" spans="1:30">
      <c r="A40" s="3538"/>
      <c r="B40" s="3600"/>
      <c r="C40" s="3520"/>
      <c r="D40" s="3521"/>
      <c r="E40" s="3522"/>
      <c r="F40" s="3544"/>
      <c r="G40" s="662">
        <f t="shared" si="1"/>
        <v>0</v>
      </c>
      <c r="H40" s="3232"/>
      <c r="I40" s="3320"/>
      <c r="J40" s="3232"/>
      <c r="K40" s="3320"/>
      <c r="L40" s="3232"/>
      <c r="M40" s="3320"/>
      <c r="N40" s="3232"/>
      <c r="O40" s="3320"/>
      <c r="P40" s="3232"/>
      <c r="Q40" s="3320"/>
      <c r="R40" s="3232"/>
      <c r="S40" s="3320"/>
    </row>
    <row r="41" spans="1:30">
      <c r="A41" s="3538"/>
      <c r="B41" s="3600" t="s">
        <v>5206</v>
      </c>
      <c r="C41" s="3520"/>
      <c r="D41" s="3521"/>
      <c r="E41" s="3522"/>
      <c r="F41" s="3544"/>
      <c r="G41" s="662">
        <f t="shared" si="1"/>
        <v>0</v>
      </c>
      <c r="H41" s="3232"/>
      <c r="I41" s="3320"/>
      <c r="J41" s="3232"/>
      <c r="K41" s="3320"/>
      <c r="L41" s="3232"/>
      <c r="M41" s="3320"/>
      <c r="N41" s="3232"/>
      <c r="O41" s="3320">
        <v>38361.199999999997</v>
      </c>
      <c r="P41" s="3232"/>
      <c r="Q41" s="3320"/>
      <c r="R41" s="3232"/>
      <c r="S41" s="3320"/>
    </row>
    <row r="42" spans="1:30">
      <c r="A42" s="3538"/>
      <c r="B42" s="3600"/>
      <c r="C42" s="3520"/>
      <c r="D42" s="3521"/>
      <c r="E42" s="3522"/>
      <c r="F42" s="3544"/>
      <c r="G42" s="662">
        <f t="shared" si="1"/>
        <v>0</v>
      </c>
      <c r="H42" s="3232"/>
      <c r="I42" s="3320"/>
      <c r="J42" s="3232"/>
      <c r="K42" s="3320"/>
      <c r="L42" s="3232"/>
      <c r="M42" s="3320"/>
      <c r="N42" s="3232"/>
      <c r="O42" s="3320"/>
      <c r="P42" s="3232"/>
      <c r="Q42" s="3320"/>
      <c r="R42" s="3232"/>
      <c r="S42" s="3320"/>
    </row>
    <row r="43" spans="1:30">
      <c r="A43" s="3538"/>
      <c r="B43" s="3600" t="s">
        <v>7108</v>
      </c>
      <c r="C43" s="3520"/>
      <c r="D43" s="3521"/>
      <c r="E43" s="3522"/>
      <c r="F43" s="3544"/>
      <c r="G43" s="662">
        <f t="shared" si="1"/>
        <v>0</v>
      </c>
      <c r="H43" s="3232"/>
      <c r="I43" s="3607">
        <v>250000</v>
      </c>
      <c r="J43" s="3232"/>
      <c r="K43" s="3320"/>
      <c r="L43" s="3232"/>
      <c r="M43" s="3320"/>
      <c r="N43" s="3232"/>
      <c r="O43" s="3320"/>
      <c r="P43" s="3232"/>
      <c r="Q43" s="3320"/>
      <c r="R43" s="3232"/>
      <c r="S43" s="3320"/>
    </row>
    <row r="44" spans="1:30">
      <c r="A44" s="3538"/>
      <c r="B44" s="3600"/>
      <c r="C44" s="3520"/>
      <c r="D44" s="3521"/>
      <c r="E44" s="3522"/>
      <c r="F44" s="3544"/>
      <c r="G44" s="662">
        <f t="shared" si="1"/>
        <v>0</v>
      </c>
      <c r="H44" s="3232"/>
      <c r="I44" s="3320"/>
      <c r="J44" s="3232"/>
      <c r="K44" s="3320"/>
      <c r="L44" s="3232"/>
      <c r="M44" s="3320"/>
      <c r="N44" s="3232"/>
      <c r="O44" s="3320"/>
      <c r="P44" s="3232"/>
      <c r="Q44" s="3320"/>
      <c r="R44" s="3232"/>
      <c r="S44" s="3320"/>
    </row>
    <row r="45" spans="1:30">
      <c r="A45" s="3538"/>
      <c r="B45" s="3608" t="s">
        <v>7066</v>
      </c>
      <c r="C45" s="3520"/>
      <c r="D45" s="3609"/>
      <c r="E45" s="3522"/>
      <c r="F45" s="3544"/>
      <c r="G45" s="662">
        <f t="shared" ref="G45:G65" si="10">ROUND(D45*F45,0)</f>
        <v>0</v>
      </c>
      <c r="H45" s="3610"/>
      <c r="I45" s="3579"/>
      <c r="J45" s="3610"/>
      <c r="K45" s="3579"/>
      <c r="L45" s="3610"/>
      <c r="M45" s="3579"/>
      <c r="N45" s="3610"/>
      <c r="O45" s="3579"/>
      <c r="P45" s="3610"/>
      <c r="Q45" s="3579"/>
      <c r="R45" s="3610"/>
      <c r="S45" s="3579"/>
    </row>
    <row r="46" spans="1:30" ht="45">
      <c r="A46" s="3538"/>
      <c r="B46" s="3611" t="s">
        <v>7109</v>
      </c>
      <c r="C46" s="3520"/>
      <c r="D46" s="3609"/>
      <c r="E46" s="3522"/>
      <c r="F46" s="3544"/>
      <c r="G46" s="662">
        <f t="shared" si="10"/>
        <v>0</v>
      </c>
      <c r="H46" s="3610"/>
      <c r="I46" s="3579"/>
      <c r="J46" s="3610"/>
      <c r="K46" s="3579"/>
      <c r="L46" s="3610"/>
      <c r="M46" s="3579"/>
      <c r="N46" s="3610"/>
      <c r="O46" s="3579"/>
      <c r="P46" s="3610"/>
      <c r="Q46" s="3579"/>
      <c r="R46" s="3610"/>
      <c r="S46" s="3579"/>
    </row>
    <row r="47" spans="1:30" ht="30">
      <c r="A47" s="3538"/>
      <c r="B47" s="3612" t="s">
        <v>7110</v>
      </c>
      <c r="C47" s="3520"/>
      <c r="D47" s="3609"/>
      <c r="E47" s="3522"/>
      <c r="F47" s="3544"/>
      <c r="G47" s="662">
        <f t="shared" si="10"/>
        <v>0</v>
      </c>
      <c r="H47" s="3610"/>
      <c r="I47" s="3579"/>
      <c r="J47" s="3610"/>
      <c r="K47" s="3579"/>
      <c r="L47" s="3610"/>
      <c r="M47" s="3579"/>
      <c r="N47" s="3610"/>
      <c r="O47" s="3579"/>
      <c r="P47" s="3610"/>
      <c r="Q47" s="3579"/>
      <c r="R47" s="3610"/>
      <c r="S47" s="3579"/>
    </row>
    <row r="48" spans="1:30" ht="44.25" customHeight="1">
      <c r="A48" s="3538"/>
      <c r="B48" s="3611" t="s">
        <v>7111</v>
      </c>
      <c r="C48" s="3520"/>
      <c r="D48" s="3609"/>
      <c r="E48" s="3522"/>
      <c r="F48" s="3544"/>
      <c r="G48" s="662">
        <f t="shared" si="10"/>
        <v>0</v>
      </c>
      <c r="H48" s="3610"/>
      <c r="I48" s="3579"/>
      <c r="J48" s="3610"/>
      <c r="K48" s="3579"/>
      <c r="L48" s="3610"/>
      <c r="M48" s="3579"/>
      <c r="N48" s="3610"/>
      <c r="O48" s="3579"/>
      <c r="P48" s="3610"/>
      <c r="Q48" s="3579"/>
      <c r="R48" s="3610"/>
      <c r="S48" s="3579"/>
    </row>
    <row r="49" spans="1:19" ht="30">
      <c r="A49" s="3538"/>
      <c r="B49" s="3612" t="s">
        <v>7112</v>
      </c>
      <c r="C49" s="3520"/>
      <c r="D49" s="3609"/>
      <c r="E49" s="3522"/>
      <c r="F49" s="3544"/>
      <c r="G49" s="662">
        <f t="shared" si="10"/>
        <v>0</v>
      </c>
      <c r="H49" s="3610"/>
      <c r="I49" s="3579"/>
      <c r="J49" s="3610"/>
      <c r="K49" s="3579"/>
      <c r="L49" s="3610"/>
      <c r="M49" s="3579"/>
      <c r="N49" s="3610"/>
      <c r="O49" s="3579"/>
      <c r="P49" s="3610"/>
      <c r="Q49" s="3579"/>
      <c r="R49" s="3610"/>
      <c r="S49" s="3579"/>
    </row>
    <row r="50" spans="1:19" ht="30">
      <c r="A50" s="3538"/>
      <c r="B50" s="3611" t="s">
        <v>7113</v>
      </c>
      <c r="C50" s="3520"/>
      <c r="D50" s="3609"/>
      <c r="E50" s="3522"/>
      <c r="F50" s="3544"/>
      <c r="G50" s="662">
        <f t="shared" si="10"/>
        <v>0</v>
      </c>
      <c r="H50" s="3610"/>
      <c r="I50" s="3579"/>
      <c r="J50" s="3610"/>
      <c r="K50" s="3579"/>
      <c r="L50" s="3610"/>
      <c r="M50" s="3579"/>
      <c r="N50" s="3610"/>
      <c r="O50" s="3579"/>
      <c r="P50" s="3610"/>
      <c r="Q50" s="3579"/>
      <c r="R50" s="3610"/>
      <c r="S50" s="3579"/>
    </row>
    <row r="51" spans="1:19" ht="30">
      <c r="A51" s="3538"/>
      <c r="B51" s="3612" t="s">
        <v>7114</v>
      </c>
      <c r="C51" s="3520"/>
      <c r="D51" s="3609"/>
      <c r="E51" s="3522"/>
      <c r="F51" s="3544"/>
      <c r="G51" s="662">
        <f t="shared" si="10"/>
        <v>0</v>
      </c>
      <c r="H51" s="3610"/>
      <c r="I51" s="3579"/>
      <c r="J51" s="3610"/>
      <c r="K51" s="3579"/>
      <c r="L51" s="3610"/>
      <c r="M51" s="3579"/>
      <c r="N51" s="3610"/>
      <c r="O51" s="3579"/>
      <c r="P51" s="3610"/>
      <c r="Q51" s="3579"/>
      <c r="R51" s="3610"/>
      <c r="S51" s="3579"/>
    </row>
    <row r="52" spans="1:19" ht="30">
      <c r="A52" s="3538"/>
      <c r="B52" s="3611" t="s">
        <v>7115</v>
      </c>
      <c r="C52" s="3520"/>
      <c r="D52" s="3609"/>
      <c r="E52" s="3522"/>
      <c r="F52" s="3544"/>
      <c r="G52" s="662">
        <f t="shared" si="10"/>
        <v>0</v>
      </c>
      <c r="H52" s="3610"/>
      <c r="I52" s="3579"/>
      <c r="J52" s="3610"/>
      <c r="K52" s="3579"/>
      <c r="L52" s="3610"/>
      <c r="M52" s="3579"/>
      <c r="N52" s="3610"/>
      <c r="O52" s="3579"/>
      <c r="P52" s="3610"/>
      <c r="Q52" s="3579"/>
      <c r="R52" s="3610"/>
      <c r="S52" s="3579"/>
    </row>
    <row r="53" spans="1:19">
      <c r="A53" s="3538"/>
      <c r="B53" s="3612" t="s">
        <v>7116</v>
      </c>
      <c r="C53" s="3520"/>
      <c r="D53" s="3609"/>
      <c r="E53" s="3522"/>
      <c r="F53" s="3544"/>
      <c r="G53" s="662">
        <f t="shared" si="10"/>
        <v>0</v>
      </c>
      <c r="H53" s="3610"/>
      <c r="I53" s="3579"/>
      <c r="J53" s="3610"/>
      <c r="K53" s="3579"/>
      <c r="L53" s="3610"/>
      <c r="M53" s="3579"/>
      <c r="N53" s="3610"/>
      <c r="O53" s="3579"/>
      <c r="P53" s="3610"/>
      <c r="Q53" s="3579"/>
      <c r="R53" s="3610"/>
      <c r="S53" s="3579"/>
    </row>
    <row r="54" spans="1:19" ht="30">
      <c r="A54" s="3538"/>
      <c r="B54" s="3611" t="s">
        <v>7117</v>
      </c>
      <c r="C54" s="3520"/>
      <c r="D54" s="3609"/>
      <c r="E54" s="3522"/>
      <c r="F54" s="3544"/>
      <c r="G54" s="662">
        <f t="shared" si="10"/>
        <v>0</v>
      </c>
      <c r="H54" s="3610"/>
      <c r="I54" s="3579"/>
      <c r="J54" s="3610"/>
      <c r="K54" s="3579"/>
      <c r="L54" s="3610"/>
      <c r="M54" s="3579"/>
      <c r="N54" s="3610"/>
      <c r="O54" s="3579"/>
      <c r="P54" s="3610"/>
      <c r="Q54" s="3579"/>
      <c r="R54" s="3610"/>
      <c r="S54" s="3579"/>
    </row>
    <row r="55" spans="1:19">
      <c r="A55" s="3538"/>
      <c r="B55" s="3612" t="s">
        <v>7118</v>
      </c>
      <c r="C55" s="3520"/>
      <c r="D55" s="3609"/>
      <c r="E55" s="3522"/>
      <c r="F55" s="3544"/>
      <c r="G55" s="662">
        <f t="shared" si="10"/>
        <v>0</v>
      </c>
      <c r="H55" s="3610"/>
      <c r="I55" s="3579"/>
      <c r="J55" s="3610"/>
      <c r="K55" s="3579"/>
      <c r="L55" s="3610"/>
      <c r="M55" s="3579"/>
      <c r="N55" s="3610"/>
      <c r="O55" s="3579"/>
      <c r="P55" s="3610"/>
      <c r="Q55" s="3579"/>
      <c r="R55" s="3610"/>
      <c r="S55" s="3579"/>
    </row>
    <row r="56" spans="1:19" ht="30">
      <c r="A56" s="3538"/>
      <c r="B56" s="3611" t="s">
        <v>7119</v>
      </c>
      <c r="C56" s="3520"/>
      <c r="D56" s="3609"/>
      <c r="E56" s="3522"/>
      <c r="F56" s="3544"/>
      <c r="G56" s="662">
        <f t="shared" si="10"/>
        <v>0</v>
      </c>
      <c r="H56" s="3610"/>
      <c r="I56" s="3579"/>
      <c r="J56" s="3610"/>
      <c r="K56" s="3579"/>
      <c r="L56" s="3610"/>
      <c r="M56" s="3579"/>
      <c r="N56" s="3610"/>
      <c r="O56" s="3579"/>
      <c r="P56" s="3610"/>
      <c r="Q56" s="3579"/>
      <c r="R56" s="3610"/>
      <c r="S56" s="3579"/>
    </row>
    <row r="57" spans="1:19">
      <c r="A57" s="3538"/>
      <c r="B57" s="3612" t="s">
        <v>7120</v>
      </c>
      <c r="C57" s="3520"/>
      <c r="D57" s="3609"/>
      <c r="E57" s="3522"/>
      <c r="F57" s="3544"/>
      <c r="G57" s="662">
        <f t="shared" si="10"/>
        <v>0</v>
      </c>
      <c r="H57" s="3610"/>
      <c r="I57" s="3579"/>
      <c r="J57" s="3610"/>
      <c r="K57" s="3579"/>
      <c r="L57" s="3610"/>
      <c r="M57" s="3579"/>
      <c r="N57" s="3610"/>
      <c r="O57" s="3579"/>
      <c r="P57" s="3610"/>
      <c r="Q57" s="3579"/>
      <c r="R57" s="3610"/>
      <c r="S57" s="3579"/>
    </row>
    <row r="58" spans="1:19" ht="45">
      <c r="A58" s="3538"/>
      <c r="B58" s="3611" t="s">
        <v>7121</v>
      </c>
      <c r="C58" s="3520"/>
      <c r="D58" s="3609"/>
      <c r="E58" s="3522"/>
      <c r="F58" s="3544"/>
      <c r="G58" s="662">
        <f t="shared" si="10"/>
        <v>0</v>
      </c>
      <c r="H58" s="3610"/>
      <c r="I58" s="3579"/>
      <c r="J58" s="3610"/>
      <c r="K58" s="3579"/>
      <c r="L58" s="3610"/>
      <c r="M58" s="3579"/>
      <c r="N58" s="3610"/>
      <c r="O58" s="3579"/>
      <c r="P58" s="3610"/>
      <c r="Q58" s="3579"/>
      <c r="R58" s="3610"/>
      <c r="S58" s="3579"/>
    </row>
    <row r="59" spans="1:19" ht="30">
      <c r="A59" s="3538"/>
      <c r="B59" s="3612" t="s">
        <v>7122</v>
      </c>
      <c r="C59" s="3520"/>
      <c r="D59" s="3609"/>
      <c r="E59" s="3522"/>
      <c r="F59" s="3544"/>
      <c r="G59" s="662">
        <f t="shared" si="10"/>
        <v>0</v>
      </c>
      <c r="H59" s="3610"/>
      <c r="I59" s="3579"/>
      <c r="J59" s="3610"/>
      <c r="K59" s="3579"/>
      <c r="L59" s="3610"/>
      <c r="M59" s="3579"/>
      <c r="N59" s="3610"/>
      <c r="O59" s="3579"/>
      <c r="P59" s="3610"/>
      <c r="Q59" s="3579"/>
      <c r="R59" s="3610"/>
      <c r="S59" s="3579"/>
    </row>
    <row r="60" spans="1:19" ht="30">
      <c r="A60" s="3538"/>
      <c r="B60" s="3611" t="s">
        <v>7123</v>
      </c>
      <c r="C60" s="3520"/>
      <c r="D60" s="3609"/>
      <c r="E60" s="3522"/>
      <c r="F60" s="3544"/>
      <c r="G60" s="662">
        <f t="shared" si="10"/>
        <v>0</v>
      </c>
      <c r="H60" s="3610"/>
      <c r="I60" s="3579"/>
      <c r="J60" s="3610"/>
      <c r="K60" s="3579"/>
      <c r="L60" s="3610"/>
      <c r="M60" s="3579"/>
      <c r="N60" s="3610"/>
      <c r="O60" s="3579"/>
      <c r="P60" s="3610"/>
      <c r="Q60" s="3579"/>
      <c r="R60" s="3610"/>
      <c r="S60" s="3579"/>
    </row>
    <row r="61" spans="1:19">
      <c r="A61" s="3538"/>
      <c r="B61" s="3612" t="s">
        <v>7124</v>
      </c>
      <c r="C61" s="3520"/>
      <c r="D61" s="3609"/>
      <c r="E61" s="3522"/>
      <c r="F61" s="3544"/>
      <c r="G61" s="662">
        <f t="shared" si="10"/>
        <v>0</v>
      </c>
      <c r="H61" s="3610"/>
      <c r="I61" s="3579"/>
      <c r="J61" s="3610"/>
      <c r="K61" s="3579"/>
      <c r="L61" s="3610"/>
      <c r="M61" s="3579"/>
      <c r="N61" s="3610"/>
      <c r="O61" s="3579"/>
      <c r="P61" s="3610"/>
      <c r="Q61" s="3579"/>
      <c r="R61" s="3610"/>
      <c r="S61" s="3579"/>
    </row>
    <row r="62" spans="1:19" ht="60">
      <c r="A62" s="3538"/>
      <c r="B62" s="3611" t="s">
        <v>7125</v>
      </c>
      <c r="C62" s="3520"/>
      <c r="D62" s="3609"/>
      <c r="E62" s="3522"/>
      <c r="F62" s="3544"/>
      <c r="G62" s="662">
        <f t="shared" si="10"/>
        <v>0</v>
      </c>
      <c r="H62" s="3610"/>
      <c r="I62" s="3579"/>
      <c r="J62" s="3610"/>
      <c r="K62" s="3579"/>
      <c r="L62" s="3610"/>
      <c r="M62" s="3579"/>
      <c r="N62" s="3610"/>
      <c r="O62" s="3579"/>
      <c r="P62" s="3610"/>
      <c r="Q62" s="3579"/>
      <c r="R62" s="3610"/>
      <c r="S62" s="3579"/>
    </row>
    <row r="63" spans="1:19" ht="30">
      <c r="A63" s="3538"/>
      <c r="B63" s="3612" t="s">
        <v>7126</v>
      </c>
      <c r="C63" s="3520"/>
      <c r="D63" s="3609"/>
      <c r="E63" s="3522"/>
      <c r="F63" s="3544"/>
      <c r="G63" s="662">
        <f t="shared" si="10"/>
        <v>0</v>
      </c>
      <c r="H63" s="3610"/>
      <c r="I63" s="3579"/>
      <c r="J63" s="3610"/>
      <c r="K63" s="3579"/>
      <c r="L63" s="3610"/>
      <c r="M63" s="3579"/>
      <c r="N63" s="3610"/>
      <c r="O63" s="3579"/>
      <c r="P63" s="3610"/>
      <c r="Q63" s="3579"/>
      <c r="R63" s="3610"/>
      <c r="S63" s="3579"/>
    </row>
    <row r="64" spans="1:19">
      <c r="A64" s="3538"/>
      <c r="B64" s="3612"/>
      <c r="C64" s="3520"/>
      <c r="D64" s="3609"/>
      <c r="E64" s="3522"/>
      <c r="F64" s="3544"/>
      <c r="G64" s="662">
        <f t="shared" si="10"/>
        <v>0</v>
      </c>
      <c r="H64" s="3610"/>
      <c r="I64" s="3579"/>
      <c r="J64" s="3610"/>
      <c r="K64" s="3579"/>
      <c r="L64" s="3610"/>
      <c r="M64" s="3579"/>
      <c r="N64" s="3610"/>
      <c r="O64" s="3579"/>
      <c r="P64" s="3610"/>
      <c r="Q64" s="3579"/>
      <c r="R64" s="3610"/>
      <c r="S64" s="3579"/>
    </row>
    <row r="65" spans="1:34" ht="15.75" thickBot="1">
      <c r="A65" s="3538"/>
      <c r="B65" s="3613"/>
      <c r="C65" s="3520"/>
      <c r="D65" s="3609"/>
      <c r="E65" s="3522"/>
      <c r="F65" s="3544"/>
      <c r="G65" s="662">
        <f t="shared" si="10"/>
        <v>0</v>
      </c>
      <c r="H65" s="3610"/>
      <c r="I65" s="3579"/>
      <c r="J65" s="3610"/>
      <c r="K65" s="3579"/>
      <c r="L65" s="3610"/>
      <c r="M65" s="3579"/>
      <c r="N65" s="3610"/>
      <c r="O65" s="3579"/>
      <c r="P65" s="3610"/>
      <c r="Q65" s="3579"/>
      <c r="R65" s="3610"/>
      <c r="S65" s="3579"/>
    </row>
    <row r="66" spans="1:34" ht="15.75" thickTop="1">
      <c r="A66" s="13"/>
      <c r="B66" s="226" t="s">
        <v>3265</v>
      </c>
      <c r="C66" s="15"/>
      <c r="D66" s="168"/>
      <c r="E66" s="176"/>
      <c r="F66" s="17"/>
      <c r="G66" s="227">
        <f>SUBTOTAL(9,G21:G65)</f>
        <v>2811828</v>
      </c>
      <c r="H66" s="19"/>
      <c r="I66" s="225">
        <f>SUBTOTAL(9,I20:I65)</f>
        <v>2904043</v>
      </c>
      <c r="J66" s="19"/>
      <c r="K66" s="225">
        <f>SUBTOTAL(9,K20:K65)</f>
        <v>3406213</v>
      </c>
      <c r="L66" s="19"/>
      <c r="M66" s="225">
        <f>SUBTOTAL(9,M20:M65)</f>
        <v>4005729.32</v>
      </c>
      <c r="N66" s="19"/>
      <c r="O66" s="225">
        <f>SUBTOTAL(9,O20:O65)</f>
        <v>4006793.8100000005</v>
      </c>
      <c r="P66" s="19"/>
      <c r="Q66" s="225">
        <f>SUBTOTAL(9,Q20:Q65)</f>
        <v>4504172</v>
      </c>
      <c r="R66" s="19"/>
      <c r="S66" s="225">
        <f>SUBTOTAL(9,S20:S65)</f>
        <v>6828601.4800000004</v>
      </c>
      <c r="V66" s="572"/>
    </row>
    <row r="67" spans="1:34">
      <c r="A67" s="1905"/>
      <c r="B67" s="1906" t="s">
        <v>2976</v>
      </c>
      <c r="C67" s="1907"/>
      <c r="D67" s="1908"/>
      <c r="E67" s="1909"/>
      <c r="F67" s="1910"/>
      <c r="G67" s="654"/>
      <c r="H67" s="1911">
        <v>0</v>
      </c>
      <c r="I67" s="645"/>
      <c r="J67" s="1911">
        <v>0</v>
      </c>
      <c r="K67" s="645"/>
      <c r="L67" s="1911">
        <v>0</v>
      </c>
      <c r="M67" s="645"/>
      <c r="N67" s="1911">
        <v>0</v>
      </c>
      <c r="O67" s="645"/>
      <c r="P67" s="1911">
        <v>0</v>
      </c>
      <c r="Q67" s="645"/>
      <c r="R67" s="1911">
        <v>0</v>
      </c>
      <c r="S67" s="645"/>
    </row>
    <row r="68" spans="1:34">
      <c r="A68" s="1905"/>
      <c r="B68" s="1906" t="s">
        <v>2977</v>
      </c>
      <c r="C68" s="1907"/>
      <c r="D68" s="1908"/>
      <c r="E68" s="1909"/>
      <c r="F68" s="1910"/>
      <c r="G68" s="654">
        <f>F67*G66</f>
        <v>0</v>
      </c>
      <c r="H68" s="1912"/>
      <c r="I68" s="1913">
        <f>H67*I66</f>
        <v>0</v>
      </c>
      <c r="J68" s="1912"/>
      <c r="K68" s="1913">
        <f>J67*K66</f>
        <v>0</v>
      </c>
      <c r="L68" s="1912"/>
      <c r="M68" s="1913">
        <f>L67*M66</f>
        <v>0</v>
      </c>
      <c r="N68" s="1912"/>
      <c r="O68" s="1913">
        <f>N67*O66</f>
        <v>0</v>
      </c>
      <c r="P68" s="1912"/>
      <c r="Q68" s="1913">
        <f>P67*Q66</f>
        <v>0</v>
      </c>
      <c r="R68" s="1912"/>
      <c r="S68" s="1913">
        <f>R67*S66</f>
        <v>0</v>
      </c>
    </row>
    <row r="69" spans="1:34">
      <c r="A69" s="1905"/>
      <c r="B69" s="1906"/>
      <c r="C69" s="1907"/>
      <c r="D69" s="1908"/>
      <c r="E69" s="1909"/>
      <c r="F69" s="1910"/>
      <c r="G69" s="654"/>
      <c r="H69" s="1912"/>
      <c r="I69" s="1913"/>
      <c r="J69" s="1912"/>
      <c r="K69" s="1913"/>
      <c r="L69" s="1912"/>
      <c r="M69" s="1913"/>
      <c r="N69" s="1912"/>
      <c r="O69" s="1913"/>
      <c r="P69" s="1912"/>
      <c r="Q69" s="1913"/>
      <c r="R69" s="1912"/>
      <c r="S69" s="1913"/>
    </row>
    <row r="70" spans="1:34">
      <c r="A70" s="1905"/>
      <c r="B70" s="1906" t="s">
        <v>2978</v>
      </c>
      <c r="C70" s="1907"/>
      <c r="D70" s="1908"/>
      <c r="E70" s="1909"/>
      <c r="F70" s="1910"/>
      <c r="G70" s="654">
        <f>SUM(G66:G68)</f>
        <v>2811828</v>
      </c>
      <c r="H70" s="1914"/>
      <c r="I70" s="1913">
        <f>SUM(I66:I68)</f>
        <v>2904043</v>
      </c>
      <c r="J70" s="1914"/>
      <c r="K70" s="1913">
        <f>SUM(K66:K68)</f>
        <v>3406213</v>
      </c>
      <c r="L70" s="1914"/>
      <c r="M70" s="1913">
        <f>SUM(M66:M68)</f>
        <v>4005729.32</v>
      </c>
      <c r="N70" s="1914"/>
      <c r="O70" s="1913">
        <f>SUM(O66:O68)</f>
        <v>4006793.8100000005</v>
      </c>
      <c r="P70" s="1914"/>
      <c r="Q70" s="1913">
        <f>SUM(Q66:Q68)</f>
        <v>4504172</v>
      </c>
      <c r="R70" s="1914"/>
      <c r="S70" s="1913">
        <f>SUM(S66:S68)</f>
        <v>6828601.4800000004</v>
      </c>
    </row>
    <row r="71" spans="1:34">
      <c r="A71" s="1905"/>
      <c r="B71" s="1915" t="s">
        <v>2753</v>
      </c>
      <c r="C71" s="1907"/>
      <c r="D71" s="1908"/>
      <c r="E71" s="1909"/>
      <c r="F71" s="1915"/>
      <c r="G71" s="655">
        <v>0</v>
      </c>
      <c r="H71" s="1916"/>
      <c r="I71" s="1917">
        <v>0</v>
      </c>
      <c r="J71" s="1916"/>
      <c r="K71" s="1917">
        <v>0</v>
      </c>
      <c r="L71" s="1918"/>
      <c r="M71" s="1917">
        <v>0</v>
      </c>
      <c r="N71" s="1916"/>
      <c r="O71" s="1917">
        <v>0</v>
      </c>
      <c r="P71" s="1916"/>
      <c r="Q71" s="1917">
        <v>0</v>
      </c>
      <c r="R71" s="1918"/>
      <c r="S71" s="1917">
        <v>0</v>
      </c>
    </row>
    <row r="72" spans="1:34">
      <c r="A72" s="1905"/>
      <c r="B72" s="1919"/>
      <c r="C72" s="1907"/>
      <c r="D72" s="1908"/>
      <c r="E72" s="1909"/>
      <c r="F72" s="1910"/>
      <c r="G72" s="656"/>
      <c r="H72" s="1920"/>
      <c r="I72" s="1920"/>
      <c r="J72" s="1920"/>
      <c r="K72" s="1920"/>
      <c r="L72" s="1920"/>
      <c r="M72" s="1920"/>
      <c r="N72" s="1920"/>
      <c r="O72" s="1920"/>
      <c r="P72" s="1920"/>
      <c r="Q72" s="1920"/>
      <c r="R72" s="1920"/>
      <c r="S72" s="1920"/>
    </row>
    <row r="73" spans="1:34" ht="15" hidden="1" customHeight="1">
      <c r="A73" s="830" t="s">
        <v>2980</v>
      </c>
      <c r="B73" s="830"/>
      <c r="C73" s="12"/>
      <c r="D73" s="169"/>
      <c r="E73" s="177"/>
      <c r="F73" s="12"/>
      <c r="G73" s="228"/>
      <c r="H73" s="20"/>
      <c r="I73" s="241"/>
      <c r="J73" s="20"/>
      <c r="K73" s="241"/>
      <c r="L73" s="20"/>
      <c r="M73" s="20"/>
      <c r="N73" s="20"/>
      <c r="O73" s="20"/>
      <c r="P73" s="20"/>
      <c r="Q73" s="20"/>
      <c r="R73" s="20"/>
      <c r="S73" s="20"/>
      <c r="V73" s="236"/>
    </row>
    <row r="74" spans="1:34" ht="15" hidden="1" customHeight="1">
      <c r="A74" s="3614"/>
      <c r="B74" s="3519"/>
      <c r="C74" s="3615"/>
      <c r="D74" s="3616"/>
      <c r="E74" s="3617"/>
      <c r="F74" s="3615"/>
      <c r="G74" s="3618"/>
      <c r="H74" s="3619"/>
      <c r="I74" s="3619"/>
      <c r="J74" s="3619"/>
      <c r="K74" s="3619"/>
      <c r="L74" s="3619"/>
      <c r="M74" s="3619"/>
      <c r="N74" s="3619"/>
      <c r="O74" s="3619"/>
      <c r="P74" s="3619"/>
      <c r="Q74" s="3619"/>
      <c r="R74" s="3619"/>
      <c r="S74" s="3619"/>
    </row>
    <row r="75" spans="1:34" ht="15" hidden="1" customHeight="1">
      <c r="A75" s="3614"/>
      <c r="B75" s="3519"/>
      <c r="C75" s="3615"/>
      <c r="D75" s="3616"/>
      <c r="E75" s="3617"/>
      <c r="F75" s="3615"/>
      <c r="G75" s="3618"/>
      <c r="H75" s="3619"/>
      <c r="I75" s="3619"/>
      <c r="J75" s="3619"/>
      <c r="K75" s="3619"/>
      <c r="L75" s="3619"/>
      <c r="M75" s="3619"/>
      <c r="N75" s="3619"/>
      <c r="O75" s="3619"/>
      <c r="P75" s="3619"/>
      <c r="Q75" s="3619"/>
      <c r="R75" s="3619"/>
      <c r="S75" s="3619"/>
      <c r="V75" s="236"/>
    </row>
    <row r="76" spans="1:34" ht="15" hidden="1" customHeight="1">
      <c r="A76" s="3614"/>
      <c r="B76" s="3519"/>
      <c r="C76" s="3615"/>
      <c r="D76" s="3616"/>
      <c r="E76" s="3617"/>
      <c r="F76" s="3615"/>
      <c r="G76" s="3618"/>
      <c r="H76" s="3619"/>
      <c r="I76" s="3619"/>
      <c r="J76" s="3619"/>
      <c r="K76" s="3619"/>
      <c r="L76" s="3619"/>
      <c r="M76" s="3619"/>
      <c r="N76" s="3619"/>
      <c r="O76" s="3619"/>
      <c r="P76" s="3619"/>
      <c r="Q76" s="3619"/>
      <c r="R76" s="3619"/>
      <c r="S76" s="3619"/>
      <c r="V76" s="236"/>
    </row>
    <row r="77" spans="1:34" s="2" customFormat="1" ht="15" hidden="1" customHeight="1">
      <c r="A77" s="830" t="s">
        <v>2981</v>
      </c>
      <c r="B77" s="830"/>
      <c r="C77" s="12"/>
      <c r="D77" s="169"/>
      <c r="E77" s="177"/>
      <c r="F77" s="12"/>
      <c r="G77" s="228"/>
      <c r="H77" s="20"/>
      <c r="I77" s="20"/>
      <c r="J77" s="20"/>
      <c r="K77" s="20"/>
      <c r="L77" s="20"/>
      <c r="M77" s="20"/>
      <c r="N77" s="20"/>
      <c r="O77" s="20"/>
      <c r="P77" s="20"/>
      <c r="Q77" s="20"/>
      <c r="R77" s="20"/>
      <c r="S77" s="20"/>
      <c r="T77"/>
      <c r="U77" s="58"/>
      <c r="V77" s="236"/>
      <c r="W77" s="58"/>
      <c r="X77" s="58"/>
      <c r="Y77" s="58"/>
      <c r="Z77" s="58"/>
      <c r="AA77" s="58"/>
      <c r="AB77" s="58"/>
      <c r="AC77" s="58"/>
      <c r="AD77" s="58"/>
      <c r="AE77"/>
      <c r="AF77"/>
      <c r="AG77"/>
      <c r="AH77"/>
    </row>
    <row r="78" spans="1:34" s="2" customFormat="1" ht="15" hidden="1" customHeight="1">
      <c r="A78" s="3614"/>
      <c r="B78" s="3519"/>
      <c r="C78" s="3615"/>
      <c r="D78" s="3616"/>
      <c r="E78" s="3617"/>
      <c r="F78" s="3615"/>
      <c r="G78" s="3618"/>
      <c r="H78" s="3619"/>
      <c r="I78" s="3619"/>
      <c r="J78" s="3619"/>
      <c r="K78" s="3619"/>
      <c r="L78" s="3619"/>
      <c r="M78" s="3619"/>
      <c r="N78" s="3619"/>
      <c r="O78" s="3619"/>
      <c r="P78" s="3619"/>
      <c r="Q78" s="3619"/>
      <c r="R78" s="3619"/>
      <c r="S78" s="3619"/>
      <c r="T78"/>
      <c r="U78" s="58"/>
      <c r="V78" s="58"/>
      <c r="W78" s="58"/>
      <c r="X78" s="58"/>
      <c r="Y78" s="58"/>
      <c r="Z78" s="58"/>
      <c r="AA78" s="58"/>
      <c r="AB78" s="58"/>
      <c r="AC78" s="58"/>
      <c r="AD78" s="58"/>
      <c r="AE78"/>
      <c r="AF78"/>
      <c r="AG78"/>
      <c r="AH78"/>
    </row>
    <row r="79" spans="1:34" s="2" customFormat="1" ht="15" hidden="1" customHeight="1">
      <c r="A79" s="3614"/>
      <c r="B79" s="3519"/>
      <c r="C79" s="3615"/>
      <c r="D79" s="3616"/>
      <c r="E79" s="3617"/>
      <c r="F79" s="3615"/>
      <c r="G79" s="3618"/>
      <c r="H79" s="3619"/>
      <c r="I79" s="3619"/>
      <c r="J79" s="3619"/>
      <c r="K79" s="3619"/>
      <c r="L79" s="3619"/>
      <c r="M79" s="3619"/>
      <c r="N79" s="3619"/>
      <c r="O79" s="3619"/>
      <c r="P79" s="3619"/>
      <c r="Q79" s="3619"/>
      <c r="R79" s="3619"/>
      <c r="S79" s="3619"/>
      <c r="T79"/>
      <c r="U79" s="58"/>
      <c r="V79" s="58"/>
      <c r="W79" s="58"/>
      <c r="X79" s="58"/>
      <c r="Y79" s="58"/>
      <c r="Z79" s="58"/>
      <c r="AA79" s="58"/>
      <c r="AB79" s="58"/>
      <c r="AC79" s="58"/>
      <c r="AD79" s="58"/>
      <c r="AE79"/>
      <c r="AF79"/>
      <c r="AG79"/>
      <c r="AH79"/>
    </row>
    <row r="80" spans="1:34" ht="15" hidden="1" customHeight="1">
      <c r="A80" s="3614"/>
      <c r="B80" s="3519"/>
      <c r="C80" s="3615"/>
      <c r="D80" s="3616"/>
      <c r="E80" s="3617"/>
      <c r="F80" s="3615"/>
      <c r="G80" s="3618"/>
      <c r="H80" s="3619"/>
      <c r="I80" s="3619"/>
      <c r="J80" s="3619"/>
      <c r="K80" s="3619"/>
      <c r="L80" s="3619"/>
      <c r="M80" s="3619"/>
      <c r="N80" s="3619"/>
      <c r="O80" s="3619"/>
      <c r="P80" s="3619"/>
      <c r="Q80" s="3619"/>
      <c r="R80" s="3619"/>
      <c r="S80" s="3619"/>
    </row>
    <row r="81" spans="1:34" s="2" customFormat="1" ht="15" hidden="1" customHeight="1">
      <c r="A81" s="830" t="s">
        <v>2982</v>
      </c>
      <c r="B81" s="830"/>
      <c r="C81" s="12"/>
      <c r="D81" s="169"/>
      <c r="E81" s="177"/>
      <c r="F81" s="12"/>
      <c r="G81" s="228"/>
      <c r="H81" s="20"/>
      <c r="I81" s="20"/>
      <c r="J81" s="20"/>
      <c r="K81" s="20"/>
      <c r="L81" s="20"/>
      <c r="M81" s="20"/>
      <c r="N81" s="20"/>
      <c r="O81" s="20"/>
      <c r="P81" s="20"/>
      <c r="Q81" s="20"/>
      <c r="R81" s="20"/>
      <c r="S81" s="20"/>
      <c r="T81"/>
      <c r="U81" s="58"/>
      <c r="V81" s="58"/>
      <c r="W81" s="58"/>
      <c r="X81" s="58"/>
      <c r="Y81" s="58"/>
      <c r="Z81" s="58"/>
      <c r="AA81" s="58"/>
      <c r="AB81" s="58"/>
      <c r="AC81" s="58"/>
      <c r="AD81" s="58"/>
      <c r="AE81"/>
      <c r="AF81"/>
      <c r="AG81"/>
      <c r="AH81"/>
    </row>
    <row r="82" spans="1:34" s="2" customFormat="1" ht="15" hidden="1" customHeight="1">
      <c r="A82" s="3614"/>
      <c r="B82" s="3519"/>
      <c r="C82" s="3615"/>
      <c r="D82" s="3616"/>
      <c r="E82" s="3617"/>
      <c r="F82" s="3615"/>
      <c r="G82" s="3618"/>
      <c r="H82" s="3619"/>
      <c r="I82" s="3619"/>
      <c r="J82" s="3619"/>
      <c r="K82" s="3619"/>
      <c r="L82" s="3619"/>
      <c r="M82" s="3619"/>
      <c r="N82" s="3619"/>
      <c r="O82" s="3619"/>
      <c r="P82" s="3619"/>
      <c r="Q82" s="3619"/>
      <c r="R82" s="3619"/>
      <c r="S82" s="3619"/>
      <c r="T82"/>
      <c r="U82" s="58"/>
      <c r="V82" s="58"/>
      <c r="W82" s="58"/>
      <c r="X82" s="58"/>
      <c r="Y82" s="58"/>
      <c r="Z82" s="58"/>
      <c r="AA82" s="58"/>
      <c r="AB82" s="58"/>
      <c r="AC82" s="58"/>
      <c r="AD82" s="58"/>
      <c r="AE82"/>
      <c r="AF82"/>
      <c r="AG82"/>
      <c r="AH82"/>
    </row>
    <row r="83" spans="1:34" s="2" customFormat="1" ht="15" hidden="1" customHeight="1">
      <c r="A83" s="1922"/>
      <c r="B83" s="3519"/>
      <c r="C83" s="3520"/>
      <c r="D83" s="3521"/>
      <c r="E83" s="3522"/>
      <c r="F83" s="3520"/>
      <c r="G83" s="1923"/>
      <c r="H83" s="1924"/>
      <c r="I83" s="1924"/>
      <c r="J83" s="1924"/>
      <c r="K83" s="1924"/>
      <c r="L83" s="1924"/>
      <c r="M83" s="1924"/>
      <c r="N83" s="1924"/>
      <c r="O83" s="1924"/>
      <c r="P83" s="1924"/>
      <c r="Q83" s="1924"/>
      <c r="R83" s="1924"/>
      <c r="S83" s="1924"/>
      <c r="T83"/>
      <c r="U83" s="58"/>
      <c r="V83" s="58"/>
      <c r="W83" s="58"/>
      <c r="X83" s="58"/>
      <c r="Y83" s="58"/>
      <c r="Z83" s="58"/>
      <c r="AA83" s="58"/>
      <c r="AB83" s="58"/>
      <c r="AC83" s="58"/>
      <c r="AD83" s="58"/>
      <c r="AE83"/>
      <c r="AF83"/>
      <c r="AG83"/>
      <c r="AH83"/>
    </row>
    <row r="84" spans="1:34" s="2" customFormat="1" ht="15" hidden="1" customHeight="1">
      <c r="A84" s="1925"/>
      <c r="B84" s="1926"/>
      <c r="C84" s="3520"/>
      <c r="D84" s="3521"/>
      <c r="E84" s="3522"/>
      <c r="F84" s="3520"/>
      <c r="G84" s="1923"/>
      <c r="H84" s="1927"/>
      <c r="I84" s="1927"/>
      <c r="J84" s="1927"/>
      <c r="K84" s="1927"/>
      <c r="L84" s="1927"/>
      <c r="M84" s="1927"/>
      <c r="N84" s="1927"/>
      <c r="O84" s="1927"/>
      <c r="P84" s="1927"/>
      <c r="Q84" s="1927"/>
      <c r="R84" s="1927"/>
      <c r="S84" s="1927"/>
      <c r="U84" s="236"/>
      <c r="V84" s="58"/>
      <c r="W84" s="236"/>
      <c r="X84" s="236"/>
      <c r="Y84" s="236"/>
      <c r="Z84" s="236"/>
      <c r="AA84" s="236"/>
      <c r="AB84" s="236"/>
      <c r="AC84" s="236"/>
      <c r="AD84" s="236"/>
    </row>
    <row r="85" spans="1:34" s="2" customFormat="1" ht="15" hidden="1" customHeight="1">
      <c r="A85" s="830" t="s">
        <v>2983</v>
      </c>
      <c r="B85" s="830"/>
      <c r="C85" s="12"/>
      <c r="D85" s="169"/>
      <c r="E85" s="177"/>
      <c r="F85" s="12"/>
      <c r="G85" s="228"/>
      <c r="H85" s="20"/>
      <c r="I85" s="20"/>
      <c r="J85" s="20"/>
      <c r="K85" s="20"/>
      <c r="L85" s="20"/>
      <c r="M85" s="20"/>
      <c r="N85" s="20"/>
      <c r="O85" s="20"/>
      <c r="P85" s="20"/>
      <c r="Q85" s="20"/>
      <c r="R85" s="20"/>
      <c r="S85" s="20"/>
      <c r="T85"/>
      <c r="U85" s="58"/>
      <c r="V85" s="58"/>
      <c r="W85" s="58"/>
      <c r="X85" s="58"/>
      <c r="Y85" s="58"/>
      <c r="Z85" s="58"/>
      <c r="AA85" s="58"/>
      <c r="AB85" s="58"/>
      <c r="AC85" s="58"/>
      <c r="AD85" s="58"/>
      <c r="AE85"/>
      <c r="AF85"/>
      <c r="AG85"/>
      <c r="AH85"/>
    </row>
    <row r="86" spans="1:34" ht="15" hidden="1" customHeight="1">
      <c r="A86" s="3620"/>
      <c r="B86" s="3621"/>
      <c r="C86" s="3615"/>
      <c r="D86" s="3616"/>
      <c r="E86" s="3617"/>
      <c r="F86" s="3615"/>
      <c r="G86" s="3618"/>
      <c r="H86" s="3619"/>
      <c r="I86" s="3619"/>
      <c r="J86" s="3619"/>
      <c r="K86" s="3619"/>
      <c r="L86" s="3619"/>
      <c r="M86" s="3619"/>
      <c r="N86" s="3619"/>
      <c r="O86" s="3619"/>
      <c r="P86" s="3619"/>
      <c r="Q86" s="3619"/>
      <c r="R86" s="3619"/>
      <c r="S86" s="3619"/>
      <c r="T86" s="2"/>
      <c r="U86" s="236"/>
      <c r="W86" s="236"/>
      <c r="X86" s="236"/>
      <c r="Y86" s="236"/>
      <c r="Z86" s="236"/>
      <c r="AA86" s="236"/>
      <c r="AB86" s="236"/>
      <c r="AC86" s="236"/>
      <c r="AD86" s="236"/>
      <c r="AE86" s="2"/>
      <c r="AF86" s="2"/>
      <c r="AG86" s="2"/>
      <c r="AH86" s="2"/>
    </row>
    <row r="87" spans="1:34" ht="15" hidden="1" customHeight="1">
      <c r="A87" s="1925"/>
      <c r="B87" s="1926"/>
      <c r="C87" s="3520"/>
      <c r="D87" s="3521"/>
      <c r="E87" s="3522"/>
      <c r="F87" s="3520"/>
      <c r="G87" s="1923"/>
      <c r="H87" s="1928"/>
      <c r="I87" s="1928"/>
      <c r="J87" s="1928"/>
      <c r="K87" s="1928"/>
      <c r="L87" s="1928"/>
      <c r="M87" s="1928"/>
      <c r="N87" s="1928"/>
      <c r="O87" s="1928"/>
      <c r="P87" s="1928"/>
      <c r="Q87" s="1928"/>
      <c r="R87" s="1928"/>
      <c r="S87" s="1928"/>
      <c r="T87" s="2"/>
      <c r="U87" s="236"/>
      <c r="W87" s="236"/>
      <c r="X87" s="236"/>
      <c r="Y87" s="236"/>
      <c r="Z87" s="236"/>
      <c r="AA87" s="236"/>
      <c r="AB87" s="236"/>
      <c r="AC87" s="236"/>
      <c r="AD87" s="236"/>
      <c r="AE87" s="2"/>
      <c r="AF87" s="2"/>
      <c r="AG87" s="2"/>
      <c r="AH87" s="2"/>
    </row>
    <row r="88" spans="1:34" ht="15" hidden="1" customHeight="1">
      <c r="A88" s="1925"/>
      <c r="B88" s="1926"/>
      <c r="C88" s="3520"/>
      <c r="D88" s="3521"/>
      <c r="E88" s="3522"/>
      <c r="F88" s="3520"/>
      <c r="G88" s="1923"/>
      <c r="H88" s="1928"/>
      <c r="I88" s="1928"/>
      <c r="J88" s="1928"/>
      <c r="K88" s="1928"/>
      <c r="L88" s="1928"/>
      <c r="M88" s="1928"/>
      <c r="N88" s="1928"/>
      <c r="O88" s="1928"/>
      <c r="P88" s="1928"/>
      <c r="Q88" s="1928"/>
      <c r="R88" s="1928"/>
      <c r="S88" s="1928"/>
      <c r="T88" s="2"/>
      <c r="U88" s="236"/>
      <c r="W88" s="236"/>
      <c r="X88" s="236"/>
      <c r="Y88" s="236"/>
      <c r="Z88" s="236"/>
      <c r="AA88" s="236"/>
      <c r="AB88" s="236"/>
      <c r="AC88" s="236"/>
      <c r="AD88" s="236"/>
      <c r="AE88" s="2"/>
      <c r="AF88" s="2"/>
      <c r="AG88" s="2"/>
      <c r="AH88" s="2"/>
    </row>
    <row r="89" spans="1:34" ht="15" hidden="1" customHeight="1">
      <c r="A89" s="830" t="s">
        <v>2984</v>
      </c>
      <c r="B89" s="830"/>
      <c r="C89" s="12"/>
      <c r="D89" s="169"/>
      <c r="E89" s="177"/>
      <c r="F89" s="12"/>
      <c r="G89" s="228"/>
      <c r="H89" s="20"/>
      <c r="I89" s="20"/>
      <c r="J89" s="20"/>
      <c r="K89" s="20"/>
      <c r="L89" s="20"/>
      <c r="M89" s="20"/>
      <c r="N89" s="20"/>
      <c r="O89" s="20"/>
      <c r="P89" s="20"/>
      <c r="Q89" s="20"/>
      <c r="R89" s="20"/>
      <c r="S89" s="20"/>
    </row>
    <row r="90" spans="1:34" ht="15" hidden="1" customHeight="1">
      <c r="A90" s="1922"/>
      <c r="B90" s="3519" t="s">
        <v>2985</v>
      </c>
      <c r="C90" s="3520"/>
      <c r="D90" s="3521"/>
      <c r="E90" s="3522"/>
      <c r="F90" s="3520"/>
      <c r="G90" s="1923"/>
      <c r="H90" s="1928"/>
      <c r="I90" s="1928"/>
      <c r="J90" s="1928"/>
      <c r="K90" s="1928"/>
      <c r="L90" s="1928"/>
      <c r="M90" s="1928"/>
      <c r="N90" s="1928"/>
      <c r="O90" s="1928"/>
      <c r="P90" s="1928"/>
      <c r="Q90" s="1928"/>
      <c r="R90" s="1928"/>
      <c r="S90" s="1928"/>
    </row>
    <row r="91" spans="1:34" ht="15" hidden="1" customHeight="1">
      <c r="A91" s="1922"/>
      <c r="B91" s="3519" t="s">
        <v>2986</v>
      </c>
      <c r="C91" s="3520"/>
      <c r="D91" s="3521"/>
      <c r="E91" s="3522"/>
      <c r="F91" s="3520"/>
      <c r="G91" s="1923"/>
      <c r="H91" s="1928"/>
      <c r="I91" s="1928"/>
      <c r="J91" s="1928"/>
      <c r="K91" s="1928"/>
      <c r="L91" s="1928"/>
      <c r="M91" s="1928"/>
      <c r="N91" s="1928"/>
      <c r="O91" s="1928"/>
      <c r="P91" s="1928"/>
      <c r="Q91" s="1928"/>
      <c r="R91" s="1928"/>
      <c r="S91" s="1928"/>
    </row>
    <row r="92" spans="1:34" ht="15" hidden="1" customHeight="1">
      <c r="A92" s="1922"/>
      <c r="B92" s="3519" t="s">
        <v>2987</v>
      </c>
      <c r="C92" s="3520"/>
      <c r="D92" s="3521"/>
      <c r="E92" s="3522"/>
      <c r="F92" s="3520"/>
      <c r="G92" s="1923"/>
      <c r="H92" s="1928"/>
      <c r="I92" s="1928"/>
      <c r="J92" s="1928"/>
      <c r="K92" s="1928"/>
      <c r="L92" s="1928"/>
      <c r="M92" s="1928"/>
      <c r="N92" s="1928"/>
      <c r="O92" s="1928"/>
      <c r="P92" s="1928"/>
      <c r="Q92" s="1928"/>
      <c r="R92" s="1928"/>
      <c r="S92" s="1928"/>
    </row>
    <row r="93" spans="1:34" ht="15" hidden="1" customHeight="1">
      <c r="A93" s="1922"/>
      <c r="B93" s="3519" t="s">
        <v>2988</v>
      </c>
      <c r="C93" s="3520"/>
      <c r="D93" s="3521"/>
      <c r="E93" s="3522"/>
      <c r="F93" s="3520"/>
      <c r="G93" s="1923"/>
      <c r="H93" s="1928"/>
      <c r="I93" s="1928"/>
      <c r="J93" s="1928"/>
      <c r="K93" s="1928"/>
      <c r="L93" s="1928"/>
      <c r="M93" s="1928"/>
      <c r="N93" s="1928"/>
      <c r="O93" s="1928"/>
      <c r="P93" s="1928"/>
      <c r="Q93" s="1928"/>
      <c r="R93" s="1928"/>
      <c r="S93" s="1928"/>
    </row>
    <row r="94" spans="1:34" ht="15" hidden="1" customHeight="1">
      <c r="A94" s="646"/>
      <c r="B94" s="619"/>
      <c r="C94" s="616"/>
      <c r="D94" s="621"/>
      <c r="E94" s="622"/>
      <c r="F94" s="616"/>
      <c r="G94" s="620"/>
      <c r="H94" s="647"/>
      <c r="I94" s="647"/>
      <c r="J94" s="647"/>
      <c r="K94" s="647"/>
      <c r="L94" s="647"/>
      <c r="M94" s="647"/>
      <c r="N94" s="647"/>
      <c r="O94" s="647"/>
      <c r="P94" s="647"/>
      <c r="Q94" s="647"/>
      <c r="R94" s="647"/>
      <c r="S94" s="647"/>
    </row>
    <row r="95" spans="1:34" ht="15" hidden="1" customHeight="1">
      <c r="A95" s="7" t="s">
        <v>2989</v>
      </c>
      <c r="B95" s="8"/>
      <c r="C95" s="12"/>
      <c r="D95" s="169"/>
      <c r="E95" s="177"/>
      <c r="F95" s="12"/>
      <c r="G95" s="228"/>
      <c r="H95" s="20"/>
      <c r="I95" s="20"/>
      <c r="J95" s="20"/>
      <c r="K95" s="20"/>
      <c r="L95" s="20"/>
      <c r="M95" s="20"/>
      <c r="N95" s="20"/>
      <c r="O95" s="20"/>
      <c r="P95" s="20"/>
      <c r="Q95" s="20"/>
      <c r="R95" s="20"/>
      <c r="S95" s="20"/>
    </row>
    <row r="96" spans="1:34" ht="15" hidden="1" customHeight="1">
      <c r="A96" s="3614"/>
      <c r="B96" s="3622" t="s">
        <v>2990</v>
      </c>
      <c r="C96" s="3615"/>
      <c r="D96" s="3616"/>
      <c r="E96" s="3617"/>
      <c r="F96" s="3615"/>
      <c r="G96" s="3618"/>
      <c r="H96" s="3623"/>
      <c r="I96" s="3623"/>
      <c r="J96" s="3623"/>
      <c r="K96" s="3623"/>
      <c r="L96" s="3623"/>
      <c r="M96" s="3623"/>
      <c r="N96" s="3623"/>
      <c r="O96" s="3623"/>
      <c r="P96" s="3623"/>
      <c r="Q96" s="3623"/>
      <c r="R96" s="3623"/>
      <c r="S96" s="3623"/>
    </row>
    <row r="97" spans="1:19" ht="15" hidden="1" customHeight="1">
      <c r="A97" s="1922"/>
      <c r="B97" s="3519" t="s">
        <v>2991</v>
      </c>
      <c r="C97" s="3520"/>
      <c r="D97" s="3521"/>
      <c r="E97" s="3522"/>
      <c r="F97" s="3520"/>
      <c r="G97" s="1923"/>
      <c r="H97" s="1929"/>
      <c r="I97" s="1929"/>
      <c r="J97" s="1929"/>
      <c r="K97" s="1929"/>
      <c r="L97" s="1929"/>
      <c r="M97" s="1929"/>
      <c r="N97" s="1929"/>
      <c r="O97" s="1929"/>
      <c r="P97" s="1929"/>
      <c r="Q97" s="1929"/>
      <c r="R97" s="1929"/>
      <c r="S97" s="1929"/>
    </row>
    <row r="98" spans="1:19" ht="15" hidden="1" customHeight="1">
      <c r="A98" s="3197"/>
      <c r="B98" s="3224" t="s">
        <v>2992</v>
      </c>
      <c r="C98" s="3225"/>
      <c r="D98" s="3549"/>
      <c r="E98" s="3199"/>
      <c r="F98" s="3225"/>
      <c r="G98" s="3200"/>
      <c r="H98" s="3201"/>
      <c r="I98" s="3201"/>
      <c r="J98" s="3201"/>
      <c r="K98" s="3201"/>
      <c r="L98" s="3201"/>
      <c r="M98" s="3201"/>
      <c r="N98" s="3201"/>
      <c r="O98" s="3201"/>
      <c r="P98" s="3201"/>
      <c r="Q98" s="3201"/>
      <c r="R98" s="3201"/>
      <c r="S98" s="3201"/>
    </row>
    <row r="99" spans="1:19" ht="15.75" thickBot="1"/>
    <row r="100" spans="1:19" ht="16.5" thickTop="1" thickBot="1">
      <c r="A100" s="59" t="s">
        <v>2993</v>
      </c>
      <c r="B100" s="61"/>
      <c r="G100" s="2" t="s">
        <v>3584</v>
      </c>
      <c r="H100" s="236"/>
      <c r="I100" s="236">
        <v>1185802</v>
      </c>
    </row>
    <row r="101" spans="1:19" ht="15.75" thickTop="1">
      <c r="A101" s="60" t="s">
        <v>2936</v>
      </c>
      <c r="B101" s="3202"/>
      <c r="G101" s="2" t="s">
        <v>3585</v>
      </c>
      <c r="H101" s="236"/>
      <c r="I101" s="529">
        <f>I48</f>
        <v>0</v>
      </c>
    </row>
    <row r="102" spans="1:19">
      <c r="A102" s="3510" t="s">
        <v>2939</v>
      </c>
      <c r="B102" s="3202"/>
      <c r="G102" s="2" t="s">
        <v>3586</v>
      </c>
      <c r="H102" s="236"/>
      <c r="I102" s="527">
        <f>I35+I36+I37+I39+I43</f>
        <v>1718241</v>
      </c>
    </row>
    <row r="103" spans="1:19">
      <c r="A103" s="3204" t="s">
        <v>2941</v>
      </c>
      <c r="B103" s="3205"/>
      <c r="G103" s="2" t="s">
        <v>3587</v>
      </c>
      <c r="H103" s="236"/>
      <c r="I103" s="528">
        <f>I47+I50</f>
        <v>0</v>
      </c>
    </row>
    <row r="104" spans="1:19">
      <c r="A104" s="3204" t="s">
        <v>2943</v>
      </c>
      <c r="B104" s="3206"/>
      <c r="G104" s="2" t="s">
        <v>3588</v>
      </c>
      <c r="H104" s="236"/>
      <c r="I104" s="3624">
        <f>I52</f>
        <v>0</v>
      </c>
    </row>
    <row r="105" spans="1:19" ht="15.75" thickBot="1">
      <c r="A105" s="3207" t="s">
        <v>2994</v>
      </c>
      <c r="B105" s="3208">
        <f>$I$70</f>
        <v>2904043</v>
      </c>
      <c r="G105" s="2" t="s">
        <v>3589</v>
      </c>
      <c r="H105" s="236"/>
      <c r="I105" s="236">
        <f>SUM(I100:I104)</f>
        <v>2904043</v>
      </c>
    </row>
    <row r="106" spans="1:19" ht="15.75" thickTop="1">
      <c r="G106" s="2" t="s">
        <v>3590</v>
      </c>
      <c r="H106" s="236"/>
      <c r="I106" s="3625">
        <f>I66</f>
        <v>2904043</v>
      </c>
    </row>
    <row r="107" spans="1:19">
      <c r="A107" s="62"/>
      <c r="B107" s="1" t="s">
        <v>2995</v>
      </c>
      <c r="G107" s="2" t="s">
        <v>3591</v>
      </c>
      <c r="H107" s="236"/>
      <c r="I107" s="236">
        <f>I106-I105</f>
        <v>0</v>
      </c>
    </row>
    <row r="108" spans="1:19">
      <c r="A108" s="63"/>
      <c r="B108" s="1" t="s">
        <v>2996</v>
      </c>
    </row>
  </sheetData>
  <mergeCells count="35">
    <mergeCell ref="R5:S5"/>
    <mergeCell ref="L7:M7"/>
    <mergeCell ref="H6:I6"/>
    <mergeCell ref="J6:K6"/>
    <mergeCell ref="N6:O6"/>
    <mergeCell ref="P6:Q6"/>
    <mergeCell ref="R6:S6"/>
    <mergeCell ref="L6:M6"/>
    <mergeCell ref="H7:I7"/>
    <mergeCell ref="J7:K7"/>
    <mergeCell ref="N7:O7"/>
    <mergeCell ref="P7:Q7"/>
    <mergeCell ref="R7:S7"/>
    <mergeCell ref="L5:M5"/>
    <mergeCell ref="H5:I5"/>
    <mergeCell ref="J5:K5"/>
    <mergeCell ref="R8:S8"/>
    <mergeCell ref="L8:M8"/>
    <mergeCell ref="H9:I9"/>
    <mergeCell ref="J9:K9"/>
    <mergeCell ref="N9:O9"/>
    <mergeCell ref="P9:Q9"/>
    <mergeCell ref="R9:S9"/>
    <mergeCell ref="L9:M9"/>
    <mergeCell ref="H8:I8"/>
    <mergeCell ref="J8:K8"/>
    <mergeCell ref="N8:O8"/>
    <mergeCell ref="P8:Q8"/>
    <mergeCell ref="A85:B85"/>
    <mergeCell ref="A89:B89"/>
    <mergeCell ref="N5:O5"/>
    <mergeCell ref="P5:Q5"/>
    <mergeCell ref="A73:B73"/>
    <mergeCell ref="A77:B77"/>
    <mergeCell ref="A81:B81"/>
  </mergeCells>
  <conditionalFormatting sqref="H11:H18 J11:J18 L11:L18 N11:N18 P11:P18 R11:R18 H20:H65 J20:J65 L20:L65 N20:N65 P20:P65 R20:R65">
    <cfRule type="cellIs" dxfId="23" priority="1" operator="equal">
      <formula>"X"</formula>
    </cfRule>
    <cfRule type="cellIs" dxfId="22" priority="2" operator="equal">
      <formula>"I"</formula>
    </cfRule>
  </conditionalFormatting>
  <hyperlinks>
    <hyperlink ref="B4" location="'Cost Summary'!A1" display="BACK TO SUMMARY SHEET" xr:uid="{56ECAEB7-E0F4-4A17-979E-2A4BF433CBC4}"/>
    <hyperlink ref="H8" r:id="rId1" xr:uid="{549EA62E-4BB9-46B4-A7A8-BFC365F51D1A}"/>
    <hyperlink ref="J8" r:id="rId2" xr:uid="{0CA6A655-00E2-471F-B673-4BB09E445351}"/>
    <hyperlink ref="P8" r:id="rId3" xr:uid="{D2CE911A-B3D1-46CE-AF10-EFD909CAF486}"/>
    <hyperlink ref="R8" r:id="rId4" xr:uid="{2070FA6A-7CF5-4D6A-A9C3-5441C8155F78}"/>
    <hyperlink ref="N8" r:id="rId5" xr:uid="{DAE71AA7-5CD0-4317-82D1-BE9B91BB922D}"/>
    <hyperlink ref="L8" r:id="rId6" xr:uid="{C965ECFD-F9DB-4026-B0CD-5919F6BCCAC9}"/>
  </hyperlinks>
  <pageMargins left="0.2" right="0.2" top="0.5" bottom="0.75" header="0.3" footer="0.3"/>
  <pageSetup scale="91" fitToHeight="0" orientation="portrait" horizontalDpi="300" verticalDpi="300" r:id="rId7"/>
  <drawing r:id="rId8"/>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03C4-BE97-408C-8082-B9ABF76A3BBF}">
  <sheetPr>
    <tabColor rgb="FF00B050"/>
    <pageSetUpPr fitToPage="1"/>
  </sheetPr>
  <dimension ref="A1:AH93"/>
  <sheetViews>
    <sheetView zoomScale="90" zoomScaleNormal="90" workbookViewId="0">
      <pane xSplit="6" ySplit="10" topLeftCell="G11" activePane="bottomRight" state="frozen"/>
      <selection pane="bottomRight" activeCell="B4" sqref="B4"/>
      <selection pane="bottomLeft" activeCell="A11" sqref="A11"/>
      <selection pane="topRight" activeCell="G1" sqref="G1"/>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7127</v>
      </c>
      <c r="I5" s="838"/>
      <c r="J5" s="841"/>
      <c r="K5" s="842"/>
      <c r="L5" s="841"/>
      <c r="M5" s="842"/>
      <c r="N5" s="841"/>
      <c r="O5" s="842"/>
      <c r="P5" s="841"/>
      <c r="Q5" s="842"/>
      <c r="R5" s="841"/>
      <c r="S5" s="842"/>
    </row>
    <row r="6" spans="1:19">
      <c r="A6" s="3518" t="s">
        <v>2938</v>
      </c>
      <c r="B6" s="1945" t="s">
        <v>7128</v>
      </c>
      <c r="C6" s="1946"/>
      <c r="D6" s="1947"/>
      <c r="E6" s="1948"/>
      <c r="F6" s="1946"/>
      <c r="G6" s="657" t="s">
        <v>2939</v>
      </c>
      <c r="H6" s="3552" t="s">
        <v>7129</v>
      </c>
      <c r="I6" s="839"/>
      <c r="J6" s="3523"/>
      <c r="K6" s="843"/>
      <c r="L6" s="3523"/>
      <c r="M6" s="843"/>
      <c r="N6" s="3523"/>
      <c r="O6" s="843"/>
      <c r="P6" s="3523"/>
      <c r="Q6" s="843"/>
      <c r="R6" s="3523"/>
      <c r="S6" s="843"/>
    </row>
    <row r="7" spans="1:19">
      <c r="A7" s="3518" t="s">
        <v>2940</v>
      </c>
      <c r="B7" s="1951" t="s">
        <v>2688</v>
      </c>
      <c r="C7" s="1946"/>
      <c r="D7" s="1947"/>
      <c r="E7" s="1948"/>
      <c r="F7" s="1946"/>
      <c r="G7" s="1952" t="s">
        <v>2941</v>
      </c>
      <c r="H7" s="3553" t="s">
        <v>7130</v>
      </c>
      <c r="I7" s="840"/>
      <c r="J7" s="3526"/>
      <c r="K7" s="844"/>
      <c r="L7" s="3526"/>
      <c r="M7" s="844"/>
      <c r="N7" s="3526"/>
      <c r="O7" s="844"/>
      <c r="P7" s="3526"/>
      <c r="Q7" s="844"/>
      <c r="R7" s="3526"/>
      <c r="S7" s="844"/>
    </row>
    <row r="8" spans="1:19">
      <c r="A8" s="3518" t="s">
        <v>2942</v>
      </c>
      <c r="B8" s="1955"/>
      <c r="C8" s="1946"/>
      <c r="D8" s="1947"/>
      <c r="E8" s="1948"/>
      <c r="F8" s="1946"/>
      <c r="G8" s="1952" t="s">
        <v>2943</v>
      </c>
      <c r="H8" s="3555" t="s">
        <v>7131</v>
      </c>
      <c r="I8" s="836"/>
      <c r="J8" s="3528"/>
      <c r="K8" s="845"/>
      <c r="L8" s="3528"/>
      <c r="M8" s="845"/>
      <c r="N8" s="3528"/>
      <c r="O8" s="845"/>
      <c r="P8" s="3528"/>
      <c r="Q8" s="845"/>
      <c r="R8" s="3528"/>
      <c r="S8" s="845"/>
    </row>
    <row r="9" spans="1:19" ht="15.75" thickBot="1">
      <c r="A9" s="3223"/>
      <c r="B9" s="3224"/>
      <c r="C9" s="616"/>
      <c r="D9" s="621"/>
      <c r="E9" s="622"/>
      <c r="F9" s="3225"/>
      <c r="G9" s="3226" t="s">
        <v>2944</v>
      </c>
      <c r="H9" s="3227">
        <f t="shared" ref="H9" si="0">I$55</f>
        <v>206780</v>
      </c>
      <c r="I9" s="3228"/>
      <c r="J9" s="3229">
        <f>K$55</f>
        <v>0</v>
      </c>
      <c r="K9" s="3230"/>
      <c r="L9" s="3227">
        <f t="shared" ref="L9" si="1">M$55</f>
        <v>0</v>
      </c>
      <c r="M9" s="3228"/>
      <c r="N9" s="3227">
        <f t="shared" ref="N9" si="2">O$55</f>
        <v>0</v>
      </c>
      <c r="O9" s="3228"/>
      <c r="P9" s="3227">
        <f t="shared" ref="P9" si="3">Q$55</f>
        <v>0</v>
      </c>
      <c r="Q9" s="3228"/>
      <c r="R9" s="3227">
        <f t="shared" ref="R9" si="4">S$55</f>
        <v>0</v>
      </c>
      <c r="S9" s="322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626"/>
      <c r="B11" s="2889" t="s">
        <v>2953</v>
      </c>
      <c r="C11" s="659"/>
      <c r="D11" s="1947"/>
      <c r="E11" s="1948"/>
      <c r="F11" s="1946"/>
      <c r="G11" s="660"/>
      <c r="H11" s="3232"/>
      <c r="I11" s="182"/>
      <c r="J11" s="3232"/>
      <c r="K11" s="3627"/>
      <c r="L11" s="3232"/>
      <c r="M11" s="3628"/>
      <c r="N11" s="3232"/>
      <c r="O11" s="3628"/>
      <c r="P11" s="3232"/>
      <c r="Q11" s="3628"/>
      <c r="R11" s="3232"/>
      <c r="S11" s="3628"/>
    </row>
    <row r="12" spans="1:19">
      <c r="A12" s="3629"/>
      <c r="B12" s="2963" t="s">
        <v>2954</v>
      </c>
      <c r="C12" s="1946"/>
      <c r="D12" s="1947"/>
      <c r="E12" s="1948"/>
      <c r="F12" s="1946"/>
      <c r="G12" s="660"/>
      <c r="H12" s="3232"/>
      <c r="I12" s="3628"/>
      <c r="J12" s="3232"/>
      <c r="K12" s="3627"/>
      <c r="L12" s="3232"/>
      <c r="M12" s="3628"/>
      <c r="N12" s="3232"/>
      <c r="O12" s="3628"/>
      <c r="P12" s="3232"/>
      <c r="Q12" s="3628"/>
      <c r="R12" s="3232"/>
      <c r="S12" s="3628"/>
    </row>
    <row r="13" spans="1:19">
      <c r="A13" s="3538"/>
      <c r="B13" s="3630" t="s">
        <v>2955</v>
      </c>
      <c r="C13" s="1946"/>
      <c r="D13" s="1947"/>
      <c r="E13" s="1948"/>
      <c r="F13" s="1946"/>
      <c r="G13" s="660"/>
      <c r="H13" s="3232"/>
      <c r="I13" s="3628"/>
      <c r="J13" s="3232"/>
      <c r="K13" s="3627"/>
      <c r="L13" s="3232"/>
      <c r="M13" s="3628"/>
      <c r="N13" s="3232"/>
      <c r="O13" s="3628"/>
      <c r="P13" s="3232"/>
      <c r="Q13" s="3628"/>
      <c r="R13" s="3232"/>
      <c r="S13" s="3628"/>
    </row>
    <row r="14" spans="1:19">
      <c r="A14" s="3538"/>
      <c r="B14" s="3631" t="s">
        <v>2956</v>
      </c>
      <c r="C14" s="1946"/>
      <c r="D14" s="1947"/>
      <c r="E14" s="1948"/>
      <c r="F14" s="1946"/>
      <c r="G14" s="660"/>
      <c r="H14" s="3232"/>
      <c r="I14" s="3628"/>
      <c r="J14" s="3232"/>
      <c r="K14" s="3627"/>
      <c r="L14" s="3232"/>
      <c r="M14" s="3628"/>
      <c r="N14" s="3232"/>
      <c r="O14" s="3628"/>
      <c r="P14" s="3232"/>
      <c r="Q14" s="3628"/>
      <c r="R14" s="3232"/>
      <c r="S14" s="3628"/>
    </row>
    <row r="15" spans="1:19">
      <c r="A15" s="3538"/>
      <c r="B15" s="3631" t="s">
        <v>2957</v>
      </c>
      <c r="C15" s="1946"/>
      <c r="D15" s="1947"/>
      <c r="E15" s="1948"/>
      <c r="F15" s="1946"/>
      <c r="G15" s="660"/>
      <c r="H15" s="3232"/>
      <c r="I15" s="3627"/>
      <c r="J15" s="3232"/>
      <c r="K15" s="3627"/>
      <c r="L15" s="3232"/>
      <c r="M15" s="3627"/>
      <c r="N15" s="3232"/>
      <c r="O15" s="3627"/>
      <c r="P15" s="3232"/>
      <c r="Q15" s="3627"/>
      <c r="R15" s="3232"/>
      <c r="S15" s="3627"/>
    </row>
    <row r="16" spans="1:19">
      <c r="A16" s="3538"/>
      <c r="B16" s="3631" t="s">
        <v>2958</v>
      </c>
      <c r="C16" s="1946"/>
      <c r="D16" s="1947"/>
      <c r="E16" s="1948"/>
      <c r="F16" s="1946"/>
      <c r="G16" s="660"/>
      <c r="H16" s="3232"/>
      <c r="I16" s="3628"/>
      <c r="J16" s="3232"/>
      <c r="K16" s="3627"/>
      <c r="L16" s="3232"/>
      <c r="M16" s="3628"/>
      <c r="N16" s="3232"/>
      <c r="O16" s="3628"/>
      <c r="P16" s="3232"/>
      <c r="Q16" s="3628"/>
      <c r="R16" s="3232"/>
      <c r="S16" s="3628"/>
    </row>
    <row r="17" spans="1:19">
      <c r="A17" s="3538"/>
      <c r="B17" s="3631" t="s">
        <v>2959</v>
      </c>
      <c r="C17" s="1946"/>
      <c r="D17" s="1947"/>
      <c r="E17" s="1948"/>
      <c r="F17" s="1946"/>
      <c r="G17" s="660"/>
      <c r="H17" s="3232"/>
      <c r="I17" s="3628"/>
      <c r="J17" s="3232"/>
      <c r="K17" s="3627"/>
      <c r="L17" s="3232"/>
      <c r="M17" s="3628"/>
      <c r="N17" s="3232"/>
      <c r="O17" s="3628"/>
      <c r="P17" s="3232"/>
      <c r="Q17" s="3628"/>
      <c r="R17" s="3232"/>
      <c r="S17" s="3628"/>
    </row>
    <row r="18" spans="1:19">
      <c r="A18" s="3538"/>
      <c r="B18" s="3632" t="s">
        <v>2960</v>
      </c>
      <c r="C18" s="1946"/>
      <c r="D18" s="1947"/>
      <c r="E18" s="1948"/>
      <c r="F18" s="1946"/>
      <c r="G18" s="660"/>
      <c r="H18" s="3232"/>
      <c r="I18" s="3628"/>
      <c r="J18" s="3232"/>
      <c r="K18" s="3627"/>
      <c r="L18" s="3232"/>
      <c r="M18" s="3628"/>
      <c r="N18" s="3232"/>
      <c r="O18" s="3628"/>
      <c r="P18" s="3232"/>
      <c r="Q18" s="3628"/>
      <c r="R18" s="3232"/>
      <c r="S18" s="3628"/>
    </row>
    <row r="19" spans="1:19">
      <c r="A19" s="3538"/>
      <c r="B19" s="3633" t="s">
        <v>2961</v>
      </c>
      <c r="C19" s="1968"/>
      <c r="D19" s="1969"/>
      <c r="E19" s="1970"/>
      <c r="F19" s="1971"/>
      <c r="G19" s="661"/>
      <c r="H19" s="3245"/>
      <c r="I19" s="3634"/>
      <c r="J19" s="3245"/>
      <c r="K19" s="3635"/>
      <c r="L19" s="3245"/>
      <c r="M19" s="3634"/>
      <c r="N19" s="3245"/>
      <c r="O19" s="3634"/>
      <c r="P19" s="3245"/>
      <c r="Q19" s="3634"/>
      <c r="R19" s="3245"/>
      <c r="S19" s="3634"/>
    </row>
    <row r="20" spans="1:19">
      <c r="A20" s="3538"/>
      <c r="B20" s="3636"/>
      <c r="C20" s="1946"/>
      <c r="D20" s="1947"/>
      <c r="E20" s="1948"/>
      <c r="F20" s="1973"/>
      <c r="G20" s="660"/>
      <c r="H20" s="3232"/>
      <c r="I20" s="3637"/>
      <c r="J20" s="3232"/>
      <c r="K20" s="3638"/>
      <c r="L20" s="3232"/>
      <c r="M20" s="3637"/>
      <c r="N20" s="3232"/>
      <c r="O20" s="3637"/>
      <c r="P20" s="3232"/>
      <c r="Q20" s="3637"/>
      <c r="R20" s="3232"/>
      <c r="S20" s="3637"/>
    </row>
    <row r="21" spans="1:19">
      <c r="A21" s="3538"/>
      <c r="B21" s="3639" t="s">
        <v>377</v>
      </c>
      <c r="C21" s="1946"/>
      <c r="D21" s="1947"/>
      <c r="E21" s="1948"/>
      <c r="F21" s="1973"/>
      <c r="G21" s="660"/>
      <c r="H21" s="3232"/>
      <c r="I21" s="3640">
        <f>SUBTOTAL(9,I22:I49)</f>
        <v>206780</v>
      </c>
      <c r="J21" s="3232"/>
      <c r="K21" s="3638"/>
      <c r="L21" s="3232"/>
      <c r="M21" s="3637"/>
      <c r="N21" s="3232"/>
      <c r="O21" s="3637"/>
      <c r="P21" s="3232"/>
      <c r="Q21" s="3637"/>
      <c r="R21" s="3232"/>
      <c r="S21" s="3637"/>
    </row>
    <row r="22" spans="1:19">
      <c r="A22" s="3538"/>
      <c r="B22" s="3639"/>
      <c r="C22" s="1946"/>
      <c r="D22" s="1947"/>
      <c r="E22" s="1948"/>
      <c r="F22" s="1973"/>
      <c r="G22" s="660"/>
      <c r="H22" s="3232"/>
      <c r="I22" s="3638">
        <f>G22</f>
        <v>0</v>
      </c>
      <c r="J22" s="3232"/>
      <c r="K22" s="3638"/>
      <c r="L22" s="3232"/>
      <c r="M22" s="3637"/>
      <c r="N22" s="3232"/>
      <c r="O22" s="3637"/>
      <c r="P22" s="3232"/>
      <c r="Q22" s="3637"/>
      <c r="R22" s="3232"/>
      <c r="S22" s="3637"/>
    </row>
    <row r="23" spans="1:19">
      <c r="A23" s="3538"/>
      <c r="B23" s="3636" t="s">
        <v>7132</v>
      </c>
      <c r="C23" s="1946"/>
      <c r="D23" s="1947"/>
      <c r="E23" s="1948"/>
      <c r="F23" s="1973"/>
      <c r="G23" s="662">
        <f t="shared" ref="G23:G37" si="5">ROUND(D23*F23,0)</f>
        <v>0</v>
      </c>
      <c r="H23" s="3232"/>
      <c r="I23" s="3638">
        <f>G23</f>
        <v>0</v>
      </c>
      <c r="J23" s="3232"/>
      <c r="K23" s="3638"/>
      <c r="L23" s="3232"/>
      <c r="M23" s="3637"/>
      <c r="N23" s="3232"/>
      <c r="O23" s="3637"/>
      <c r="P23" s="3232"/>
      <c r="Q23" s="3637"/>
      <c r="R23" s="3232"/>
      <c r="S23" s="3637"/>
    </row>
    <row r="24" spans="1:19">
      <c r="A24" s="3538"/>
      <c r="B24" s="3636" t="s">
        <v>7133</v>
      </c>
      <c r="C24" s="1946"/>
      <c r="D24" s="1947"/>
      <c r="E24" s="1948"/>
      <c r="F24" s="1973"/>
      <c r="G24" s="662">
        <f t="shared" si="5"/>
        <v>0</v>
      </c>
      <c r="H24" s="3232"/>
      <c r="I24" s="3638">
        <f t="shared" ref="I24:I37" si="6">G24</f>
        <v>0</v>
      </c>
      <c r="J24" s="3232"/>
      <c r="K24" s="3638"/>
      <c r="L24" s="3232"/>
      <c r="M24" s="3637"/>
      <c r="N24" s="3232"/>
      <c r="O24" s="3637"/>
      <c r="P24" s="3232"/>
      <c r="Q24" s="3637"/>
      <c r="R24" s="3232"/>
      <c r="S24" s="3637"/>
    </row>
    <row r="25" spans="1:19">
      <c r="A25" s="3538"/>
      <c r="B25" s="3641" t="s">
        <v>7134</v>
      </c>
      <c r="C25" s="1946" t="s">
        <v>7135</v>
      </c>
      <c r="D25" s="1947">
        <v>1048</v>
      </c>
      <c r="E25" s="1948" t="s">
        <v>2864</v>
      </c>
      <c r="F25" s="1973"/>
      <c r="G25" s="662">
        <f t="shared" si="5"/>
        <v>0</v>
      </c>
      <c r="H25" s="3232"/>
      <c r="I25" s="3638">
        <v>103980</v>
      </c>
      <c r="J25" s="3232"/>
      <c r="K25" s="3638"/>
      <c r="L25" s="3232"/>
      <c r="M25" s="3637"/>
      <c r="N25" s="3232"/>
      <c r="O25" s="3637"/>
      <c r="P25" s="3232"/>
      <c r="Q25" s="3637"/>
      <c r="R25" s="3232"/>
      <c r="S25" s="3637"/>
    </row>
    <row r="26" spans="1:19">
      <c r="A26" s="3538"/>
      <c r="B26" s="3641"/>
      <c r="C26" s="1946"/>
      <c r="D26" s="1947"/>
      <c r="E26" s="1948"/>
      <c r="F26" s="1973"/>
      <c r="G26" s="662">
        <f t="shared" si="5"/>
        <v>0</v>
      </c>
      <c r="H26" s="3232"/>
      <c r="I26" s="3638">
        <f t="shared" si="6"/>
        <v>0</v>
      </c>
      <c r="J26" s="3232"/>
      <c r="K26" s="3638"/>
      <c r="L26" s="3232"/>
      <c r="M26" s="3637"/>
      <c r="N26" s="3232"/>
      <c r="O26" s="3637"/>
      <c r="P26" s="3232"/>
      <c r="Q26" s="3637"/>
      <c r="R26" s="3232"/>
      <c r="S26" s="3637"/>
    </row>
    <row r="27" spans="1:19">
      <c r="A27" s="3538"/>
      <c r="B27" s="3642" t="s">
        <v>7136</v>
      </c>
      <c r="C27" s="1946" t="s">
        <v>7137</v>
      </c>
      <c r="D27" s="1947"/>
      <c r="E27" s="1948"/>
      <c r="F27" s="1973"/>
      <c r="G27" s="662">
        <f t="shared" si="5"/>
        <v>0</v>
      </c>
      <c r="H27" s="3232"/>
      <c r="I27" s="3638">
        <v>4880</v>
      </c>
      <c r="J27" s="3232"/>
      <c r="K27" s="3638"/>
      <c r="L27" s="3232"/>
      <c r="M27" s="3637"/>
      <c r="N27" s="3232"/>
      <c r="O27" s="3637"/>
      <c r="P27" s="3232"/>
      <c r="Q27" s="3637"/>
      <c r="R27" s="3232"/>
      <c r="S27" s="3637"/>
    </row>
    <row r="28" spans="1:19">
      <c r="A28" s="3538"/>
      <c r="B28" s="3641" t="s">
        <v>7138</v>
      </c>
      <c r="C28" s="1946"/>
      <c r="D28" s="1947">
        <v>3</v>
      </c>
      <c r="E28" s="1948" t="s">
        <v>2803</v>
      </c>
      <c r="F28" s="1973">
        <v>500</v>
      </c>
      <c r="G28" s="662">
        <f t="shared" si="5"/>
        <v>1500</v>
      </c>
      <c r="H28" s="3232"/>
      <c r="I28" s="3643">
        <f>$G28</f>
        <v>1500</v>
      </c>
      <c r="J28" s="3232"/>
      <c r="K28" s="3638"/>
      <c r="L28" s="3232"/>
      <c r="M28" s="3637"/>
      <c r="N28" s="3232"/>
      <c r="O28" s="3637"/>
      <c r="P28" s="3232"/>
      <c r="Q28" s="3637"/>
      <c r="R28" s="3232"/>
      <c r="S28" s="3637"/>
    </row>
    <row r="29" spans="1:19">
      <c r="A29" s="3538"/>
      <c r="B29" s="3641" t="s">
        <v>7139</v>
      </c>
      <c r="C29" s="1946"/>
      <c r="D29" s="1947">
        <v>3</v>
      </c>
      <c r="E29" s="1948" t="s">
        <v>2803</v>
      </c>
      <c r="F29" s="1973"/>
      <c r="G29" s="662">
        <f t="shared" si="5"/>
        <v>0</v>
      </c>
      <c r="H29" s="3232" t="s">
        <v>2931</v>
      </c>
      <c r="I29" s="3638">
        <f t="shared" si="6"/>
        <v>0</v>
      </c>
      <c r="J29" s="3232"/>
      <c r="K29" s="3638"/>
      <c r="L29" s="3232"/>
      <c r="M29" s="3637"/>
      <c r="N29" s="3232"/>
      <c r="O29" s="3637"/>
      <c r="P29" s="3232"/>
      <c r="Q29" s="3637"/>
      <c r="R29" s="3232"/>
      <c r="S29" s="3637"/>
    </row>
    <row r="30" spans="1:19">
      <c r="A30" s="3538"/>
      <c r="B30" s="3636"/>
      <c r="C30" s="1946"/>
      <c r="D30" s="1947"/>
      <c r="E30" s="1948"/>
      <c r="F30" s="1973"/>
      <c r="G30" s="662">
        <f t="shared" si="5"/>
        <v>0</v>
      </c>
      <c r="H30" s="3232"/>
      <c r="I30" s="3638">
        <f t="shared" si="6"/>
        <v>0</v>
      </c>
      <c r="J30" s="3232"/>
      <c r="K30" s="3638"/>
      <c r="L30" s="3232"/>
      <c r="M30" s="3637"/>
      <c r="N30" s="3232"/>
      <c r="O30" s="3637"/>
      <c r="P30" s="3232"/>
      <c r="Q30" s="3637"/>
      <c r="R30" s="3232"/>
      <c r="S30" s="3637"/>
    </row>
    <row r="31" spans="1:19">
      <c r="A31" s="3466" t="s">
        <v>3585</v>
      </c>
      <c r="B31" s="3636" t="s">
        <v>7140</v>
      </c>
      <c r="C31" s="1946" t="s">
        <v>7141</v>
      </c>
      <c r="D31" s="1947">
        <v>1</v>
      </c>
      <c r="E31" s="1948" t="s">
        <v>2803</v>
      </c>
      <c r="F31" s="1973">
        <v>25000</v>
      </c>
      <c r="G31" s="670">
        <f t="shared" si="5"/>
        <v>25000</v>
      </c>
      <c r="H31" s="3232"/>
      <c r="I31" s="3644">
        <f t="shared" si="6"/>
        <v>25000</v>
      </c>
      <c r="J31" s="3232"/>
      <c r="K31" s="3638"/>
      <c r="L31" s="3232"/>
      <c r="M31" s="3637"/>
      <c r="N31" s="3232"/>
      <c r="O31" s="3637"/>
      <c r="P31" s="3232"/>
      <c r="Q31" s="3637"/>
      <c r="R31" s="3232"/>
      <c r="S31" s="3637"/>
    </row>
    <row r="32" spans="1:19">
      <c r="A32" s="3538"/>
      <c r="B32" s="3641" t="s">
        <v>7142</v>
      </c>
      <c r="C32" s="1946"/>
      <c r="D32" s="1947"/>
      <c r="E32" s="1948"/>
      <c r="F32" s="1973"/>
      <c r="G32" s="662">
        <f t="shared" si="5"/>
        <v>0</v>
      </c>
      <c r="H32" s="3232"/>
      <c r="I32" s="3638">
        <f t="shared" si="6"/>
        <v>0</v>
      </c>
      <c r="J32" s="3232"/>
      <c r="K32" s="3638"/>
      <c r="L32" s="3232"/>
      <c r="M32" s="3637"/>
      <c r="N32" s="3232"/>
      <c r="O32" s="3637"/>
      <c r="P32" s="3232"/>
      <c r="Q32" s="3637"/>
      <c r="R32" s="3232"/>
      <c r="S32" s="3637"/>
    </row>
    <row r="33" spans="1:19">
      <c r="A33" s="3538"/>
      <c r="B33" s="3641" t="s">
        <v>7143</v>
      </c>
      <c r="C33" s="1946"/>
      <c r="D33" s="1947"/>
      <c r="E33" s="1948"/>
      <c r="F33" s="1973"/>
      <c r="G33" s="662">
        <f t="shared" si="5"/>
        <v>0</v>
      </c>
      <c r="H33" s="3232"/>
      <c r="I33" s="3638">
        <f t="shared" si="6"/>
        <v>0</v>
      </c>
      <c r="J33" s="3232"/>
      <c r="K33" s="3638"/>
      <c r="L33" s="3232"/>
      <c r="M33" s="3637"/>
      <c r="N33" s="3232"/>
      <c r="O33" s="3637"/>
      <c r="P33" s="3232"/>
      <c r="Q33" s="3637"/>
      <c r="R33" s="3232"/>
      <c r="S33" s="3637"/>
    </row>
    <row r="34" spans="1:19">
      <c r="A34" s="3538"/>
      <c r="B34" s="3636"/>
      <c r="C34" s="1946"/>
      <c r="D34" s="1947"/>
      <c r="E34" s="1948"/>
      <c r="F34" s="1973"/>
      <c r="G34" s="662">
        <f t="shared" si="5"/>
        <v>0</v>
      </c>
      <c r="H34" s="3232"/>
      <c r="I34" s="3638">
        <f t="shared" si="6"/>
        <v>0</v>
      </c>
      <c r="J34" s="3232"/>
      <c r="K34" s="3638"/>
      <c r="L34" s="3232"/>
      <c r="M34" s="3637"/>
      <c r="N34" s="3232"/>
      <c r="O34" s="3637"/>
      <c r="P34" s="3232"/>
      <c r="Q34" s="3637"/>
      <c r="R34" s="3232"/>
      <c r="S34" s="3637"/>
    </row>
    <row r="35" spans="1:19">
      <c r="A35" s="3538"/>
      <c r="B35" s="3636" t="s">
        <v>7144</v>
      </c>
      <c r="C35" s="1946" t="s">
        <v>7145</v>
      </c>
      <c r="D35" s="1947"/>
      <c r="E35" s="1948"/>
      <c r="F35" s="1973"/>
      <c r="G35" s="662">
        <f t="shared" si="5"/>
        <v>0</v>
      </c>
      <c r="H35" s="3232"/>
      <c r="I35" s="3638">
        <f t="shared" si="6"/>
        <v>0</v>
      </c>
      <c r="J35" s="3232"/>
      <c r="K35" s="3638"/>
      <c r="L35" s="3232"/>
      <c r="M35" s="3637"/>
      <c r="N35" s="3232"/>
      <c r="O35" s="3637"/>
      <c r="P35" s="3232"/>
      <c r="Q35" s="3637"/>
      <c r="R35" s="3232"/>
      <c r="S35" s="3637"/>
    </row>
    <row r="36" spans="1:19">
      <c r="A36" s="3538"/>
      <c r="B36" s="3641" t="s">
        <v>7146</v>
      </c>
      <c r="C36" s="1946"/>
      <c r="D36" s="1947">
        <v>620</v>
      </c>
      <c r="E36" s="1948" t="s">
        <v>2864</v>
      </c>
      <c r="F36" s="1973"/>
      <c r="G36" s="662">
        <f t="shared" si="5"/>
        <v>0</v>
      </c>
      <c r="H36" s="3232"/>
      <c r="I36" s="3638">
        <v>45440</v>
      </c>
      <c r="J36" s="3232"/>
      <c r="K36" s="3638"/>
      <c r="L36" s="3232"/>
      <c r="M36" s="3637"/>
      <c r="N36" s="3232"/>
      <c r="O36" s="3637"/>
      <c r="P36" s="3232"/>
      <c r="Q36" s="3637"/>
      <c r="R36" s="3232"/>
      <c r="S36" s="3637"/>
    </row>
    <row r="37" spans="1:19">
      <c r="A37" s="3538"/>
      <c r="B37" s="3641" t="s">
        <v>7147</v>
      </c>
      <c r="C37" s="1946"/>
      <c r="D37" s="1947">
        <v>83</v>
      </c>
      <c r="E37" s="1948" t="s">
        <v>2803</v>
      </c>
      <c r="F37" s="1973"/>
      <c r="G37" s="662">
        <f t="shared" si="5"/>
        <v>0</v>
      </c>
      <c r="H37" s="3232"/>
      <c r="I37" s="3638">
        <f t="shared" si="6"/>
        <v>0</v>
      </c>
      <c r="J37" s="3232"/>
      <c r="K37" s="3638"/>
      <c r="L37" s="3232"/>
      <c r="M37" s="3637"/>
      <c r="N37" s="3232"/>
      <c r="O37" s="3637"/>
      <c r="P37" s="3232"/>
      <c r="Q37" s="3637"/>
      <c r="R37" s="3232"/>
      <c r="S37" s="3637"/>
    </row>
    <row r="38" spans="1:19">
      <c r="A38" s="3538"/>
      <c r="B38" s="3636"/>
      <c r="C38" s="1946"/>
      <c r="D38" s="1947"/>
      <c r="E38" s="1948"/>
      <c r="F38" s="1973"/>
      <c r="G38" s="662">
        <f t="shared" ref="G38:G49" si="7">ROUND(D38*F38,0)</f>
        <v>0</v>
      </c>
      <c r="H38" s="3232"/>
      <c r="I38" s="3638">
        <f>G38</f>
        <v>0</v>
      </c>
      <c r="J38" s="3232"/>
      <c r="K38" s="3638"/>
      <c r="L38" s="3232"/>
      <c r="M38" s="3637"/>
      <c r="N38" s="3232"/>
      <c r="O38" s="3637"/>
      <c r="P38" s="3232"/>
      <c r="Q38" s="3637"/>
      <c r="R38" s="3232"/>
      <c r="S38" s="3637"/>
    </row>
    <row r="39" spans="1:19">
      <c r="A39" s="3538"/>
      <c r="B39" s="3645" t="s">
        <v>7148</v>
      </c>
      <c r="C39" s="1946" t="s">
        <v>7149</v>
      </c>
      <c r="D39" s="3646">
        <v>192</v>
      </c>
      <c r="E39" s="1948" t="s">
        <v>2864</v>
      </c>
      <c r="F39" s="3647"/>
      <c r="G39" s="662">
        <f>ROUND(D39*F39,0)</f>
        <v>0</v>
      </c>
      <c r="H39" s="3232"/>
      <c r="I39" s="3638">
        <v>25980</v>
      </c>
      <c r="J39" s="3232"/>
      <c r="K39" s="3637"/>
      <c r="L39" s="3232"/>
      <c r="M39" s="3637"/>
      <c r="N39" s="3232"/>
      <c r="O39" s="3637"/>
      <c r="P39" s="3232"/>
      <c r="Q39" s="3637"/>
      <c r="R39" s="3232"/>
      <c r="S39" s="3637"/>
    </row>
    <row r="40" spans="1:19">
      <c r="A40" s="3538"/>
      <c r="B40" s="3636"/>
      <c r="C40" s="1946"/>
      <c r="D40" s="1947"/>
      <c r="E40" s="1948"/>
      <c r="F40" s="1973"/>
      <c r="G40" s="662">
        <f t="shared" si="7"/>
        <v>0</v>
      </c>
      <c r="H40" s="3232"/>
      <c r="I40" s="3638">
        <f t="shared" ref="I40:I49" si="8">G40</f>
        <v>0</v>
      </c>
      <c r="J40" s="3232"/>
      <c r="K40" s="3638"/>
      <c r="L40" s="3232"/>
      <c r="M40" s="3637"/>
      <c r="N40" s="3232"/>
      <c r="O40" s="3637"/>
      <c r="P40" s="3232"/>
      <c r="Q40" s="3637"/>
      <c r="R40" s="3232"/>
      <c r="S40" s="3637"/>
    </row>
    <row r="41" spans="1:19">
      <c r="A41" s="3538"/>
      <c r="B41" s="3636"/>
      <c r="C41" s="1946"/>
      <c r="D41" s="1947"/>
      <c r="E41" s="1948"/>
      <c r="F41" s="1973"/>
      <c r="G41" s="662">
        <f t="shared" si="7"/>
        <v>0</v>
      </c>
      <c r="H41" s="3232"/>
      <c r="I41" s="3638">
        <f t="shared" si="8"/>
        <v>0</v>
      </c>
      <c r="J41" s="3232"/>
      <c r="K41" s="3638"/>
      <c r="L41" s="3232"/>
      <c r="M41" s="3637"/>
      <c r="N41" s="3232"/>
      <c r="O41" s="3637"/>
      <c r="P41" s="3232"/>
      <c r="Q41" s="3637"/>
      <c r="R41" s="3232"/>
      <c r="S41" s="3637"/>
    </row>
    <row r="42" spans="1:19">
      <c r="A42" s="3538"/>
      <c r="B42" s="3636"/>
      <c r="C42" s="1946"/>
      <c r="D42" s="1947"/>
      <c r="E42" s="1948"/>
      <c r="F42" s="1973"/>
      <c r="G42" s="662">
        <f t="shared" si="7"/>
        <v>0</v>
      </c>
      <c r="H42" s="3232"/>
      <c r="I42" s="3638">
        <f t="shared" si="8"/>
        <v>0</v>
      </c>
      <c r="J42" s="3232"/>
      <c r="K42" s="3638"/>
      <c r="L42" s="3232"/>
      <c r="M42" s="3637"/>
      <c r="N42" s="3232"/>
      <c r="O42" s="3637"/>
      <c r="P42" s="3232"/>
      <c r="Q42" s="3637"/>
      <c r="R42" s="3232"/>
      <c r="S42" s="3637"/>
    </row>
    <row r="43" spans="1:19">
      <c r="A43" s="3538"/>
      <c r="B43" s="3636"/>
      <c r="C43" s="1946"/>
      <c r="D43" s="1947"/>
      <c r="E43" s="1948"/>
      <c r="F43" s="1973"/>
      <c r="G43" s="662">
        <f t="shared" si="7"/>
        <v>0</v>
      </c>
      <c r="H43" s="3232"/>
      <c r="I43" s="3638">
        <f t="shared" si="8"/>
        <v>0</v>
      </c>
      <c r="J43" s="3232"/>
      <c r="K43" s="3638"/>
      <c r="L43" s="3232"/>
      <c r="M43" s="3637"/>
      <c r="N43" s="3232"/>
      <c r="O43" s="3637"/>
      <c r="P43" s="3232"/>
      <c r="Q43" s="3637"/>
      <c r="R43" s="3232"/>
      <c r="S43" s="3637"/>
    </row>
    <row r="44" spans="1:19">
      <c r="A44" s="3538"/>
      <c r="B44" s="3636"/>
      <c r="C44" s="1946"/>
      <c r="D44" s="1947"/>
      <c r="E44" s="1948"/>
      <c r="F44" s="1973"/>
      <c r="G44" s="662">
        <f t="shared" si="7"/>
        <v>0</v>
      </c>
      <c r="H44" s="3232"/>
      <c r="I44" s="3638">
        <f t="shared" si="8"/>
        <v>0</v>
      </c>
      <c r="J44" s="3232"/>
      <c r="K44" s="3638"/>
      <c r="L44" s="3232"/>
      <c r="M44" s="3637"/>
      <c r="N44" s="3232"/>
      <c r="O44" s="3637"/>
      <c r="P44" s="3232"/>
      <c r="Q44" s="3637"/>
      <c r="R44" s="3232"/>
      <c r="S44" s="3637"/>
    </row>
    <row r="45" spans="1:19">
      <c r="A45" s="3538"/>
      <c r="B45" s="3636"/>
      <c r="C45" s="1946"/>
      <c r="D45" s="1947"/>
      <c r="E45" s="1948"/>
      <c r="F45" s="1973"/>
      <c r="G45" s="662">
        <f t="shared" si="7"/>
        <v>0</v>
      </c>
      <c r="H45" s="3232"/>
      <c r="I45" s="3638">
        <f t="shared" si="8"/>
        <v>0</v>
      </c>
      <c r="J45" s="3232"/>
      <c r="K45" s="3638"/>
      <c r="L45" s="3232"/>
      <c r="M45" s="3637"/>
      <c r="N45" s="3232"/>
      <c r="O45" s="3637"/>
      <c r="P45" s="3232"/>
      <c r="Q45" s="3637"/>
      <c r="R45" s="3232"/>
      <c r="S45" s="3637"/>
    </row>
    <row r="46" spans="1:19">
      <c r="A46" s="3538"/>
      <c r="B46" s="3636"/>
      <c r="C46" s="1946"/>
      <c r="D46" s="1947"/>
      <c r="E46" s="1948"/>
      <c r="F46" s="1973"/>
      <c r="G46" s="662">
        <f t="shared" si="7"/>
        <v>0</v>
      </c>
      <c r="H46" s="3232"/>
      <c r="I46" s="3638">
        <f t="shared" si="8"/>
        <v>0</v>
      </c>
      <c r="J46" s="3232"/>
      <c r="K46" s="3638"/>
      <c r="L46" s="3232"/>
      <c r="M46" s="3637"/>
      <c r="N46" s="3232"/>
      <c r="O46" s="3637"/>
      <c r="P46" s="3232"/>
      <c r="Q46" s="3637"/>
      <c r="R46" s="3232"/>
      <c r="S46" s="3637"/>
    </row>
    <row r="47" spans="1:19">
      <c r="A47" s="3538"/>
      <c r="B47" s="3636"/>
      <c r="C47" s="1946"/>
      <c r="D47" s="1947"/>
      <c r="E47" s="1948"/>
      <c r="F47" s="1973"/>
      <c r="G47" s="662">
        <f t="shared" si="7"/>
        <v>0</v>
      </c>
      <c r="H47" s="3232"/>
      <c r="I47" s="3638">
        <f t="shared" si="8"/>
        <v>0</v>
      </c>
      <c r="J47" s="3232"/>
      <c r="K47" s="3638"/>
      <c r="L47" s="3232"/>
      <c r="M47" s="3637"/>
      <c r="N47" s="3232"/>
      <c r="O47" s="3637"/>
      <c r="P47" s="3232"/>
      <c r="Q47" s="3637"/>
      <c r="R47" s="3232"/>
      <c r="S47" s="3637"/>
    </row>
    <row r="48" spans="1:19">
      <c r="A48" s="3538"/>
      <c r="B48" s="3636"/>
      <c r="C48" s="1946"/>
      <c r="D48" s="1947"/>
      <c r="E48" s="1948"/>
      <c r="F48" s="1973"/>
      <c r="G48" s="662">
        <f t="shared" si="7"/>
        <v>0</v>
      </c>
      <c r="H48" s="3232"/>
      <c r="I48" s="3638">
        <f t="shared" si="8"/>
        <v>0</v>
      </c>
      <c r="J48" s="3232"/>
      <c r="K48" s="3638"/>
      <c r="L48" s="3232"/>
      <c r="M48" s="3637"/>
      <c r="N48" s="3232"/>
      <c r="O48" s="3637"/>
      <c r="P48" s="3232"/>
      <c r="Q48" s="3637"/>
      <c r="R48" s="3232"/>
      <c r="S48" s="3637"/>
    </row>
    <row r="49" spans="1:34">
      <c r="A49" s="3538"/>
      <c r="B49" s="3636"/>
      <c r="C49" s="1946"/>
      <c r="D49" s="1947"/>
      <c r="E49" s="1948"/>
      <c r="F49" s="1973"/>
      <c r="G49" s="662">
        <f t="shared" si="7"/>
        <v>0</v>
      </c>
      <c r="H49" s="3232"/>
      <c r="I49" s="3638">
        <f t="shared" si="8"/>
        <v>0</v>
      </c>
      <c r="J49" s="3232"/>
      <c r="K49" s="3638"/>
      <c r="L49" s="3232"/>
      <c r="M49" s="3637"/>
      <c r="N49" s="3232"/>
      <c r="O49" s="3637"/>
      <c r="P49" s="3232"/>
      <c r="Q49" s="3637"/>
      <c r="R49" s="3232"/>
      <c r="S49" s="3637"/>
    </row>
    <row r="50" spans="1:34" ht="15.75" thickBot="1">
      <c r="A50" s="3538"/>
      <c r="B50" s="3648"/>
      <c r="C50" s="3649"/>
      <c r="D50" s="3650"/>
      <c r="E50" s="1948"/>
      <c r="F50" s="3647"/>
      <c r="G50" s="662"/>
      <c r="H50" s="3232"/>
      <c r="I50" s="3638"/>
      <c r="J50" s="3232"/>
      <c r="K50" s="3638"/>
      <c r="L50" s="3232"/>
      <c r="M50" s="3638"/>
      <c r="N50" s="3232"/>
      <c r="O50" s="3638"/>
      <c r="P50" s="3232"/>
      <c r="Q50" s="3638"/>
      <c r="R50" s="3232"/>
      <c r="S50" s="3638"/>
    </row>
    <row r="51" spans="1:34" ht="15.75" thickTop="1">
      <c r="A51" s="13"/>
      <c r="B51" s="226" t="s">
        <v>3265</v>
      </c>
      <c r="C51" s="15"/>
      <c r="D51" s="168"/>
      <c r="E51" s="176"/>
      <c r="F51" s="17"/>
      <c r="G51" s="227">
        <f>SUBTOTAL(9,G23:G50)</f>
        <v>26500</v>
      </c>
      <c r="H51" s="19"/>
      <c r="I51" s="225">
        <f>SUBTOTAL(9,I23:I50)</f>
        <v>206780</v>
      </c>
      <c r="J51" s="19"/>
      <c r="K51" s="225">
        <f>SUBTOTAL(9,K23:K50)</f>
        <v>0</v>
      </c>
      <c r="L51" s="19"/>
      <c r="M51" s="225">
        <f>SUBTOTAL(9,M23:M50)</f>
        <v>0</v>
      </c>
      <c r="N51" s="19"/>
      <c r="O51" s="164">
        <f>SUM(O19:O50)</f>
        <v>0</v>
      </c>
      <c r="P51" s="19"/>
      <c r="Q51" s="164">
        <f>SUM(Q19:Q50)</f>
        <v>0</v>
      </c>
      <c r="R51" s="19"/>
      <c r="S51" s="164">
        <f>SUM(S19:S50)</f>
        <v>0</v>
      </c>
    </row>
    <row r="52" spans="1:34">
      <c r="A52" s="3651"/>
      <c r="B52" s="3652" t="s">
        <v>2976</v>
      </c>
      <c r="C52" s="3653"/>
      <c r="D52" s="3654"/>
      <c r="E52" s="3655"/>
      <c r="F52" s="3656"/>
      <c r="G52" s="654"/>
      <c r="H52" s="3425">
        <v>0</v>
      </c>
      <c r="I52" s="645"/>
      <c r="J52" s="3425">
        <v>0</v>
      </c>
      <c r="K52" s="645"/>
      <c r="L52" s="3425">
        <v>0</v>
      </c>
      <c r="M52" s="645"/>
      <c r="N52" s="3425">
        <v>0</v>
      </c>
      <c r="O52" s="645"/>
      <c r="P52" s="3425">
        <v>0</v>
      </c>
      <c r="Q52" s="645"/>
      <c r="R52" s="3425">
        <v>0</v>
      </c>
      <c r="S52" s="645"/>
    </row>
    <row r="53" spans="1:34">
      <c r="A53" s="3651"/>
      <c r="B53" s="3652" t="s">
        <v>2977</v>
      </c>
      <c r="C53" s="3653"/>
      <c r="D53" s="3654"/>
      <c r="E53" s="3655"/>
      <c r="F53" s="3656"/>
      <c r="G53" s="654">
        <f>F52*G51</f>
        <v>0</v>
      </c>
      <c r="H53" s="3426"/>
      <c r="I53" s="3427">
        <f>H52*I51</f>
        <v>0</v>
      </c>
      <c r="J53" s="3426"/>
      <c r="K53" s="3427">
        <f>J52*K51</f>
        <v>0</v>
      </c>
      <c r="L53" s="3426"/>
      <c r="M53" s="3427">
        <f>L52*M51</f>
        <v>0</v>
      </c>
      <c r="N53" s="3426"/>
      <c r="O53" s="3427">
        <f>N52*O51</f>
        <v>0</v>
      </c>
      <c r="P53" s="3426"/>
      <c r="Q53" s="3427">
        <f>P52*Q51</f>
        <v>0</v>
      </c>
      <c r="R53" s="3426"/>
      <c r="S53" s="3427">
        <f>R52*S51</f>
        <v>0</v>
      </c>
    </row>
    <row r="54" spans="1:34">
      <c r="A54" s="3651"/>
      <c r="B54" s="3652"/>
      <c r="C54" s="3653"/>
      <c r="D54" s="3654"/>
      <c r="E54" s="3655"/>
      <c r="F54" s="3656"/>
      <c r="G54" s="654"/>
      <c r="H54" s="3426"/>
      <c r="I54" s="3427"/>
      <c r="J54" s="3426"/>
      <c r="K54" s="3427"/>
      <c r="L54" s="3426"/>
      <c r="M54" s="3427"/>
      <c r="N54" s="3426"/>
      <c r="O54" s="3427"/>
      <c r="P54" s="3426"/>
      <c r="Q54" s="3427"/>
      <c r="R54" s="3426"/>
      <c r="S54" s="3427"/>
    </row>
    <row r="55" spans="1:34">
      <c r="A55" s="3651"/>
      <c r="B55" s="3652" t="s">
        <v>2978</v>
      </c>
      <c r="C55" s="3653"/>
      <c r="D55" s="3654"/>
      <c r="E55" s="3655"/>
      <c r="F55" s="3656"/>
      <c r="G55" s="654">
        <f>SUM(G51:G53)</f>
        <v>26500</v>
      </c>
      <c r="H55" s="3428"/>
      <c r="I55" s="3427">
        <f>SUM(I51:I53)</f>
        <v>206780</v>
      </c>
      <c r="J55" s="3428"/>
      <c r="K55" s="3427">
        <f>SUM(K51:K53)</f>
        <v>0</v>
      </c>
      <c r="L55" s="3428"/>
      <c r="M55" s="3427">
        <f>SUM(M51:M53)</f>
        <v>0</v>
      </c>
      <c r="N55" s="3428"/>
      <c r="O55" s="3427">
        <f>SUM(O51:O53)</f>
        <v>0</v>
      </c>
      <c r="P55" s="3428"/>
      <c r="Q55" s="3427">
        <f>SUM(Q51:Q53)</f>
        <v>0</v>
      </c>
      <c r="R55" s="3428"/>
      <c r="S55" s="3427">
        <f>SUM(S51:S53)</f>
        <v>0</v>
      </c>
    </row>
    <row r="56" spans="1:34">
      <c r="A56" s="3651"/>
      <c r="B56" s="1915" t="s">
        <v>2979</v>
      </c>
      <c r="C56" s="3653"/>
      <c r="D56" s="3654"/>
      <c r="E56" s="3655"/>
      <c r="F56" s="1915"/>
      <c r="G56" s="655">
        <f>G55/'Area Calculations'!$F$5</f>
        <v>0.29885420425839049</v>
      </c>
      <c r="H56" s="3429"/>
      <c r="I56" s="3430">
        <f>I55/'Area Calculations'!$F$5</f>
        <v>2.3319649945867917</v>
      </c>
      <c r="J56" s="3429"/>
      <c r="K56" s="3430">
        <f>K55/'Area Calculations'!$F$5</f>
        <v>0</v>
      </c>
      <c r="L56" s="3429"/>
      <c r="M56" s="3430">
        <f>M55/'Area Calculations'!$F$5</f>
        <v>0</v>
      </c>
      <c r="N56" s="3429"/>
      <c r="O56" s="3430">
        <f>O55/'Area Calculations'!$F$5</f>
        <v>0</v>
      </c>
      <c r="P56" s="3429"/>
      <c r="Q56" s="3430">
        <f>Q55/'Area Calculations'!$F$5</f>
        <v>0</v>
      </c>
      <c r="R56" s="3431"/>
      <c r="S56" s="3430">
        <f>S55/'Area Calculations'!$F$5</f>
        <v>0</v>
      </c>
    </row>
    <row r="57" spans="1:34">
      <c r="A57" s="3651"/>
      <c r="B57" s="1919"/>
      <c r="C57" s="3653"/>
      <c r="D57" s="3654"/>
      <c r="E57" s="3655"/>
      <c r="F57" s="3656"/>
      <c r="G57" s="656"/>
      <c r="H57" s="3432"/>
      <c r="I57" s="3433"/>
      <c r="J57" s="3432"/>
      <c r="K57" s="3433"/>
      <c r="L57" s="3432"/>
      <c r="M57" s="3432"/>
      <c r="N57" s="3432"/>
      <c r="O57" s="3432"/>
      <c r="P57" s="3432"/>
      <c r="Q57" s="3432"/>
      <c r="R57" s="3432"/>
      <c r="S57" s="3432"/>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3614"/>
      <c r="B59" s="1945"/>
      <c r="C59" s="3615"/>
      <c r="D59" s="3616"/>
      <c r="E59" s="3617"/>
      <c r="F59" s="3615"/>
      <c r="G59" s="3618"/>
      <c r="H59" s="3619"/>
      <c r="I59" s="3619"/>
      <c r="J59" s="3619"/>
      <c r="K59" s="3619"/>
      <c r="L59" s="3619"/>
      <c r="M59" s="3619"/>
      <c r="N59" s="3619"/>
      <c r="O59" s="3619"/>
      <c r="P59" s="3619"/>
      <c r="Q59" s="3619"/>
      <c r="R59" s="3619"/>
      <c r="S59" s="3619"/>
    </row>
    <row r="60" spans="1:34" hidden="1">
      <c r="A60" s="3614"/>
      <c r="B60" s="1945"/>
      <c r="C60" s="3615"/>
      <c r="D60" s="3616"/>
      <c r="E60" s="3617"/>
      <c r="F60" s="3615"/>
      <c r="G60" s="3618"/>
      <c r="H60" s="3619"/>
      <c r="I60" s="3619"/>
      <c r="J60" s="3619"/>
      <c r="K60" s="3619"/>
      <c r="L60" s="3619"/>
      <c r="M60" s="3619"/>
      <c r="N60" s="3619"/>
      <c r="O60" s="3619"/>
      <c r="P60" s="3619"/>
      <c r="Q60" s="3619"/>
      <c r="R60" s="3619"/>
      <c r="S60" s="3619"/>
    </row>
    <row r="61" spans="1:34" ht="15.75" hidden="1" thickBot="1">
      <c r="A61" s="3614"/>
      <c r="B61" s="1945"/>
      <c r="C61" s="3615"/>
      <c r="D61" s="3616"/>
      <c r="E61" s="3617"/>
      <c r="F61" s="3615"/>
      <c r="G61" s="3618"/>
      <c r="H61" s="3619"/>
      <c r="I61" s="3619"/>
      <c r="J61" s="3619"/>
      <c r="K61" s="3619"/>
      <c r="L61" s="3619"/>
      <c r="M61" s="3619"/>
      <c r="N61" s="3619"/>
      <c r="O61" s="3619"/>
      <c r="P61" s="3619"/>
      <c r="Q61" s="3619"/>
      <c r="R61" s="3619"/>
      <c r="S61" s="3619"/>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3614"/>
      <c r="B63" s="1945"/>
      <c r="C63" s="3615"/>
      <c r="D63" s="3616"/>
      <c r="E63" s="3617"/>
      <c r="F63" s="3615"/>
      <c r="G63" s="3618"/>
      <c r="H63" s="3619"/>
      <c r="I63" s="3619"/>
      <c r="J63" s="3619"/>
      <c r="K63" s="3619"/>
      <c r="L63" s="3619"/>
      <c r="M63" s="3619"/>
      <c r="N63" s="3619"/>
      <c r="O63" s="3619"/>
      <c r="P63" s="3619"/>
      <c r="Q63" s="3619"/>
      <c r="R63" s="3619"/>
      <c r="S63" s="3619"/>
      <c r="T63"/>
      <c r="U63"/>
      <c r="V63"/>
      <c r="W63"/>
      <c r="X63"/>
      <c r="Y63"/>
      <c r="Z63"/>
      <c r="AA63"/>
      <c r="AB63"/>
      <c r="AC63"/>
      <c r="AD63"/>
      <c r="AE63"/>
      <c r="AF63"/>
      <c r="AG63"/>
      <c r="AH63"/>
    </row>
    <row r="64" spans="1:34" s="2" customFormat="1" hidden="1">
      <c r="A64" s="3614"/>
      <c r="B64" s="1945"/>
      <c r="C64" s="3615"/>
      <c r="D64" s="3616"/>
      <c r="E64" s="3617"/>
      <c r="F64" s="3615"/>
      <c r="G64" s="3618"/>
      <c r="H64" s="3619"/>
      <c r="I64" s="3619"/>
      <c r="J64" s="3619"/>
      <c r="K64" s="3619"/>
      <c r="L64" s="3619"/>
      <c r="M64" s="3619"/>
      <c r="N64" s="3619"/>
      <c r="O64" s="3619"/>
      <c r="P64" s="3619"/>
      <c r="Q64" s="3619"/>
      <c r="R64" s="3619"/>
      <c r="S64" s="3619"/>
      <c r="T64"/>
      <c r="U64"/>
      <c r="V64"/>
      <c r="W64"/>
      <c r="X64"/>
      <c r="Y64"/>
      <c r="Z64"/>
      <c r="AA64"/>
      <c r="AB64"/>
      <c r="AC64"/>
      <c r="AD64"/>
      <c r="AE64"/>
      <c r="AF64"/>
      <c r="AG64"/>
      <c r="AH64"/>
    </row>
    <row r="65" spans="1:34" ht="15.75" hidden="1" thickBot="1">
      <c r="A65" s="3614"/>
      <c r="B65" s="1945"/>
      <c r="C65" s="3615"/>
      <c r="D65" s="3616"/>
      <c r="E65" s="3617"/>
      <c r="F65" s="3615"/>
      <c r="G65" s="3618"/>
      <c r="H65" s="3619"/>
      <c r="I65" s="3619"/>
      <c r="J65" s="3619"/>
      <c r="K65" s="3619"/>
      <c r="L65" s="3619"/>
      <c r="M65" s="3619"/>
      <c r="N65" s="3619"/>
      <c r="O65" s="3619"/>
      <c r="P65" s="3619"/>
      <c r="Q65" s="3619"/>
      <c r="R65" s="3619"/>
      <c r="S65" s="3619"/>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3614"/>
      <c r="B67" s="1945"/>
      <c r="C67" s="3615"/>
      <c r="D67" s="3616"/>
      <c r="E67" s="3617"/>
      <c r="F67" s="3615"/>
      <c r="G67" s="3618"/>
      <c r="H67" s="3619"/>
      <c r="I67" s="3619"/>
      <c r="J67" s="3619"/>
      <c r="K67" s="3619"/>
      <c r="L67" s="3619"/>
      <c r="M67" s="3619"/>
      <c r="N67" s="3619"/>
      <c r="O67" s="3619"/>
      <c r="P67" s="3619"/>
      <c r="Q67" s="3619"/>
      <c r="R67" s="3619"/>
      <c r="S67" s="3619"/>
      <c r="T67"/>
      <c r="U67"/>
      <c r="V67"/>
      <c r="W67"/>
      <c r="X67"/>
      <c r="Y67"/>
      <c r="Z67"/>
      <c r="AA67"/>
      <c r="AB67"/>
      <c r="AC67"/>
      <c r="AD67"/>
      <c r="AE67"/>
      <c r="AF67"/>
      <c r="AG67"/>
      <c r="AH67"/>
    </row>
    <row r="68" spans="1:34" s="2" customFormat="1" hidden="1">
      <c r="A68" s="3497"/>
      <c r="B68" s="1945"/>
      <c r="C68" s="1946"/>
      <c r="D68" s="1947"/>
      <c r="E68" s="1948"/>
      <c r="F68" s="1946"/>
      <c r="G68" s="1923"/>
      <c r="H68" s="3434"/>
      <c r="I68" s="3434"/>
      <c r="J68" s="3434"/>
      <c r="K68" s="3434"/>
      <c r="L68" s="3434"/>
      <c r="M68" s="3434"/>
      <c r="N68" s="3434"/>
      <c r="O68" s="3434"/>
      <c r="P68" s="3434"/>
      <c r="Q68" s="3434"/>
      <c r="R68" s="3434"/>
      <c r="S68" s="3434"/>
      <c r="T68"/>
      <c r="U68"/>
      <c r="V68"/>
      <c r="W68"/>
      <c r="X68"/>
      <c r="Y68"/>
      <c r="Z68"/>
      <c r="AA68"/>
      <c r="AB68"/>
      <c r="AC68"/>
      <c r="AD68"/>
      <c r="AE68"/>
      <c r="AF68"/>
      <c r="AG68"/>
      <c r="AH68"/>
    </row>
    <row r="69" spans="1:34" s="2" customFormat="1" ht="15.75" hidden="1" thickBot="1">
      <c r="A69" s="3500"/>
      <c r="B69" s="1926"/>
      <c r="C69" s="1946"/>
      <c r="D69" s="1947"/>
      <c r="E69" s="1948"/>
      <c r="F69" s="1946"/>
      <c r="G69" s="1923"/>
      <c r="H69" s="3435"/>
      <c r="I69" s="3435"/>
      <c r="J69" s="3435"/>
      <c r="K69" s="3435"/>
      <c r="L69" s="3435"/>
      <c r="M69" s="3435"/>
      <c r="N69" s="3435"/>
      <c r="O69" s="3435"/>
      <c r="P69" s="3435"/>
      <c r="Q69" s="3435"/>
      <c r="R69" s="3435"/>
      <c r="S69" s="3435"/>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3620"/>
      <c r="B71" s="3621"/>
      <c r="C71" s="3615"/>
      <c r="D71" s="3616"/>
      <c r="E71" s="3617"/>
      <c r="F71" s="3615"/>
      <c r="G71" s="3618"/>
      <c r="H71" s="3619"/>
      <c r="I71" s="3619"/>
      <c r="J71" s="3619"/>
      <c r="K71" s="3619"/>
      <c r="L71" s="3619"/>
      <c r="M71" s="3619"/>
      <c r="N71" s="3619"/>
      <c r="O71" s="3619"/>
      <c r="P71" s="3619"/>
      <c r="Q71" s="3619"/>
      <c r="R71" s="3619"/>
      <c r="S71" s="3619"/>
      <c r="T71" s="2"/>
      <c r="U71" s="2"/>
      <c r="V71" s="2"/>
      <c r="W71" s="2"/>
      <c r="X71" s="2"/>
      <c r="Y71" s="2"/>
      <c r="Z71" s="2"/>
      <c r="AA71" s="2"/>
      <c r="AB71" s="2"/>
      <c r="AC71" s="2"/>
      <c r="AD71" s="2"/>
      <c r="AE71" s="2"/>
      <c r="AF71" s="2"/>
      <c r="AG71" s="2"/>
      <c r="AH71" s="2"/>
    </row>
    <row r="72" spans="1:34" hidden="1">
      <c r="A72" s="3500"/>
      <c r="B72" s="1926"/>
      <c r="C72" s="1946"/>
      <c r="D72" s="1947"/>
      <c r="E72" s="1948"/>
      <c r="F72" s="1946"/>
      <c r="G72" s="1923"/>
      <c r="H72" s="3436"/>
      <c r="I72" s="3436"/>
      <c r="J72" s="3436"/>
      <c r="K72" s="3436"/>
      <c r="L72" s="3436"/>
      <c r="M72" s="3436"/>
      <c r="N72" s="3436"/>
      <c r="O72" s="3436"/>
      <c r="P72" s="3436"/>
      <c r="Q72" s="3436"/>
      <c r="R72" s="3436"/>
      <c r="S72" s="3436"/>
      <c r="T72" s="2"/>
      <c r="U72" s="2"/>
      <c r="V72" s="2"/>
      <c r="W72" s="2"/>
      <c r="X72" s="2"/>
      <c r="Y72" s="2"/>
      <c r="Z72" s="2"/>
      <c r="AA72" s="2"/>
      <c r="AB72" s="2"/>
      <c r="AC72" s="2"/>
      <c r="AD72" s="2"/>
      <c r="AE72" s="2"/>
      <c r="AF72" s="2"/>
      <c r="AG72" s="2"/>
      <c r="AH72" s="2"/>
    </row>
    <row r="73" spans="1:34" ht="15.75" hidden="1" thickBot="1">
      <c r="A73" s="3500"/>
      <c r="B73" s="1926"/>
      <c r="C73" s="1946"/>
      <c r="D73" s="1947"/>
      <c r="E73" s="1948"/>
      <c r="F73" s="1946"/>
      <c r="G73" s="1923"/>
      <c r="H73" s="3436"/>
      <c r="I73" s="3436"/>
      <c r="J73" s="3436"/>
      <c r="K73" s="3436"/>
      <c r="L73" s="3436"/>
      <c r="M73" s="3436"/>
      <c r="N73" s="3436"/>
      <c r="O73" s="3436"/>
      <c r="P73" s="3436"/>
      <c r="Q73" s="3436"/>
      <c r="R73" s="3436"/>
      <c r="S73" s="3436"/>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3497"/>
      <c r="B75" s="1945" t="s">
        <v>2985</v>
      </c>
      <c r="C75" s="1946"/>
      <c r="D75" s="1947"/>
      <c r="E75" s="1948"/>
      <c r="F75" s="1946"/>
      <c r="G75" s="1923"/>
      <c r="H75" s="3436"/>
      <c r="I75" s="3436"/>
      <c r="J75" s="3436"/>
      <c r="K75" s="3436"/>
      <c r="L75" s="3436"/>
      <c r="M75" s="3436"/>
      <c r="N75" s="3436"/>
      <c r="O75" s="3436"/>
      <c r="P75" s="3436"/>
      <c r="Q75" s="3436"/>
      <c r="R75" s="3436"/>
      <c r="S75" s="3436"/>
    </row>
    <row r="76" spans="1:34" hidden="1">
      <c r="A76" s="3497"/>
      <c r="B76" s="1945" t="s">
        <v>2986</v>
      </c>
      <c r="C76" s="1946"/>
      <c r="D76" s="1947"/>
      <c r="E76" s="1948"/>
      <c r="F76" s="1946"/>
      <c r="G76" s="1923"/>
      <c r="H76" s="3436"/>
      <c r="I76" s="3436"/>
      <c r="J76" s="3436"/>
      <c r="K76" s="3436"/>
      <c r="L76" s="3436"/>
      <c r="M76" s="3436"/>
      <c r="N76" s="3436"/>
      <c r="O76" s="3436"/>
      <c r="P76" s="3436"/>
      <c r="Q76" s="3436"/>
      <c r="R76" s="3436"/>
      <c r="S76" s="3436"/>
    </row>
    <row r="77" spans="1:34" hidden="1">
      <c r="A77" s="3497"/>
      <c r="B77" s="1945" t="s">
        <v>2987</v>
      </c>
      <c r="C77" s="1946"/>
      <c r="D77" s="1947"/>
      <c r="E77" s="1948"/>
      <c r="F77" s="1946"/>
      <c r="G77" s="1923"/>
      <c r="H77" s="3436"/>
      <c r="I77" s="3436"/>
      <c r="J77" s="3436"/>
      <c r="K77" s="3436"/>
      <c r="L77" s="3436"/>
      <c r="M77" s="3436"/>
      <c r="N77" s="3436"/>
      <c r="O77" s="3436"/>
      <c r="P77" s="3436"/>
      <c r="Q77" s="3436"/>
      <c r="R77" s="3436"/>
      <c r="S77" s="3436"/>
    </row>
    <row r="78" spans="1:34" hidden="1">
      <c r="A78" s="3497"/>
      <c r="B78" s="1945" t="s">
        <v>2988</v>
      </c>
      <c r="C78" s="1946"/>
      <c r="D78" s="1947"/>
      <c r="E78" s="1948"/>
      <c r="F78" s="1946"/>
      <c r="G78" s="1923"/>
      <c r="H78" s="3436"/>
      <c r="I78" s="3436"/>
      <c r="J78" s="3436"/>
      <c r="K78" s="3436"/>
      <c r="L78" s="3436"/>
      <c r="M78" s="3436"/>
      <c r="N78" s="3436"/>
      <c r="O78" s="3436"/>
      <c r="P78" s="3436"/>
      <c r="Q78" s="3436"/>
      <c r="R78" s="3436"/>
      <c r="S78" s="3436"/>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3614"/>
      <c r="B81" s="3622" t="s">
        <v>2990</v>
      </c>
      <c r="C81" s="3615"/>
      <c r="D81" s="3616"/>
      <c r="E81" s="3617"/>
      <c r="F81" s="3615"/>
      <c r="G81" s="3618"/>
      <c r="H81" s="3623"/>
      <c r="I81" s="3623"/>
      <c r="J81" s="3623"/>
      <c r="K81" s="3623"/>
      <c r="L81" s="3623"/>
      <c r="M81" s="3623"/>
      <c r="N81" s="3623"/>
      <c r="O81" s="3623"/>
      <c r="P81" s="3623"/>
      <c r="Q81" s="3623"/>
      <c r="R81" s="3623"/>
      <c r="S81" s="3623"/>
    </row>
    <row r="82" spans="1:19" hidden="1">
      <c r="A82" s="3497"/>
      <c r="B82" s="1945" t="s">
        <v>2991</v>
      </c>
      <c r="C82" s="1946"/>
      <c r="D82" s="1947"/>
      <c r="E82" s="1948"/>
      <c r="F82" s="1946"/>
      <c r="G82" s="1923"/>
      <c r="H82" s="3437"/>
      <c r="I82" s="3437"/>
      <c r="J82" s="3437"/>
      <c r="K82" s="3437"/>
      <c r="L82" s="3437"/>
      <c r="M82" s="3437"/>
      <c r="N82" s="3437"/>
      <c r="O82" s="3437"/>
      <c r="P82" s="3437"/>
      <c r="Q82" s="3437"/>
      <c r="R82" s="3437"/>
      <c r="S82" s="3437"/>
    </row>
    <row r="83" spans="1:19" ht="15.75" hidden="1" thickBot="1">
      <c r="A83" s="3197"/>
      <c r="B83" s="3224" t="s">
        <v>2992</v>
      </c>
      <c r="C83" s="3225"/>
      <c r="D83" s="3549"/>
      <c r="E83" s="3199"/>
      <c r="F83" s="3225"/>
      <c r="G83" s="3200"/>
      <c r="H83" s="3201"/>
      <c r="I83" s="3201"/>
      <c r="J83" s="3201"/>
      <c r="K83" s="3201"/>
      <c r="L83" s="3201"/>
      <c r="M83" s="3201"/>
      <c r="N83" s="3201"/>
      <c r="O83" s="3201"/>
      <c r="P83" s="3201"/>
      <c r="Q83" s="3201"/>
      <c r="R83" s="3201"/>
      <c r="S83" s="3201"/>
    </row>
    <row r="84" spans="1:19" ht="15.75" thickBot="1"/>
    <row r="85" spans="1:19" ht="16.5" thickTop="1" thickBot="1">
      <c r="A85" s="59" t="s">
        <v>2993</v>
      </c>
      <c r="B85" s="61"/>
    </row>
    <row r="86" spans="1:19" ht="15.75" thickTop="1">
      <c r="A86" s="60" t="s">
        <v>2936</v>
      </c>
      <c r="B86" s="3202"/>
    </row>
    <row r="87" spans="1:19">
      <c r="A87" s="3510" t="s">
        <v>2939</v>
      </c>
      <c r="B87" s="3202"/>
    </row>
    <row r="88" spans="1:19">
      <c r="A88" s="3204" t="s">
        <v>2941</v>
      </c>
      <c r="B88" s="3205"/>
    </row>
    <row r="89" spans="1:19">
      <c r="A89" s="3204" t="s">
        <v>2943</v>
      </c>
      <c r="B89" s="3206"/>
    </row>
    <row r="90" spans="1:19" ht="15.75" thickBot="1">
      <c r="A90" s="3207" t="s">
        <v>2994</v>
      </c>
      <c r="B90" s="3208">
        <f>$I$55</f>
        <v>206780</v>
      </c>
    </row>
    <row r="91" spans="1:19" ht="15.75" thickTop="1"/>
    <row r="92" spans="1:19">
      <c r="A92" s="62"/>
      <c r="B92" s="1" t="s">
        <v>2995</v>
      </c>
    </row>
    <row r="93" spans="1:19">
      <c r="A93" s="63"/>
      <c r="B93" s="1" t="s">
        <v>2996</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L11:L18 N11:N18 P11:P18 R11:R18">
    <cfRule type="cellIs" dxfId="21" priority="13" operator="equal">
      <formula>"X"</formula>
    </cfRule>
    <cfRule type="cellIs" dxfId="20" priority="14" operator="equal">
      <formula>"I"</formula>
    </cfRule>
  </conditionalFormatting>
  <conditionalFormatting sqref="H20:H50 J20:J50 L20:L50 N20:N50 P20:P50 R20:R50">
    <cfRule type="cellIs" dxfId="19" priority="1" operator="equal">
      <formula>"X"</formula>
    </cfRule>
    <cfRule type="cellIs" dxfId="18" priority="2" operator="equal">
      <formula>"I"</formula>
    </cfRule>
  </conditionalFormatting>
  <conditionalFormatting sqref="J11:J18">
    <cfRule type="cellIs" dxfId="17" priority="11" operator="equal">
      <formula>"X"</formula>
    </cfRule>
    <cfRule type="cellIs" dxfId="16" priority="12" operator="equal">
      <formula>"I"</formula>
    </cfRule>
  </conditionalFormatting>
  <hyperlinks>
    <hyperlink ref="B4" location="'Cost Summary'!A1" display="BACK TO SUMMARY SHEET" xr:uid="{4D25140A-7F85-40CD-A9C2-5E7D2D223BB1}"/>
    <hyperlink ref="H8" r:id="rId1" xr:uid="{E5E865C3-6AE1-4A35-9685-644EE7736E3B}"/>
  </hyperlinks>
  <pageMargins left="0.2" right="0.2" top="0.5" bottom="0.5" header="0.3" footer="0.3"/>
  <pageSetup paperSize="3" scale="62" fitToHeight="0" orientation="landscape" horizontalDpi="300" verticalDpi="300"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00B050"/>
    <pageSetUpPr fitToPage="1"/>
  </sheetPr>
  <dimension ref="A1:AH106"/>
  <sheetViews>
    <sheetView zoomScale="90" zoomScaleNormal="90" workbookViewId="0">
      <pane xSplit="3" ySplit="20" topLeftCell="D55" activePane="bottomRight" state="frozen"/>
      <selection pane="bottomRight" activeCell="I2" sqref="I2"/>
      <selection pane="bottomLeft" activeCell="K44" sqref="K44"/>
      <selection pane="topRight" activeCell="K44" sqref="K4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37" t="s">
        <v>7150</v>
      </c>
      <c r="I5" s="838"/>
      <c r="J5" s="837" t="s">
        <v>7151</v>
      </c>
      <c r="K5" s="838"/>
      <c r="L5" s="837" t="s">
        <v>7152</v>
      </c>
      <c r="M5" s="838"/>
      <c r="N5" s="837" t="s">
        <v>7153</v>
      </c>
      <c r="O5" s="838"/>
      <c r="P5" s="837" t="s">
        <v>7154</v>
      </c>
      <c r="Q5" s="838"/>
      <c r="R5" s="841"/>
      <c r="S5" s="842"/>
    </row>
    <row r="6" spans="1:19">
      <c r="A6" s="3518" t="s">
        <v>2938</v>
      </c>
      <c r="B6" s="1945" t="s">
        <v>356</v>
      </c>
      <c r="C6" s="1946"/>
      <c r="D6" s="1947"/>
      <c r="E6" s="1948"/>
      <c r="F6" s="1946"/>
      <c r="G6" s="657" t="s">
        <v>2939</v>
      </c>
      <c r="H6" s="3552" t="s">
        <v>7155</v>
      </c>
      <c r="I6" s="839"/>
      <c r="J6" s="3552" t="s">
        <v>7156</v>
      </c>
      <c r="K6" s="839"/>
      <c r="L6" s="3552" t="s">
        <v>7157</v>
      </c>
      <c r="M6" s="839"/>
      <c r="N6" s="3552" t="s">
        <v>7158</v>
      </c>
      <c r="O6" s="839"/>
      <c r="P6" s="3552" t="s">
        <v>7159</v>
      </c>
      <c r="Q6" s="839"/>
      <c r="R6" s="3523"/>
      <c r="S6" s="843"/>
    </row>
    <row r="7" spans="1:19">
      <c r="A7" s="3518" t="s">
        <v>2940</v>
      </c>
      <c r="B7" s="1951" t="s">
        <v>2690</v>
      </c>
      <c r="C7" s="1946"/>
      <c r="D7" s="1947"/>
      <c r="E7" s="1948"/>
      <c r="F7" s="1946"/>
      <c r="G7" s="1952" t="s">
        <v>2941</v>
      </c>
      <c r="H7" s="3553" t="s">
        <v>7160</v>
      </c>
      <c r="I7" s="840"/>
      <c r="J7" s="3553" t="s">
        <v>7161</v>
      </c>
      <c r="K7" s="840"/>
      <c r="L7" s="3553" t="s">
        <v>7162</v>
      </c>
      <c r="M7" s="840"/>
      <c r="N7" s="3553" t="s">
        <v>7163</v>
      </c>
      <c r="O7" s="840"/>
      <c r="P7" s="3553" t="s">
        <v>7164</v>
      </c>
      <c r="Q7" s="840"/>
      <c r="R7" s="3526"/>
      <c r="S7" s="844"/>
    </row>
    <row r="8" spans="1:19">
      <c r="A8" s="3518" t="s">
        <v>2942</v>
      </c>
      <c r="B8" s="1955"/>
      <c r="C8" s="1946"/>
      <c r="D8" s="1947"/>
      <c r="E8" s="1948"/>
      <c r="F8" s="1946"/>
      <c r="G8" s="1952" t="s">
        <v>2943</v>
      </c>
      <c r="H8" s="3555" t="s">
        <v>7165</v>
      </c>
      <c r="I8" s="836"/>
      <c r="J8" s="3555" t="s">
        <v>7166</v>
      </c>
      <c r="K8" s="836"/>
      <c r="L8" s="3555" t="s">
        <v>7167</v>
      </c>
      <c r="M8" s="836"/>
      <c r="N8" s="3555" t="s">
        <v>7168</v>
      </c>
      <c r="O8" s="836"/>
      <c r="P8" s="3555" t="s">
        <v>7169</v>
      </c>
      <c r="Q8" s="836"/>
      <c r="R8" s="3528"/>
      <c r="S8" s="845"/>
    </row>
    <row r="9" spans="1:19" ht="15.75" thickBot="1">
      <c r="A9" s="3223"/>
      <c r="B9" s="3224"/>
      <c r="C9" s="616"/>
      <c r="D9" s="621"/>
      <c r="E9" s="622"/>
      <c r="F9" s="3225"/>
      <c r="G9" s="3226" t="s">
        <v>2944</v>
      </c>
      <c r="H9" s="3227">
        <f>I$55</f>
        <v>1769458.72</v>
      </c>
      <c r="I9" s="3228"/>
      <c r="J9" s="3229">
        <f>K$55</f>
        <v>1915387.25</v>
      </c>
      <c r="K9" s="3230"/>
      <c r="L9" s="3227">
        <f>M$55</f>
        <v>2325813</v>
      </c>
      <c r="M9" s="3228"/>
      <c r="N9" s="3227">
        <f t="shared" ref="N9" si="0">O$55</f>
        <v>2433299.1300000004</v>
      </c>
      <c r="O9" s="3228"/>
      <c r="P9" s="3227">
        <f t="shared" ref="P9" si="1">Q$55</f>
        <v>2106808</v>
      </c>
      <c r="Q9" s="3228"/>
      <c r="R9" s="3227">
        <f t="shared" ref="R9" si="2">S$55</f>
        <v>0</v>
      </c>
      <c r="S9" s="322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626"/>
      <c r="B11" s="2889" t="s">
        <v>2953</v>
      </c>
      <c r="C11" s="659"/>
      <c r="D11" s="1947"/>
      <c r="E11" s="1948"/>
      <c r="F11" s="1946"/>
      <c r="G11" s="660"/>
      <c r="H11" s="3232"/>
      <c r="I11" s="3628"/>
      <c r="J11" s="3232"/>
      <c r="K11" s="3627"/>
      <c r="L11" s="3232"/>
      <c r="M11" s="3628"/>
      <c r="N11" s="3232"/>
      <c r="O11" s="182"/>
      <c r="P11" s="3232"/>
      <c r="Q11" s="3628"/>
      <c r="R11" s="3232"/>
      <c r="S11" s="3628"/>
    </row>
    <row r="12" spans="1:19">
      <c r="A12" s="3629"/>
      <c r="B12" s="2963" t="s">
        <v>2954</v>
      </c>
      <c r="C12" s="1946"/>
      <c r="D12" s="1947"/>
      <c r="E12" s="1948"/>
      <c r="F12" s="1946"/>
      <c r="G12" s="660"/>
      <c r="H12" s="3232"/>
      <c r="I12" s="3628"/>
      <c r="J12" s="3232"/>
      <c r="K12" s="3627"/>
      <c r="L12" s="3232"/>
      <c r="M12" s="3628"/>
      <c r="N12" s="3232"/>
      <c r="O12" s="3628"/>
      <c r="P12" s="3232"/>
      <c r="Q12" s="3628"/>
      <c r="R12" s="3232"/>
      <c r="S12" s="3628"/>
    </row>
    <row r="13" spans="1:19">
      <c r="A13" s="3538"/>
      <c r="B13" s="3630" t="s">
        <v>2955</v>
      </c>
      <c r="C13" s="1946"/>
      <c r="D13" s="1947"/>
      <c r="E13" s="1948"/>
      <c r="F13" s="1946"/>
      <c r="G13" s="660"/>
      <c r="H13" s="3232"/>
      <c r="I13" s="3628"/>
      <c r="J13" s="3232"/>
      <c r="K13" s="3627"/>
      <c r="L13" s="3232"/>
      <c r="M13" s="3628"/>
      <c r="N13" s="3232"/>
      <c r="O13" s="3628"/>
      <c r="P13" s="3232"/>
      <c r="Q13" s="3628"/>
      <c r="R13" s="3232"/>
      <c r="S13" s="3628"/>
    </row>
    <row r="14" spans="1:19">
      <c r="A14" s="3538"/>
      <c r="B14" s="3631" t="s">
        <v>2956</v>
      </c>
      <c r="C14" s="1946"/>
      <c r="D14" s="1947"/>
      <c r="E14" s="1948"/>
      <c r="F14" s="1946"/>
      <c r="G14" s="660"/>
      <c r="H14" s="3232"/>
      <c r="I14" s="3628"/>
      <c r="J14" s="3232"/>
      <c r="K14" s="3627"/>
      <c r="L14" s="3232"/>
      <c r="M14" s="3628"/>
      <c r="N14" s="3232"/>
      <c r="O14" s="3628"/>
      <c r="P14" s="3232"/>
      <c r="Q14" s="3628"/>
      <c r="R14" s="3232"/>
      <c r="S14" s="3628"/>
    </row>
    <row r="15" spans="1:19">
      <c r="A15" s="3538"/>
      <c r="B15" s="3631" t="s">
        <v>2957</v>
      </c>
      <c r="C15" s="1946"/>
      <c r="D15" s="1947"/>
      <c r="E15" s="1948"/>
      <c r="F15" s="1946"/>
      <c r="G15" s="660"/>
      <c r="H15" s="3232"/>
      <c r="I15" s="3627"/>
      <c r="J15" s="3232"/>
      <c r="K15" s="3627"/>
      <c r="L15" s="3232"/>
      <c r="M15" s="3627"/>
      <c r="N15" s="3232"/>
      <c r="O15" s="3627"/>
      <c r="P15" s="3232"/>
      <c r="Q15" s="3627"/>
      <c r="R15" s="3232"/>
      <c r="S15" s="3627"/>
    </row>
    <row r="16" spans="1:19">
      <c r="A16" s="3538"/>
      <c r="B16" s="3631" t="s">
        <v>2958</v>
      </c>
      <c r="C16" s="1946"/>
      <c r="D16" s="1947"/>
      <c r="E16" s="1948"/>
      <c r="F16" s="1946"/>
      <c r="G16" s="660"/>
      <c r="H16" s="3232"/>
      <c r="I16" s="3628"/>
      <c r="J16" s="3232"/>
      <c r="K16" s="3627"/>
      <c r="L16" s="3232"/>
      <c r="M16" s="3628"/>
      <c r="N16" s="3232"/>
      <c r="O16" s="3628"/>
      <c r="P16" s="3232"/>
      <c r="Q16" s="3628"/>
      <c r="R16" s="3232"/>
      <c r="S16" s="3628"/>
    </row>
    <row r="17" spans="1:19">
      <c r="A17" s="3538"/>
      <c r="B17" s="3631" t="s">
        <v>2959</v>
      </c>
      <c r="C17" s="1946"/>
      <c r="D17" s="1947"/>
      <c r="E17" s="1948"/>
      <c r="F17" s="1946"/>
      <c r="G17" s="660"/>
      <c r="H17" s="3232"/>
      <c r="I17" s="3628"/>
      <c r="J17" s="3232"/>
      <c r="K17" s="3627"/>
      <c r="L17" s="3232"/>
      <c r="M17" s="3628"/>
      <c r="N17" s="3232"/>
      <c r="O17" s="3628"/>
      <c r="P17" s="3232"/>
      <c r="Q17" s="3628"/>
      <c r="R17" s="3232"/>
      <c r="S17" s="3628"/>
    </row>
    <row r="18" spans="1:19">
      <c r="A18" s="3538"/>
      <c r="B18" s="3632" t="s">
        <v>2960</v>
      </c>
      <c r="C18" s="1946"/>
      <c r="D18" s="1947"/>
      <c r="E18" s="1948"/>
      <c r="F18" s="1946"/>
      <c r="G18" s="660"/>
      <c r="H18" s="3232"/>
      <c r="I18" s="3628"/>
      <c r="J18" s="3232"/>
      <c r="K18" s="3627"/>
      <c r="L18" s="3232"/>
      <c r="M18" s="3628"/>
      <c r="N18" s="3232"/>
      <c r="O18" s="3628"/>
      <c r="P18" s="3232"/>
      <c r="Q18" s="3628"/>
      <c r="R18" s="3232"/>
      <c r="S18" s="3628"/>
    </row>
    <row r="19" spans="1:19">
      <c r="A19" s="3538"/>
      <c r="B19" s="3633" t="s">
        <v>2961</v>
      </c>
      <c r="C19" s="1968"/>
      <c r="D19" s="1969"/>
      <c r="E19" s="1970"/>
      <c r="F19" s="1971"/>
      <c r="G19" s="661"/>
      <c r="H19" s="3245"/>
      <c r="I19" s="3634"/>
      <c r="J19" s="3245"/>
      <c r="K19" s="3635"/>
      <c r="L19" s="3245"/>
      <c r="M19" s="3634"/>
      <c r="N19" s="3245"/>
      <c r="O19" s="3634"/>
      <c r="P19" s="3245"/>
      <c r="Q19" s="3634"/>
      <c r="R19" s="3245"/>
      <c r="S19" s="3634"/>
    </row>
    <row r="20" spans="1:19">
      <c r="A20" s="3538"/>
      <c r="B20" s="3636"/>
      <c r="C20" s="1946"/>
      <c r="D20" s="1947"/>
      <c r="E20" s="1948"/>
      <c r="F20" s="1973"/>
      <c r="G20" s="660"/>
      <c r="H20" s="3232"/>
      <c r="I20" s="3637"/>
      <c r="J20" s="3232"/>
      <c r="K20" s="3638"/>
      <c r="L20" s="3232"/>
      <c r="M20" s="3637"/>
      <c r="N20" s="3232"/>
      <c r="O20" s="3637"/>
      <c r="P20" s="3232"/>
      <c r="Q20" s="3637"/>
      <c r="R20" s="3232"/>
      <c r="S20" s="3637"/>
    </row>
    <row r="21" spans="1:19">
      <c r="A21" s="3538"/>
      <c r="B21" s="3636" t="s">
        <v>7170</v>
      </c>
      <c r="C21" s="1946"/>
      <c r="D21" s="1947"/>
      <c r="E21" s="1948"/>
      <c r="F21" s="1973"/>
      <c r="G21" s="662">
        <f t="shared" ref="G21:G50" si="3">ROUND(D21*F21,0)</f>
        <v>0</v>
      </c>
      <c r="H21" s="3232"/>
      <c r="I21" s="3637">
        <f>969913-I24-I25-I27-I29</f>
        <v>711420.5</v>
      </c>
      <c r="J21" s="3232"/>
      <c r="K21" s="3638">
        <v>1067230.25</v>
      </c>
      <c r="L21" s="3232"/>
      <c r="M21" s="3637">
        <f>2297324.73-M24-M25-M27-M28-M29-M30-M36</f>
        <v>1478894.73</v>
      </c>
      <c r="N21" s="3232"/>
      <c r="O21" s="3638">
        <v>1143152.8600000001</v>
      </c>
      <c r="P21" s="3232"/>
      <c r="Q21" s="3637">
        <f>1393878-Q24</f>
        <v>1278488</v>
      </c>
      <c r="R21" s="3232"/>
      <c r="S21" s="3637"/>
    </row>
    <row r="22" spans="1:19">
      <c r="A22" s="3538"/>
      <c r="B22" s="3641" t="s">
        <v>7171</v>
      </c>
      <c r="C22" s="1946"/>
      <c r="D22" s="1947"/>
      <c r="E22" s="1948"/>
      <c r="F22" s="1973"/>
      <c r="G22" s="662">
        <f t="shared" si="3"/>
        <v>0</v>
      </c>
      <c r="H22" s="3232" t="s">
        <v>2931</v>
      </c>
      <c r="I22" s="3637"/>
      <c r="J22" s="3232" t="s">
        <v>2931</v>
      </c>
      <c r="K22" s="3638"/>
      <c r="L22" s="3232" t="s">
        <v>2931</v>
      </c>
      <c r="M22" s="3637"/>
      <c r="N22" s="3232" t="s">
        <v>2931</v>
      </c>
      <c r="O22" s="3638"/>
      <c r="P22" s="3232"/>
      <c r="Q22" s="3637"/>
      <c r="R22" s="3232"/>
      <c r="S22" s="3637"/>
    </row>
    <row r="23" spans="1:19">
      <c r="A23" s="3538"/>
      <c r="B23" s="3641" t="s">
        <v>7172</v>
      </c>
      <c r="C23" s="1946"/>
      <c r="D23" s="1947"/>
      <c r="E23" s="1948"/>
      <c r="F23" s="1973"/>
      <c r="G23" s="662">
        <f t="shared" si="3"/>
        <v>0</v>
      </c>
      <c r="H23" s="3232" t="s">
        <v>2931</v>
      </c>
      <c r="I23" s="3637"/>
      <c r="J23" s="3232" t="s">
        <v>2931</v>
      </c>
      <c r="K23" s="3638"/>
      <c r="L23" s="3232" t="s">
        <v>2931</v>
      </c>
      <c r="M23" s="3637"/>
      <c r="N23" s="3232" t="s">
        <v>2931</v>
      </c>
      <c r="O23" s="3638"/>
      <c r="P23" s="3232"/>
      <c r="Q23" s="3637"/>
      <c r="R23" s="3232"/>
      <c r="S23" s="3637"/>
    </row>
    <row r="24" spans="1:19">
      <c r="A24" s="3538"/>
      <c r="B24" s="3636" t="s">
        <v>7173</v>
      </c>
      <c r="C24" s="1946"/>
      <c r="D24" s="1947"/>
      <c r="E24" s="1948"/>
      <c r="F24" s="1973"/>
      <c r="G24" s="662">
        <f t="shared" si="3"/>
        <v>0</v>
      </c>
      <c r="H24" s="3232"/>
      <c r="I24" s="3637">
        <v>212300</v>
      </c>
      <c r="J24" s="3232" t="s">
        <v>2931</v>
      </c>
      <c r="K24" s="3638"/>
      <c r="L24" s="3232"/>
      <c r="M24" s="3637">
        <v>125080</v>
      </c>
      <c r="N24" s="3232"/>
      <c r="O24" s="3638">
        <v>231300</v>
      </c>
      <c r="P24" s="3232"/>
      <c r="Q24" s="3637">
        <v>115390</v>
      </c>
      <c r="R24" s="3232"/>
      <c r="S24" s="3637"/>
    </row>
    <row r="25" spans="1:19">
      <c r="A25" s="3538"/>
      <c r="B25" s="3636" t="s">
        <v>7174</v>
      </c>
      <c r="C25" s="1946"/>
      <c r="D25" s="1947"/>
      <c r="E25" s="1948"/>
      <c r="F25" s="1973"/>
      <c r="G25" s="662">
        <f t="shared" si="3"/>
        <v>0</v>
      </c>
      <c r="H25" s="3232"/>
      <c r="I25" s="3637">
        <v>23992.5</v>
      </c>
      <c r="J25" s="3232"/>
      <c r="K25" s="3643">
        <v>12000</v>
      </c>
      <c r="L25" s="3232"/>
      <c r="M25" s="3637">
        <v>4500</v>
      </c>
      <c r="N25" s="3232"/>
      <c r="O25" s="3638">
        <v>11372.58</v>
      </c>
      <c r="P25" s="3232"/>
      <c r="Q25" s="3643">
        <v>12000</v>
      </c>
      <c r="R25" s="3232"/>
      <c r="S25" s="3637"/>
    </row>
    <row r="26" spans="1:19">
      <c r="A26" s="3538"/>
      <c r="B26" s="3636" t="s">
        <v>7175</v>
      </c>
      <c r="C26" s="1946"/>
      <c r="D26" s="1947"/>
      <c r="E26" s="1948"/>
      <c r="F26" s="1973"/>
      <c r="G26" s="662">
        <f t="shared" si="3"/>
        <v>0</v>
      </c>
      <c r="H26" s="3232" t="s">
        <v>2931</v>
      </c>
      <c r="I26" s="3637"/>
      <c r="J26" s="3232" t="s">
        <v>2931</v>
      </c>
      <c r="K26" s="3638"/>
      <c r="L26" s="3232" t="s">
        <v>2931</v>
      </c>
      <c r="M26" s="3637"/>
      <c r="N26" s="3232"/>
      <c r="O26" s="3657">
        <v>668885</v>
      </c>
      <c r="P26" s="3232"/>
      <c r="Q26" s="3658"/>
      <c r="R26" s="3232"/>
      <c r="S26" s="3637"/>
    </row>
    <row r="27" spans="1:19">
      <c r="A27" s="3538"/>
      <c r="B27" s="3636" t="s">
        <v>7176</v>
      </c>
      <c r="C27" s="1946"/>
      <c r="D27" s="1947"/>
      <c r="E27" s="1948"/>
      <c r="F27" s="1973"/>
      <c r="G27" s="662"/>
      <c r="H27" s="3232"/>
      <c r="I27" s="3659">
        <v>13800</v>
      </c>
      <c r="J27" s="3232"/>
      <c r="K27" s="3658">
        <v>65000</v>
      </c>
      <c r="L27" s="3232"/>
      <c r="M27" s="3637">
        <v>64900</v>
      </c>
      <c r="N27" s="3232" t="s">
        <v>2931</v>
      </c>
      <c r="O27" s="3638"/>
      <c r="P27" s="3232"/>
      <c r="Q27" s="3658"/>
      <c r="R27" s="3232"/>
      <c r="S27" s="3637"/>
    </row>
    <row r="28" spans="1:19">
      <c r="A28" s="3538"/>
      <c r="B28" s="3636" t="s">
        <v>7177</v>
      </c>
      <c r="C28" s="1946"/>
      <c r="D28" s="1947"/>
      <c r="E28" s="1948"/>
      <c r="F28" s="1973"/>
      <c r="G28" s="662">
        <f t="shared" si="3"/>
        <v>0</v>
      </c>
      <c r="H28" s="3232"/>
      <c r="I28" s="3658">
        <v>12000</v>
      </c>
      <c r="J28" s="3232" t="s">
        <v>2931</v>
      </c>
      <c r="K28" s="3638"/>
      <c r="L28" s="3232"/>
      <c r="M28" s="3637">
        <f>1000+2160+90+9000</f>
        <v>12250</v>
      </c>
      <c r="N28" s="3232"/>
      <c r="O28" s="3657">
        <f>26040+93</f>
        <v>26133</v>
      </c>
      <c r="P28" s="3232"/>
      <c r="Q28" s="3658"/>
      <c r="R28" s="3232"/>
      <c r="S28" s="3637"/>
    </row>
    <row r="29" spans="1:19">
      <c r="A29" s="3538"/>
      <c r="B29" s="3636" t="s">
        <v>7178</v>
      </c>
      <c r="C29" s="1946"/>
      <c r="D29" s="1947"/>
      <c r="E29" s="1948"/>
      <c r="F29" s="1973"/>
      <c r="G29" s="662"/>
      <c r="H29" s="3232"/>
      <c r="I29" s="3578">
        <v>8400</v>
      </c>
      <c r="J29" s="3232"/>
      <c r="K29" s="3643">
        <v>9000</v>
      </c>
      <c r="L29" s="3232"/>
      <c r="M29" s="3637">
        <v>9000</v>
      </c>
      <c r="N29" s="3232"/>
      <c r="O29" s="3643">
        <v>9000</v>
      </c>
      <c r="P29" s="3232"/>
      <c r="Q29" s="3658"/>
      <c r="R29" s="3232"/>
      <c r="S29" s="3637"/>
    </row>
    <row r="30" spans="1:19">
      <c r="A30" s="3538"/>
      <c r="B30" s="3636" t="s">
        <v>7179</v>
      </c>
      <c r="C30" s="1946"/>
      <c r="D30" s="1947"/>
      <c r="E30" s="1948"/>
      <c r="F30" s="1973"/>
      <c r="G30" s="662"/>
      <c r="H30" s="3232"/>
      <c r="I30" s="3660">
        <v>7500</v>
      </c>
      <c r="J30" s="3232"/>
      <c r="K30" s="3643">
        <v>7500</v>
      </c>
      <c r="L30" s="3232"/>
      <c r="M30" s="3637">
        <v>7500</v>
      </c>
      <c r="N30" s="3232"/>
      <c r="O30" s="3643">
        <v>7500</v>
      </c>
      <c r="P30" s="3232"/>
      <c r="Q30" s="3658"/>
      <c r="R30" s="3232"/>
      <c r="S30" s="3637"/>
    </row>
    <row r="31" spans="1:19">
      <c r="A31" s="3538"/>
      <c r="B31" s="3636" t="s">
        <v>7180</v>
      </c>
      <c r="C31" s="1946"/>
      <c r="D31" s="1947"/>
      <c r="E31" s="1948"/>
      <c r="F31" s="1973"/>
      <c r="G31" s="662"/>
      <c r="H31" s="3232" t="s">
        <v>2929</v>
      </c>
      <c r="I31" s="3661">
        <v>-29700</v>
      </c>
      <c r="J31" s="3232"/>
      <c r="K31" s="3638"/>
      <c r="L31" s="3232"/>
      <c r="M31" s="3637"/>
      <c r="N31" s="3232"/>
      <c r="O31" s="3638"/>
      <c r="P31" s="3232"/>
      <c r="Q31" s="3637"/>
      <c r="R31" s="3232"/>
      <c r="S31" s="3637"/>
    </row>
    <row r="32" spans="1:19">
      <c r="A32" s="3466" t="s">
        <v>2587</v>
      </c>
      <c r="B32" s="3636" t="s">
        <v>7181</v>
      </c>
      <c r="C32" s="1946"/>
      <c r="D32" s="3662">
        <v>3500</v>
      </c>
      <c r="E32" s="1948" t="s">
        <v>2864</v>
      </c>
      <c r="F32" s="1973">
        <v>28</v>
      </c>
      <c r="G32" s="670">
        <f t="shared" si="3"/>
        <v>98000</v>
      </c>
      <c r="H32" s="3232"/>
      <c r="I32" s="3644">
        <f>$G32</f>
        <v>98000</v>
      </c>
      <c r="J32" s="3232"/>
      <c r="K32" s="3644">
        <f>$G32</f>
        <v>98000</v>
      </c>
      <c r="L32" s="3232"/>
      <c r="M32" s="3644">
        <f>$G32</f>
        <v>98000</v>
      </c>
      <c r="N32" s="3232"/>
      <c r="O32" s="3644">
        <f>$G32</f>
        <v>98000</v>
      </c>
      <c r="P32" s="3232"/>
      <c r="Q32" s="3644">
        <f>$G32</f>
        <v>98000</v>
      </c>
      <c r="R32" s="3232"/>
      <c r="S32" s="3637"/>
    </row>
    <row r="33" spans="1:19">
      <c r="A33" s="3538"/>
      <c r="B33" s="3636"/>
      <c r="C33" s="1946"/>
      <c r="D33" s="1947"/>
      <c r="E33" s="1948"/>
      <c r="F33" s="1973"/>
      <c r="G33" s="662">
        <f t="shared" si="3"/>
        <v>0</v>
      </c>
      <c r="H33" s="3232"/>
      <c r="I33" s="3637"/>
      <c r="J33" s="3232"/>
      <c r="K33" s="3638"/>
      <c r="L33" s="3232"/>
      <c r="M33" s="3637"/>
      <c r="N33" s="3232"/>
      <c r="O33" s="3638">
        <f>G33</f>
        <v>0</v>
      </c>
      <c r="P33" s="3232"/>
      <c r="Q33" s="3637"/>
      <c r="R33" s="3232"/>
      <c r="S33" s="3637"/>
    </row>
    <row r="34" spans="1:19">
      <c r="A34" s="3538"/>
      <c r="B34" s="3636" t="s">
        <v>7182</v>
      </c>
      <c r="C34" s="1946"/>
      <c r="D34" s="1947"/>
      <c r="E34" s="1948"/>
      <c r="F34" s="1973"/>
      <c r="G34" s="662">
        <f t="shared" si="3"/>
        <v>0</v>
      </c>
      <c r="H34" s="3232" t="s">
        <v>2929</v>
      </c>
      <c r="I34" s="3637"/>
      <c r="J34" s="3232" t="s">
        <v>2929</v>
      </c>
      <c r="K34" s="3638"/>
      <c r="L34" s="3232"/>
      <c r="M34" s="3658"/>
      <c r="N34" s="3232" t="s">
        <v>2929</v>
      </c>
      <c r="O34" s="3663">
        <v>-322210.06</v>
      </c>
      <c r="P34" s="3232" t="s">
        <v>2929</v>
      </c>
      <c r="Q34" s="3637"/>
      <c r="R34" s="3232"/>
      <c r="S34" s="3637"/>
    </row>
    <row r="35" spans="1:19">
      <c r="A35" s="3538"/>
      <c r="B35" s="3636"/>
      <c r="C35" s="1946"/>
      <c r="D35" s="1947"/>
      <c r="E35" s="1948"/>
      <c r="F35" s="1973"/>
      <c r="G35" s="662">
        <f t="shared" si="3"/>
        <v>0</v>
      </c>
      <c r="H35" s="3232"/>
      <c r="I35" s="3637"/>
      <c r="J35" s="3232"/>
      <c r="K35" s="3638"/>
      <c r="L35" s="3232"/>
      <c r="M35" s="3637"/>
      <c r="N35" s="3232"/>
      <c r="O35" s="3638">
        <f>G35</f>
        <v>0</v>
      </c>
      <c r="P35" s="3232"/>
      <c r="Q35" s="3637"/>
      <c r="R35" s="3232"/>
      <c r="S35" s="3637"/>
    </row>
    <row r="36" spans="1:19">
      <c r="A36" s="3538"/>
      <c r="B36" s="3636" t="s">
        <v>7183</v>
      </c>
      <c r="C36" s="1946"/>
      <c r="D36" s="1947">
        <v>1</v>
      </c>
      <c r="E36" s="1948" t="s">
        <v>2818</v>
      </c>
      <c r="F36" s="1973"/>
      <c r="G36" s="662">
        <f t="shared" si="3"/>
        <v>0</v>
      </c>
      <c r="H36" s="3232"/>
      <c r="I36" s="3664">
        <v>566745.72</v>
      </c>
      <c r="J36" s="3232"/>
      <c r="K36" s="3657">
        <v>656657</v>
      </c>
      <c r="L36" s="3232"/>
      <c r="M36" s="3637">
        <v>595200</v>
      </c>
      <c r="N36" s="3232"/>
      <c r="O36" s="3638">
        <v>560165.75</v>
      </c>
      <c r="P36" s="3232"/>
      <c r="Q36" s="3657">
        <v>602930</v>
      </c>
      <c r="R36" s="3232"/>
      <c r="S36" s="3637"/>
    </row>
    <row r="37" spans="1:19">
      <c r="A37" s="3538"/>
      <c r="B37" s="3636"/>
      <c r="C37" s="1946"/>
      <c r="D37" s="1947"/>
      <c r="E37" s="1948"/>
      <c r="F37" s="1973"/>
      <c r="G37" s="662">
        <f t="shared" si="3"/>
        <v>0</v>
      </c>
      <c r="H37" s="3232"/>
      <c r="I37" s="3637"/>
      <c r="J37" s="3232"/>
      <c r="K37" s="3638"/>
      <c r="L37" s="3232"/>
      <c r="M37" s="3637"/>
      <c r="N37" s="3232"/>
      <c r="O37" s="3638">
        <f>G37</f>
        <v>0</v>
      </c>
      <c r="P37" s="3232"/>
      <c r="Q37" s="3637"/>
      <c r="R37" s="3232"/>
      <c r="S37" s="3637"/>
    </row>
    <row r="38" spans="1:19">
      <c r="A38" s="3538"/>
      <c r="B38" s="3636" t="s">
        <v>7184</v>
      </c>
      <c r="C38" s="1946"/>
      <c r="D38" s="1947"/>
      <c r="E38" s="1948"/>
      <c r="F38" s="1973"/>
      <c r="G38" s="662">
        <f t="shared" si="3"/>
        <v>0</v>
      </c>
      <c r="H38" s="3232"/>
      <c r="I38" s="3637"/>
      <c r="J38" s="3232"/>
      <c r="K38" s="3638"/>
      <c r="L38" s="3232"/>
      <c r="M38" s="3661">
        <v>-39511.730000000003</v>
      </c>
      <c r="N38" s="3232"/>
      <c r="O38" s="3638">
        <f>G38</f>
        <v>0</v>
      </c>
      <c r="P38" s="3232"/>
      <c r="Q38" s="3637"/>
      <c r="R38" s="3232"/>
      <c r="S38" s="3637"/>
    </row>
    <row r="39" spans="1:19">
      <c r="A39" s="3538"/>
      <c r="B39" s="3636"/>
      <c r="C39" s="1946"/>
      <c r="D39" s="1947"/>
      <c r="E39" s="1948"/>
      <c r="F39" s="1973"/>
      <c r="G39" s="662">
        <f t="shared" si="3"/>
        <v>0</v>
      </c>
      <c r="H39" s="3232"/>
      <c r="I39" s="3637"/>
      <c r="J39" s="3232"/>
      <c r="K39" s="3638"/>
      <c r="L39" s="3232"/>
      <c r="M39" s="3637"/>
      <c r="N39" s="3232"/>
      <c r="O39" s="3638">
        <f>G39</f>
        <v>0</v>
      </c>
      <c r="P39" s="3232"/>
      <c r="Q39" s="3637"/>
      <c r="R39" s="3232"/>
      <c r="S39" s="3637"/>
    </row>
    <row r="40" spans="1:19">
      <c r="A40" s="3538"/>
      <c r="B40" s="3636" t="s">
        <v>7185</v>
      </c>
      <c r="C40" s="1946"/>
      <c r="D40" s="1947"/>
      <c r="E40" s="1948"/>
      <c r="F40" s="1973"/>
      <c r="G40" s="662">
        <f t="shared" si="3"/>
        <v>0</v>
      </c>
      <c r="H40" s="3232"/>
      <c r="I40" s="3637"/>
      <c r="J40" s="3232"/>
      <c r="K40" s="3638"/>
      <c r="L40" s="3232"/>
      <c r="M40" s="3637"/>
      <c r="N40" s="3232"/>
      <c r="O40" s="3638">
        <v>90262.399999999994</v>
      </c>
      <c r="P40" s="3232"/>
      <c r="Q40" s="3637"/>
      <c r="R40" s="3232"/>
      <c r="S40" s="3637"/>
    </row>
    <row r="41" spans="1:19">
      <c r="A41" s="3538"/>
      <c r="B41" s="3641" t="s">
        <v>7186</v>
      </c>
      <c r="C41" s="1946"/>
      <c r="D41" s="1947"/>
      <c r="E41" s="1948"/>
      <c r="F41" s="1973"/>
      <c r="G41" s="662">
        <f t="shared" ref="G41:G42" si="4">ROUND(D41*F41,0)</f>
        <v>0</v>
      </c>
      <c r="H41" s="3232"/>
      <c r="I41" s="3637"/>
      <c r="J41" s="3232"/>
      <c r="K41" s="3638"/>
      <c r="L41" s="3232"/>
      <c r="M41" s="3661">
        <v>-19000</v>
      </c>
      <c r="N41" s="3232"/>
      <c r="O41" s="3663">
        <v>-90262.399999999994</v>
      </c>
      <c r="P41" s="3232"/>
      <c r="Q41" s="3637"/>
      <c r="R41" s="3232"/>
      <c r="S41" s="3637"/>
    </row>
    <row r="42" spans="1:19">
      <c r="A42" s="3538"/>
      <c r="B42" s="3641" t="s">
        <v>7187</v>
      </c>
      <c r="C42" s="1946"/>
      <c r="D42" s="1947"/>
      <c r="E42" s="1948"/>
      <c r="F42" s="1973"/>
      <c r="G42" s="662">
        <f t="shared" si="4"/>
        <v>0</v>
      </c>
      <c r="H42" s="3232"/>
      <c r="I42" s="3637"/>
      <c r="J42" s="3232"/>
      <c r="K42" s="3638"/>
      <c r="L42" s="3232"/>
      <c r="M42" s="3661">
        <v>-2000</v>
      </c>
      <c r="N42" s="3232"/>
      <c r="O42" s="3638">
        <f t="shared" ref="O42" si="5">G42</f>
        <v>0</v>
      </c>
      <c r="P42" s="3232"/>
      <c r="Q42" s="3637"/>
      <c r="R42" s="3232"/>
      <c r="S42" s="3637"/>
    </row>
    <row r="43" spans="1:19">
      <c r="A43" s="3538"/>
      <c r="B43" s="3641" t="s">
        <v>7188</v>
      </c>
      <c r="C43" s="1946"/>
      <c r="D43" s="1947"/>
      <c r="E43" s="1948"/>
      <c r="F43" s="1973"/>
      <c r="G43" s="662">
        <f t="shared" si="3"/>
        <v>0</v>
      </c>
      <c r="H43" s="3232"/>
      <c r="I43" s="3637"/>
      <c r="J43" s="3232"/>
      <c r="K43" s="3638"/>
      <c r="L43" s="3232"/>
      <c r="M43" s="3661">
        <v>-9000</v>
      </c>
      <c r="N43" s="3232"/>
      <c r="O43" s="3638">
        <f t="shared" ref="O43:O50" si="6">G43</f>
        <v>0</v>
      </c>
      <c r="P43" s="3232"/>
      <c r="Q43" s="3637"/>
      <c r="R43" s="3232"/>
      <c r="S43" s="3637"/>
    </row>
    <row r="44" spans="1:19">
      <c r="A44" s="3538"/>
      <c r="B44" s="3636"/>
      <c r="C44" s="1946"/>
      <c r="D44" s="1947"/>
      <c r="E44" s="1948"/>
      <c r="F44" s="1973"/>
      <c r="G44" s="662">
        <f t="shared" si="3"/>
        <v>0</v>
      </c>
      <c r="H44" s="3232"/>
      <c r="I44" s="3637"/>
      <c r="J44" s="3232"/>
      <c r="K44" s="3638"/>
      <c r="L44" s="3232"/>
      <c r="M44" s="3637"/>
      <c r="N44" s="3232"/>
      <c r="O44" s="3638">
        <f t="shared" si="6"/>
        <v>0</v>
      </c>
      <c r="P44" s="3232"/>
      <c r="Q44" s="3637"/>
      <c r="R44" s="3232"/>
      <c r="S44" s="3637"/>
    </row>
    <row r="45" spans="1:19">
      <c r="A45" s="3538"/>
      <c r="B45" s="3636" t="s">
        <v>6828</v>
      </c>
      <c r="C45" s="1946"/>
      <c r="D45" s="1947"/>
      <c r="E45" s="1948"/>
      <c r="F45" s="1973"/>
      <c r="G45" s="662">
        <f t="shared" si="3"/>
        <v>0</v>
      </c>
      <c r="H45" s="3232"/>
      <c r="I45" s="3658">
        <v>145000</v>
      </c>
      <c r="J45" s="3232"/>
      <c r="K45" s="3638"/>
      <c r="L45" s="3232"/>
      <c r="M45" s="3637"/>
      <c r="N45" s="3232"/>
      <c r="O45" s="3638">
        <f t="shared" si="6"/>
        <v>0</v>
      </c>
      <c r="P45" s="3232"/>
      <c r="Q45" s="3637"/>
      <c r="R45" s="3232"/>
      <c r="S45" s="3637"/>
    </row>
    <row r="46" spans="1:19">
      <c r="A46" s="3538"/>
      <c r="B46" s="3636"/>
      <c r="C46" s="1946"/>
      <c r="D46" s="1947"/>
      <c r="E46" s="1948"/>
      <c r="F46" s="1973"/>
      <c r="G46" s="662">
        <f t="shared" si="3"/>
        <v>0</v>
      </c>
      <c r="H46" s="3232"/>
      <c r="I46" s="3637"/>
      <c r="J46" s="3232"/>
      <c r="K46" s="3638"/>
      <c r="L46" s="3232"/>
      <c r="M46" s="3637"/>
      <c r="N46" s="3232"/>
      <c r="O46" s="3638">
        <f t="shared" si="6"/>
        <v>0</v>
      </c>
      <c r="P46" s="3232"/>
      <c r="Q46" s="3637"/>
      <c r="R46" s="3232"/>
      <c r="S46" s="3637"/>
    </row>
    <row r="47" spans="1:19">
      <c r="A47" s="3538"/>
      <c r="B47" s="3636"/>
      <c r="C47" s="1946"/>
      <c r="D47" s="1947"/>
      <c r="E47" s="1948"/>
      <c r="F47" s="1973"/>
      <c r="G47" s="662">
        <f t="shared" si="3"/>
        <v>0</v>
      </c>
      <c r="H47" s="3232"/>
      <c r="I47" s="3637"/>
      <c r="J47" s="3232"/>
      <c r="K47" s="3638"/>
      <c r="L47" s="3232"/>
      <c r="M47" s="3637"/>
      <c r="N47" s="3232"/>
      <c r="O47" s="3638">
        <f t="shared" si="6"/>
        <v>0</v>
      </c>
      <c r="P47" s="3232"/>
      <c r="Q47" s="3637"/>
      <c r="R47" s="3232"/>
      <c r="S47" s="3637"/>
    </row>
    <row r="48" spans="1:19">
      <c r="A48" s="3538"/>
      <c r="B48" s="3636"/>
      <c r="C48" s="1946"/>
      <c r="D48" s="1947"/>
      <c r="E48" s="1948"/>
      <c r="F48" s="1973"/>
      <c r="G48" s="662">
        <f t="shared" si="3"/>
        <v>0</v>
      </c>
      <c r="H48" s="3232"/>
      <c r="I48" s="3637"/>
      <c r="J48" s="3232"/>
      <c r="K48" s="3638"/>
      <c r="L48" s="3232"/>
      <c r="M48" s="3637"/>
      <c r="N48" s="3232"/>
      <c r="O48" s="3638">
        <f t="shared" si="6"/>
        <v>0</v>
      </c>
      <c r="P48" s="3232"/>
      <c r="Q48" s="3637"/>
      <c r="R48" s="3232"/>
      <c r="S48" s="3637"/>
    </row>
    <row r="49" spans="1:34">
      <c r="A49" s="3538"/>
      <c r="B49" s="3636"/>
      <c r="C49" s="1946"/>
      <c r="D49" s="1947"/>
      <c r="E49" s="1948"/>
      <c r="F49" s="1973"/>
      <c r="G49" s="662">
        <f t="shared" si="3"/>
        <v>0</v>
      </c>
      <c r="H49" s="3232"/>
      <c r="I49" s="3637"/>
      <c r="J49" s="3232"/>
      <c r="K49" s="3638"/>
      <c r="L49" s="3232"/>
      <c r="M49" s="3637"/>
      <c r="N49" s="3232"/>
      <c r="O49" s="3638">
        <f t="shared" si="6"/>
        <v>0</v>
      </c>
      <c r="P49" s="3232"/>
      <c r="Q49" s="3637"/>
      <c r="R49" s="3232"/>
      <c r="S49" s="3637"/>
    </row>
    <row r="50" spans="1:34" ht="15.75" thickBot="1">
      <c r="A50" s="3538"/>
      <c r="B50" s="3636"/>
      <c r="C50" s="1946"/>
      <c r="D50" s="1947"/>
      <c r="E50" s="1948"/>
      <c r="F50" s="1973"/>
      <c r="G50" s="662">
        <f t="shared" si="3"/>
        <v>0</v>
      </c>
      <c r="H50" s="3232"/>
      <c r="I50" s="3637"/>
      <c r="J50" s="3232"/>
      <c r="K50" s="3638"/>
      <c r="L50" s="3232"/>
      <c r="M50" s="3637"/>
      <c r="N50" s="3232"/>
      <c r="O50" s="3638">
        <f t="shared" si="6"/>
        <v>0</v>
      </c>
      <c r="P50" s="3232"/>
      <c r="Q50" s="3637"/>
      <c r="R50" s="3232"/>
      <c r="S50" s="3637"/>
    </row>
    <row r="51" spans="1:34" ht="15.75" thickTop="1">
      <c r="A51" s="13"/>
      <c r="B51" s="226" t="s">
        <v>3265</v>
      </c>
      <c r="C51" s="15"/>
      <c r="D51" s="168"/>
      <c r="E51" s="176"/>
      <c r="F51" s="17"/>
      <c r="G51" s="227">
        <f>SUBTOTAL(9,G21:G50)</f>
        <v>98000</v>
      </c>
      <c r="H51" s="19"/>
      <c r="I51" s="225">
        <f>SUBTOTAL(9,I20:I50)</f>
        <v>1769458.72</v>
      </c>
      <c r="J51" s="19"/>
      <c r="K51" s="225">
        <f>SUBTOTAL(9,K20:K50)</f>
        <v>1915387.25</v>
      </c>
      <c r="L51" s="19"/>
      <c r="M51" s="225">
        <f>SUBTOTAL(9,M20:M50)</f>
        <v>2325813</v>
      </c>
      <c r="N51" s="19"/>
      <c r="O51" s="225">
        <f>SUBTOTAL(9,O20:O50)</f>
        <v>2433299.1300000004</v>
      </c>
      <c r="P51" s="19"/>
      <c r="Q51" s="225">
        <f>SUBTOTAL(9,Q20:Q50)</f>
        <v>2106808</v>
      </c>
      <c r="R51" s="19"/>
      <c r="S51" s="225">
        <f>SUBTOTAL(9,S20:S50)</f>
        <v>0</v>
      </c>
    </row>
    <row r="52" spans="1:34">
      <c r="A52" s="3479"/>
      <c r="B52" s="1906" t="s">
        <v>2976</v>
      </c>
      <c r="C52" s="1907"/>
      <c r="D52" s="1908"/>
      <c r="E52" s="1909"/>
      <c r="F52" s="1910"/>
      <c r="G52" s="654"/>
      <c r="H52" s="3425">
        <v>0</v>
      </c>
      <c r="I52" s="645"/>
      <c r="J52" s="3425">
        <v>0</v>
      </c>
      <c r="K52" s="645"/>
      <c r="L52" s="3425">
        <v>0</v>
      </c>
      <c r="M52" s="645"/>
      <c r="N52" s="3425">
        <v>0</v>
      </c>
      <c r="O52" s="645"/>
      <c r="P52" s="3425">
        <v>0</v>
      </c>
      <c r="Q52" s="645"/>
      <c r="R52" s="3425">
        <v>0</v>
      </c>
      <c r="S52" s="645"/>
    </row>
    <row r="53" spans="1:34">
      <c r="A53" s="3479"/>
      <c r="B53" s="1906" t="s">
        <v>2977</v>
      </c>
      <c r="C53" s="1907"/>
      <c r="D53" s="1908"/>
      <c r="E53" s="1909"/>
      <c r="F53" s="1910"/>
      <c r="G53" s="654">
        <f>F52*G51</f>
        <v>0</v>
      </c>
      <c r="H53" s="3426"/>
      <c r="I53" s="3427">
        <f>H52*I51</f>
        <v>0</v>
      </c>
      <c r="J53" s="3426"/>
      <c r="K53" s="3427">
        <f>J52*K51</f>
        <v>0</v>
      </c>
      <c r="L53" s="3426"/>
      <c r="M53" s="3427">
        <f>L52*M51</f>
        <v>0</v>
      </c>
      <c r="N53" s="3426"/>
      <c r="O53" s="3427">
        <f>N52*O51</f>
        <v>0</v>
      </c>
      <c r="P53" s="3426"/>
      <c r="Q53" s="3427">
        <f>P52*Q51</f>
        <v>0</v>
      </c>
      <c r="R53" s="3426"/>
      <c r="S53" s="3427">
        <f>R52*S51</f>
        <v>0</v>
      </c>
    </row>
    <row r="54" spans="1:34">
      <c r="A54" s="3479"/>
      <c r="B54" s="1906"/>
      <c r="C54" s="1907"/>
      <c r="D54" s="1908"/>
      <c r="E54" s="1909"/>
      <c r="F54" s="1910"/>
      <c r="G54" s="654"/>
      <c r="H54" s="3426"/>
      <c r="I54" s="3427"/>
      <c r="J54" s="3426"/>
      <c r="K54" s="3427"/>
      <c r="L54" s="3426"/>
      <c r="M54" s="3427"/>
      <c r="N54" s="3426"/>
      <c r="O54" s="3427"/>
      <c r="P54" s="3426"/>
      <c r="Q54" s="3427"/>
      <c r="R54" s="3426"/>
      <c r="S54" s="3427"/>
    </row>
    <row r="55" spans="1:34">
      <c r="A55" s="3479"/>
      <c r="B55" s="1906" t="s">
        <v>2978</v>
      </c>
      <c r="C55" s="1907"/>
      <c r="D55" s="1908"/>
      <c r="E55" s="1909"/>
      <c r="F55" s="1910"/>
      <c r="G55" s="654">
        <f>SUM(G51:G53)</f>
        <v>98000</v>
      </c>
      <c r="H55" s="3428"/>
      <c r="I55" s="3427">
        <f>SUM(I51:I53)</f>
        <v>1769458.72</v>
      </c>
      <c r="J55" s="3428"/>
      <c r="K55" s="3427">
        <f>SUM(K51:K53)</f>
        <v>1915387.25</v>
      </c>
      <c r="L55" s="3428"/>
      <c r="M55" s="3427">
        <f>SUM(M51:M53)</f>
        <v>2325813</v>
      </c>
      <c r="N55" s="3428"/>
      <c r="O55" s="3427">
        <f>SUM(O51:O53)</f>
        <v>2433299.1300000004</v>
      </c>
      <c r="P55" s="3428"/>
      <c r="Q55" s="3427">
        <f>SUM(Q51:Q53)</f>
        <v>2106808</v>
      </c>
      <c r="R55" s="3428"/>
      <c r="S55" s="3427">
        <f>SUM(S51:S53)</f>
        <v>0</v>
      </c>
    </row>
    <row r="56" spans="1:34">
      <c r="A56" s="3479"/>
      <c r="B56" s="1915" t="s">
        <v>2979</v>
      </c>
      <c r="C56" s="1907"/>
      <c r="D56" s="1908"/>
      <c r="E56" s="1909"/>
      <c r="F56" s="1915"/>
      <c r="G56" s="655">
        <f>G55/'Area Calculations'!$F$5</f>
        <v>1.1051966798989534</v>
      </c>
      <c r="H56" s="3429"/>
      <c r="I56" s="3430">
        <f>I55/'Area Calculations'!$F$5</f>
        <v>19.95510104655359</v>
      </c>
      <c r="J56" s="3429"/>
      <c r="K56" s="3430">
        <f>K55/'Area Calculations'!$F$5</f>
        <v>21.60081254511007</v>
      </c>
      <c r="L56" s="3429"/>
      <c r="M56" s="3430">
        <f>M55/'Area Calculations'!$F$5</f>
        <v>26.229395976181884</v>
      </c>
      <c r="N56" s="3429"/>
      <c r="O56" s="3430">
        <f>O55/'Area Calculations'!$F$5</f>
        <v>27.441572649765433</v>
      </c>
      <c r="P56" s="3429"/>
      <c r="Q56" s="3430">
        <f>Q55/'Area Calculations'!$F$5</f>
        <v>23.759563334536267</v>
      </c>
      <c r="R56" s="3431"/>
      <c r="S56" s="3430">
        <f>S55/'Area Calculations'!$F$5</f>
        <v>0</v>
      </c>
    </row>
    <row r="57" spans="1:34">
      <c r="A57" s="3479"/>
      <c r="B57" s="1919"/>
      <c r="C57" s="1907"/>
      <c r="D57" s="1908"/>
      <c r="E57" s="1909"/>
      <c r="F57" s="1910"/>
      <c r="G57" s="656"/>
      <c r="H57" s="3432"/>
      <c r="I57" s="3432"/>
      <c r="J57" s="3432"/>
      <c r="K57" s="3433"/>
      <c r="L57" s="3432"/>
      <c r="M57" s="3432"/>
      <c r="N57" s="3432"/>
      <c r="O57" s="3433"/>
      <c r="P57" s="3432"/>
      <c r="Q57" s="3432"/>
      <c r="R57" s="3432"/>
      <c r="S57" s="3432"/>
    </row>
    <row r="58" spans="1:34" ht="16.5" hidden="1" thickTop="1" thickBot="1">
      <c r="A58" s="830" t="s">
        <v>2980</v>
      </c>
      <c r="B58" s="831"/>
      <c r="C58" s="12"/>
      <c r="D58" s="169"/>
      <c r="E58" s="177"/>
      <c r="F58" s="12"/>
      <c r="G58" s="228"/>
      <c r="H58" s="20"/>
      <c r="I58" s="20"/>
      <c r="J58" s="20"/>
      <c r="K58" s="20"/>
      <c r="L58" s="20"/>
      <c r="M58" s="20"/>
      <c r="N58" s="20"/>
      <c r="O58" s="20"/>
      <c r="P58" s="20"/>
      <c r="Q58" s="20"/>
      <c r="R58" s="20"/>
      <c r="S58" s="20"/>
    </row>
    <row r="59" spans="1:34" ht="15.75" hidden="1" thickTop="1">
      <c r="A59" s="3614"/>
      <c r="B59" s="1945"/>
      <c r="C59" s="3615"/>
      <c r="D59" s="3616"/>
      <c r="E59" s="3617"/>
      <c r="F59" s="3615"/>
      <c r="G59" s="3618"/>
      <c r="H59" s="3619"/>
      <c r="I59" s="3619"/>
      <c r="J59" s="3619"/>
      <c r="K59" s="3619"/>
      <c r="L59" s="3619"/>
      <c r="M59" s="3619"/>
      <c r="N59" s="3619"/>
      <c r="O59" s="3619"/>
      <c r="P59" s="3619"/>
      <c r="Q59" s="3619"/>
      <c r="R59" s="3619"/>
      <c r="S59" s="3619"/>
    </row>
    <row r="60" spans="1:34" hidden="1">
      <c r="A60" s="3614"/>
      <c r="B60" s="1945"/>
      <c r="C60" s="3615"/>
      <c r="D60" s="3616"/>
      <c r="E60" s="3617"/>
      <c r="F60" s="3615"/>
      <c r="G60" s="3618"/>
      <c r="H60" s="3619"/>
      <c r="I60" s="3619"/>
      <c r="J60" s="3619"/>
      <c r="K60" s="3619"/>
      <c r="L60" s="3619"/>
      <c r="M60" s="3619"/>
      <c r="N60" s="3619"/>
      <c r="O60" s="3619"/>
      <c r="P60" s="3619"/>
      <c r="Q60" s="3619"/>
      <c r="R60" s="3619"/>
      <c r="S60" s="3619"/>
    </row>
    <row r="61" spans="1:34" ht="15.75" hidden="1" thickBot="1">
      <c r="A61" s="3614"/>
      <c r="B61" s="1945"/>
      <c r="C61" s="3615"/>
      <c r="D61" s="3616"/>
      <c r="E61" s="3617"/>
      <c r="F61" s="3615"/>
      <c r="G61" s="3618"/>
      <c r="H61" s="3619"/>
      <c r="I61" s="3619"/>
      <c r="J61" s="3619"/>
      <c r="K61" s="3619"/>
      <c r="L61" s="3619"/>
      <c r="M61" s="3619"/>
      <c r="N61" s="3619"/>
      <c r="O61" s="3619"/>
      <c r="P61" s="3619"/>
      <c r="Q61" s="3619"/>
      <c r="R61" s="3619"/>
      <c r="S61" s="3619"/>
    </row>
    <row r="62" spans="1:34" s="2" customFormat="1" ht="16.5" hidden="1"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hidden="1" thickTop="1">
      <c r="A63" s="3614"/>
      <c r="B63" s="1945"/>
      <c r="C63" s="3615"/>
      <c r="D63" s="3616"/>
      <c r="E63" s="3617"/>
      <c r="F63" s="3615"/>
      <c r="G63" s="3618"/>
      <c r="H63" s="3619"/>
      <c r="I63" s="3619"/>
      <c r="J63" s="3619"/>
      <c r="K63" s="3619"/>
      <c r="L63" s="3619"/>
      <c r="M63" s="3619"/>
      <c r="N63" s="3619"/>
      <c r="O63" s="3619"/>
      <c r="P63" s="3619"/>
      <c r="Q63" s="3619"/>
      <c r="R63" s="3619"/>
      <c r="S63" s="3619"/>
      <c r="T63"/>
      <c r="U63"/>
      <c r="V63"/>
      <c r="W63"/>
      <c r="X63"/>
      <c r="Y63"/>
      <c r="Z63"/>
      <c r="AA63"/>
      <c r="AB63"/>
      <c r="AC63"/>
      <c r="AD63"/>
      <c r="AE63"/>
      <c r="AF63"/>
      <c r="AG63"/>
      <c r="AH63"/>
    </row>
    <row r="64" spans="1:34" s="2" customFormat="1" hidden="1">
      <c r="A64" s="3614"/>
      <c r="B64" s="1945"/>
      <c r="C64" s="3615"/>
      <c r="D64" s="3616"/>
      <c r="E64" s="3617"/>
      <c r="F64" s="3615"/>
      <c r="G64" s="3618"/>
      <c r="H64" s="3619"/>
      <c r="I64" s="3619"/>
      <c r="J64" s="3619"/>
      <c r="K64" s="3619"/>
      <c r="L64" s="3619"/>
      <c r="M64" s="3619"/>
      <c r="N64" s="3619"/>
      <c r="O64" s="3619"/>
      <c r="P64" s="3619"/>
      <c r="Q64" s="3619"/>
      <c r="R64" s="3619"/>
      <c r="S64" s="3619"/>
      <c r="T64"/>
      <c r="U64"/>
      <c r="V64"/>
      <c r="W64"/>
      <c r="X64"/>
      <c r="Y64"/>
      <c r="Z64"/>
      <c r="AA64"/>
      <c r="AB64"/>
      <c r="AC64"/>
      <c r="AD64"/>
      <c r="AE64"/>
      <c r="AF64"/>
      <c r="AG64"/>
      <c r="AH64"/>
    </row>
    <row r="65" spans="1:34" ht="15.75" hidden="1" thickBot="1">
      <c r="A65" s="3614"/>
      <c r="B65" s="1945"/>
      <c r="C65" s="3615"/>
      <c r="D65" s="3616"/>
      <c r="E65" s="3617"/>
      <c r="F65" s="3615"/>
      <c r="G65" s="3618"/>
      <c r="H65" s="3619"/>
      <c r="I65" s="3619"/>
      <c r="J65" s="3619"/>
      <c r="K65" s="3619"/>
      <c r="L65" s="3619"/>
      <c r="M65" s="3619"/>
      <c r="N65" s="3619"/>
      <c r="O65" s="3619"/>
      <c r="P65" s="3619"/>
      <c r="Q65" s="3619"/>
      <c r="R65" s="3619"/>
      <c r="S65" s="3619"/>
    </row>
    <row r="66" spans="1:34" s="2" customFormat="1" ht="16.5" hidden="1"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hidden="1" thickTop="1">
      <c r="A67" s="3614"/>
      <c r="B67" s="1945"/>
      <c r="C67" s="3615"/>
      <c r="D67" s="3616"/>
      <c r="E67" s="3617"/>
      <c r="F67" s="3615"/>
      <c r="G67" s="3618"/>
      <c r="H67" s="3619"/>
      <c r="I67" s="3619"/>
      <c r="J67" s="3619"/>
      <c r="K67" s="3619"/>
      <c r="L67" s="3619"/>
      <c r="M67" s="3619"/>
      <c r="N67" s="3619"/>
      <c r="O67" s="3619"/>
      <c r="P67" s="3619"/>
      <c r="Q67" s="3619"/>
      <c r="R67" s="3619"/>
      <c r="S67" s="3619"/>
      <c r="T67"/>
      <c r="U67"/>
      <c r="V67"/>
      <c r="W67"/>
      <c r="X67"/>
      <c r="Y67"/>
      <c r="Z67"/>
      <c r="AA67"/>
      <c r="AB67"/>
      <c r="AC67"/>
      <c r="AD67"/>
      <c r="AE67"/>
      <c r="AF67"/>
      <c r="AG67"/>
      <c r="AH67"/>
    </row>
    <row r="68" spans="1:34" s="2" customFormat="1" hidden="1">
      <c r="A68" s="3497"/>
      <c r="B68" s="1945"/>
      <c r="C68" s="1946"/>
      <c r="D68" s="1947"/>
      <c r="E68" s="1948"/>
      <c r="F68" s="1946"/>
      <c r="G68" s="1923"/>
      <c r="H68" s="3434"/>
      <c r="I68" s="3434"/>
      <c r="J68" s="3434"/>
      <c r="K68" s="3434"/>
      <c r="L68" s="3434"/>
      <c r="M68" s="3434"/>
      <c r="N68" s="3434"/>
      <c r="O68" s="3434"/>
      <c r="P68" s="3434"/>
      <c r="Q68" s="3434"/>
      <c r="R68" s="3434"/>
      <c r="S68" s="3434"/>
      <c r="T68"/>
      <c r="U68"/>
      <c r="V68"/>
      <c r="W68"/>
      <c r="X68"/>
      <c r="Y68"/>
      <c r="Z68"/>
      <c r="AA68"/>
      <c r="AB68"/>
      <c r="AC68"/>
      <c r="AD68"/>
      <c r="AE68"/>
      <c r="AF68"/>
      <c r="AG68"/>
      <c r="AH68"/>
    </row>
    <row r="69" spans="1:34" s="2" customFormat="1" ht="15.75" hidden="1" thickBot="1">
      <c r="A69" s="3500"/>
      <c r="B69" s="1926"/>
      <c r="C69" s="1946"/>
      <c r="D69" s="1947"/>
      <c r="E69" s="1948"/>
      <c r="F69" s="1946"/>
      <c r="G69" s="1923"/>
      <c r="H69" s="3435"/>
      <c r="I69" s="3435"/>
      <c r="J69" s="3435"/>
      <c r="K69" s="3435"/>
      <c r="L69" s="3435"/>
      <c r="M69" s="3435"/>
      <c r="N69" s="3435"/>
      <c r="O69" s="3435"/>
      <c r="P69" s="3435"/>
      <c r="Q69" s="3435"/>
      <c r="R69" s="3435"/>
      <c r="S69" s="3435"/>
    </row>
    <row r="70" spans="1:34" s="2" customFormat="1" ht="16.5" hidden="1"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hidden="1" thickTop="1">
      <c r="A71" s="3620"/>
      <c r="B71" s="3621"/>
      <c r="C71" s="3615"/>
      <c r="D71" s="3616"/>
      <c r="E71" s="3617"/>
      <c r="F71" s="3615"/>
      <c r="G71" s="3618"/>
      <c r="H71" s="3619"/>
      <c r="I71" s="3619"/>
      <c r="J71" s="3619"/>
      <c r="K71" s="3619"/>
      <c r="L71" s="3619"/>
      <c r="M71" s="3619"/>
      <c r="N71" s="3619"/>
      <c r="O71" s="3619"/>
      <c r="P71" s="3619"/>
      <c r="Q71" s="3619"/>
      <c r="R71" s="3619"/>
      <c r="S71" s="3619"/>
      <c r="T71" s="2"/>
      <c r="U71" s="2"/>
      <c r="V71" s="2"/>
      <c r="W71" s="2"/>
      <c r="X71" s="2"/>
      <c r="Y71" s="2"/>
      <c r="Z71" s="2"/>
      <c r="AA71" s="2"/>
      <c r="AB71" s="2"/>
      <c r="AC71" s="2"/>
      <c r="AD71" s="2"/>
      <c r="AE71" s="2"/>
      <c r="AF71" s="2"/>
      <c r="AG71" s="2"/>
      <c r="AH71" s="2"/>
    </row>
    <row r="72" spans="1:34" hidden="1">
      <c r="A72" s="3500"/>
      <c r="B72" s="1926"/>
      <c r="C72" s="1946"/>
      <c r="D72" s="1947"/>
      <c r="E72" s="1948"/>
      <c r="F72" s="1946"/>
      <c r="G72" s="1923"/>
      <c r="H72" s="3436"/>
      <c r="I72" s="3436"/>
      <c r="J72" s="3436"/>
      <c r="K72" s="3436"/>
      <c r="L72" s="3436"/>
      <c r="M72" s="3436"/>
      <c r="N72" s="3436"/>
      <c r="O72" s="3436"/>
      <c r="P72" s="3436"/>
      <c r="Q72" s="3436"/>
      <c r="R72" s="3436"/>
      <c r="S72" s="3436"/>
      <c r="T72" s="2"/>
      <c r="U72" s="2"/>
      <c r="V72" s="2"/>
      <c r="W72" s="2"/>
      <c r="X72" s="2"/>
      <c r="Y72" s="2"/>
      <c r="Z72" s="2"/>
      <c r="AA72" s="2"/>
      <c r="AB72" s="2"/>
      <c r="AC72" s="2"/>
      <c r="AD72" s="2"/>
      <c r="AE72" s="2"/>
      <c r="AF72" s="2"/>
      <c r="AG72" s="2"/>
      <c r="AH72" s="2"/>
    </row>
    <row r="73" spans="1:34" ht="15.75" hidden="1" thickBot="1">
      <c r="A73" s="3500"/>
      <c r="B73" s="1926"/>
      <c r="C73" s="1946"/>
      <c r="D73" s="1947"/>
      <c r="E73" s="1948"/>
      <c r="F73" s="1946"/>
      <c r="G73" s="1923"/>
      <c r="H73" s="3436"/>
      <c r="I73" s="3436"/>
      <c r="J73" s="3436"/>
      <c r="K73" s="3436"/>
      <c r="L73" s="3436"/>
      <c r="M73" s="3436"/>
      <c r="N73" s="3436"/>
      <c r="O73" s="3436"/>
      <c r="P73" s="3436"/>
      <c r="Q73" s="3436"/>
      <c r="R73" s="3436"/>
      <c r="S73" s="3436"/>
      <c r="T73" s="2"/>
      <c r="U73" s="2"/>
      <c r="V73" s="2"/>
      <c r="W73" s="2"/>
      <c r="X73" s="2"/>
      <c r="Y73" s="2"/>
      <c r="Z73" s="2"/>
      <c r="AA73" s="2"/>
      <c r="AB73" s="2"/>
      <c r="AC73" s="2"/>
      <c r="AD73" s="2"/>
      <c r="AE73" s="2"/>
      <c r="AF73" s="2"/>
      <c r="AG73" s="2"/>
      <c r="AH73" s="2"/>
    </row>
    <row r="74" spans="1:34" ht="16.5" hidden="1" thickTop="1" thickBot="1">
      <c r="A74" s="830" t="s">
        <v>2984</v>
      </c>
      <c r="B74" s="831"/>
      <c r="C74" s="12"/>
      <c r="D74" s="169"/>
      <c r="E74" s="177"/>
      <c r="F74" s="12"/>
      <c r="G74" s="228"/>
      <c r="H74" s="20"/>
      <c r="I74" s="20"/>
      <c r="J74" s="20"/>
      <c r="K74" s="20"/>
      <c r="L74" s="20"/>
      <c r="M74" s="20"/>
      <c r="N74" s="20"/>
      <c r="O74" s="20"/>
      <c r="P74" s="20"/>
      <c r="Q74" s="20"/>
      <c r="R74" s="20"/>
      <c r="S74" s="20"/>
    </row>
    <row r="75" spans="1:34" ht="15.75" hidden="1" thickTop="1">
      <c r="A75" s="3497"/>
      <c r="B75" s="1945" t="s">
        <v>2985</v>
      </c>
      <c r="C75" s="1946"/>
      <c r="D75" s="1947"/>
      <c r="E75" s="1948"/>
      <c r="F75" s="1946"/>
      <c r="G75" s="1923"/>
      <c r="H75" s="3436"/>
      <c r="I75" s="3436"/>
      <c r="J75" s="3436"/>
      <c r="K75" s="3436"/>
      <c r="L75" s="3436"/>
      <c r="M75" s="3436"/>
      <c r="N75" s="3436"/>
      <c r="O75" s="3436"/>
      <c r="P75" s="3436"/>
      <c r="Q75" s="3436"/>
      <c r="R75" s="3436"/>
      <c r="S75" s="3436"/>
    </row>
    <row r="76" spans="1:34" hidden="1">
      <c r="A76" s="3497"/>
      <c r="B76" s="1945" t="s">
        <v>2986</v>
      </c>
      <c r="C76" s="1946"/>
      <c r="D76" s="1947"/>
      <c r="E76" s="1948"/>
      <c r="F76" s="1946"/>
      <c r="G76" s="1923"/>
      <c r="H76" s="3436"/>
      <c r="I76" s="3436"/>
      <c r="J76" s="3436"/>
      <c r="K76" s="3436"/>
      <c r="L76" s="3436"/>
      <c r="M76" s="3436"/>
      <c r="N76" s="3436"/>
      <c r="O76" s="3436"/>
      <c r="P76" s="3436"/>
      <c r="Q76" s="3436"/>
      <c r="R76" s="3436"/>
      <c r="S76" s="3436"/>
    </row>
    <row r="77" spans="1:34" hidden="1">
      <c r="A77" s="3497"/>
      <c r="B77" s="1945" t="s">
        <v>2987</v>
      </c>
      <c r="C77" s="1946"/>
      <c r="D77" s="1947"/>
      <c r="E77" s="1948"/>
      <c r="F77" s="1946"/>
      <c r="G77" s="1923"/>
      <c r="H77" s="3436"/>
      <c r="I77" s="3436"/>
      <c r="J77" s="3436"/>
      <c r="K77" s="3436"/>
      <c r="L77" s="3436"/>
      <c r="M77" s="3436"/>
      <c r="N77" s="3436"/>
      <c r="O77" s="3436"/>
      <c r="P77" s="3436"/>
      <c r="Q77" s="3436"/>
      <c r="R77" s="3436"/>
      <c r="S77" s="3436"/>
    </row>
    <row r="78" spans="1:34" hidden="1">
      <c r="A78" s="3497"/>
      <c r="B78" s="1945" t="s">
        <v>2988</v>
      </c>
      <c r="C78" s="1946"/>
      <c r="D78" s="1947"/>
      <c r="E78" s="1948"/>
      <c r="F78" s="1946"/>
      <c r="G78" s="1923"/>
      <c r="H78" s="3436"/>
      <c r="I78" s="3436"/>
      <c r="J78" s="3436"/>
      <c r="K78" s="3436"/>
      <c r="L78" s="3436"/>
      <c r="M78" s="3436"/>
      <c r="N78" s="3436"/>
      <c r="O78" s="3436"/>
      <c r="P78" s="3436"/>
      <c r="Q78" s="3436"/>
      <c r="R78" s="3436"/>
      <c r="S78" s="3436"/>
    </row>
    <row r="79" spans="1:34" ht="15.75" hidden="1" thickBot="1">
      <c r="A79" s="646"/>
      <c r="B79" s="619"/>
      <c r="C79" s="616"/>
      <c r="D79" s="621"/>
      <c r="E79" s="622"/>
      <c r="F79" s="616"/>
      <c r="G79" s="620"/>
      <c r="H79" s="647"/>
      <c r="I79" s="647"/>
      <c r="J79" s="647"/>
      <c r="K79" s="647"/>
      <c r="L79" s="647"/>
      <c r="M79" s="647"/>
      <c r="N79" s="647"/>
      <c r="O79" s="647"/>
      <c r="P79" s="647"/>
      <c r="Q79" s="647"/>
      <c r="R79" s="647"/>
      <c r="S79" s="647"/>
    </row>
    <row r="80" spans="1:34" ht="16.5" hidden="1" thickTop="1" thickBot="1">
      <c r="A80" s="7" t="s">
        <v>2989</v>
      </c>
      <c r="B80" s="8"/>
      <c r="C80" s="12"/>
      <c r="D80" s="169"/>
      <c r="E80" s="177"/>
      <c r="F80" s="12"/>
      <c r="G80" s="228"/>
      <c r="H80" s="20"/>
      <c r="I80" s="20"/>
      <c r="J80" s="20"/>
      <c r="K80" s="20"/>
      <c r="L80" s="20"/>
      <c r="M80" s="20"/>
      <c r="N80" s="20"/>
      <c r="O80" s="20"/>
      <c r="P80" s="20"/>
      <c r="Q80" s="20"/>
      <c r="R80" s="20"/>
      <c r="S80" s="20"/>
    </row>
    <row r="81" spans="1:19" ht="15.75" hidden="1" thickTop="1">
      <c r="A81" s="3614"/>
      <c r="B81" s="3622" t="s">
        <v>2990</v>
      </c>
      <c r="C81" s="3615"/>
      <c r="D81" s="3616"/>
      <c r="E81" s="3617"/>
      <c r="F81" s="3615"/>
      <c r="G81" s="3618"/>
      <c r="H81" s="3623"/>
      <c r="I81" s="3623"/>
      <c r="J81" s="3623"/>
      <c r="K81" s="3623"/>
      <c r="L81" s="3623"/>
      <c r="M81" s="3623"/>
      <c r="N81" s="3623"/>
      <c r="O81" s="3623"/>
      <c r="P81" s="3623"/>
      <c r="Q81" s="3623"/>
      <c r="R81" s="3623"/>
      <c r="S81" s="3623"/>
    </row>
    <row r="82" spans="1:19" hidden="1">
      <c r="A82" s="3497"/>
      <c r="B82" s="1945" t="s">
        <v>2991</v>
      </c>
      <c r="C82" s="1946"/>
      <c r="D82" s="1947"/>
      <c r="E82" s="1948"/>
      <c r="F82" s="1946"/>
      <c r="G82" s="1923"/>
      <c r="H82" s="3437"/>
      <c r="I82" s="3437"/>
      <c r="J82" s="3437"/>
      <c r="K82" s="3437"/>
      <c r="L82" s="3437"/>
      <c r="M82" s="3437"/>
      <c r="N82" s="3437"/>
      <c r="O82" s="3437"/>
      <c r="P82" s="3437"/>
      <c r="Q82" s="3437"/>
      <c r="R82" s="3437"/>
      <c r="S82" s="3437"/>
    </row>
    <row r="83" spans="1:19" ht="15.75" hidden="1" thickBot="1">
      <c r="A83" s="3197"/>
      <c r="B83" s="3224" t="s">
        <v>2992</v>
      </c>
      <c r="C83" s="3225"/>
      <c r="D83" s="3549"/>
      <c r="E83" s="3199"/>
      <c r="F83" s="3225"/>
      <c r="G83" s="3200"/>
      <c r="H83" s="3201"/>
      <c r="I83" s="3201"/>
      <c r="J83" s="3201"/>
      <c r="K83" s="3201"/>
      <c r="L83" s="3201"/>
      <c r="M83" s="3201"/>
      <c r="N83" s="3201"/>
      <c r="O83" s="3201"/>
      <c r="P83" s="3201"/>
      <c r="Q83" s="3201"/>
      <c r="R83" s="3201"/>
      <c r="S83" s="3201"/>
    </row>
    <row r="84" spans="1:19" ht="15.75" thickBot="1"/>
    <row r="85" spans="1:19" ht="16.5" thickTop="1" thickBot="1">
      <c r="A85" s="59" t="s">
        <v>2993</v>
      </c>
      <c r="B85" s="61"/>
      <c r="G85" s="2" t="s">
        <v>3584</v>
      </c>
      <c r="H85" s="236"/>
      <c r="I85" s="236">
        <v>969913</v>
      </c>
      <c r="J85" s="236"/>
      <c r="K85" s="236">
        <v>1067230.25</v>
      </c>
      <c r="L85" s="236"/>
      <c r="M85" s="236">
        <v>2297324.73</v>
      </c>
      <c r="O85" s="236">
        <v>2036253.59</v>
      </c>
      <c r="P85" s="236"/>
      <c r="Q85" s="236"/>
      <c r="R85" s="236"/>
      <c r="S85" s="236"/>
    </row>
    <row r="86" spans="1:19" ht="15.75" thickTop="1">
      <c r="A86" s="60" t="s">
        <v>2936</v>
      </c>
      <c r="B86" s="3202"/>
      <c r="G86" s="2" t="s">
        <v>3585</v>
      </c>
      <c r="H86" s="236"/>
      <c r="I86" s="529">
        <f>I32</f>
        <v>98000</v>
      </c>
      <c r="J86" s="236"/>
      <c r="K86" s="529">
        <f>K32</f>
        <v>98000</v>
      </c>
      <c r="L86" s="236"/>
      <c r="M86" s="529">
        <f>M32</f>
        <v>98000</v>
      </c>
      <c r="O86" s="529">
        <f>O32</f>
        <v>98000</v>
      </c>
      <c r="P86" s="236"/>
      <c r="Q86" s="236"/>
      <c r="R86" s="236"/>
      <c r="S86" s="236"/>
    </row>
    <row r="87" spans="1:19">
      <c r="A87" s="3510" t="s">
        <v>2939</v>
      </c>
      <c r="B87" s="3202"/>
      <c r="G87" s="2" t="s">
        <v>3586</v>
      </c>
      <c r="H87" s="236"/>
      <c r="I87" s="527">
        <f>I28+I30+I45</f>
        <v>164500</v>
      </c>
      <c r="J87" s="236"/>
      <c r="K87" s="527">
        <f>K25+K27+K29+K30</f>
        <v>93500</v>
      </c>
      <c r="L87" s="236"/>
      <c r="M87" s="527"/>
      <c r="O87" s="527"/>
      <c r="P87" s="236"/>
      <c r="Q87" s="236"/>
      <c r="R87" s="236"/>
      <c r="S87" s="236"/>
    </row>
    <row r="88" spans="1:19">
      <c r="A88" s="3204" t="s">
        <v>2941</v>
      </c>
      <c r="B88" s="3205"/>
      <c r="G88" s="2" t="s">
        <v>3587</v>
      </c>
      <c r="H88" s="236"/>
      <c r="I88" s="528">
        <f>I31+I34</f>
        <v>-29700</v>
      </c>
      <c r="J88" s="236"/>
      <c r="K88" s="528"/>
      <c r="L88" s="236"/>
      <c r="M88" s="528">
        <f>M38+M41+M42+M43</f>
        <v>-69511.73000000001</v>
      </c>
      <c r="O88" s="528">
        <f>O34+O41</f>
        <v>-412472.45999999996</v>
      </c>
      <c r="P88" s="236"/>
      <c r="Q88" s="236"/>
      <c r="R88" s="236"/>
      <c r="S88" s="236"/>
    </row>
    <row r="89" spans="1:19">
      <c r="A89" s="3204" t="s">
        <v>2943</v>
      </c>
      <c r="B89" s="3206"/>
      <c r="G89" s="2" t="s">
        <v>3588</v>
      </c>
      <c r="H89" s="236"/>
      <c r="I89" s="3624">
        <f>I36</f>
        <v>566745.72</v>
      </c>
      <c r="J89" s="236"/>
      <c r="K89" s="3624">
        <f>K36</f>
        <v>656657</v>
      </c>
      <c r="L89" s="236"/>
      <c r="M89" s="3624"/>
      <c r="O89" s="3624">
        <f>O26+O28</f>
        <v>695018</v>
      </c>
      <c r="P89" s="236"/>
      <c r="Q89" s="236"/>
      <c r="R89" s="236"/>
      <c r="S89" s="236"/>
    </row>
    <row r="90" spans="1:19" ht="15.75" thickBot="1">
      <c r="A90" s="3207" t="s">
        <v>2994</v>
      </c>
      <c r="B90" s="3208">
        <f>$I$55</f>
        <v>1769458.72</v>
      </c>
      <c r="G90" s="2" t="s">
        <v>3589</v>
      </c>
      <c r="H90" s="236"/>
      <c r="I90" s="236">
        <f>SUM(I85:I89)</f>
        <v>1769458.72</v>
      </c>
      <c r="J90" s="236"/>
      <c r="K90" s="236">
        <f>SUM(K85:K89)</f>
        <v>1915387.25</v>
      </c>
      <c r="L90" s="236"/>
      <c r="M90" s="236">
        <f>SUM(M85:M89)</f>
        <v>2325813</v>
      </c>
      <c r="O90" s="236">
        <f>SUM(O85:O89)</f>
        <v>2416799.13</v>
      </c>
      <c r="P90" s="236"/>
      <c r="Q90" s="236"/>
      <c r="R90" s="236"/>
      <c r="S90" s="236"/>
    </row>
    <row r="91" spans="1:19" ht="15.75" thickTop="1">
      <c r="G91" s="2" t="s">
        <v>3590</v>
      </c>
      <c r="H91" s="236"/>
      <c r="I91" s="3625">
        <f>I51</f>
        <v>1769458.72</v>
      </c>
      <c r="J91" s="236"/>
      <c r="K91" s="3625">
        <f>K51</f>
        <v>1915387.25</v>
      </c>
      <c r="L91" s="236"/>
      <c r="M91" s="3625">
        <f>M51</f>
        <v>2325813</v>
      </c>
      <c r="O91" s="3625">
        <f>O51</f>
        <v>2433299.1300000004</v>
      </c>
      <c r="P91" s="236"/>
      <c r="Q91" s="236"/>
      <c r="R91" s="236"/>
      <c r="S91" s="236"/>
    </row>
    <row r="92" spans="1:19">
      <c r="A92" s="62"/>
      <c r="B92" s="1" t="s">
        <v>2995</v>
      </c>
      <c r="G92" s="2" t="s">
        <v>3591</v>
      </c>
      <c r="H92" s="236"/>
      <c r="I92" s="236">
        <f>I91-I90</f>
        <v>0</v>
      </c>
      <c r="J92" s="236"/>
      <c r="K92" s="236">
        <f>K91-K90</f>
        <v>0</v>
      </c>
      <c r="L92" s="236"/>
      <c r="M92" s="236">
        <f>M91-M90</f>
        <v>0</v>
      </c>
      <c r="O92" s="236">
        <f>O91-O90</f>
        <v>16500.000000000466</v>
      </c>
      <c r="P92" s="236"/>
      <c r="Q92" s="236"/>
      <c r="R92" s="236"/>
      <c r="S92" s="236"/>
    </row>
    <row r="93" spans="1:19">
      <c r="A93" s="63"/>
      <c r="B93" s="1" t="s">
        <v>2996</v>
      </c>
      <c r="H93" s="236"/>
      <c r="I93" s="236"/>
      <c r="J93" s="236"/>
      <c r="K93" s="236"/>
      <c r="L93" s="236"/>
      <c r="M93" s="236"/>
      <c r="O93" s="236"/>
      <c r="P93" s="236"/>
      <c r="Q93" s="236"/>
      <c r="R93" s="236"/>
      <c r="S93" s="236"/>
    </row>
    <row r="94" spans="1:19">
      <c r="H94" s="236"/>
      <c r="I94" s="447">
        <f>J9-H9</f>
        <v>145928.53000000003</v>
      </c>
      <c r="J94" s="236"/>
      <c r="K94" s="236"/>
      <c r="L94" s="236"/>
      <c r="M94" s="236"/>
      <c r="O94" s="236"/>
      <c r="P94" s="236"/>
      <c r="Q94" s="236"/>
      <c r="R94" s="236"/>
      <c r="S94" s="236"/>
    </row>
    <row r="95" spans="1:19">
      <c r="I95" s="447">
        <f>I94*0.5</f>
        <v>72964.265000000014</v>
      </c>
      <c r="J95" s="236"/>
      <c r="K95" s="236"/>
      <c r="O95" s="236"/>
    </row>
    <row r="96" spans="1:19">
      <c r="J96" s="236"/>
      <c r="K96" s="236"/>
      <c r="O96" s="236"/>
    </row>
    <row r="97" spans="10:15">
      <c r="J97" s="236"/>
      <c r="K97" s="236"/>
      <c r="O97" s="236"/>
    </row>
    <row r="98" spans="10:15">
      <c r="J98" s="236"/>
      <c r="K98" s="236"/>
      <c r="O98" s="236"/>
    </row>
    <row r="99" spans="10:15">
      <c r="J99" s="236"/>
      <c r="K99" s="236"/>
      <c r="O99" s="236"/>
    </row>
    <row r="100" spans="10:15">
      <c r="J100" s="236"/>
      <c r="K100" s="236"/>
      <c r="O100" s="236"/>
    </row>
    <row r="101" spans="10:15">
      <c r="J101" s="236"/>
      <c r="K101" s="236"/>
      <c r="O101" s="236"/>
    </row>
    <row r="102" spans="10:15">
      <c r="J102" s="236"/>
      <c r="K102" s="236"/>
      <c r="O102" s="236"/>
    </row>
    <row r="103" spans="10:15">
      <c r="J103" s="236"/>
      <c r="K103" s="236"/>
      <c r="O103" s="236"/>
    </row>
    <row r="104" spans="10:15">
      <c r="J104" s="236"/>
      <c r="K104" s="236"/>
      <c r="O104" s="236"/>
    </row>
    <row r="105" spans="10:15">
      <c r="J105" s="236"/>
      <c r="K105" s="236"/>
      <c r="O105" s="236"/>
    </row>
    <row r="106" spans="10:15">
      <c r="O106" s="236"/>
    </row>
  </sheetData>
  <mergeCells count="35">
    <mergeCell ref="R8:S8"/>
    <mergeCell ref="N9:O9"/>
    <mergeCell ref="J9:K9"/>
    <mergeCell ref="L9:M9"/>
    <mergeCell ref="H9:I9"/>
    <mergeCell ref="P9:Q9"/>
    <mergeCell ref="R9:S9"/>
    <mergeCell ref="L8:M8"/>
    <mergeCell ref="H8:I8"/>
    <mergeCell ref="P8:Q8"/>
    <mergeCell ref="N8:O8"/>
    <mergeCell ref="J8:K8"/>
    <mergeCell ref="H7:I7"/>
    <mergeCell ref="P7:Q7"/>
    <mergeCell ref="R7:S7"/>
    <mergeCell ref="L6:M6"/>
    <mergeCell ref="H6:I6"/>
    <mergeCell ref="N7:O7"/>
    <mergeCell ref="J7:K7"/>
    <mergeCell ref="P5:Q5"/>
    <mergeCell ref="R5:S5"/>
    <mergeCell ref="P6:Q6"/>
    <mergeCell ref="R6:S6"/>
    <mergeCell ref="L7:M7"/>
    <mergeCell ref="N5:O5"/>
    <mergeCell ref="J5:K5"/>
    <mergeCell ref="L5:M5"/>
    <mergeCell ref="H5:I5"/>
    <mergeCell ref="N6:O6"/>
    <mergeCell ref="J6:K6"/>
    <mergeCell ref="A58:B58"/>
    <mergeCell ref="A62:B62"/>
    <mergeCell ref="A66:B66"/>
    <mergeCell ref="A70:B70"/>
    <mergeCell ref="A74:B74"/>
  </mergeCells>
  <phoneticPr fontId="27" type="noConversion"/>
  <conditionalFormatting sqref="H11:H18 L11:L18 N11:N18 P11:P18 R11:R18">
    <cfRule type="cellIs" dxfId="15" priority="7" operator="equal">
      <formula>"X"</formula>
    </cfRule>
    <cfRule type="cellIs" dxfId="14" priority="8" operator="equal">
      <formula>"I"</formula>
    </cfRule>
  </conditionalFormatting>
  <conditionalFormatting sqref="H20:H50 J20:J50 L20:L50 P20:P50 R20:R50 I29:I30">
    <cfRule type="cellIs" dxfId="13" priority="3" operator="equal">
      <formula>"X"</formula>
    </cfRule>
    <cfRule type="cellIs" dxfId="12" priority="4" operator="equal">
      <formula>"I"</formula>
    </cfRule>
  </conditionalFormatting>
  <conditionalFormatting sqref="J11:J18">
    <cfRule type="cellIs" dxfId="11" priority="5" operator="equal">
      <formula>"X"</formula>
    </cfRule>
    <cfRule type="cellIs" dxfId="10" priority="6" operator="equal">
      <formula>"I"</formula>
    </cfRule>
  </conditionalFormatting>
  <conditionalFormatting sqref="N20:N50">
    <cfRule type="cellIs" dxfId="9" priority="1" operator="equal">
      <formula>"X"</formula>
    </cfRule>
    <cfRule type="cellIs" dxfId="8" priority="2" operator="equal">
      <formula>"I"</formula>
    </cfRule>
  </conditionalFormatting>
  <hyperlinks>
    <hyperlink ref="B4" location="'Cost Summary'!A1" display="BACK TO SUMMARY SHEET" xr:uid="{903EADDF-59A4-4B59-85DB-5095A1B6F4DE}"/>
    <hyperlink ref="N8" r:id="rId1" xr:uid="{81965A89-F528-4EA9-B192-D152E486856A}"/>
    <hyperlink ref="J8" r:id="rId2" xr:uid="{1EF0D732-80A5-407B-B8CB-3F67919F5CCA}"/>
    <hyperlink ref="H8" r:id="rId3" xr:uid="{202890D3-CC8A-470F-90B2-99378C0B2E89}"/>
    <hyperlink ref="P8" r:id="rId4" xr:uid="{3873E37C-2D67-43F0-8B1B-D0D9BC4BDC7D}"/>
  </hyperlinks>
  <pageMargins left="0.2" right="0.2" top="0.5" bottom="0.5" header="0.3" footer="0.3"/>
  <pageSetup paperSize="3" scale="62" fitToHeight="0" orientation="landscape" horizontalDpi="300" verticalDpi="300" r:id="rId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2CA6-A474-4901-BED6-1A83461B6590}">
  <sheetPr>
    <tabColor theme="3"/>
    <pageSetUpPr fitToPage="1"/>
  </sheetPr>
  <dimension ref="A1:AH93"/>
  <sheetViews>
    <sheetView zoomScale="90" zoomScaleNormal="90" workbookViewId="0">
      <pane xSplit="3" ySplit="20" topLeftCell="D28" activePane="bottomRight" state="frozen"/>
      <selection pane="bottomRight" activeCell="B36" sqref="B36"/>
      <selection pane="bottomLeft" activeCell="K44" sqref="K44"/>
      <selection pane="topRight" activeCell="K44" sqref="K44"/>
    </sheetView>
  </sheetViews>
  <sheetFormatPr defaultColWidth="8.85546875" defaultRowHeight="15"/>
  <cols>
    <col min="1" max="1" width="10.7109375" customWidth="1"/>
    <col min="2" max="2" width="70.7109375" style="1" customWidth="1"/>
    <col min="3" max="3" width="10.85546875" style="2" customWidth="1"/>
    <col min="4" max="4" width="15.7109375" style="165" customWidth="1"/>
    <col min="5" max="5" width="7.42578125" style="79" customWidth="1"/>
    <col min="6" max="6" width="16.42578125" style="2" bestFit="1" customWidth="1"/>
    <col min="7" max="7" width="15.28515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78"/>
      <c r="G1" s="56" t="s">
        <v>2928</v>
      </c>
    </row>
    <row r="2" spans="1:19">
      <c r="F2" s="179" t="s">
        <v>2929</v>
      </c>
      <c r="G2" s="56" t="s">
        <v>2930</v>
      </c>
    </row>
    <row r="3" spans="1:19">
      <c r="F3" s="180" t="s">
        <v>2931</v>
      </c>
      <c r="G3" s="56" t="s">
        <v>2932</v>
      </c>
    </row>
    <row r="4" spans="1:19" ht="15.75" thickBot="1">
      <c r="B4" s="181" t="s">
        <v>2933</v>
      </c>
      <c r="F4" s="170"/>
      <c r="G4" s="2" t="s">
        <v>2934</v>
      </c>
    </row>
    <row r="5" spans="1:19" ht="15.75" thickTop="1">
      <c r="A5" s="3" t="s">
        <v>2935</v>
      </c>
      <c r="B5" s="4" t="str">
        <f>'Area Calculations'!B4</f>
        <v>Atlantic Fields Club Core / Dock Bar / Spa Pods / Water Features</v>
      </c>
      <c r="C5" s="5"/>
      <c r="D5" s="166"/>
      <c r="E5" s="171"/>
      <c r="F5" s="5"/>
      <c r="G5" s="6" t="s">
        <v>2936</v>
      </c>
      <c r="H5" s="841"/>
      <c r="I5" s="842"/>
      <c r="J5" s="841"/>
      <c r="K5" s="842"/>
      <c r="L5" s="841"/>
      <c r="M5" s="842"/>
      <c r="N5" s="841"/>
      <c r="O5" s="842"/>
      <c r="P5" s="841"/>
      <c r="Q5" s="842"/>
      <c r="R5" s="841"/>
      <c r="S5" s="842"/>
    </row>
    <row r="6" spans="1:19">
      <c r="A6" s="3518" t="s">
        <v>2938</v>
      </c>
      <c r="B6" s="1945" t="s">
        <v>7189</v>
      </c>
      <c r="C6" s="1946"/>
      <c r="D6" s="1947"/>
      <c r="E6" s="1948"/>
      <c r="F6" s="1946"/>
      <c r="G6" s="657" t="s">
        <v>2939</v>
      </c>
      <c r="H6" s="3523"/>
      <c r="I6" s="843"/>
      <c r="J6" s="3523"/>
      <c r="K6" s="843"/>
      <c r="L6" s="3523"/>
      <c r="M6" s="843"/>
      <c r="N6" s="3523"/>
      <c r="O6" s="843"/>
      <c r="P6" s="3523"/>
      <c r="Q6" s="843"/>
      <c r="R6" s="3523"/>
      <c r="S6" s="843"/>
    </row>
    <row r="7" spans="1:19">
      <c r="A7" s="3518" t="s">
        <v>2940</v>
      </c>
      <c r="B7" s="1951" t="s">
        <v>2734</v>
      </c>
      <c r="C7" s="1946"/>
      <c r="D7" s="1947"/>
      <c r="E7" s="1948"/>
      <c r="F7" s="1946"/>
      <c r="G7" s="1952" t="s">
        <v>2941</v>
      </c>
      <c r="H7" s="3526"/>
      <c r="I7" s="844"/>
      <c r="J7" s="3526"/>
      <c r="K7" s="844"/>
      <c r="L7" s="3526"/>
      <c r="M7" s="844"/>
      <c r="N7" s="3526"/>
      <c r="O7" s="844"/>
      <c r="P7" s="3526"/>
      <c r="Q7" s="844"/>
      <c r="R7" s="3526"/>
      <c r="S7" s="844"/>
    </row>
    <row r="8" spans="1:19">
      <c r="A8" s="3518" t="s">
        <v>2942</v>
      </c>
      <c r="B8" s="1955"/>
      <c r="C8" s="1946"/>
      <c r="D8" s="1947"/>
      <c r="E8" s="1948"/>
      <c r="F8" s="1946"/>
      <c r="G8" s="1952" t="s">
        <v>2943</v>
      </c>
      <c r="H8" s="3528"/>
      <c r="I8" s="845"/>
      <c r="J8" s="3528"/>
      <c r="K8" s="845"/>
      <c r="L8" s="3528"/>
      <c r="M8" s="845"/>
      <c r="N8" s="3528"/>
      <c r="O8" s="845"/>
      <c r="P8" s="3528"/>
      <c r="Q8" s="845"/>
      <c r="R8" s="3528"/>
      <c r="S8" s="845"/>
    </row>
    <row r="9" spans="1:19" ht="15.75" thickBot="1">
      <c r="A9" s="3223"/>
      <c r="B9" s="3224"/>
      <c r="C9" s="616"/>
      <c r="D9" s="621"/>
      <c r="E9" s="622"/>
      <c r="F9" s="3225"/>
      <c r="G9" s="3226" t="s">
        <v>2944</v>
      </c>
      <c r="H9" s="3227">
        <f t="shared" ref="H9" si="0">I$55</f>
        <v>0</v>
      </c>
      <c r="I9" s="3228"/>
      <c r="J9" s="3229">
        <f>K$55</f>
        <v>0</v>
      </c>
      <c r="K9" s="3230"/>
      <c r="L9" s="3227">
        <f t="shared" ref="L9" si="1">M$55</f>
        <v>0</v>
      </c>
      <c r="M9" s="3228"/>
      <c r="N9" s="3227">
        <f t="shared" ref="N9" si="2">O$55</f>
        <v>0</v>
      </c>
      <c r="O9" s="3228"/>
      <c r="P9" s="3227">
        <f t="shared" ref="P9" si="3">Q$55</f>
        <v>0</v>
      </c>
      <c r="Q9" s="3228"/>
      <c r="R9" s="3227">
        <f t="shared" ref="R9" si="4">S$55</f>
        <v>0</v>
      </c>
      <c r="S9" s="3228"/>
    </row>
    <row r="10" spans="1:19" s="175" customFormat="1" ht="31.5" thickTop="1" thickBot="1">
      <c r="A10" s="160" t="s">
        <v>2945</v>
      </c>
      <c r="B10" s="172"/>
      <c r="C10" s="173" t="s">
        <v>2946</v>
      </c>
      <c r="D10" s="167" t="s">
        <v>2947</v>
      </c>
      <c r="E10" s="173" t="s">
        <v>2948</v>
      </c>
      <c r="F10" s="173" t="s">
        <v>2949</v>
      </c>
      <c r="G10" s="174" t="s">
        <v>2950</v>
      </c>
      <c r="H10" s="161" t="s">
        <v>2951</v>
      </c>
      <c r="I10" s="161" t="s">
        <v>2952</v>
      </c>
      <c r="J10" s="161" t="s">
        <v>2951</v>
      </c>
      <c r="K10" s="161" t="s">
        <v>2952</v>
      </c>
      <c r="L10" s="161" t="s">
        <v>2951</v>
      </c>
      <c r="M10" s="161" t="s">
        <v>2952</v>
      </c>
      <c r="N10" s="161" t="s">
        <v>2951</v>
      </c>
      <c r="O10" s="161" t="s">
        <v>2952</v>
      </c>
      <c r="P10" s="161" t="s">
        <v>2951</v>
      </c>
      <c r="Q10" s="161" t="s">
        <v>2952</v>
      </c>
      <c r="R10" s="161" t="s">
        <v>2951</v>
      </c>
      <c r="S10" s="161" t="s">
        <v>2952</v>
      </c>
    </row>
    <row r="11" spans="1:19" ht="16.5" thickTop="1" thickBot="1">
      <c r="A11" s="3626"/>
      <c r="B11" s="2889" t="s">
        <v>2953</v>
      </c>
      <c r="C11" s="659"/>
      <c r="D11" s="1947"/>
      <c r="E11" s="1948"/>
      <c r="F11" s="1946"/>
      <c r="G11" s="660"/>
      <c r="H11" s="3232"/>
      <c r="I11" s="182"/>
      <c r="J11" s="3232"/>
      <c r="K11" s="3627"/>
      <c r="L11" s="3232"/>
      <c r="M11" s="3628"/>
      <c r="N11" s="3232"/>
      <c r="O11" s="3628"/>
      <c r="P11" s="3232"/>
      <c r="Q11" s="3628"/>
      <c r="R11" s="3232"/>
      <c r="S11" s="3628"/>
    </row>
    <row r="12" spans="1:19">
      <c r="A12" s="3629"/>
      <c r="B12" s="2963" t="s">
        <v>2954</v>
      </c>
      <c r="C12" s="1946"/>
      <c r="D12" s="1947"/>
      <c r="E12" s="1948"/>
      <c r="F12" s="1946"/>
      <c r="G12" s="660"/>
      <c r="H12" s="3232"/>
      <c r="I12" s="3628"/>
      <c r="J12" s="3232"/>
      <c r="K12" s="3627"/>
      <c r="L12" s="3232"/>
      <c r="M12" s="3628"/>
      <c r="N12" s="3232"/>
      <c r="O12" s="3628"/>
      <c r="P12" s="3232"/>
      <c r="Q12" s="3628"/>
      <c r="R12" s="3232"/>
      <c r="S12" s="3628"/>
    </row>
    <row r="13" spans="1:19">
      <c r="A13" s="3538"/>
      <c r="B13" s="3630" t="s">
        <v>2955</v>
      </c>
      <c r="C13" s="1946"/>
      <c r="D13" s="1947"/>
      <c r="E13" s="1948"/>
      <c r="F13" s="1946"/>
      <c r="G13" s="660"/>
      <c r="H13" s="3232"/>
      <c r="I13" s="3628"/>
      <c r="J13" s="3232"/>
      <c r="K13" s="3627"/>
      <c r="L13" s="3232"/>
      <c r="M13" s="3628"/>
      <c r="N13" s="3232"/>
      <c r="O13" s="3628"/>
      <c r="P13" s="3232"/>
      <c r="Q13" s="3628"/>
      <c r="R13" s="3232"/>
      <c r="S13" s="3628"/>
    </row>
    <row r="14" spans="1:19">
      <c r="A14" s="3538"/>
      <c r="B14" s="3631" t="s">
        <v>2956</v>
      </c>
      <c r="C14" s="1946"/>
      <c r="D14" s="1947"/>
      <c r="E14" s="1948"/>
      <c r="F14" s="1946"/>
      <c r="G14" s="660"/>
      <c r="H14" s="3232"/>
      <c r="I14" s="3628"/>
      <c r="J14" s="3232"/>
      <c r="K14" s="3627"/>
      <c r="L14" s="3232"/>
      <c r="M14" s="3628"/>
      <c r="N14" s="3232"/>
      <c r="O14" s="3628"/>
      <c r="P14" s="3232"/>
      <c r="Q14" s="3628"/>
      <c r="R14" s="3232"/>
      <c r="S14" s="3628"/>
    </row>
    <row r="15" spans="1:19">
      <c r="A15" s="3538"/>
      <c r="B15" s="3631" t="s">
        <v>2957</v>
      </c>
      <c r="C15" s="1946"/>
      <c r="D15" s="1947"/>
      <c r="E15" s="1948"/>
      <c r="F15" s="1946"/>
      <c r="G15" s="660"/>
      <c r="H15" s="3232"/>
      <c r="I15" s="3627"/>
      <c r="J15" s="3232"/>
      <c r="K15" s="3627"/>
      <c r="L15" s="3232"/>
      <c r="M15" s="3627"/>
      <c r="N15" s="3232"/>
      <c r="O15" s="3627"/>
      <c r="P15" s="3232"/>
      <c r="Q15" s="3627"/>
      <c r="R15" s="3232"/>
      <c r="S15" s="3627"/>
    </row>
    <row r="16" spans="1:19">
      <c r="A16" s="3538"/>
      <c r="B16" s="3631" t="s">
        <v>2958</v>
      </c>
      <c r="C16" s="1946"/>
      <c r="D16" s="1947"/>
      <c r="E16" s="1948"/>
      <c r="F16" s="1946"/>
      <c r="G16" s="660"/>
      <c r="H16" s="3232"/>
      <c r="I16" s="3628"/>
      <c r="J16" s="3232"/>
      <c r="K16" s="3627"/>
      <c r="L16" s="3232"/>
      <c r="M16" s="3628"/>
      <c r="N16" s="3232"/>
      <c r="O16" s="3628"/>
      <c r="P16" s="3232"/>
      <c r="Q16" s="3628"/>
      <c r="R16" s="3232"/>
      <c r="S16" s="3628"/>
    </row>
    <row r="17" spans="1:19">
      <c r="A17" s="3538"/>
      <c r="B17" s="3631" t="s">
        <v>2959</v>
      </c>
      <c r="C17" s="1946"/>
      <c r="D17" s="1947"/>
      <c r="E17" s="1948"/>
      <c r="F17" s="1946"/>
      <c r="G17" s="660"/>
      <c r="H17" s="3232"/>
      <c r="I17" s="3628"/>
      <c r="J17" s="3232"/>
      <c r="K17" s="3627"/>
      <c r="L17" s="3232"/>
      <c r="M17" s="3628"/>
      <c r="N17" s="3232"/>
      <c r="O17" s="3628"/>
      <c r="P17" s="3232"/>
      <c r="Q17" s="3628"/>
      <c r="R17" s="3232"/>
      <c r="S17" s="3628"/>
    </row>
    <row r="18" spans="1:19">
      <c r="A18" s="3538"/>
      <c r="B18" s="3632" t="s">
        <v>2960</v>
      </c>
      <c r="C18" s="1946"/>
      <c r="D18" s="1947"/>
      <c r="E18" s="1948"/>
      <c r="F18" s="1946"/>
      <c r="G18" s="660"/>
      <c r="H18" s="3232"/>
      <c r="I18" s="3628"/>
      <c r="J18" s="3232"/>
      <c r="K18" s="3627"/>
      <c r="L18" s="3232"/>
      <c r="M18" s="3628"/>
      <c r="N18" s="3232"/>
      <c r="O18" s="3628"/>
      <c r="P18" s="3232"/>
      <c r="Q18" s="3628"/>
      <c r="R18" s="3232"/>
      <c r="S18" s="3628"/>
    </row>
    <row r="19" spans="1:19">
      <c r="A19" s="3538"/>
      <c r="B19" s="3633" t="s">
        <v>2961</v>
      </c>
      <c r="C19" s="1968"/>
      <c r="D19" s="1969"/>
      <c r="E19" s="1970"/>
      <c r="F19" s="1971"/>
      <c r="G19" s="661"/>
      <c r="H19" s="3245"/>
      <c r="I19" s="3634"/>
      <c r="J19" s="3245"/>
      <c r="K19" s="3635"/>
      <c r="L19" s="3245"/>
      <c r="M19" s="3634"/>
      <c r="N19" s="3245"/>
      <c r="O19" s="3634"/>
      <c r="P19" s="3245"/>
      <c r="Q19" s="3634"/>
      <c r="R19" s="3245"/>
      <c r="S19" s="3634"/>
    </row>
    <row r="20" spans="1:19">
      <c r="A20" s="3538"/>
      <c r="B20" s="3636"/>
      <c r="C20" s="1946"/>
      <c r="D20" s="1947"/>
      <c r="E20" s="1948"/>
      <c r="F20" s="1973"/>
      <c r="G20" s="660"/>
      <c r="H20" s="3232"/>
      <c r="I20" s="3637"/>
      <c r="J20" s="3232"/>
      <c r="K20" s="3638"/>
      <c r="L20" s="3232"/>
      <c r="M20" s="3637"/>
      <c r="N20" s="3232"/>
      <c r="O20" s="3637"/>
      <c r="P20" s="3232"/>
      <c r="Q20" s="3637"/>
      <c r="R20" s="3232"/>
      <c r="S20" s="3637"/>
    </row>
    <row r="21" spans="1:19">
      <c r="A21" s="3538"/>
      <c r="B21" s="3636"/>
      <c r="C21" s="1946"/>
      <c r="D21" s="1947"/>
      <c r="E21" s="1948"/>
      <c r="F21" s="1973"/>
      <c r="G21" s="662">
        <f t="shared" ref="G21:G49" si="5">ROUND(D21*F21,0)</f>
        <v>0</v>
      </c>
      <c r="H21" s="3232"/>
      <c r="I21" s="3638">
        <f>G21</f>
        <v>0</v>
      </c>
      <c r="J21" s="3232"/>
      <c r="K21" s="3638"/>
      <c r="L21" s="3232"/>
      <c r="M21" s="3637"/>
      <c r="N21" s="3232"/>
      <c r="O21" s="3637"/>
      <c r="P21" s="3232"/>
      <c r="Q21" s="3637"/>
      <c r="R21" s="3232"/>
      <c r="S21" s="3637"/>
    </row>
    <row r="22" spans="1:19">
      <c r="A22" s="3538"/>
      <c r="B22" s="3636"/>
      <c r="C22" s="1946"/>
      <c r="D22" s="1947"/>
      <c r="E22" s="1948"/>
      <c r="F22" s="1973"/>
      <c r="G22" s="662">
        <f t="shared" si="5"/>
        <v>0</v>
      </c>
      <c r="H22" s="3232"/>
      <c r="I22" s="3638">
        <f t="shared" ref="I22:I49" si="6">G22</f>
        <v>0</v>
      </c>
      <c r="J22" s="3232"/>
      <c r="K22" s="3638"/>
      <c r="L22" s="3232"/>
      <c r="M22" s="3637"/>
      <c r="N22" s="3232"/>
      <c r="O22" s="3637"/>
      <c r="P22" s="3232"/>
      <c r="Q22" s="3637"/>
      <c r="R22" s="3232"/>
      <c r="S22" s="3637"/>
    </row>
    <row r="23" spans="1:19">
      <c r="A23" s="3538"/>
      <c r="B23" s="3636"/>
      <c r="C23" s="1946"/>
      <c r="D23" s="1947"/>
      <c r="E23" s="1948"/>
      <c r="F23" s="1973"/>
      <c r="G23" s="662">
        <f t="shared" si="5"/>
        <v>0</v>
      </c>
      <c r="H23" s="3232"/>
      <c r="I23" s="3638">
        <f t="shared" si="6"/>
        <v>0</v>
      </c>
      <c r="J23" s="3232"/>
      <c r="K23" s="3638"/>
      <c r="L23" s="3232"/>
      <c r="M23" s="3637"/>
      <c r="N23" s="3232"/>
      <c r="O23" s="3637"/>
      <c r="P23" s="3232"/>
      <c r="Q23" s="3637"/>
      <c r="R23" s="3232"/>
      <c r="S23" s="3637"/>
    </row>
    <row r="24" spans="1:19">
      <c r="A24" s="3538"/>
      <c r="B24" s="3636"/>
      <c r="C24" s="1946"/>
      <c r="D24" s="1947"/>
      <c r="E24" s="1948"/>
      <c r="F24" s="1973"/>
      <c r="G24" s="662">
        <f t="shared" si="5"/>
        <v>0</v>
      </c>
      <c r="H24" s="3232"/>
      <c r="I24" s="3638">
        <f t="shared" si="6"/>
        <v>0</v>
      </c>
      <c r="J24" s="3232"/>
      <c r="K24" s="3638"/>
      <c r="L24" s="3232"/>
      <c r="M24" s="3637"/>
      <c r="N24" s="3232"/>
      <c r="O24" s="3637"/>
      <c r="P24" s="3232"/>
      <c r="Q24" s="3637"/>
      <c r="R24" s="3232"/>
      <c r="S24" s="3637"/>
    </row>
    <row r="25" spans="1:19">
      <c r="A25" s="3538"/>
      <c r="B25" s="3636"/>
      <c r="C25" s="1946"/>
      <c r="D25" s="1947"/>
      <c r="E25" s="1948"/>
      <c r="F25" s="1973"/>
      <c r="G25" s="662">
        <f t="shared" si="5"/>
        <v>0</v>
      </c>
      <c r="H25" s="3232"/>
      <c r="I25" s="3638">
        <f t="shared" si="6"/>
        <v>0</v>
      </c>
      <c r="J25" s="3232"/>
      <c r="K25" s="3638"/>
      <c r="L25" s="3232"/>
      <c r="M25" s="3637"/>
      <c r="N25" s="3232"/>
      <c r="O25" s="3637"/>
      <c r="P25" s="3232"/>
      <c r="Q25" s="3637"/>
      <c r="R25" s="3232"/>
      <c r="S25" s="3637"/>
    </row>
    <row r="26" spans="1:19">
      <c r="A26" s="3538"/>
      <c r="B26" s="3636"/>
      <c r="C26" s="1946"/>
      <c r="D26" s="1947"/>
      <c r="E26" s="1948"/>
      <c r="F26" s="1973"/>
      <c r="G26" s="662">
        <f t="shared" si="5"/>
        <v>0</v>
      </c>
      <c r="H26" s="3232"/>
      <c r="I26" s="3638">
        <f t="shared" si="6"/>
        <v>0</v>
      </c>
      <c r="J26" s="3232"/>
      <c r="K26" s="3638"/>
      <c r="L26" s="3232"/>
      <c r="M26" s="3637"/>
      <c r="N26" s="3232"/>
      <c r="O26" s="3637"/>
      <c r="P26" s="3232"/>
      <c r="Q26" s="3637"/>
      <c r="R26" s="3232"/>
      <c r="S26" s="3637"/>
    </row>
    <row r="27" spans="1:19">
      <c r="A27" s="3538"/>
      <c r="B27" s="3636"/>
      <c r="C27" s="1946"/>
      <c r="D27" s="1947"/>
      <c r="E27" s="1948"/>
      <c r="F27" s="1973"/>
      <c r="G27" s="662">
        <f t="shared" si="5"/>
        <v>0</v>
      </c>
      <c r="H27" s="3232"/>
      <c r="I27" s="3638">
        <f t="shared" si="6"/>
        <v>0</v>
      </c>
      <c r="J27" s="3232"/>
      <c r="K27" s="3638"/>
      <c r="L27" s="3232"/>
      <c r="M27" s="3637"/>
      <c r="N27" s="3232"/>
      <c r="O27" s="3637"/>
      <c r="P27" s="3232"/>
      <c r="Q27" s="3637"/>
      <c r="R27" s="3232"/>
      <c r="S27" s="3637"/>
    </row>
    <row r="28" spans="1:19">
      <c r="A28" s="3538"/>
      <c r="B28" s="3636"/>
      <c r="C28" s="1946"/>
      <c r="D28" s="1947"/>
      <c r="E28" s="1948"/>
      <c r="F28" s="1973"/>
      <c r="G28" s="662">
        <f t="shared" si="5"/>
        <v>0</v>
      </c>
      <c r="H28" s="3232"/>
      <c r="I28" s="3638">
        <f t="shared" si="6"/>
        <v>0</v>
      </c>
      <c r="J28" s="3232"/>
      <c r="K28" s="3638"/>
      <c r="L28" s="3232"/>
      <c r="M28" s="3637"/>
      <c r="N28" s="3232"/>
      <c r="O28" s="3637"/>
      <c r="P28" s="3232"/>
      <c r="Q28" s="3637"/>
      <c r="R28" s="3232"/>
      <c r="S28" s="3637"/>
    </row>
    <row r="29" spans="1:19">
      <c r="A29" s="3538"/>
      <c r="B29" s="3636"/>
      <c r="C29" s="1946"/>
      <c r="D29" s="1947"/>
      <c r="E29" s="1948"/>
      <c r="F29" s="1973"/>
      <c r="G29" s="662">
        <f t="shared" si="5"/>
        <v>0</v>
      </c>
      <c r="H29" s="3232"/>
      <c r="I29" s="3638">
        <f t="shared" si="6"/>
        <v>0</v>
      </c>
      <c r="J29" s="3232"/>
      <c r="K29" s="3638"/>
      <c r="L29" s="3232"/>
      <c r="M29" s="3637"/>
      <c r="N29" s="3232"/>
      <c r="O29" s="3637"/>
      <c r="P29" s="3232"/>
      <c r="Q29" s="3637"/>
      <c r="R29" s="3232"/>
      <c r="S29" s="3637"/>
    </row>
    <row r="30" spans="1:19">
      <c r="A30" s="3538"/>
      <c r="B30" s="3636"/>
      <c r="C30" s="1946"/>
      <c r="D30" s="1947"/>
      <c r="E30" s="1948"/>
      <c r="F30" s="1973"/>
      <c r="G30" s="662">
        <f t="shared" si="5"/>
        <v>0</v>
      </c>
      <c r="H30" s="3232"/>
      <c r="I30" s="3638">
        <f t="shared" si="6"/>
        <v>0</v>
      </c>
      <c r="J30" s="3232"/>
      <c r="K30" s="3638"/>
      <c r="L30" s="3232"/>
      <c r="M30" s="3637"/>
      <c r="N30" s="3232"/>
      <c r="O30" s="3637"/>
      <c r="P30" s="3232"/>
      <c r="Q30" s="3637"/>
      <c r="R30" s="3232"/>
      <c r="S30" s="3637"/>
    </row>
    <row r="31" spans="1:19">
      <c r="A31" s="3538"/>
      <c r="B31" s="3636"/>
      <c r="C31" s="1946"/>
      <c r="D31" s="1947"/>
      <c r="E31" s="1948"/>
      <c r="F31" s="1973"/>
      <c r="G31" s="662">
        <f t="shared" si="5"/>
        <v>0</v>
      </c>
      <c r="H31" s="3232"/>
      <c r="I31" s="3638">
        <f t="shared" si="6"/>
        <v>0</v>
      </c>
      <c r="J31" s="3232"/>
      <c r="K31" s="3638"/>
      <c r="L31" s="3232"/>
      <c r="M31" s="3637"/>
      <c r="N31" s="3232"/>
      <c r="O31" s="3637"/>
      <c r="P31" s="3232"/>
      <c r="Q31" s="3637"/>
      <c r="R31" s="3232"/>
      <c r="S31" s="3637"/>
    </row>
    <row r="32" spans="1:19">
      <c r="A32" s="3538"/>
      <c r="B32" s="3636"/>
      <c r="C32" s="1946"/>
      <c r="D32" s="1947"/>
      <c r="E32" s="1948"/>
      <c r="F32" s="1973"/>
      <c r="G32" s="662">
        <f t="shared" si="5"/>
        <v>0</v>
      </c>
      <c r="H32" s="3232"/>
      <c r="I32" s="3638">
        <f t="shared" si="6"/>
        <v>0</v>
      </c>
      <c r="J32" s="3232"/>
      <c r="K32" s="3638"/>
      <c r="L32" s="3232"/>
      <c r="M32" s="3637"/>
      <c r="N32" s="3232"/>
      <c r="O32" s="3637"/>
      <c r="P32" s="3232"/>
      <c r="Q32" s="3637"/>
      <c r="R32" s="3232"/>
      <c r="S32" s="3637"/>
    </row>
    <row r="33" spans="1:19">
      <c r="A33" s="3538"/>
      <c r="B33" s="3636"/>
      <c r="C33" s="1946"/>
      <c r="D33" s="1947"/>
      <c r="E33" s="1948"/>
      <c r="F33" s="1973"/>
      <c r="G33" s="662">
        <f t="shared" si="5"/>
        <v>0</v>
      </c>
      <c r="H33" s="3232"/>
      <c r="I33" s="3638">
        <f t="shared" si="6"/>
        <v>0</v>
      </c>
      <c r="J33" s="3232"/>
      <c r="K33" s="3638"/>
      <c r="L33" s="3232"/>
      <c r="M33" s="3637"/>
      <c r="N33" s="3232"/>
      <c r="O33" s="3637"/>
      <c r="P33" s="3232"/>
      <c r="Q33" s="3637"/>
      <c r="R33" s="3232"/>
      <c r="S33" s="3637"/>
    </row>
    <row r="34" spans="1:19">
      <c r="A34" s="3538"/>
      <c r="B34" s="3636"/>
      <c r="C34" s="1946"/>
      <c r="D34" s="1947"/>
      <c r="E34" s="1948"/>
      <c r="F34" s="1973"/>
      <c r="G34" s="662">
        <f t="shared" si="5"/>
        <v>0</v>
      </c>
      <c r="H34" s="3232"/>
      <c r="I34" s="3638">
        <f t="shared" si="6"/>
        <v>0</v>
      </c>
      <c r="J34" s="3232"/>
      <c r="K34" s="3638"/>
      <c r="L34" s="3232"/>
      <c r="M34" s="3637"/>
      <c r="N34" s="3232"/>
      <c r="O34" s="3637"/>
      <c r="P34" s="3232"/>
      <c r="Q34" s="3637"/>
      <c r="R34" s="3232"/>
      <c r="S34" s="3637"/>
    </row>
    <row r="35" spans="1:19">
      <c r="A35" s="3538"/>
      <c r="B35" s="3636"/>
      <c r="C35" s="1946"/>
      <c r="D35" s="1947"/>
      <c r="E35" s="1948"/>
      <c r="F35" s="1973"/>
      <c r="G35" s="662">
        <f t="shared" si="5"/>
        <v>0</v>
      </c>
      <c r="H35" s="3232"/>
      <c r="I35" s="3638">
        <f t="shared" si="6"/>
        <v>0</v>
      </c>
      <c r="J35" s="3232"/>
      <c r="K35" s="3638"/>
      <c r="L35" s="3232"/>
      <c r="M35" s="3637"/>
      <c r="N35" s="3232"/>
      <c r="O35" s="3637"/>
      <c r="P35" s="3232"/>
      <c r="Q35" s="3637"/>
      <c r="R35" s="3232"/>
      <c r="S35" s="3637"/>
    </row>
    <row r="36" spans="1:19">
      <c r="A36" s="3538"/>
      <c r="B36" s="3636"/>
      <c r="C36" s="1946"/>
      <c r="D36" s="1947"/>
      <c r="E36" s="1948"/>
      <c r="F36" s="1973"/>
      <c r="G36" s="662">
        <f t="shared" si="5"/>
        <v>0</v>
      </c>
      <c r="H36" s="3232"/>
      <c r="I36" s="3638">
        <f t="shared" si="6"/>
        <v>0</v>
      </c>
      <c r="J36" s="3232"/>
      <c r="K36" s="3638"/>
      <c r="L36" s="3232"/>
      <c r="M36" s="3637"/>
      <c r="N36" s="3232"/>
      <c r="O36" s="3637"/>
      <c r="P36" s="3232"/>
      <c r="Q36" s="3637"/>
      <c r="R36" s="3232"/>
      <c r="S36" s="3637"/>
    </row>
    <row r="37" spans="1:19">
      <c r="A37" s="3538"/>
      <c r="B37" s="3636"/>
      <c r="C37" s="1946"/>
      <c r="D37" s="1947"/>
      <c r="E37" s="1948"/>
      <c r="F37" s="1973"/>
      <c r="G37" s="662">
        <f t="shared" si="5"/>
        <v>0</v>
      </c>
      <c r="H37" s="3232"/>
      <c r="I37" s="3638">
        <f t="shared" si="6"/>
        <v>0</v>
      </c>
      <c r="J37" s="3232"/>
      <c r="K37" s="3638"/>
      <c r="L37" s="3232"/>
      <c r="M37" s="3637"/>
      <c r="N37" s="3232"/>
      <c r="O37" s="3637"/>
      <c r="P37" s="3232"/>
      <c r="Q37" s="3637"/>
      <c r="R37" s="3232"/>
      <c r="S37" s="3637"/>
    </row>
    <row r="38" spans="1:19">
      <c r="A38" s="3538"/>
      <c r="B38" s="3636"/>
      <c r="C38" s="1946"/>
      <c r="D38" s="1947"/>
      <c r="E38" s="1948"/>
      <c r="F38" s="1973"/>
      <c r="G38" s="662">
        <f t="shared" si="5"/>
        <v>0</v>
      </c>
      <c r="H38" s="3232"/>
      <c r="I38" s="3638">
        <f t="shared" si="6"/>
        <v>0</v>
      </c>
      <c r="J38" s="3232"/>
      <c r="K38" s="3638"/>
      <c r="L38" s="3232"/>
      <c r="M38" s="3637"/>
      <c r="N38" s="3232"/>
      <c r="O38" s="3637"/>
      <c r="P38" s="3232"/>
      <c r="Q38" s="3637"/>
      <c r="R38" s="3232"/>
      <c r="S38" s="3637"/>
    </row>
    <row r="39" spans="1:19">
      <c r="A39" s="3538"/>
      <c r="B39" s="3636"/>
      <c r="C39" s="1946"/>
      <c r="D39" s="1947"/>
      <c r="E39" s="1948"/>
      <c r="F39" s="1973"/>
      <c r="G39" s="662">
        <f t="shared" si="5"/>
        <v>0</v>
      </c>
      <c r="H39" s="3232"/>
      <c r="I39" s="3638">
        <f t="shared" si="6"/>
        <v>0</v>
      </c>
      <c r="J39" s="3232"/>
      <c r="K39" s="3638"/>
      <c r="L39" s="3232"/>
      <c r="M39" s="3637"/>
      <c r="N39" s="3232"/>
      <c r="O39" s="3637"/>
      <c r="P39" s="3232"/>
      <c r="Q39" s="3637"/>
      <c r="R39" s="3232"/>
      <c r="S39" s="3637"/>
    </row>
    <row r="40" spans="1:19">
      <c r="A40" s="3538"/>
      <c r="B40" s="3636"/>
      <c r="C40" s="1946"/>
      <c r="D40" s="1947"/>
      <c r="E40" s="1948"/>
      <c r="F40" s="1973"/>
      <c r="G40" s="662">
        <f t="shared" si="5"/>
        <v>0</v>
      </c>
      <c r="H40" s="3232"/>
      <c r="I40" s="3638">
        <f t="shared" si="6"/>
        <v>0</v>
      </c>
      <c r="J40" s="3232"/>
      <c r="K40" s="3638"/>
      <c r="L40" s="3232"/>
      <c r="M40" s="3637"/>
      <c r="N40" s="3232"/>
      <c r="O40" s="3637"/>
      <c r="P40" s="3232"/>
      <c r="Q40" s="3637"/>
      <c r="R40" s="3232"/>
      <c r="S40" s="3637"/>
    </row>
    <row r="41" spans="1:19">
      <c r="A41" s="3538"/>
      <c r="B41" s="3636"/>
      <c r="C41" s="1946"/>
      <c r="D41" s="1947"/>
      <c r="E41" s="1948"/>
      <c r="F41" s="1973"/>
      <c r="G41" s="662">
        <f t="shared" si="5"/>
        <v>0</v>
      </c>
      <c r="H41" s="3232"/>
      <c r="I41" s="3638">
        <f t="shared" si="6"/>
        <v>0</v>
      </c>
      <c r="J41" s="3232"/>
      <c r="K41" s="3638"/>
      <c r="L41" s="3232"/>
      <c r="M41" s="3637"/>
      <c r="N41" s="3232"/>
      <c r="O41" s="3637"/>
      <c r="P41" s="3232"/>
      <c r="Q41" s="3637"/>
      <c r="R41" s="3232"/>
      <c r="S41" s="3637"/>
    </row>
    <row r="42" spans="1:19">
      <c r="A42" s="3538"/>
      <c r="B42" s="3636"/>
      <c r="C42" s="1946"/>
      <c r="D42" s="1947"/>
      <c r="E42" s="1948"/>
      <c r="F42" s="1973"/>
      <c r="G42" s="662">
        <f t="shared" si="5"/>
        <v>0</v>
      </c>
      <c r="H42" s="3232"/>
      <c r="I42" s="3638">
        <f t="shared" si="6"/>
        <v>0</v>
      </c>
      <c r="J42" s="3232"/>
      <c r="K42" s="3638"/>
      <c r="L42" s="3232"/>
      <c r="M42" s="3637"/>
      <c r="N42" s="3232"/>
      <c r="O42" s="3637"/>
      <c r="P42" s="3232"/>
      <c r="Q42" s="3637"/>
      <c r="R42" s="3232"/>
      <c r="S42" s="3637"/>
    </row>
    <row r="43" spans="1:19">
      <c r="A43" s="3538"/>
      <c r="B43" s="3636"/>
      <c r="C43" s="1946"/>
      <c r="D43" s="1947"/>
      <c r="E43" s="1948"/>
      <c r="F43" s="1973"/>
      <c r="G43" s="662">
        <f t="shared" si="5"/>
        <v>0</v>
      </c>
      <c r="H43" s="3232"/>
      <c r="I43" s="3638">
        <f t="shared" si="6"/>
        <v>0</v>
      </c>
      <c r="J43" s="3232"/>
      <c r="K43" s="3638"/>
      <c r="L43" s="3232"/>
      <c r="M43" s="3637"/>
      <c r="N43" s="3232"/>
      <c r="O43" s="3637"/>
      <c r="P43" s="3232"/>
      <c r="Q43" s="3637"/>
      <c r="R43" s="3232"/>
      <c r="S43" s="3637"/>
    </row>
    <row r="44" spans="1:19">
      <c r="A44" s="3538"/>
      <c r="B44" s="3636"/>
      <c r="C44" s="1946"/>
      <c r="D44" s="1947"/>
      <c r="E44" s="1948"/>
      <c r="F44" s="1973"/>
      <c r="G44" s="662">
        <f t="shared" si="5"/>
        <v>0</v>
      </c>
      <c r="H44" s="3232"/>
      <c r="I44" s="3638">
        <f t="shared" si="6"/>
        <v>0</v>
      </c>
      <c r="J44" s="3232"/>
      <c r="K44" s="3638"/>
      <c r="L44" s="3232"/>
      <c r="M44" s="3637"/>
      <c r="N44" s="3232"/>
      <c r="O44" s="3637"/>
      <c r="P44" s="3232"/>
      <c r="Q44" s="3637"/>
      <c r="R44" s="3232"/>
      <c r="S44" s="3637"/>
    </row>
    <row r="45" spans="1:19">
      <c r="A45" s="3538"/>
      <c r="B45" s="3636"/>
      <c r="C45" s="1946"/>
      <c r="D45" s="1947"/>
      <c r="E45" s="1948"/>
      <c r="F45" s="1973"/>
      <c r="G45" s="662">
        <f t="shared" si="5"/>
        <v>0</v>
      </c>
      <c r="H45" s="3232"/>
      <c r="I45" s="3638">
        <f t="shared" si="6"/>
        <v>0</v>
      </c>
      <c r="J45" s="3232"/>
      <c r="K45" s="3638"/>
      <c r="L45" s="3232"/>
      <c r="M45" s="3637"/>
      <c r="N45" s="3232"/>
      <c r="O45" s="3637"/>
      <c r="P45" s="3232"/>
      <c r="Q45" s="3637"/>
      <c r="R45" s="3232"/>
      <c r="S45" s="3637"/>
    </row>
    <row r="46" spans="1:19">
      <c r="A46" s="3538"/>
      <c r="B46" s="3636"/>
      <c r="C46" s="1946"/>
      <c r="D46" s="1947"/>
      <c r="E46" s="1948"/>
      <c r="F46" s="1973"/>
      <c r="G46" s="662">
        <f t="shared" si="5"/>
        <v>0</v>
      </c>
      <c r="H46" s="3232"/>
      <c r="I46" s="3638">
        <f t="shared" si="6"/>
        <v>0</v>
      </c>
      <c r="J46" s="3232"/>
      <c r="K46" s="3638"/>
      <c r="L46" s="3232"/>
      <c r="M46" s="3637"/>
      <c r="N46" s="3232"/>
      <c r="O46" s="3637"/>
      <c r="P46" s="3232"/>
      <c r="Q46" s="3637"/>
      <c r="R46" s="3232"/>
      <c r="S46" s="3637"/>
    </row>
    <row r="47" spans="1:19">
      <c r="A47" s="3538"/>
      <c r="B47" s="3636"/>
      <c r="C47" s="1946"/>
      <c r="D47" s="1947"/>
      <c r="E47" s="1948"/>
      <c r="F47" s="1973"/>
      <c r="G47" s="662">
        <f t="shared" si="5"/>
        <v>0</v>
      </c>
      <c r="H47" s="3232"/>
      <c r="I47" s="3638">
        <f t="shared" si="6"/>
        <v>0</v>
      </c>
      <c r="J47" s="3232"/>
      <c r="K47" s="3638"/>
      <c r="L47" s="3232"/>
      <c r="M47" s="3637"/>
      <c r="N47" s="3232"/>
      <c r="O47" s="3637"/>
      <c r="P47" s="3232"/>
      <c r="Q47" s="3637"/>
      <c r="R47" s="3232"/>
      <c r="S47" s="3637"/>
    </row>
    <row r="48" spans="1:19">
      <c r="A48" s="3538"/>
      <c r="B48" s="3636"/>
      <c r="C48" s="1946"/>
      <c r="D48" s="1947"/>
      <c r="E48" s="1948"/>
      <c r="F48" s="1973"/>
      <c r="G48" s="662">
        <f t="shared" si="5"/>
        <v>0</v>
      </c>
      <c r="H48" s="3232"/>
      <c r="I48" s="3638">
        <f t="shared" si="6"/>
        <v>0</v>
      </c>
      <c r="J48" s="3232"/>
      <c r="K48" s="3638"/>
      <c r="L48" s="3232"/>
      <c r="M48" s="3637"/>
      <c r="N48" s="3232"/>
      <c r="O48" s="3637"/>
      <c r="P48" s="3232"/>
      <c r="Q48" s="3637"/>
      <c r="R48" s="3232"/>
      <c r="S48" s="3637"/>
    </row>
    <row r="49" spans="1:34">
      <c r="A49" s="3538"/>
      <c r="B49" s="3636"/>
      <c r="C49" s="1946"/>
      <c r="D49" s="1947"/>
      <c r="E49" s="1948"/>
      <c r="F49" s="1973"/>
      <c r="G49" s="662">
        <f t="shared" si="5"/>
        <v>0</v>
      </c>
      <c r="H49" s="3232"/>
      <c r="I49" s="3638">
        <f t="shared" si="6"/>
        <v>0</v>
      </c>
      <c r="J49" s="3232"/>
      <c r="K49" s="3638"/>
      <c r="L49" s="3232"/>
      <c r="M49" s="3637"/>
      <c r="N49" s="3232"/>
      <c r="O49" s="3637"/>
      <c r="P49" s="3232"/>
      <c r="Q49" s="3637"/>
      <c r="R49" s="3232"/>
      <c r="S49" s="3637"/>
    </row>
    <row r="50" spans="1:34" ht="15.75" thickBot="1">
      <c r="A50" s="3538"/>
      <c r="B50" s="1903"/>
      <c r="C50" s="1904"/>
      <c r="D50" s="1902"/>
      <c r="E50" s="1948"/>
      <c r="F50" s="1876"/>
      <c r="G50" s="662"/>
      <c r="H50" s="3232"/>
      <c r="I50" s="3638"/>
      <c r="J50" s="3232"/>
      <c r="K50" s="3638"/>
      <c r="L50" s="3232"/>
      <c r="M50" s="3638"/>
      <c r="N50" s="3232"/>
      <c r="O50" s="3638"/>
      <c r="P50" s="3232"/>
      <c r="Q50" s="3638"/>
      <c r="R50" s="3232"/>
      <c r="S50" s="3638"/>
    </row>
    <row r="51" spans="1:34" ht="15.75" thickTop="1">
      <c r="A51" s="13"/>
      <c r="B51" s="226" t="s">
        <v>3265</v>
      </c>
      <c r="C51" s="15"/>
      <c r="D51" s="168"/>
      <c r="E51" s="176"/>
      <c r="F51" s="17"/>
      <c r="G51" s="227">
        <f>SUBTOTAL(9,G21:G50)</f>
        <v>0</v>
      </c>
      <c r="H51" s="19"/>
      <c r="I51" s="225">
        <f>SUBTOTAL(9,I21:I50)</f>
        <v>0</v>
      </c>
      <c r="J51" s="19"/>
      <c r="K51" s="225">
        <f>SUBTOTAL(9,K21:K50)</f>
        <v>0</v>
      </c>
      <c r="L51" s="19"/>
      <c r="M51" s="225">
        <f>SUBTOTAL(9,M21:M50)</f>
        <v>0</v>
      </c>
      <c r="N51" s="19"/>
      <c r="O51" s="164">
        <f>SUM(O19:O50)</f>
        <v>0</v>
      </c>
      <c r="P51" s="19"/>
      <c r="Q51" s="164">
        <f>SUM(Q19:Q50)</f>
        <v>0</v>
      </c>
      <c r="R51" s="19"/>
      <c r="S51" s="164">
        <f>SUM(S19:S50)</f>
        <v>0</v>
      </c>
    </row>
    <row r="52" spans="1:34">
      <c r="A52" s="3479"/>
      <c r="B52" s="1906" t="s">
        <v>2976</v>
      </c>
      <c r="C52" s="1907"/>
      <c r="D52" s="1908"/>
      <c r="E52" s="1909"/>
      <c r="F52" s="1910"/>
      <c r="G52" s="654"/>
      <c r="H52" s="3425">
        <v>0</v>
      </c>
      <c r="I52" s="645"/>
      <c r="J52" s="3425">
        <v>0</v>
      </c>
      <c r="K52" s="645"/>
      <c r="L52" s="3425">
        <v>0</v>
      </c>
      <c r="M52" s="645"/>
      <c r="N52" s="3425">
        <v>0</v>
      </c>
      <c r="O52" s="645"/>
      <c r="P52" s="3425">
        <v>0</v>
      </c>
      <c r="Q52" s="645"/>
      <c r="R52" s="3425">
        <v>0</v>
      </c>
      <c r="S52" s="645"/>
    </row>
    <row r="53" spans="1:34">
      <c r="A53" s="3479"/>
      <c r="B53" s="1906" t="s">
        <v>2977</v>
      </c>
      <c r="C53" s="1907"/>
      <c r="D53" s="1908"/>
      <c r="E53" s="1909"/>
      <c r="F53" s="1910"/>
      <c r="G53" s="654">
        <f>F52*G51</f>
        <v>0</v>
      </c>
      <c r="H53" s="3426"/>
      <c r="I53" s="3427">
        <f>H52*I51</f>
        <v>0</v>
      </c>
      <c r="J53" s="3426"/>
      <c r="K53" s="3427">
        <f>J52*K51</f>
        <v>0</v>
      </c>
      <c r="L53" s="3426"/>
      <c r="M53" s="3427">
        <f>L52*M51</f>
        <v>0</v>
      </c>
      <c r="N53" s="3426"/>
      <c r="O53" s="3427">
        <f>N52*O51</f>
        <v>0</v>
      </c>
      <c r="P53" s="3426"/>
      <c r="Q53" s="3427">
        <f>P52*Q51</f>
        <v>0</v>
      </c>
      <c r="R53" s="3426"/>
      <c r="S53" s="3427">
        <f>R52*S51</f>
        <v>0</v>
      </c>
    </row>
    <row r="54" spans="1:34">
      <c r="A54" s="3479"/>
      <c r="B54" s="1906"/>
      <c r="C54" s="1907"/>
      <c r="D54" s="1908"/>
      <c r="E54" s="1909"/>
      <c r="F54" s="1910"/>
      <c r="G54" s="654"/>
      <c r="H54" s="3426"/>
      <c r="I54" s="3427"/>
      <c r="J54" s="3426"/>
      <c r="K54" s="3427"/>
      <c r="L54" s="3426"/>
      <c r="M54" s="3427"/>
      <c r="N54" s="3426"/>
      <c r="O54" s="3427"/>
      <c r="P54" s="3426"/>
      <c r="Q54" s="3427"/>
      <c r="R54" s="3426"/>
      <c r="S54" s="3427"/>
    </row>
    <row r="55" spans="1:34">
      <c r="A55" s="3479"/>
      <c r="B55" s="1906" t="s">
        <v>2978</v>
      </c>
      <c r="C55" s="1907"/>
      <c r="D55" s="1908"/>
      <c r="E55" s="1909"/>
      <c r="F55" s="1910"/>
      <c r="G55" s="654">
        <f>SUM(G51:G53)</f>
        <v>0</v>
      </c>
      <c r="H55" s="3428"/>
      <c r="I55" s="3427">
        <f>SUM(I51:I53)</f>
        <v>0</v>
      </c>
      <c r="J55" s="3428"/>
      <c r="K55" s="3427">
        <f>SUM(K51:K53)</f>
        <v>0</v>
      </c>
      <c r="L55" s="3428"/>
      <c r="M55" s="3427">
        <f>SUM(M51:M53)</f>
        <v>0</v>
      </c>
      <c r="N55" s="3428"/>
      <c r="O55" s="3427">
        <f>SUM(O51:O53)</f>
        <v>0</v>
      </c>
      <c r="P55" s="3428"/>
      <c r="Q55" s="3427">
        <f>SUM(Q51:Q53)</f>
        <v>0</v>
      </c>
      <c r="R55" s="3428"/>
      <c r="S55" s="3427">
        <f>SUM(S51:S53)</f>
        <v>0</v>
      </c>
    </row>
    <row r="56" spans="1:34">
      <c r="A56" s="3479"/>
      <c r="B56" s="1915" t="s">
        <v>2979</v>
      </c>
      <c r="C56" s="1907"/>
      <c r="D56" s="1908"/>
      <c r="E56" s="1909"/>
      <c r="F56" s="1915"/>
      <c r="G56" s="655">
        <f>G55/'Area Calculations'!$F$5</f>
        <v>0</v>
      </c>
      <c r="H56" s="3429"/>
      <c r="I56" s="3430">
        <f>I55/'Area Calculations'!$F$5</f>
        <v>0</v>
      </c>
      <c r="J56" s="3429"/>
      <c r="K56" s="3430">
        <f>K55/'Area Calculations'!$F$5</f>
        <v>0</v>
      </c>
      <c r="L56" s="3429"/>
      <c r="M56" s="3430">
        <f>M55/'Area Calculations'!$F$5</f>
        <v>0</v>
      </c>
      <c r="N56" s="3429"/>
      <c r="O56" s="3430">
        <f>O55/'Area Calculations'!$F$5</f>
        <v>0</v>
      </c>
      <c r="P56" s="3429"/>
      <c r="Q56" s="3430">
        <f>Q55/'Area Calculations'!$F$5</f>
        <v>0</v>
      </c>
      <c r="R56" s="3431"/>
      <c r="S56" s="3430">
        <f>S55/'Area Calculations'!$F$5</f>
        <v>0</v>
      </c>
    </row>
    <row r="57" spans="1:34" ht="15.75" thickBot="1">
      <c r="A57" s="3479"/>
      <c r="B57" s="1919"/>
      <c r="C57" s="1907"/>
      <c r="D57" s="1908"/>
      <c r="E57" s="1909"/>
      <c r="F57" s="1910"/>
      <c r="G57" s="656"/>
      <c r="H57" s="3432"/>
      <c r="I57" s="3433"/>
      <c r="J57" s="3432"/>
      <c r="K57" s="3433"/>
      <c r="L57" s="3432"/>
      <c r="M57" s="3432"/>
      <c r="N57" s="3432"/>
      <c r="O57" s="3432"/>
      <c r="P57" s="3432"/>
      <c r="Q57" s="3432"/>
      <c r="R57" s="3432"/>
      <c r="S57" s="3432"/>
    </row>
    <row r="58" spans="1:34" ht="16.5" thickTop="1" thickBot="1">
      <c r="A58" s="830" t="s">
        <v>2980</v>
      </c>
      <c r="B58" s="831"/>
      <c r="C58" s="12"/>
      <c r="D58" s="169"/>
      <c r="E58" s="177"/>
      <c r="F58" s="12"/>
      <c r="G58" s="228"/>
      <c r="H58" s="20"/>
      <c r="I58" s="20"/>
      <c r="J58" s="20"/>
      <c r="K58" s="20"/>
      <c r="L58" s="20"/>
      <c r="M58" s="20"/>
      <c r="N58" s="20"/>
      <c r="O58" s="20"/>
      <c r="P58" s="20"/>
      <c r="Q58" s="20"/>
      <c r="R58" s="20"/>
      <c r="S58" s="20"/>
    </row>
    <row r="59" spans="1:34" ht="15.75" thickTop="1">
      <c r="A59" s="3614"/>
      <c r="B59" s="1945"/>
      <c r="C59" s="3615"/>
      <c r="D59" s="3616"/>
      <c r="E59" s="3617"/>
      <c r="F59" s="3615"/>
      <c r="G59" s="3618"/>
      <c r="H59" s="3619"/>
      <c r="I59" s="3619"/>
      <c r="J59" s="3619"/>
      <c r="K59" s="3619"/>
      <c r="L59" s="3619"/>
      <c r="M59" s="3619"/>
      <c r="N59" s="3619"/>
      <c r="O59" s="3619"/>
      <c r="P59" s="3619"/>
      <c r="Q59" s="3619"/>
      <c r="R59" s="3619"/>
      <c r="S59" s="3619"/>
    </row>
    <row r="60" spans="1:34">
      <c r="A60" s="3614"/>
      <c r="B60" s="1945"/>
      <c r="C60" s="3615"/>
      <c r="D60" s="3616"/>
      <c r="E60" s="3617"/>
      <c r="F60" s="3615"/>
      <c r="G60" s="3618"/>
      <c r="H60" s="3619"/>
      <c r="I60" s="3619"/>
      <c r="J60" s="3619"/>
      <c r="K60" s="3619"/>
      <c r="L60" s="3619"/>
      <c r="M60" s="3619"/>
      <c r="N60" s="3619"/>
      <c r="O60" s="3619"/>
      <c r="P60" s="3619"/>
      <c r="Q60" s="3619"/>
      <c r="R60" s="3619"/>
      <c r="S60" s="3619"/>
    </row>
    <row r="61" spans="1:34" ht="15.75" thickBot="1">
      <c r="A61" s="3614"/>
      <c r="B61" s="1945"/>
      <c r="C61" s="3615"/>
      <c r="D61" s="3616"/>
      <c r="E61" s="3617"/>
      <c r="F61" s="3615"/>
      <c r="G61" s="3618"/>
      <c r="H61" s="3619"/>
      <c r="I61" s="3619"/>
      <c r="J61" s="3619"/>
      <c r="K61" s="3619"/>
      <c r="L61" s="3619"/>
      <c r="M61" s="3619"/>
      <c r="N61" s="3619"/>
      <c r="O61" s="3619"/>
      <c r="P61" s="3619"/>
      <c r="Q61" s="3619"/>
      <c r="R61" s="3619"/>
      <c r="S61" s="3619"/>
    </row>
    <row r="62" spans="1:34" s="2" customFormat="1" ht="16.5" thickTop="1" thickBot="1">
      <c r="A62" s="830" t="s">
        <v>2981</v>
      </c>
      <c r="B62" s="831"/>
      <c r="C62" s="12"/>
      <c r="D62" s="169"/>
      <c r="E62" s="177"/>
      <c r="F62" s="12"/>
      <c r="G62" s="228"/>
      <c r="H62" s="20"/>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thickTop="1">
      <c r="A63" s="3614"/>
      <c r="B63" s="1945"/>
      <c r="C63" s="3615"/>
      <c r="D63" s="3616"/>
      <c r="E63" s="3617"/>
      <c r="F63" s="3615"/>
      <c r="G63" s="3618"/>
      <c r="H63" s="3619"/>
      <c r="I63" s="3619"/>
      <c r="J63" s="3619"/>
      <c r="K63" s="3619"/>
      <c r="L63" s="3619"/>
      <c r="M63" s="3619"/>
      <c r="N63" s="3619"/>
      <c r="O63" s="3619"/>
      <c r="P63" s="3619"/>
      <c r="Q63" s="3619"/>
      <c r="R63" s="3619"/>
      <c r="S63" s="3619"/>
      <c r="T63"/>
      <c r="U63"/>
      <c r="V63"/>
      <c r="W63"/>
      <c r="X63"/>
      <c r="Y63"/>
      <c r="Z63"/>
      <c r="AA63"/>
      <c r="AB63"/>
      <c r="AC63"/>
      <c r="AD63"/>
      <c r="AE63"/>
      <c r="AF63"/>
      <c r="AG63"/>
      <c r="AH63"/>
    </row>
    <row r="64" spans="1:34" s="2" customFormat="1">
      <c r="A64" s="3614"/>
      <c r="B64" s="1945"/>
      <c r="C64" s="3615"/>
      <c r="D64" s="3616"/>
      <c r="E64" s="3617"/>
      <c r="F64" s="3615"/>
      <c r="G64" s="3618"/>
      <c r="H64" s="3619"/>
      <c r="I64" s="3619"/>
      <c r="J64" s="3619"/>
      <c r="K64" s="3619"/>
      <c r="L64" s="3619"/>
      <c r="M64" s="3619"/>
      <c r="N64" s="3619"/>
      <c r="O64" s="3619"/>
      <c r="P64" s="3619"/>
      <c r="Q64" s="3619"/>
      <c r="R64" s="3619"/>
      <c r="S64" s="3619"/>
      <c r="T64"/>
      <c r="U64"/>
      <c r="V64"/>
      <c r="W64"/>
      <c r="X64"/>
      <c r="Y64"/>
      <c r="Z64"/>
      <c r="AA64"/>
      <c r="AB64"/>
      <c r="AC64"/>
      <c r="AD64"/>
      <c r="AE64"/>
      <c r="AF64"/>
      <c r="AG64"/>
      <c r="AH64"/>
    </row>
    <row r="65" spans="1:34" ht="15.75" thickBot="1">
      <c r="A65" s="3614"/>
      <c r="B65" s="1945"/>
      <c r="C65" s="3615"/>
      <c r="D65" s="3616"/>
      <c r="E65" s="3617"/>
      <c r="F65" s="3615"/>
      <c r="G65" s="3618"/>
      <c r="H65" s="3619"/>
      <c r="I65" s="3619"/>
      <c r="J65" s="3619"/>
      <c r="K65" s="3619"/>
      <c r="L65" s="3619"/>
      <c r="M65" s="3619"/>
      <c r="N65" s="3619"/>
      <c r="O65" s="3619"/>
      <c r="P65" s="3619"/>
      <c r="Q65" s="3619"/>
      <c r="R65" s="3619"/>
      <c r="S65" s="3619"/>
    </row>
    <row r="66" spans="1:34" s="2" customFormat="1" ht="16.5" thickTop="1" thickBot="1">
      <c r="A66" s="830" t="s">
        <v>2982</v>
      </c>
      <c r="B66" s="831"/>
      <c r="C66" s="12"/>
      <c r="D66" s="169"/>
      <c r="E66" s="177"/>
      <c r="F66" s="12"/>
      <c r="G66" s="228"/>
      <c r="H66" s="20"/>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thickTop="1">
      <c r="A67" s="3614"/>
      <c r="B67" s="1945"/>
      <c r="C67" s="3615"/>
      <c r="D67" s="3616"/>
      <c r="E67" s="3617"/>
      <c r="F67" s="3615"/>
      <c r="G67" s="3618"/>
      <c r="H67" s="3619"/>
      <c r="I67" s="3619"/>
      <c r="J67" s="3619"/>
      <c r="K67" s="3619"/>
      <c r="L67" s="3619"/>
      <c r="M67" s="3619"/>
      <c r="N67" s="3619"/>
      <c r="O67" s="3619"/>
      <c r="P67" s="3619"/>
      <c r="Q67" s="3619"/>
      <c r="R67" s="3619"/>
      <c r="S67" s="3619"/>
      <c r="T67"/>
      <c r="U67"/>
      <c r="V67"/>
      <c r="W67"/>
      <c r="X67"/>
      <c r="Y67"/>
      <c r="Z67"/>
      <c r="AA67"/>
      <c r="AB67"/>
      <c r="AC67"/>
      <c r="AD67"/>
      <c r="AE67"/>
      <c r="AF67"/>
      <c r="AG67"/>
      <c r="AH67"/>
    </row>
    <row r="68" spans="1:34" s="2" customFormat="1">
      <c r="A68" s="3497"/>
      <c r="B68" s="1945"/>
      <c r="C68" s="1946"/>
      <c r="D68" s="1947"/>
      <c r="E68" s="1948"/>
      <c r="F68" s="1946"/>
      <c r="G68" s="1923"/>
      <c r="H68" s="3434"/>
      <c r="I68" s="3434"/>
      <c r="J68" s="3434"/>
      <c r="K68" s="3434"/>
      <c r="L68" s="3434"/>
      <c r="M68" s="3434"/>
      <c r="N68" s="3434"/>
      <c r="O68" s="3434"/>
      <c r="P68" s="3434"/>
      <c r="Q68" s="3434"/>
      <c r="R68" s="3434"/>
      <c r="S68" s="3434"/>
      <c r="T68"/>
      <c r="U68"/>
      <c r="V68"/>
      <c r="W68"/>
      <c r="X68"/>
      <c r="Y68"/>
      <c r="Z68"/>
      <c r="AA68"/>
      <c r="AB68"/>
      <c r="AC68"/>
      <c r="AD68"/>
      <c r="AE68"/>
      <c r="AF68"/>
      <c r="AG68"/>
      <c r="AH68"/>
    </row>
    <row r="69" spans="1:34" s="2" customFormat="1" ht="15.75" thickBot="1">
      <c r="A69" s="3500"/>
      <c r="B69" s="1926"/>
      <c r="C69" s="1946"/>
      <c r="D69" s="1947"/>
      <c r="E69" s="1948"/>
      <c r="F69" s="1946"/>
      <c r="G69" s="1923"/>
      <c r="H69" s="3435"/>
      <c r="I69" s="3435"/>
      <c r="J69" s="3435"/>
      <c r="K69" s="3435"/>
      <c r="L69" s="3435"/>
      <c r="M69" s="3435"/>
      <c r="N69" s="3435"/>
      <c r="O69" s="3435"/>
      <c r="P69" s="3435"/>
      <c r="Q69" s="3435"/>
      <c r="R69" s="3435"/>
      <c r="S69" s="3435"/>
    </row>
    <row r="70" spans="1:34" s="2" customFormat="1" ht="16.5" thickTop="1" thickBot="1">
      <c r="A70" s="830" t="s">
        <v>2983</v>
      </c>
      <c r="B70" s="831"/>
      <c r="C70" s="12"/>
      <c r="D70" s="169"/>
      <c r="E70" s="177"/>
      <c r="F70" s="12"/>
      <c r="G70" s="228"/>
      <c r="H70" s="20"/>
      <c r="I70" s="20"/>
      <c r="J70" s="20"/>
      <c r="K70" s="20"/>
      <c r="L70" s="20"/>
      <c r="M70" s="20"/>
      <c r="N70" s="20"/>
      <c r="O70" s="20"/>
      <c r="P70" s="20"/>
      <c r="Q70" s="20"/>
      <c r="R70" s="20"/>
      <c r="S70" s="20"/>
      <c r="T70"/>
      <c r="U70"/>
      <c r="V70"/>
      <c r="W70"/>
      <c r="X70"/>
      <c r="Y70"/>
      <c r="Z70"/>
      <c r="AA70"/>
      <c r="AB70"/>
      <c r="AC70"/>
      <c r="AD70"/>
      <c r="AE70"/>
      <c r="AF70"/>
      <c r="AG70"/>
      <c r="AH70"/>
    </row>
    <row r="71" spans="1:34" ht="15.75" thickTop="1">
      <c r="A71" s="3620"/>
      <c r="B71" s="3621"/>
      <c r="C71" s="3615"/>
      <c r="D71" s="3616"/>
      <c r="E71" s="3617"/>
      <c r="F71" s="3615"/>
      <c r="G71" s="3618"/>
      <c r="H71" s="3619"/>
      <c r="I71" s="3619"/>
      <c r="J71" s="3619"/>
      <c r="K71" s="3619"/>
      <c r="L71" s="3619"/>
      <c r="M71" s="3619"/>
      <c r="N71" s="3619"/>
      <c r="O71" s="3619"/>
      <c r="P71" s="3619"/>
      <c r="Q71" s="3619"/>
      <c r="R71" s="3619"/>
      <c r="S71" s="3619"/>
      <c r="T71" s="2"/>
      <c r="U71" s="2"/>
      <c r="V71" s="2"/>
      <c r="W71" s="2"/>
      <c r="X71" s="2"/>
      <c r="Y71" s="2"/>
      <c r="Z71" s="2"/>
      <c r="AA71" s="2"/>
      <c r="AB71" s="2"/>
      <c r="AC71" s="2"/>
      <c r="AD71" s="2"/>
      <c r="AE71" s="2"/>
      <c r="AF71" s="2"/>
      <c r="AG71" s="2"/>
      <c r="AH71" s="2"/>
    </row>
    <row r="72" spans="1:34">
      <c r="A72" s="3500"/>
      <c r="B72" s="1926"/>
      <c r="C72" s="1946"/>
      <c r="D72" s="1947"/>
      <c r="E72" s="1948"/>
      <c r="F72" s="1946"/>
      <c r="G72" s="1923"/>
      <c r="H72" s="3436"/>
      <c r="I72" s="3436"/>
      <c r="J72" s="3436"/>
      <c r="K72" s="3436"/>
      <c r="L72" s="3436"/>
      <c r="M72" s="3436"/>
      <c r="N72" s="3436"/>
      <c r="O72" s="3436"/>
      <c r="P72" s="3436"/>
      <c r="Q72" s="3436"/>
      <c r="R72" s="3436"/>
      <c r="S72" s="3436"/>
      <c r="T72" s="2"/>
      <c r="U72" s="2"/>
      <c r="V72" s="2"/>
      <c r="W72" s="2"/>
      <c r="X72" s="2"/>
      <c r="Y72" s="2"/>
      <c r="Z72" s="2"/>
      <c r="AA72" s="2"/>
      <c r="AB72" s="2"/>
      <c r="AC72" s="2"/>
      <c r="AD72" s="2"/>
      <c r="AE72" s="2"/>
      <c r="AF72" s="2"/>
      <c r="AG72" s="2"/>
      <c r="AH72" s="2"/>
    </row>
    <row r="73" spans="1:34" ht="15.75" thickBot="1">
      <c r="A73" s="3500"/>
      <c r="B73" s="1926"/>
      <c r="C73" s="1946"/>
      <c r="D73" s="1947"/>
      <c r="E73" s="1948"/>
      <c r="F73" s="1946"/>
      <c r="G73" s="1923"/>
      <c r="H73" s="3436"/>
      <c r="I73" s="3436"/>
      <c r="J73" s="3436"/>
      <c r="K73" s="3436"/>
      <c r="L73" s="3436"/>
      <c r="M73" s="3436"/>
      <c r="N73" s="3436"/>
      <c r="O73" s="3436"/>
      <c r="P73" s="3436"/>
      <c r="Q73" s="3436"/>
      <c r="R73" s="3436"/>
      <c r="S73" s="3436"/>
      <c r="T73" s="2"/>
      <c r="U73" s="2"/>
      <c r="V73" s="2"/>
      <c r="W73" s="2"/>
      <c r="X73" s="2"/>
      <c r="Y73" s="2"/>
      <c r="Z73" s="2"/>
      <c r="AA73" s="2"/>
      <c r="AB73" s="2"/>
      <c r="AC73" s="2"/>
      <c r="AD73" s="2"/>
      <c r="AE73" s="2"/>
      <c r="AF73" s="2"/>
      <c r="AG73" s="2"/>
      <c r="AH73" s="2"/>
    </row>
    <row r="74" spans="1:34" ht="16.5" thickTop="1" thickBot="1">
      <c r="A74" s="830" t="s">
        <v>2984</v>
      </c>
      <c r="B74" s="831"/>
      <c r="C74" s="12"/>
      <c r="D74" s="169"/>
      <c r="E74" s="177"/>
      <c r="F74" s="12"/>
      <c r="G74" s="228"/>
      <c r="H74" s="20"/>
      <c r="I74" s="20"/>
      <c r="J74" s="20"/>
      <c r="K74" s="20"/>
      <c r="L74" s="20"/>
      <c r="M74" s="20"/>
      <c r="N74" s="20"/>
      <c r="O74" s="20"/>
      <c r="P74" s="20"/>
      <c r="Q74" s="20"/>
      <c r="R74" s="20"/>
      <c r="S74" s="20"/>
    </row>
    <row r="75" spans="1:34" ht="15.75" thickTop="1">
      <c r="A75" s="3497"/>
      <c r="B75" s="1945" t="s">
        <v>2985</v>
      </c>
      <c r="C75" s="1946"/>
      <c r="D75" s="1947"/>
      <c r="E75" s="1948"/>
      <c r="F75" s="1946"/>
      <c r="G75" s="1923"/>
      <c r="H75" s="3436"/>
      <c r="I75" s="3436"/>
      <c r="J75" s="3436"/>
      <c r="K75" s="3436"/>
      <c r="L75" s="3436"/>
      <c r="M75" s="3436"/>
      <c r="N75" s="3436"/>
      <c r="O75" s="3436"/>
      <c r="P75" s="3436"/>
      <c r="Q75" s="3436"/>
      <c r="R75" s="3436"/>
      <c r="S75" s="3436"/>
    </row>
    <row r="76" spans="1:34">
      <c r="A76" s="3497"/>
      <c r="B76" s="1945" t="s">
        <v>2986</v>
      </c>
      <c r="C76" s="1946"/>
      <c r="D76" s="1947"/>
      <c r="E76" s="1948"/>
      <c r="F76" s="1946"/>
      <c r="G76" s="1923"/>
      <c r="H76" s="3436"/>
      <c r="I76" s="3436"/>
      <c r="J76" s="3436"/>
      <c r="K76" s="3436"/>
      <c r="L76" s="3436"/>
      <c r="M76" s="3436"/>
      <c r="N76" s="3436"/>
      <c r="O76" s="3436"/>
      <c r="P76" s="3436"/>
      <c r="Q76" s="3436"/>
      <c r="R76" s="3436"/>
      <c r="S76" s="3436"/>
    </row>
    <row r="77" spans="1:34">
      <c r="A77" s="3497"/>
      <c r="B77" s="1945" t="s">
        <v>2987</v>
      </c>
      <c r="C77" s="1946"/>
      <c r="D77" s="1947"/>
      <c r="E77" s="1948"/>
      <c r="F77" s="1946"/>
      <c r="G77" s="1923"/>
      <c r="H77" s="3436"/>
      <c r="I77" s="3436"/>
      <c r="J77" s="3436"/>
      <c r="K77" s="3436"/>
      <c r="L77" s="3436"/>
      <c r="M77" s="3436"/>
      <c r="N77" s="3436"/>
      <c r="O77" s="3436"/>
      <c r="P77" s="3436"/>
      <c r="Q77" s="3436"/>
      <c r="R77" s="3436"/>
      <c r="S77" s="3436"/>
    </row>
    <row r="78" spans="1:34">
      <c r="A78" s="3497"/>
      <c r="B78" s="1945" t="s">
        <v>2988</v>
      </c>
      <c r="C78" s="1946"/>
      <c r="D78" s="1947"/>
      <c r="E78" s="1948"/>
      <c r="F78" s="1946"/>
      <c r="G78" s="1923"/>
      <c r="H78" s="3436"/>
      <c r="I78" s="3436"/>
      <c r="J78" s="3436"/>
      <c r="K78" s="3436"/>
      <c r="L78" s="3436"/>
      <c r="M78" s="3436"/>
      <c r="N78" s="3436"/>
      <c r="O78" s="3436"/>
      <c r="P78" s="3436"/>
      <c r="Q78" s="3436"/>
      <c r="R78" s="3436"/>
      <c r="S78" s="3436"/>
    </row>
    <row r="79" spans="1:34" ht="15.75" thickBot="1">
      <c r="A79" s="646"/>
      <c r="B79" s="619"/>
      <c r="C79" s="616"/>
      <c r="D79" s="621"/>
      <c r="E79" s="622"/>
      <c r="F79" s="616"/>
      <c r="G79" s="620"/>
      <c r="H79" s="647"/>
      <c r="I79" s="647"/>
      <c r="J79" s="647"/>
      <c r="K79" s="647"/>
      <c r="L79" s="647"/>
      <c r="M79" s="647"/>
      <c r="N79" s="647"/>
      <c r="O79" s="647"/>
      <c r="P79" s="647"/>
      <c r="Q79" s="647"/>
      <c r="R79" s="647"/>
      <c r="S79" s="647"/>
    </row>
    <row r="80" spans="1:34" ht="16.5" thickTop="1" thickBot="1">
      <c r="A80" s="7" t="s">
        <v>2989</v>
      </c>
      <c r="B80" s="8"/>
      <c r="C80" s="12"/>
      <c r="D80" s="169"/>
      <c r="E80" s="177"/>
      <c r="F80" s="12"/>
      <c r="G80" s="228"/>
      <c r="H80" s="20"/>
      <c r="I80" s="20"/>
      <c r="J80" s="20"/>
      <c r="K80" s="20"/>
      <c r="L80" s="20"/>
      <c r="M80" s="20"/>
      <c r="N80" s="20"/>
      <c r="O80" s="20"/>
      <c r="P80" s="20"/>
      <c r="Q80" s="20"/>
      <c r="R80" s="20"/>
      <c r="S80" s="20"/>
    </row>
    <row r="81" spans="1:19" ht="15.75" thickTop="1">
      <c r="A81" s="3614"/>
      <c r="B81" s="3622" t="s">
        <v>2990</v>
      </c>
      <c r="C81" s="3615"/>
      <c r="D81" s="3616"/>
      <c r="E81" s="3617"/>
      <c r="F81" s="3615"/>
      <c r="G81" s="3618"/>
      <c r="H81" s="3623"/>
      <c r="I81" s="3623"/>
      <c r="J81" s="3623"/>
      <c r="K81" s="3623"/>
      <c r="L81" s="3623"/>
      <c r="M81" s="3623"/>
      <c r="N81" s="3623"/>
      <c r="O81" s="3623"/>
      <c r="P81" s="3623"/>
      <c r="Q81" s="3623"/>
      <c r="R81" s="3623"/>
      <c r="S81" s="3623"/>
    </row>
    <row r="82" spans="1:19">
      <c r="A82" s="3497"/>
      <c r="B82" s="1945" t="s">
        <v>2991</v>
      </c>
      <c r="C82" s="1946"/>
      <c r="D82" s="1947"/>
      <c r="E82" s="1948"/>
      <c r="F82" s="1946"/>
      <c r="G82" s="1923"/>
      <c r="H82" s="3437"/>
      <c r="I82" s="3437"/>
      <c r="J82" s="3437"/>
      <c r="K82" s="3437"/>
      <c r="L82" s="3437"/>
      <c r="M82" s="3437"/>
      <c r="N82" s="3437"/>
      <c r="O82" s="3437"/>
      <c r="P82" s="3437"/>
      <c r="Q82" s="3437"/>
      <c r="R82" s="3437"/>
      <c r="S82" s="3437"/>
    </row>
    <row r="83" spans="1:19" ht="15.75" thickBot="1">
      <c r="A83" s="3197"/>
      <c r="B83" s="3224" t="s">
        <v>2992</v>
      </c>
      <c r="C83" s="3225"/>
      <c r="D83" s="3549"/>
      <c r="E83" s="3199"/>
      <c r="F83" s="3225"/>
      <c r="G83" s="3200"/>
      <c r="H83" s="3201"/>
      <c r="I83" s="3201"/>
      <c r="J83" s="3201"/>
      <c r="K83" s="3201"/>
      <c r="L83" s="3201"/>
      <c r="M83" s="3201"/>
      <c r="N83" s="3201"/>
      <c r="O83" s="3201"/>
      <c r="P83" s="3201"/>
      <c r="Q83" s="3201"/>
      <c r="R83" s="3201"/>
      <c r="S83" s="3201"/>
    </row>
    <row r="84" spans="1:19" ht="16.5" thickTop="1" thickBot="1"/>
    <row r="85" spans="1:19" ht="16.5" thickTop="1" thickBot="1">
      <c r="A85" s="59" t="s">
        <v>2993</v>
      </c>
      <c r="B85" s="61"/>
    </row>
    <row r="86" spans="1:19" ht="15.75" thickTop="1">
      <c r="A86" s="60" t="s">
        <v>2936</v>
      </c>
      <c r="B86" s="3202"/>
    </row>
    <row r="87" spans="1:19">
      <c r="A87" s="3510" t="s">
        <v>2939</v>
      </c>
      <c r="B87" s="3202"/>
    </row>
    <row r="88" spans="1:19">
      <c r="A88" s="3204" t="s">
        <v>2941</v>
      </c>
      <c r="B88" s="3205"/>
    </row>
    <row r="89" spans="1:19">
      <c r="A89" s="3204" t="s">
        <v>2943</v>
      </c>
      <c r="B89" s="3206"/>
    </row>
    <row r="90" spans="1:19" ht="15.75" thickBot="1">
      <c r="A90" s="3207" t="s">
        <v>2994</v>
      </c>
      <c r="B90" s="3208">
        <f>$I$55</f>
        <v>0</v>
      </c>
    </row>
    <row r="91" spans="1:19" ht="15.75" thickTop="1"/>
    <row r="92" spans="1:19">
      <c r="A92" s="62"/>
      <c r="B92" s="1" t="s">
        <v>2995</v>
      </c>
    </row>
    <row r="93" spans="1:19">
      <c r="A93" s="63"/>
      <c r="B93" s="1" t="s">
        <v>2996</v>
      </c>
    </row>
  </sheetData>
  <mergeCells count="35">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5:I5"/>
    <mergeCell ref="J5:K5"/>
    <mergeCell ref="L5:M5"/>
    <mergeCell ref="N5:O5"/>
    <mergeCell ref="P5:Q5"/>
  </mergeCells>
  <conditionalFormatting sqref="H11:H18 L11:L18 N11:N18 P11:P18 R11:R18">
    <cfRule type="cellIs" dxfId="7" priority="7" operator="equal">
      <formula>"X"</formula>
    </cfRule>
    <cfRule type="cellIs" dxfId="6" priority="8" operator="equal">
      <formula>"I"</formula>
    </cfRule>
  </conditionalFormatting>
  <conditionalFormatting sqref="H20:H50">
    <cfRule type="cellIs" dxfId="5" priority="1" operator="equal">
      <formula>"X"</formula>
    </cfRule>
    <cfRule type="cellIs" dxfId="4" priority="2" operator="equal">
      <formula>"I"</formula>
    </cfRule>
  </conditionalFormatting>
  <conditionalFormatting sqref="J11:J18">
    <cfRule type="cellIs" dxfId="3" priority="5" operator="equal">
      <formula>"X"</formula>
    </cfRule>
    <cfRule type="cellIs" dxfId="2" priority="6" operator="equal">
      <formula>"I"</formula>
    </cfRule>
  </conditionalFormatting>
  <conditionalFormatting sqref="J20:J50 L20:L50 N20:N50 P20:P50 R20:R50">
    <cfRule type="cellIs" dxfId="1" priority="3" operator="equal">
      <formula>"X"</formula>
    </cfRule>
    <cfRule type="cellIs" dxfId="0" priority="4" operator="equal">
      <formula>"I"</formula>
    </cfRule>
  </conditionalFormatting>
  <hyperlinks>
    <hyperlink ref="B4" location="'Cost Summary'!A1" display="BACK TO SUMMARY SHEET" xr:uid="{900ED958-952D-403A-B8F5-AFDD4A2623F8}"/>
  </hyperlinks>
  <pageMargins left="0.2" right="0.2" top="0.5" bottom="0.5" header="0.3" footer="0.3"/>
  <pageSetup paperSize="3" scale="62" fitToHeight="0" orientation="landscape" horizontalDpi="300" verticalDpi="30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bottomRight" activeCell="I74" sqref="I74:I75"/>
      <selection pane="bottomLeft" activeCell="A10" sqref="A10"/>
      <selection pane="topRight" activeCell="C1" sqref="C1"/>
    </sheetView>
  </sheetViews>
  <sheetFormatPr defaultColWidth="8.85546875" defaultRowHeight="15"/>
  <cols>
    <col min="1" max="1" width="11" customWidth="1"/>
    <col min="2" max="2" width="70.7109375" style="1" customWidth="1"/>
    <col min="3" max="3" width="10.85546875" style="2" bestFit="1" customWidth="1"/>
    <col min="4" max="5" width="7.42578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76"/>
      <c r="G1" s="74" t="s">
        <v>2928</v>
      </c>
    </row>
    <row r="2" spans="1:19" ht="15.75" thickBot="1">
      <c r="E2" s="70"/>
      <c r="F2" s="73"/>
      <c r="G2" s="74" t="s">
        <v>2930</v>
      </c>
      <c r="H2" s="951"/>
      <c r="I2" s="951"/>
      <c r="J2" s="951"/>
      <c r="K2" s="951"/>
      <c r="L2" s="951"/>
      <c r="M2" s="951"/>
      <c r="N2" s="951"/>
      <c r="O2" s="951"/>
      <c r="P2" s="951"/>
      <c r="Q2" s="951"/>
      <c r="R2" s="951"/>
      <c r="S2" s="951"/>
    </row>
    <row r="3" spans="1:19" ht="21" thickBot="1">
      <c r="B3" s="80" t="s">
        <v>2933</v>
      </c>
      <c r="F3" s="75"/>
      <c r="G3" s="74" t="s">
        <v>2932</v>
      </c>
      <c r="H3" s="952" t="s">
        <v>4865</v>
      </c>
      <c r="I3" s="953"/>
      <c r="J3" s="952" t="s">
        <v>4866</v>
      </c>
      <c r="K3" s="953"/>
      <c r="L3" s="952" t="s">
        <v>4867</v>
      </c>
      <c r="M3" s="953"/>
      <c r="N3" s="952" t="s">
        <v>4868</v>
      </c>
      <c r="O3" s="953"/>
      <c r="P3" s="952" t="s">
        <v>4869</v>
      </c>
      <c r="Q3" s="953"/>
      <c r="R3" s="952" t="s">
        <v>4870</v>
      </c>
      <c r="S3" s="953"/>
    </row>
    <row r="4" spans="1:19" ht="15.75" thickTop="1">
      <c r="A4" s="3" t="s">
        <v>2935</v>
      </c>
      <c r="B4" s="4" t="str">
        <f>'Area Calculations'!B4</f>
        <v>Atlantic Fields Club Core / Dock Bar / Spa Pods / Water Features</v>
      </c>
      <c r="C4" s="5"/>
      <c r="D4" s="5"/>
      <c r="E4" s="5"/>
      <c r="F4" s="5"/>
      <c r="G4" s="6" t="s">
        <v>2936</v>
      </c>
      <c r="H4" s="841"/>
      <c r="I4" s="842"/>
      <c r="J4" s="841"/>
      <c r="K4" s="842"/>
      <c r="L4" s="841"/>
      <c r="M4" s="842"/>
      <c r="N4" s="841"/>
      <c r="O4" s="842"/>
      <c r="P4" s="841"/>
      <c r="Q4" s="842"/>
      <c r="R4" s="841"/>
      <c r="S4" s="842"/>
    </row>
    <row r="5" spans="1:19">
      <c r="A5" s="3518" t="s">
        <v>4871</v>
      </c>
      <c r="B5" s="1945" t="s">
        <v>7190</v>
      </c>
      <c r="C5" s="1946"/>
      <c r="D5" s="1946"/>
      <c r="E5" s="1946"/>
      <c r="F5" s="1946"/>
      <c r="G5" s="657" t="s">
        <v>2939</v>
      </c>
      <c r="H5" s="3523"/>
      <c r="I5" s="843"/>
      <c r="J5" s="3523"/>
      <c r="K5" s="843"/>
      <c r="L5" s="3523"/>
      <c r="M5" s="843"/>
      <c r="N5" s="3523"/>
      <c r="O5" s="843"/>
      <c r="P5" s="3523"/>
      <c r="Q5" s="843"/>
      <c r="R5" s="3523"/>
      <c r="S5" s="843"/>
    </row>
    <row r="6" spans="1:19">
      <c r="A6" s="3518" t="s">
        <v>4873</v>
      </c>
      <c r="B6" s="1951" t="s">
        <v>7191</v>
      </c>
      <c r="C6" s="1946"/>
      <c r="D6" s="1946"/>
      <c r="E6" s="1946"/>
      <c r="F6" s="1946"/>
      <c r="G6" s="1952" t="s">
        <v>2941</v>
      </c>
      <c r="H6" s="3526"/>
      <c r="I6" s="844"/>
      <c r="J6" s="3526"/>
      <c r="K6" s="844"/>
      <c r="L6" s="3526"/>
      <c r="M6" s="844"/>
      <c r="N6" s="3526"/>
      <c r="O6" s="844"/>
      <c r="P6" s="3526"/>
      <c r="Q6" s="844"/>
      <c r="R6" s="3526"/>
      <c r="S6" s="844"/>
    </row>
    <row r="7" spans="1:19">
      <c r="A7" s="3518" t="s">
        <v>4875</v>
      </c>
      <c r="B7" s="1955"/>
      <c r="C7" s="1946"/>
      <c r="D7" s="1946"/>
      <c r="E7" s="1946"/>
      <c r="F7" s="1946"/>
      <c r="G7" s="1952" t="s">
        <v>2943</v>
      </c>
      <c r="H7" s="3528"/>
      <c r="I7" s="845"/>
      <c r="J7" s="3528"/>
      <c r="K7" s="845"/>
      <c r="L7" s="3528"/>
      <c r="M7" s="845"/>
      <c r="N7" s="3528"/>
      <c r="O7" s="845"/>
      <c r="P7" s="3528"/>
      <c r="Q7" s="845"/>
      <c r="R7" s="3528"/>
      <c r="S7" s="845"/>
    </row>
    <row r="8" spans="1:19" ht="15.75" thickBot="1">
      <c r="A8" s="685" t="s">
        <v>2944</v>
      </c>
      <c r="B8" s="619"/>
      <c r="C8" s="616"/>
      <c r="D8" s="616"/>
      <c r="E8" s="616"/>
      <c r="F8" s="616"/>
      <c r="G8" s="685" t="s">
        <v>2944</v>
      </c>
      <c r="H8" s="3665">
        <f>I73</f>
        <v>0</v>
      </c>
      <c r="I8" s="3666"/>
      <c r="J8" s="3665">
        <f>K73</f>
        <v>0</v>
      </c>
      <c r="K8" s="3666"/>
      <c r="L8" s="3665">
        <f>M73</f>
        <v>0</v>
      </c>
      <c r="M8" s="3666"/>
      <c r="N8" s="3665">
        <f>O73</f>
        <v>0</v>
      </c>
      <c r="O8" s="3666"/>
      <c r="P8" s="3665">
        <f>Q73</f>
        <v>0</v>
      </c>
      <c r="Q8" s="3666"/>
      <c r="R8" s="3665">
        <f>S73</f>
        <v>0</v>
      </c>
      <c r="S8" s="3666"/>
    </row>
    <row r="9" spans="1:19" ht="31.5" thickTop="1" thickBot="1">
      <c r="A9" s="7" t="s">
        <v>2945</v>
      </c>
      <c r="B9" s="8"/>
      <c r="C9" s="9" t="s">
        <v>2946</v>
      </c>
      <c r="D9" s="9" t="s">
        <v>2947</v>
      </c>
      <c r="E9" s="9" t="s">
        <v>2948</v>
      </c>
      <c r="F9" s="9" t="s">
        <v>2949</v>
      </c>
      <c r="G9" s="10" t="s">
        <v>2950</v>
      </c>
      <c r="H9" s="11" t="s">
        <v>2951</v>
      </c>
      <c r="I9" s="11" t="s">
        <v>2952</v>
      </c>
      <c r="J9" s="11" t="s">
        <v>2951</v>
      </c>
      <c r="K9" s="11" t="s">
        <v>2952</v>
      </c>
      <c r="L9" s="11" t="s">
        <v>2951</v>
      </c>
      <c r="M9" s="11" t="s">
        <v>2952</v>
      </c>
      <c r="N9" s="11" t="s">
        <v>2951</v>
      </c>
      <c r="O9" s="11" t="s">
        <v>2952</v>
      </c>
      <c r="P9" s="11" t="s">
        <v>2951</v>
      </c>
      <c r="Q9" s="11" t="s">
        <v>2952</v>
      </c>
      <c r="R9" s="11" t="s">
        <v>2951</v>
      </c>
      <c r="S9" s="11" t="s">
        <v>2952</v>
      </c>
    </row>
    <row r="10" spans="1:19" ht="15.75" hidden="1" thickTop="1">
      <c r="A10" s="3497"/>
      <c r="B10" s="3667" t="s">
        <v>4876</v>
      </c>
      <c r="C10" s="1946"/>
      <c r="D10" s="1946"/>
      <c r="E10" s="1946"/>
      <c r="F10" s="1946"/>
      <c r="G10" s="660"/>
      <c r="H10" s="3668"/>
      <c r="I10" s="3668"/>
      <c r="J10" s="3668"/>
      <c r="K10" s="3668"/>
      <c r="L10" s="3668"/>
      <c r="M10" s="3668"/>
      <c r="N10" s="3668"/>
      <c r="O10" s="3668"/>
      <c r="P10" s="3668"/>
      <c r="Q10" s="3668"/>
      <c r="R10" s="3668"/>
      <c r="S10" s="3668"/>
    </row>
    <row r="11" spans="1:19" ht="15.75" hidden="1" thickTop="1">
      <c r="A11" s="3497"/>
      <c r="B11" s="1945" t="e">
        <f>'Area Calculations'!#REF!</f>
        <v>#REF!</v>
      </c>
      <c r="C11" s="3669" t="s">
        <v>4877</v>
      </c>
      <c r="D11" s="1946"/>
      <c r="E11" s="1946"/>
      <c r="F11" s="1946"/>
      <c r="G11" s="660"/>
      <c r="H11" s="3668"/>
      <c r="I11" s="3668"/>
      <c r="J11" s="3668"/>
      <c r="K11" s="3668"/>
      <c r="L11" s="3668"/>
      <c r="M11" s="3668"/>
      <c r="N11" s="3668"/>
      <c r="O11" s="3668"/>
      <c r="P11" s="3668"/>
      <c r="Q11" s="3668"/>
      <c r="R11" s="3668"/>
      <c r="S11" s="3668"/>
    </row>
    <row r="12" spans="1:19" ht="15.75" hidden="1" thickTop="1">
      <c r="A12" s="3497"/>
      <c r="B12" s="1945" t="e">
        <f>'Area Calculations'!#REF!</f>
        <v>#REF!</v>
      </c>
      <c r="C12" s="3669" t="s">
        <v>4877</v>
      </c>
      <c r="D12" s="1946"/>
      <c r="E12" s="1946"/>
      <c r="F12" s="1946"/>
      <c r="G12" s="660"/>
      <c r="H12" s="3668"/>
      <c r="I12" s="3668"/>
      <c r="J12" s="3668"/>
      <c r="K12" s="3668"/>
      <c r="L12" s="3668"/>
      <c r="M12" s="3668"/>
      <c r="N12" s="3668"/>
      <c r="O12" s="3668"/>
      <c r="P12" s="3668"/>
      <c r="Q12" s="3668"/>
      <c r="R12" s="3668"/>
      <c r="S12" s="3668"/>
    </row>
    <row r="13" spans="1:19" ht="15.75" hidden="1" thickTop="1">
      <c r="A13" s="3497"/>
      <c r="B13" s="1945" t="e">
        <f>'Area Calculations'!#REF!</f>
        <v>#REF!</v>
      </c>
      <c r="C13" s="3669" t="s">
        <v>4877</v>
      </c>
      <c r="D13" s="1946"/>
      <c r="E13" s="1946"/>
      <c r="F13" s="1946"/>
      <c r="G13" s="660"/>
      <c r="H13" s="3668"/>
      <c r="I13" s="3668"/>
      <c r="J13" s="3668"/>
      <c r="K13" s="3668"/>
      <c r="L13" s="3668"/>
      <c r="M13" s="3668"/>
      <c r="N13" s="3668"/>
      <c r="O13" s="3668"/>
      <c r="P13" s="3668"/>
      <c r="Q13" s="3668"/>
      <c r="R13" s="3668"/>
      <c r="S13" s="3668"/>
    </row>
    <row r="14" spans="1:19" ht="15.75" hidden="1" thickTop="1">
      <c r="A14" s="3497"/>
      <c r="B14" s="1945" t="e">
        <f>'Area Calculations'!#REF!</f>
        <v>#REF!</v>
      </c>
      <c r="C14" s="3669" t="s">
        <v>4877</v>
      </c>
      <c r="D14" s="1946"/>
      <c r="E14" s="1946"/>
      <c r="F14" s="1946"/>
      <c r="G14" s="660"/>
      <c r="H14" s="3668"/>
      <c r="I14" s="3668"/>
      <c r="J14" s="3668"/>
      <c r="K14" s="3668"/>
      <c r="L14" s="3668"/>
      <c r="M14" s="3668"/>
      <c r="N14" s="3668"/>
      <c r="O14" s="3668"/>
      <c r="P14" s="3668"/>
      <c r="Q14" s="3668"/>
      <c r="R14" s="3668"/>
      <c r="S14" s="3668"/>
    </row>
    <row r="15" spans="1:19" ht="15.75" hidden="1" thickTop="1">
      <c r="A15" s="3497"/>
      <c r="B15" s="1945" t="e">
        <f>'Area Calculations'!#REF!</f>
        <v>#REF!</v>
      </c>
      <c r="C15" s="3669" t="s">
        <v>4877</v>
      </c>
      <c r="D15" s="1946"/>
      <c r="E15" s="1946"/>
      <c r="F15" s="1946"/>
      <c r="G15" s="660"/>
      <c r="H15" s="3668"/>
      <c r="I15" s="3668"/>
      <c r="J15" s="3668"/>
      <c r="K15" s="3668"/>
      <c r="L15" s="3668"/>
      <c r="M15" s="3668"/>
      <c r="N15" s="3668"/>
      <c r="O15" s="3668"/>
      <c r="P15" s="3668"/>
      <c r="Q15" s="3668"/>
      <c r="R15" s="3668"/>
      <c r="S15" s="3668"/>
    </row>
    <row r="16" spans="1:19" ht="15.75" hidden="1" thickTop="1">
      <c r="A16" s="3497"/>
      <c r="B16" s="1945" t="e">
        <f>'Area Calculations'!#REF!</f>
        <v>#REF!</v>
      </c>
      <c r="C16" s="3669" t="s">
        <v>4877</v>
      </c>
      <c r="D16" s="1946"/>
      <c r="E16" s="1946"/>
      <c r="F16" s="1946"/>
      <c r="G16" s="660"/>
      <c r="H16" s="3668"/>
      <c r="I16" s="3668"/>
      <c r="J16" s="3668"/>
      <c r="K16" s="3668"/>
      <c r="L16" s="3668"/>
      <c r="M16" s="3668"/>
      <c r="N16" s="3668"/>
      <c r="O16" s="3668"/>
      <c r="P16" s="3668"/>
      <c r="Q16" s="3668"/>
      <c r="R16" s="3668"/>
      <c r="S16" s="3668"/>
    </row>
    <row r="17" spans="1:19" ht="15.75" hidden="1" thickTop="1">
      <c r="A17" s="3497"/>
      <c r="B17" s="1945" t="e">
        <f>'Area Calculations'!#REF!</f>
        <v>#REF!</v>
      </c>
      <c r="C17" s="3669" t="s">
        <v>4877</v>
      </c>
      <c r="D17" s="1946"/>
      <c r="E17" s="1946"/>
      <c r="F17" s="1946"/>
      <c r="G17" s="660"/>
      <c r="H17" s="3668"/>
      <c r="I17" s="3668"/>
      <c r="J17" s="3668"/>
      <c r="K17" s="3668"/>
      <c r="L17" s="3668"/>
      <c r="M17" s="3668"/>
      <c r="N17" s="3668"/>
      <c r="O17" s="3668"/>
      <c r="P17" s="3668"/>
      <c r="Q17" s="3668"/>
      <c r="R17" s="3668"/>
      <c r="S17" s="3668"/>
    </row>
    <row r="18" spans="1:19" ht="15.75" hidden="1" thickTop="1">
      <c r="A18" s="3497"/>
      <c r="B18" s="1945" t="e">
        <f>'Area Calculations'!#REF!</f>
        <v>#REF!</v>
      </c>
      <c r="C18" s="3669" t="s">
        <v>4877</v>
      </c>
      <c r="D18" s="1946"/>
      <c r="E18" s="1946"/>
      <c r="F18" s="1946"/>
      <c r="G18" s="660"/>
      <c r="H18" s="3668"/>
      <c r="I18" s="3668"/>
      <c r="J18" s="3668"/>
      <c r="K18" s="3668"/>
      <c r="L18" s="3668"/>
      <c r="M18" s="3668"/>
      <c r="N18" s="3668"/>
      <c r="O18" s="3668"/>
      <c r="P18" s="3668"/>
      <c r="Q18" s="3668"/>
      <c r="R18" s="3668"/>
      <c r="S18" s="3668"/>
    </row>
    <row r="19" spans="1:19" ht="15.75" hidden="1" thickTop="1">
      <c r="A19" s="3497"/>
      <c r="B19" s="1945" t="e">
        <f>'Area Calculations'!#REF!</f>
        <v>#REF!</v>
      </c>
      <c r="C19" s="3669" t="s">
        <v>4877</v>
      </c>
      <c r="D19" s="1946"/>
      <c r="E19" s="1946"/>
      <c r="F19" s="1946"/>
      <c r="G19" s="660"/>
      <c r="H19" s="3668"/>
      <c r="I19" s="3668"/>
      <c r="J19" s="3668"/>
      <c r="K19" s="3668"/>
      <c r="L19" s="3668"/>
      <c r="M19" s="3668"/>
      <c r="N19" s="3668"/>
      <c r="O19" s="3668"/>
      <c r="P19" s="3668"/>
      <c r="Q19" s="3668"/>
      <c r="R19" s="3668"/>
      <c r="S19" s="3668"/>
    </row>
    <row r="20" spans="1:19" ht="15.75" thickTop="1">
      <c r="A20" s="3497"/>
      <c r="B20" s="1945"/>
      <c r="C20" s="3669"/>
      <c r="D20" s="1946"/>
      <c r="E20" s="1946"/>
      <c r="F20" s="1946"/>
      <c r="G20" s="660"/>
      <c r="H20" s="3668"/>
      <c r="I20" s="3668"/>
      <c r="J20" s="3668"/>
      <c r="K20" s="3668"/>
      <c r="L20" s="3668"/>
      <c r="M20" s="3668"/>
      <c r="N20" s="3668"/>
      <c r="O20" s="3668"/>
      <c r="P20" s="3668"/>
      <c r="Q20" s="3668"/>
      <c r="R20" s="3668"/>
      <c r="S20" s="3668"/>
    </row>
    <row r="21" spans="1:19" ht="15.75" thickBot="1">
      <c r="A21" s="3629"/>
      <c r="B21" s="3670" t="s">
        <v>7192</v>
      </c>
      <c r="C21" s="3669"/>
      <c r="D21" s="1946"/>
      <c r="E21" s="1946"/>
      <c r="F21" s="1946"/>
      <c r="G21" s="660"/>
      <c r="H21" s="3671"/>
      <c r="I21" s="3627"/>
      <c r="J21" s="3628"/>
      <c r="K21" s="3628"/>
      <c r="L21" s="3671"/>
      <c r="M21" s="3628"/>
      <c r="N21" s="3671"/>
      <c r="O21" s="3628"/>
      <c r="P21" s="3671"/>
      <c r="Q21" s="3628"/>
      <c r="R21" s="3671"/>
      <c r="S21" s="3628"/>
    </row>
    <row r="22" spans="1:19" ht="16.5" hidden="1" thickBot="1">
      <c r="A22" s="3629"/>
      <c r="B22" s="3672" t="s">
        <v>7193</v>
      </c>
      <c r="C22" s="3669"/>
      <c r="D22" s="1946"/>
      <c r="E22" s="1946"/>
      <c r="F22" s="1946"/>
      <c r="G22" s="660"/>
      <c r="H22" s="3671"/>
      <c r="I22" s="3627"/>
      <c r="J22" s="3628"/>
      <c r="K22" s="3628"/>
      <c r="L22" s="3671"/>
      <c r="M22" s="3628"/>
      <c r="N22" s="3671"/>
      <c r="O22" s="3628"/>
      <c r="P22" s="3671"/>
      <c r="Q22" s="3628"/>
      <c r="R22" s="3671"/>
      <c r="S22" s="3628"/>
    </row>
    <row r="23" spans="1:19" ht="16.5" thickBot="1">
      <c r="A23" s="3626"/>
      <c r="B23" s="3673" t="s">
        <v>2953</v>
      </c>
      <c r="C23" s="724"/>
      <c r="D23" s="1946"/>
      <c r="E23" s="1946"/>
      <c r="F23" s="1946"/>
      <c r="G23" s="660"/>
      <c r="H23" s="3671"/>
      <c r="I23" s="3627"/>
      <c r="J23" s="3671"/>
      <c r="K23" s="64"/>
      <c r="L23" s="3671"/>
      <c r="M23" s="3628"/>
      <c r="N23" s="3671"/>
      <c r="O23" s="3628"/>
      <c r="P23" s="3671"/>
      <c r="Q23" s="3628"/>
      <c r="R23" s="3671"/>
      <c r="S23" s="3628"/>
    </row>
    <row r="24" spans="1:19">
      <c r="A24" s="3629"/>
      <c r="B24" s="3674" t="s">
        <v>2954</v>
      </c>
      <c r="C24" s="3669"/>
      <c r="D24" s="1946"/>
      <c r="E24" s="1946"/>
      <c r="F24" s="1946"/>
      <c r="G24" s="660"/>
      <c r="H24" s="3671"/>
      <c r="I24" s="3627"/>
      <c r="J24" s="3671"/>
      <c r="K24" s="3628"/>
      <c r="L24" s="3671"/>
      <c r="M24" s="3628"/>
      <c r="N24" s="3671"/>
      <c r="O24" s="3628"/>
      <c r="P24" s="3671"/>
      <c r="Q24" s="3628"/>
      <c r="R24" s="3671"/>
      <c r="S24" s="3628"/>
    </row>
    <row r="25" spans="1:19">
      <c r="A25" s="3538"/>
      <c r="B25" s="3675" t="s">
        <v>2955</v>
      </c>
      <c r="C25" s="3669"/>
      <c r="D25" s="1946"/>
      <c r="E25" s="1946"/>
      <c r="F25" s="1946"/>
      <c r="G25" s="660"/>
      <c r="H25" s="3671"/>
      <c r="I25" s="3627"/>
      <c r="J25" s="3671"/>
      <c r="K25" s="3628"/>
      <c r="L25" s="3671"/>
      <c r="M25" s="3628"/>
      <c r="N25" s="3671"/>
      <c r="O25" s="3628"/>
      <c r="P25" s="3671"/>
      <c r="Q25" s="3628"/>
      <c r="R25" s="3671"/>
      <c r="S25" s="3628"/>
    </row>
    <row r="26" spans="1:19">
      <c r="A26" s="3538"/>
      <c r="B26" s="3676" t="s">
        <v>2956</v>
      </c>
      <c r="C26" s="3669"/>
      <c r="D26" s="1946"/>
      <c r="E26" s="1946"/>
      <c r="F26" s="1946"/>
      <c r="G26" s="660"/>
      <c r="H26" s="3671"/>
      <c r="I26" s="3627"/>
      <c r="J26" s="3671"/>
      <c r="K26" s="3628"/>
      <c r="L26" s="3671"/>
      <c r="M26" s="3628"/>
      <c r="N26" s="3671"/>
      <c r="O26" s="3628"/>
      <c r="P26" s="3671"/>
      <c r="Q26" s="3628"/>
      <c r="R26" s="3671"/>
      <c r="S26" s="3628"/>
    </row>
    <row r="27" spans="1:19">
      <c r="A27" s="3538"/>
      <c r="B27" s="3676" t="s">
        <v>2957</v>
      </c>
      <c r="C27" s="3669"/>
      <c r="D27" s="1946"/>
      <c r="E27" s="1946"/>
      <c r="F27" s="1946"/>
      <c r="G27" s="660"/>
      <c r="H27" s="3671"/>
      <c r="I27" s="3627"/>
      <c r="J27" s="3671"/>
      <c r="K27" s="3627"/>
      <c r="L27" s="3671"/>
      <c r="M27" s="3627"/>
      <c r="N27" s="3671"/>
      <c r="O27" s="3627"/>
      <c r="P27" s="3671"/>
      <c r="Q27" s="3627"/>
      <c r="R27" s="3671"/>
      <c r="S27" s="3627"/>
    </row>
    <row r="28" spans="1:19">
      <c r="A28" s="3538"/>
      <c r="B28" s="3676" t="s">
        <v>2958</v>
      </c>
      <c r="C28" s="3669"/>
      <c r="D28" s="1946"/>
      <c r="E28" s="1946"/>
      <c r="F28" s="1946"/>
      <c r="G28" s="660"/>
      <c r="H28" s="3671"/>
      <c r="I28" s="3627"/>
      <c r="J28" s="3671"/>
      <c r="K28" s="3628"/>
      <c r="L28" s="3671"/>
      <c r="M28" s="3628"/>
      <c r="N28" s="3671"/>
      <c r="O28" s="3628"/>
      <c r="P28" s="3671"/>
      <c r="Q28" s="3628"/>
      <c r="R28" s="3671"/>
      <c r="S28" s="3628"/>
    </row>
    <row r="29" spans="1:19">
      <c r="A29" s="3538"/>
      <c r="B29" s="3676" t="s">
        <v>2959</v>
      </c>
      <c r="C29" s="3669"/>
      <c r="D29" s="1946"/>
      <c r="E29" s="1946"/>
      <c r="F29" s="1973"/>
      <c r="G29" s="660"/>
      <c r="H29" s="3671"/>
      <c r="I29" s="3627"/>
      <c r="J29" s="3671"/>
      <c r="K29" s="3628"/>
      <c r="L29" s="3671"/>
      <c r="M29" s="3628"/>
      <c r="N29" s="3671"/>
      <c r="O29" s="3628"/>
      <c r="P29" s="3671"/>
      <c r="Q29" s="3628"/>
      <c r="R29" s="3671"/>
      <c r="S29" s="3628"/>
    </row>
    <row r="30" spans="1:19">
      <c r="A30" s="3538"/>
      <c r="B30" s="3677" t="s">
        <v>2960</v>
      </c>
      <c r="C30" s="3669"/>
      <c r="D30" s="1946"/>
      <c r="E30" s="1946"/>
      <c r="F30" s="1973"/>
      <c r="G30" s="660"/>
      <c r="H30" s="3671"/>
      <c r="I30" s="3627"/>
      <c r="J30" s="3671"/>
      <c r="K30" s="3628"/>
      <c r="L30" s="3671"/>
      <c r="M30" s="3628"/>
      <c r="N30" s="3671"/>
      <c r="O30" s="3628"/>
      <c r="P30" s="3671"/>
      <c r="Q30" s="3628"/>
      <c r="R30" s="3671"/>
      <c r="S30" s="3628"/>
    </row>
    <row r="31" spans="1:19">
      <c r="A31" s="3538"/>
      <c r="B31" s="3678" t="s">
        <v>2961</v>
      </c>
      <c r="C31" s="3679"/>
      <c r="D31" s="1968"/>
      <c r="E31" s="1968"/>
      <c r="F31" s="1968"/>
      <c r="G31" s="3680"/>
      <c r="H31" s="3681"/>
      <c r="I31" s="3681"/>
      <c r="J31" s="3681"/>
      <c r="K31" s="3681"/>
      <c r="L31" s="3682"/>
      <c r="M31" s="3683"/>
      <c r="N31" s="3681"/>
      <c r="O31" s="3681"/>
      <c r="P31" s="3681"/>
      <c r="Q31" s="3681"/>
      <c r="R31" s="3684"/>
      <c r="S31" s="3683"/>
    </row>
    <row r="32" spans="1:19">
      <c r="A32" s="3538"/>
      <c r="B32" s="3685"/>
      <c r="C32" s="3669"/>
      <c r="D32" s="1946"/>
      <c r="E32" s="1946"/>
      <c r="F32" s="1973"/>
      <c r="G32" s="660"/>
      <c r="H32" s="3671"/>
      <c r="I32" s="3627"/>
      <c r="J32" s="3671"/>
      <c r="K32" s="3628"/>
      <c r="L32" s="3671"/>
      <c r="M32" s="3628"/>
      <c r="N32" s="3671"/>
      <c r="O32" s="3628"/>
      <c r="P32" s="3671"/>
      <c r="Q32" s="3628"/>
      <c r="R32" s="3671"/>
      <c r="S32" s="3628"/>
    </row>
    <row r="33" spans="1:19" ht="15.75">
      <c r="A33" s="3538"/>
      <c r="B33" s="3686" t="s">
        <v>7194</v>
      </c>
      <c r="C33" s="3669"/>
      <c r="D33" s="3687">
        <v>1</v>
      </c>
      <c r="E33" s="1946" t="s">
        <v>6362</v>
      </c>
      <c r="F33" s="1973">
        <v>49418.3</v>
      </c>
      <c r="G33" s="660"/>
      <c r="H33" s="3671"/>
      <c r="I33" s="3627"/>
      <c r="J33" s="3671"/>
      <c r="K33" s="3628"/>
      <c r="L33" s="3671"/>
      <c r="M33" s="3628"/>
      <c r="N33" s="3671"/>
      <c r="O33" s="3628"/>
      <c r="P33" s="3671"/>
      <c r="Q33" s="3628"/>
      <c r="R33" s="3671"/>
      <c r="S33" s="3628"/>
    </row>
    <row r="34" spans="1:19">
      <c r="A34" s="3538"/>
      <c r="B34" s="3688" t="s">
        <v>7195</v>
      </c>
      <c r="C34" s="3669"/>
      <c r="D34" s="1946"/>
      <c r="E34" s="1946"/>
      <c r="F34" s="1973"/>
      <c r="G34" s="660"/>
      <c r="H34" s="3671"/>
      <c r="I34" s="3627"/>
      <c r="J34" s="3671"/>
      <c r="K34" s="3628"/>
      <c r="L34" s="3671"/>
      <c r="M34" s="3628"/>
      <c r="N34" s="3671"/>
      <c r="O34" s="3628"/>
      <c r="P34" s="3671"/>
      <c r="Q34" s="3628"/>
      <c r="R34" s="3671"/>
      <c r="S34" s="3628"/>
    </row>
    <row r="35" spans="1:19">
      <c r="A35" s="3538"/>
      <c r="B35" s="3688" t="s">
        <v>7196</v>
      </c>
      <c r="C35" s="1904"/>
      <c r="D35" s="1904"/>
      <c r="E35" s="1946"/>
      <c r="F35" s="1973"/>
      <c r="G35" s="660"/>
      <c r="H35" s="3671"/>
      <c r="I35" s="3627"/>
      <c r="J35" s="3671"/>
      <c r="K35" s="3628"/>
      <c r="L35" s="3671"/>
      <c r="M35" s="3627"/>
      <c r="N35" s="3671"/>
      <c r="O35" s="3627"/>
      <c r="P35" s="3671"/>
      <c r="Q35" s="3628"/>
      <c r="R35" s="3671"/>
      <c r="S35" s="3628"/>
    </row>
    <row r="36" spans="1:19">
      <c r="A36" s="3538"/>
      <c r="B36" s="3688" t="s">
        <v>7197</v>
      </c>
      <c r="C36" s="1904"/>
      <c r="D36" s="1904"/>
      <c r="E36" s="1946"/>
      <c r="F36" s="1973"/>
      <c r="G36" s="660"/>
      <c r="H36" s="3671"/>
      <c r="I36" s="3627"/>
      <c r="J36" s="3671"/>
      <c r="K36" s="3628"/>
      <c r="L36" s="3671"/>
      <c r="M36" s="3628"/>
      <c r="N36" s="3671"/>
      <c r="O36" s="3628"/>
      <c r="P36" s="3671"/>
      <c r="Q36" s="3628"/>
      <c r="R36" s="3671"/>
      <c r="S36" s="3628"/>
    </row>
    <row r="37" spans="1:19">
      <c r="A37" s="3538"/>
      <c r="B37" s="3689" t="s">
        <v>7198</v>
      </c>
      <c r="C37" s="1904"/>
      <c r="D37" s="1904"/>
      <c r="E37" s="1946"/>
      <c r="F37" s="1973"/>
      <c r="G37" s="660"/>
      <c r="H37" s="3671"/>
      <c r="I37" s="3627"/>
      <c r="J37" s="3671"/>
      <c r="K37" s="3628"/>
      <c r="L37" s="3671"/>
      <c r="M37" s="3628"/>
      <c r="N37" s="3671"/>
      <c r="O37" s="3628"/>
      <c r="P37" s="3671"/>
      <c r="Q37" s="3628"/>
      <c r="R37" s="3671"/>
      <c r="S37" s="3628"/>
    </row>
    <row r="38" spans="1:19">
      <c r="A38" s="3538"/>
      <c r="B38" s="3688" t="s">
        <v>7199</v>
      </c>
      <c r="C38" s="1904"/>
      <c r="D38" s="1904"/>
      <c r="E38" s="1946"/>
      <c r="F38" s="1973"/>
      <c r="G38" s="660"/>
      <c r="H38" s="3671"/>
      <c r="I38" s="3627"/>
      <c r="J38" s="3671"/>
      <c r="K38" s="3628"/>
      <c r="L38" s="3671"/>
      <c r="M38" s="3628"/>
      <c r="N38" s="3671"/>
      <c r="O38" s="3628"/>
      <c r="P38" s="3671"/>
      <c r="Q38" s="3628"/>
      <c r="R38" s="3671"/>
      <c r="S38" s="3628"/>
    </row>
    <row r="39" spans="1:19">
      <c r="A39" s="3538"/>
      <c r="B39" s="3689" t="s">
        <v>7200</v>
      </c>
      <c r="C39" s="1904"/>
      <c r="D39" s="1904"/>
      <c r="E39" s="1946"/>
      <c r="F39" s="1973"/>
      <c r="G39" s="660"/>
      <c r="H39" s="3671"/>
      <c r="I39" s="3627"/>
      <c r="J39" s="3671"/>
      <c r="K39" s="3628"/>
      <c r="L39" s="3671"/>
      <c r="M39" s="3628"/>
      <c r="N39" s="3671"/>
      <c r="O39" s="3628"/>
      <c r="P39" s="3671"/>
      <c r="Q39" s="3628"/>
      <c r="R39" s="3671"/>
      <c r="S39" s="3628"/>
    </row>
    <row r="40" spans="1:19">
      <c r="A40" s="3538"/>
      <c r="B40" s="3690"/>
      <c r="C40" s="1904"/>
      <c r="D40" s="1904"/>
      <c r="E40" s="1946"/>
      <c r="F40" s="1973"/>
      <c r="G40" s="660"/>
      <c r="H40" s="3671"/>
      <c r="I40" s="3627"/>
      <c r="J40" s="3671"/>
      <c r="K40" s="3628"/>
      <c r="L40" s="3671"/>
      <c r="M40" s="3628"/>
      <c r="N40" s="3671"/>
      <c r="O40" s="3628"/>
      <c r="P40" s="3671"/>
      <c r="Q40" s="3628"/>
      <c r="R40" s="3671"/>
      <c r="S40" s="3628"/>
    </row>
    <row r="41" spans="1:19" ht="15.75">
      <c r="A41" s="3538"/>
      <c r="B41" s="3686" t="s">
        <v>7194</v>
      </c>
      <c r="C41" s="1904"/>
      <c r="D41" s="1904">
        <v>1</v>
      </c>
      <c r="E41" s="1946" t="s">
        <v>6362</v>
      </c>
      <c r="F41" s="1973">
        <v>50298.3</v>
      </c>
      <c r="G41" s="660"/>
      <c r="H41" s="3671"/>
      <c r="I41" s="3627"/>
      <c r="J41" s="3671"/>
      <c r="K41" s="3628"/>
      <c r="L41" s="3671"/>
      <c r="M41" s="3628"/>
      <c r="N41" s="3671"/>
      <c r="O41" s="3628"/>
      <c r="P41" s="3671"/>
      <c r="Q41" s="3628"/>
      <c r="R41" s="3671"/>
      <c r="S41" s="3628"/>
    </row>
    <row r="42" spans="1:19">
      <c r="A42" s="3538"/>
      <c r="B42" s="3688" t="s">
        <v>7195</v>
      </c>
      <c r="C42" s="1904"/>
      <c r="D42" s="1904"/>
      <c r="E42" s="1946"/>
      <c r="F42" s="1973"/>
      <c r="G42" s="660"/>
      <c r="H42" s="3671"/>
      <c r="I42" s="3627"/>
      <c r="J42" s="3671"/>
      <c r="K42" s="3628"/>
      <c r="L42" s="3671"/>
      <c r="M42" s="3628"/>
      <c r="N42" s="3671"/>
      <c r="O42" s="3628"/>
      <c r="P42" s="3671"/>
      <c r="Q42" s="3628"/>
      <c r="R42" s="3671"/>
      <c r="S42" s="3628"/>
    </row>
    <row r="43" spans="1:19">
      <c r="A43" s="3538"/>
      <c r="B43" s="3688" t="s">
        <v>7196</v>
      </c>
      <c r="C43" s="1904"/>
      <c r="D43" s="1904"/>
      <c r="E43" s="1946"/>
      <c r="F43" s="1973"/>
      <c r="G43" s="660"/>
      <c r="H43" s="3671"/>
      <c r="I43" s="3627"/>
      <c r="J43" s="3671"/>
      <c r="K43" s="3628"/>
      <c r="L43" s="3671"/>
      <c r="M43" s="3628"/>
      <c r="N43" s="3671"/>
      <c r="O43" s="3628"/>
      <c r="P43" s="3671"/>
      <c r="Q43" s="3628"/>
      <c r="R43" s="3671"/>
      <c r="S43" s="3628"/>
    </row>
    <row r="44" spans="1:19">
      <c r="A44" s="3538"/>
      <c r="B44" s="3688" t="s">
        <v>7201</v>
      </c>
      <c r="C44" s="1904"/>
      <c r="D44" s="1904"/>
      <c r="E44" s="1946"/>
      <c r="F44" s="1973"/>
      <c r="G44" s="660"/>
      <c r="H44" s="3671"/>
      <c r="I44" s="3627"/>
      <c r="J44" s="3671"/>
      <c r="K44" s="3628"/>
      <c r="L44" s="3671"/>
      <c r="M44" s="3628"/>
      <c r="N44" s="3671"/>
      <c r="O44" s="3628"/>
      <c r="P44" s="3671"/>
      <c r="Q44" s="3628"/>
      <c r="R44" s="3671"/>
      <c r="S44" s="3628"/>
    </row>
    <row r="45" spans="1:19">
      <c r="A45" s="3538"/>
      <c r="B45" s="3689" t="s">
        <v>7198</v>
      </c>
      <c r="C45" s="1904"/>
      <c r="D45" s="1904"/>
      <c r="E45" s="1946"/>
      <c r="F45" s="1973"/>
      <c r="G45" s="660"/>
      <c r="H45" s="3671"/>
      <c r="I45" s="3627"/>
      <c r="J45" s="3671"/>
      <c r="K45" s="3628"/>
      <c r="L45" s="3671"/>
      <c r="M45" s="3628"/>
      <c r="N45" s="3671"/>
      <c r="O45" s="3628"/>
      <c r="P45" s="3671"/>
      <c r="Q45" s="3628"/>
      <c r="R45" s="3671"/>
      <c r="S45" s="3628"/>
    </row>
    <row r="46" spans="1:19">
      <c r="A46" s="3538"/>
      <c r="B46" s="3688" t="s">
        <v>7199</v>
      </c>
      <c r="C46" s="1904"/>
      <c r="D46" s="1904"/>
      <c r="E46" s="1946"/>
      <c r="F46" s="1973"/>
      <c r="G46" s="660"/>
      <c r="H46" s="3671"/>
      <c r="I46" s="3627"/>
      <c r="J46" s="3671"/>
      <c r="K46" s="3628"/>
      <c r="L46" s="3671"/>
      <c r="M46" s="3628"/>
      <c r="N46" s="3671"/>
      <c r="O46" s="3628"/>
      <c r="P46" s="3671"/>
      <c r="Q46" s="3628"/>
      <c r="R46" s="3671"/>
      <c r="S46" s="3628"/>
    </row>
    <row r="47" spans="1:19">
      <c r="A47" s="3538"/>
      <c r="B47" s="3689" t="s">
        <v>7202</v>
      </c>
      <c r="C47" s="1904"/>
      <c r="D47" s="1904"/>
      <c r="E47" s="1946"/>
      <c r="F47" s="1946"/>
      <c r="G47" s="660"/>
      <c r="H47" s="3671"/>
      <c r="I47" s="3627"/>
      <c r="J47" s="3671"/>
      <c r="K47" s="3628"/>
      <c r="L47" s="3671"/>
      <c r="M47" s="3628"/>
      <c r="N47" s="3671"/>
      <c r="O47" s="3628"/>
      <c r="P47" s="3671"/>
      <c r="Q47" s="3628"/>
      <c r="R47" s="3671"/>
      <c r="S47" s="3628"/>
    </row>
    <row r="48" spans="1:19">
      <c r="A48" s="3538"/>
      <c r="B48" s="3691"/>
      <c r="C48" s="1904"/>
      <c r="D48" s="1904"/>
      <c r="E48" s="1946"/>
      <c r="F48" s="1946"/>
      <c r="G48" s="660"/>
      <c r="H48" s="3671"/>
      <c r="I48" s="3627"/>
      <c r="J48" s="3671"/>
      <c r="K48" s="3628"/>
      <c r="L48" s="3671"/>
      <c r="M48" s="3628"/>
      <c r="N48" s="3671"/>
      <c r="O48" s="3628"/>
      <c r="P48" s="3671"/>
      <c r="Q48" s="3628"/>
      <c r="R48" s="3671"/>
      <c r="S48" s="3628"/>
    </row>
    <row r="49" spans="1:19" ht="15.75">
      <c r="A49" s="3538"/>
      <c r="B49" s="3686" t="s">
        <v>7194</v>
      </c>
      <c r="C49" s="3669"/>
      <c r="D49" s="1904">
        <v>1</v>
      </c>
      <c r="E49" s="1946" t="s">
        <v>6362</v>
      </c>
      <c r="F49" s="1973">
        <v>52852</v>
      </c>
      <c r="G49" s="660"/>
      <c r="H49" s="3671"/>
      <c r="I49" s="3627"/>
      <c r="J49" s="3671"/>
      <c r="K49" s="3628"/>
      <c r="L49" s="3671"/>
      <c r="M49" s="3628"/>
      <c r="N49" s="3671"/>
      <c r="O49" s="3628"/>
      <c r="P49" s="3671"/>
      <c r="Q49" s="3627"/>
      <c r="R49" s="3671"/>
      <c r="S49" s="3627"/>
    </row>
    <row r="50" spans="1:19">
      <c r="A50" s="3538"/>
      <c r="B50" s="3688" t="s">
        <v>7203</v>
      </c>
      <c r="C50" s="3669"/>
      <c r="D50" s="1946"/>
      <c r="E50" s="1946"/>
      <c r="F50" s="1946"/>
      <c r="G50" s="660"/>
      <c r="H50" s="3671"/>
      <c r="I50" s="3627"/>
      <c r="J50" s="3671"/>
      <c r="K50" s="3628"/>
      <c r="L50" s="3671"/>
      <c r="M50" s="3628"/>
      <c r="N50" s="3671"/>
      <c r="O50" s="3628"/>
      <c r="P50" s="3671"/>
      <c r="Q50" s="3628"/>
      <c r="R50" s="3671"/>
      <c r="S50" s="3628"/>
    </row>
    <row r="51" spans="1:19">
      <c r="A51" s="3538"/>
      <c r="B51" s="3688" t="s">
        <v>7196</v>
      </c>
      <c r="C51" s="3669"/>
      <c r="D51" s="1946"/>
      <c r="E51" s="1946"/>
      <c r="F51" s="1973"/>
      <c r="G51" s="660"/>
      <c r="H51" s="3671"/>
      <c r="I51" s="3627"/>
      <c r="J51" s="3671"/>
      <c r="K51" s="3628"/>
      <c r="L51" s="3671"/>
      <c r="M51" s="3628"/>
      <c r="N51" s="3671"/>
      <c r="O51" s="3628"/>
      <c r="P51" s="3671"/>
      <c r="Q51" s="3628"/>
      <c r="R51" s="3671"/>
      <c r="S51" s="3628"/>
    </row>
    <row r="52" spans="1:19">
      <c r="A52" s="3538"/>
      <c r="B52" s="3688" t="s">
        <v>7204</v>
      </c>
      <c r="C52" s="3669"/>
      <c r="D52" s="1946"/>
      <c r="E52" s="1946"/>
      <c r="F52" s="1973"/>
      <c r="G52" s="660"/>
      <c r="H52" s="3671"/>
      <c r="I52" s="3627"/>
      <c r="J52" s="3671"/>
      <c r="K52" s="3628"/>
      <c r="L52" s="3671"/>
      <c r="M52" s="3628"/>
      <c r="N52" s="3671"/>
      <c r="O52" s="3628"/>
      <c r="P52" s="3671"/>
      <c r="Q52" s="3628"/>
      <c r="R52" s="3671"/>
      <c r="S52" s="3628"/>
    </row>
    <row r="53" spans="1:19">
      <c r="A53" s="3538"/>
      <c r="B53" s="3689" t="s">
        <v>7205</v>
      </c>
      <c r="C53" s="3669"/>
      <c r="D53" s="1946"/>
      <c r="E53" s="1946"/>
      <c r="F53" s="1973"/>
      <c r="G53" s="660"/>
      <c r="H53" s="3671"/>
      <c r="I53" s="3627"/>
      <c r="J53" s="3671"/>
      <c r="K53" s="3628"/>
      <c r="L53" s="3671"/>
      <c r="M53" s="3628"/>
      <c r="N53" s="3671"/>
      <c r="O53" s="3628"/>
      <c r="P53" s="3671"/>
      <c r="Q53" s="3628"/>
      <c r="R53" s="3671"/>
      <c r="S53" s="3628"/>
    </row>
    <row r="54" spans="1:19">
      <c r="A54" s="3538"/>
      <c r="B54" s="3688" t="s">
        <v>7206</v>
      </c>
      <c r="C54" s="3669"/>
      <c r="D54" s="1946"/>
      <c r="E54" s="1946"/>
      <c r="F54" s="1973"/>
      <c r="G54" s="660"/>
      <c r="H54" s="3671"/>
      <c r="I54" s="3627"/>
      <c r="J54" s="3671"/>
      <c r="K54" s="3628"/>
      <c r="L54" s="3671"/>
      <c r="M54" s="3628"/>
      <c r="N54" s="3671"/>
      <c r="O54" s="3628"/>
      <c r="P54" s="3671"/>
      <c r="Q54" s="3628"/>
      <c r="R54" s="3671"/>
      <c r="S54" s="3628"/>
    </row>
    <row r="55" spans="1:19">
      <c r="A55" s="3538"/>
      <c r="B55" s="3689" t="s">
        <v>7207</v>
      </c>
      <c r="C55" s="3669"/>
      <c r="D55" s="1946"/>
      <c r="E55" s="1946"/>
      <c r="F55" s="1973"/>
      <c r="G55" s="660"/>
      <c r="H55" s="3671"/>
      <c r="I55" s="3627"/>
      <c r="J55" s="3671"/>
      <c r="K55" s="3628"/>
      <c r="L55" s="3671"/>
      <c r="M55" s="3628"/>
      <c r="N55" s="3671"/>
      <c r="O55" s="3628"/>
      <c r="P55" s="3671"/>
      <c r="Q55" s="3628"/>
      <c r="R55" s="3671"/>
      <c r="S55" s="3628"/>
    </row>
    <row r="56" spans="1:19">
      <c r="A56" s="3538"/>
      <c r="B56" s="3691"/>
      <c r="C56" s="3669"/>
      <c r="D56" s="1946"/>
      <c r="E56" s="1946"/>
      <c r="F56" s="1973"/>
      <c r="G56" s="660"/>
      <c r="H56" s="3671"/>
      <c r="I56" s="3627"/>
      <c r="J56" s="3671"/>
      <c r="K56" s="3628"/>
      <c r="L56" s="3671"/>
      <c r="M56" s="3628"/>
      <c r="N56" s="3671"/>
      <c r="O56" s="3628"/>
      <c r="P56" s="3671"/>
      <c r="Q56" s="3628"/>
      <c r="R56" s="3671"/>
      <c r="S56" s="3628"/>
    </row>
    <row r="57" spans="1:19">
      <c r="A57" s="3538"/>
      <c r="B57" s="3691"/>
      <c r="C57" s="3669"/>
      <c r="D57" s="1946"/>
      <c r="E57" s="1946"/>
      <c r="F57" s="1973"/>
      <c r="G57" s="660"/>
      <c r="H57" s="3671"/>
      <c r="I57" s="3627"/>
      <c r="J57" s="3671"/>
      <c r="K57" s="3628"/>
      <c r="L57" s="3671"/>
      <c r="M57" s="3628"/>
      <c r="N57" s="3671"/>
      <c r="O57" s="3628"/>
      <c r="P57" s="3671"/>
      <c r="Q57" s="3628"/>
      <c r="R57" s="3671"/>
      <c r="S57" s="3628"/>
    </row>
    <row r="58" spans="1:19" ht="15.75">
      <c r="A58" s="3538"/>
      <c r="B58" s="3686" t="s">
        <v>7208</v>
      </c>
      <c r="C58" s="3669"/>
      <c r="D58" s="1946">
        <v>1</v>
      </c>
      <c r="E58" s="1946" t="s">
        <v>6362</v>
      </c>
      <c r="F58" s="1973">
        <v>74300.800000000003</v>
      </c>
      <c r="G58" s="660"/>
      <c r="H58" s="3671"/>
      <c r="I58" s="3627"/>
      <c r="J58" s="3671"/>
      <c r="K58" s="3628"/>
      <c r="L58" s="3671"/>
      <c r="M58" s="3628"/>
      <c r="N58" s="3671"/>
      <c r="O58" s="3628"/>
      <c r="P58" s="3671"/>
      <c r="Q58" s="3628"/>
      <c r="R58" s="3671"/>
      <c r="S58" s="3628"/>
    </row>
    <row r="59" spans="1:19">
      <c r="A59" s="3538"/>
      <c r="B59" s="3691" t="s">
        <v>7209</v>
      </c>
      <c r="C59" s="3669"/>
      <c r="D59" s="1946"/>
      <c r="E59" s="1946"/>
      <c r="F59" s="1973"/>
      <c r="G59" s="660"/>
      <c r="H59" s="3671"/>
      <c r="I59" s="3627"/>
      <c r="J59" s="3671"/>
      <c r="K59" s="3628"/>
      <c r="L59" s="3671"/>
      <c r="M59" s="3628"/>
      <c r="N59" s="3671"/>
      <c r="O59" s="3628"/>
      <c r="P59" s="3671"/>
      <c r="Q59" s="3628"/>
      <c r="R59" s="3671"/>
      <c r="S59" s="3628"/>
    </row>
    <row r="60" spans="1:19">
      <c r="A60" s="3538"/>
      <c r="B60" s="3691" t="s">
        <v>7210</v>
      </c>
      <c r="C60" s="3669"/>
      <c r="D60" s="1946"/>
      <c r="E60" s="1946"/>
      <c r="F60" s="1973"/>
      <c r="G60" s="660"/>
      <c r="H60" s="3671"/>
      <c r="I60" s="3627"/>
      <c r="J60" s="3671"/>
      <c r="K60" s="3628"/>
      <c r="L60" s="3671"/>
      <c r="M60" s="3628"/>
      <c r="N60" s="3671"/>
      <c r="O60" s="3628"/>
      <c r="P60" s="3671"/>
      <c r="Q60" s="3628"/>
      <c r="R60" s="3671"/>
      <c r="S60" s="3628"/>
    </row>
    <row r="61" spans="1:19">
      <c r="A61" s="3538"/>
      <c r="B61" s="3691" t="s">
        <v>7211</v>
      </c>
      <c r="C61" s="3669"/>
      <c r="D61" s="1946"/>
      <c r="E61" s="1946"/>
      <c r="F61" s="1973"/>
      <c r="G61" s="660"/>
      <c r="H61" s="3671"/>
      <c r="I61" s="3627"/>
      <c r="J61" s="3671"/>
      <c r="K61" s="3628"/>
      <c r="L61" s="3671"/>
      <c r="M61" s="3628"/>
      <c r="N61" s="3671"/>
      <c r="O61" s="3628"/>
      <c r="P61" s="3671"/>
      <c r="Q61" s="3628"/>
      <c r="R61" s="3671"/>
      <c r="S61" s="3628"/>
    </row>
    <row r="62" spans="1:19">
      <c r="A62" s="3538"/>
      <c r="B62" s="3691"/>
      <c r="C62" s="3669"/>
      <c r="D62" s="1946"/>
      <c r="E62" s="1946"/>
      <c r="F62" s="1973"/>
      <c r="G62" s="660"/>
      <c r="H62" s="3671"/>
      <c r="I62" s="3627"/>
      <c r="J62" s="3671"/>
      <c r="K62" s="3628"/>
      <c r="L62" s="3671"/>
      <c r="M62" s="3628"/>
      <c r="N62" s="3671"/>
      <c r="O62" s="3628"/>
      <c r="P62" s="3671"/>
      <c r="Q62" s="3628"/>
      <c r="R62" s="3671"/>
      <c r="S62" s="3628"/>
    </row>
    <row r="63" spans="1:19" ht="15.75">
      <c r="A63" s="3538"/>
      <c r="B63" s="3686" t="s">
        <v>7212</v>
      </c>
      <c r="C63" s="3669"/>
      <c r="D63" s="1946">
        <v>1</v>
      </c>
      <c r="E63" s="1946" t="s">
        <v>6362</v>
      </c>
      <c r="F63" s="1973">
        <v>123514.3</v>
      </c>
      <c r="G63" s="660"/>
      <c r="H63" s="3671"/>
      <c r="I63" s="3627"/>
      <c r="J63" s="3671"/>
      <c r="K63" s="3628"/>
      <c r="L63" s="3671"/>
      <c r="M63" s="3628"/>
      <c r="N63" s="3671"/>
      <c r="O63" s="3628"/>
      <c r="P63" s="3671"/>
      <c r="Q63" s="3628"/>
      <c r="R63" s="3671"/>
      <c r="S63" s="3628"/>
    </row>
    <row r="64" spans="1:19">
      <c r="A64" s="3538"/>
      <c r="B64" s="3691" t="s">
        <v>7209</v>
      </c>
      <c r="C64" s="3669"/>
      <c r="D64" s="1946"/>
      <c r="E64" s="1946"/>
      <c r="F64" s="1973"/>
      <c r="G64" s="660"/>
      <c r="H64" s="3671"/>
      <c r="I64" s="3627"/>
      <c r="J64" s="3671"/>
      <c r="K64" s="3628"/>
      <c r="L64" s="3671"/>
      <c r="M64" s="3628"/>
      <c r="N64" s="3671"/>
      <c r="O64" s="3628"/>
      <c r="P64" s="3671"/>
      <c r="Q64" s="3628"/>
      <c r="R64" s="3671"/>
      <c r="S64" s="3628"/>
    </row>
    <row r="65" spans="1:19">
      <c r="A65" s="3538"/>
      <c r="B65" s="3691" t="s">
        <v>7213</v>
      </c>
      <c r="C65" s="3669"/>
      <c r="D65" s="1946"/>
      <c r="E65" s="1946"/>
      <c r="F65" s="1973"/>
      <c r="G65" s="660"/>
      <c r="H65" s="3671"/>
      <c r="I65" s="3627"/>
      <c r="J65" s="3671"/>
      <c r="K65" s="3628"/>
      <c r="L65" s="3671"/>
      <c r="M65" s="3628"/>
      <c r="N65" s="3671"/>
      <c r="O65" s="3628"/>
      <c r="P65" s="3671"/>
      <c r="Q65" s="3628"/>
      <c r="R65" s="3671"/>
      <c r="S65" s="3628"/>
    </row>
    <row r="66" spans="1:19">
      <c r="A66" s="3538"/>
      <c r="B66" s="3691" t="s">
        <v>7211</v>
      </c>
      <c r="C66" s="3669"/>
      <c r="D66" s="1946"/>
      <c r="E66" s="1946"/>
      <c r="F66" s="1973"/>
      <c r="G66" s="660"/>
      <c r="H66" s="3671"/>
      <c r="I66" s="3627"/>
      <c r="J66" s="3671"/>
      <c r="K66" s="3628"/>
      <c r="L66" s="3671"/>
      <c r="M66" s="3628"/>
      <c r="N66" s="3671"/>
      <c r="O66" s="3628"/>
      <c r="P66" s="3671"/>
      <c r="Q66" s="3628"/>
      <c r="R66" s="3671"/>
      <c r="S66" s="3628"/>
    </row>
    <row r="67" spans="1:19">
      <c r="A67" s="3538"/>
      <c r="B67" s="72"/>
      <c r="C67" s="3669"/>
      <c r="D67" s="1946"/>
      <c r="E67" s="1946"/>
      <c r="F67" s="1973"/>
      <c r="G67" s="660"/>
      <c r="H67" s="3671"/>
      <c r="I67" s="3627"/>
      <c r="J67" s="3671"/>
      <c r="K67" s="3628"/>
      <c r="L67" s="3671"/>
      <c r="M67" s="3628"/>
      <c r="N67" s="3671"/>
      <c r="O67" s="3628"/>
      <c r="P67" s="3671"/>
      <c r="Q67" s="3628"/>
      <c r="R67" s="3671"/>
      <c r="S67" s="3628"/>
    </row>
    <row r="68" spans="1:19" ht="15.75" thickBot="1">
      <c r="A68" s="3538"/>
      <c r="B68" s="3690"/>
      <c r="C68" s="3669"/>
      <c r="D68" s="1946"/>
      <c r="E68" s="1946"/>
      <c r="F68" s="1973"/>
      <c r="G68" s="660"/>
      <c r="H68" s="3671"/>
      <c r="I68" s="3627"/>
      <c r="J68" s="3671"/>
      <c r="K68" s="3628"/>
      <c r="L68" s="3671"/>
      <c r="M68" s="3628"/>
      <c r="N68" s="3671"/>
      <c r="O68" s="3628"/>
      <c r="P68" s="3671"/>
      <c r="Q68" s="3628"/>
      <c r="R68" s="3671"/>
      <c r="S68" s="3628"/>
    </row>
    <row r="69" spans="1:19" ht="15.75" thickTop="1">
      <c r="A69" s="13"/>
      <c r="B69" s="14"/>
      <c r="C69" s="15"/>
      <c r="D69" s="15"/>
      <c r="E69" s="16"/>
      <c r="F69" s="17" t="s">
        <v>2975</v>
      </c>
      <c r="G69" s="18"/>
      <c r="H69" s="19"/>
      <c r="I69" s="53">
        <f>SUM(I31:I68)</f>
        <v>0</v>
      </c>
      <c r="J69" s="19"/>
      <c r="K69" s="53">
        <f>SUM(K31:K68)</f>
        <v>0</v>
      </c>
      <c r="L69" s="19"/>
      <c r="M69" s="53">
        <f>SUM(M31:M68)</f>
        <v>0</v>
      </c>
      <c r="N69" s="19"/>
      <c r="O69" s="53">
        <f>SUM(O31:O68)</f>
        <v>0</v>
      </c>
      <c r="P69" s="19"/>
      <c r="Q69" s="53">
        <f>SUM(Q31:Q68)</f>
        <v>0</v>
      </c>
      <c r="R69" s="19"/>
      <c r="S69" s="53">
        <f>SUM(S31:S68)</f>
        <v>0</v>
      </c>
    </row>
    <row r="70" spans="1:19">
      <c r="A70" s="3479"/>
      <c r="B70" s="1919"/>
      <c r="C70" s="1907"/>
      <c r="D70" s="1907"/>
      <c r="E70" s="3692"/>
      <c r="F70" s="1910" t="s">
        <v>2976</v>
      </c>
      <c r="G70" s="656"/>
      <c r="H70" s="3425">
        <v>0</v>
      </c>
      <c r="I70" s="822"/>
      <c r="J70" s="3425">
        <v>0</v>
      </c>
      <c r="K70" s="822"/>
      <c r="L70" s="3425">
        <v>0</v>
      </c>
      <c r="M70" s="822"/>
      <c r="N70" s="3425">
        <v>0</v>
      </c>
      <c r="O70" s="822"/>
      <c r="P70" s="3425">
        <v>0</v>
      </c>
      <c r="Q70" s="822"/>
      <c r="R70" s="3425">
        <v>0</v>
      </c>
      <c r="S70" s="822"/>
    </row>
    <row r="71" spans="1:19">
      <c r="A71" s="3479"/>
      <c r="B71" s="1919"/>
      <c r="C71" s="1907"/>
      <c r="D71" s="1907"/>
      <c r="E71" s="3692"/>
      <c r="F71" s="1910" t="s">
        <v>2977</v>
      </c>
      <c r="G71" s="656"/>
      <c r="H71" s="3426"/>
      <c r="I71" s="3693">
        <f>H70*I69</f>
        <v>0</v>
      </c>
      <c r="J71" s="3426"/>
      <c r="K71" s="3693">
        <f>J70*K69</f>
        <v>0</v>
      </c>
      <c r="L71" s="3426"/>
      <c r="M71" s="3693">
        <f>L70*M69</f>
        <v>0</v>
      </c>
      <c r="N71" s="3426"/>
      <c r="O71" s="3693">
        <f>N70*O69</f>
        <v>0</v>
      </c>
      <c r="P71" s="3426"/>
      <c r="Q71" s="3693">
        <f>P70*Q69</f>
        <v>0</v>
      </c>
      <c r="R71" s="3426"/>
      <c r="S71" s="3693">
        <f>R70*S69</f>
        <v>0</v>
      </c>
    </row>
    <row r="72" spans="1:19">
      <c r="A72" s="3479"/>
      <c r="B72" s="1919"/>
      <c r="C72" s="1907"/>
      <c r="D72" s="1907"/>
      <c r="E72" s="3692"/>
      <c r="F72" s="1910"/>
      <c r="G72" s="656"/>
      <c r="H72" s="3426"/>
      <c r="I72" s="3427"/>
      <c r="J72" s="3426"/>
      <c r="K72" s="3427"/>
      <c r="L72" s="3426"/>
      <c r="M72" s="3427"/>
      <c r="N72" s="3426"/>
      <c r="O72" s="3427"/>
      <c r="P72" s="3426"/>
      <c r="Q72" s="3427"/>
      <c r="R72" s="3426"/>
      <c r="S72" s="3427"/>
    </row>
    <row r="73" spans="1:19">
      <c r="A73" s="3479"/>
      <c r="B73" s="1919"/>
      <c r="C73" s="1907"/>
      <c r="D73" s="1907"/>
      <c r="E73" s="3692"/>
      <c r="F73" s="1910" t="s">
        <v>2978</v>
      </c>
      <c r="G73" s="656"/>
      <c r="H73" s="3428"/>
      <c r="I73" s="3693">
        <f>SUM(I69:I71)</f>
        <v>0</v>
      </c>
      <c r="J73" s="3428"/>
      <c r="K73" s="3693">
        <f>SUM(K69:K71)</f>
        <v>0</v>
      </c>
      <c r="L73" s="3428"/>
      <c r="M73" s="3693">
        <f>SUM(M69:M71)</f>
        <v>0</v>
      </c>
      <c r="N73" s="3428"/>
      <c r="O73" s="3693">
        <f>SUM(O69:O71)</f>
        <v>0</v>
      </c>
      <c r="P73" s="3428"/>
      <c r="Q73" s="3693">
        <f>SUM(Q69:Q71)</f>
        <v>0</v>
      </c>
      <c r="R73" s="3428"/>
      <c r="S73" s="3693">
        <f>SUM(S69:S71)</f>
        <v>0</v>
      </c>
    </row>
    <row r="74" spans="1:19">
      <c r="A74" s="3479"/>
      <c r="B74" s="1919"/>
      <c r="C74" s="1907"/>
      <c r="D74" s="1907"/>
      <c r="E74" s="3692"/>
      <c r="F74" s="1915" t="s">
        <v>2979</v>
      </c>
      <c r="G74" s="655"/>
      <c r="H74" s="3429"/>
      <c r="I74" s="3431">
        <f>I73/'Area Calculations'!$F$5</f>
        <v>0</v>
      </c>
      <c r="J74" s="3429"/>
      <c r="K74" s="3431">
        <f>K73/'Area Calculations'!$F$5</f>
        <v>0</v>
      </c>
      <c r="L74" s="3429"/>
      <c r="M74" s="3431">
        <f>M73/'Area Calculations'!$F$5</f>
        <v>0</v>
      </c>
      <c r="N74" s="3429"/>
      <c r="O74" s="3431">
        <f>O73/'Area Calculations'!$F$5</f>
        <v>0</v>
      </c>
      <c r="P74" s="3429"/>
      <c r="Q74" s="3431">
        <f>Q73/'Area Calculations'!$F$5</f>
        <v>0</v>
      </c>
      <c r="R74" s="3429"/>
      <c r="S74" s="3431">
        <f>S73/'Area Calculations'!$F$5</f>
        <v>0</v>
      </c>
    </row>
    <row r="75" spans="1:19">
      <c r="A75" s="3479"/>
      <c r="B75" s="1919"/>
      <c r="C75" s="1907"/>
      <c r="D75" s="1907"/>
      <c r="E75" s="3692"/>
      <c r="F75" s="1915" t="s">
        <v>4878</v>
      </c>
      <c r="G75" s="686"/>
      <c r="H75" s="3429"/>
      <c r="I75" s="3431" t="e">
        <f>I73/'Area Calculations'!$F$10</f>
        <v>#DIV/0!</v>
      </c>
      <c r="J75" s="3429"/>
      <c r="K75" s="3431" t="e">
        <f>K73/'Area Calculations'!$F$10</f>
        <v>#DIV/0!</v>
      </c>
      <c r="L75" s="3429"/>
      <c r="M75" s="3431" t="e">
        <f>M73/'Area Calculations'!$F$10</f>
        <v>#DIV/0!</v>
      </c>
      <c r="N75" s="3429"/>
      <c r="O75" s="3431" t="e">
        <f>O73/'Area Calculations'!$F$10</f>
        <v>#DIV/0!</v>
      </c>
      <c r="P75" s="3429"/>
      <c r="Q75" s="3431" t="e">
        <f>Q73/'Area Calculations'!$F$10</f>
        <v>#DIV/0!</v>
      </c>
      <c r="R75" s="3429"/>
      <c r="S75" s="3431" t="e">
        <f>S73/'Area Calculations'!$F$10</f>
        <v>#DIV/0!</v>
      </c>
    </row>
    <row r="76" spans="1:19" ht="15.75" thickBot="1">
      <c r="A76" s="3479"/>
      <c r="B76" s="1919"/>
      <c r="C76" s="1907"/>
      <c r="D76" s="1907"/>
      <c r="E76" s="3692"/>
      <c r="F76" s="1910"/>
      <c r="G76" s="656"/>
      <c r="H76" s="3432"/>
      <c r="I76" s="3432"/>
      <c r="J76" s="3432"/>
      <c r="K76" s="3432"/>
      <c r="L76" s="3432"/>
      <c r="M76" s="3432"/>
      <c r="N76" s="3432"/>
      <c r="O76" s="3432"/>
      <c r="P76" s="3432"/>
      <c r="Q76" s="3432"/>
      <c r="R76" s="3432"/>
      <c r="S76" s="3432"/>
    </row>
    <row r="77" spans="1:19" ht="16.5" thickTop="1" thickBot="1">
      <c r="A77" s="830" t="s">
        <v>2980</v>
      </c>
      <c r="B77" s="831"/>
      <c r="C77" s="12"/>
      <c r="D77" s="12"/>
      <c r="E77" s="12"/>
      <c r="F77" s="12"/>
      <c r="G77" s="48"/>
      <c r="H77" s="47"/>
      <c r="I77" s="20"/>
      <c r="J77" s="20"/>
      <c r="K77" s="20"/>
      <c r="L77" s="20"/>
      <c r="M77" s="20"/>
      <c r="N77" s="20"/>
      <c r="O77" s="20"/>
      <c r="P77" s="20"/>
      <c r="Q77" s="20"/>
      <c r="R77" s="20"/>
      <c r="S77" s="20"/>
    </row>
    <row r="78" spans="1:19" ht="15.75" thickTop="1">
      <c r="A78" s="3694"/>
      <c r="B78" s="1945"/>
      <c r="C78" s="3695"/>
      <c r="D78" s="3695"/>
      <c r="E78" s="3695"/>
      <c r="F78" s="3695"/>
      <c r="G78" s="3696"/>
      <c r="H78" s="3697"/>
      <c r="I78" s="3698"/>
      <c r="J78" s="3698"/>
      <c r="K78" s="3698"/>
      <c r="L78" s="3698"/>
      <c r="M78" s="3698"/>
      <c r="N78" s="3698"/>
      <c r="O78" s="3698"/>
      <c r="P78" s="3698"/>
      <c r="Q78" s="3698"/>
      <c r="R78" s="3698"/>
      <c r="S78" s="3698"/>
    </row>
    <row r="79" spans="1:19">
      <c r="A79" s="3694"/>
      <c r="B79" s="1945"/>
      <c r="C79" s="3695"/>
      <c r="D79" s="3695"/>
      <c r="E79" s="3695"/>
      <c r="F79" s="3695"/>
      <c r="G79" s="3696"/>
      <c r="H79" s="3697"/>
      <c r="I79" s="3698"/>
      <c r="J79" s="3698"/>
      <c r="K79" s="3698"/>
      <c r="L79" s="3698"/>
      <c r="M79" s="3698"/>
      <c r="N79" s="3698"/>
      <c r="O79" s="3698"/>
      <c r="P79" s="3698"/>
      <c r="Q79" s="3698"/>
      <c r="R79" s="3698"/>
      <c r="S79" s="3698"/>
    </row>
    <row r="80" spans="1:19" ht="15.75" thickBot="1">
      <c r="A80" s="3694"/>
      <c r="B80" s="1945"/>
      <c r="C80" s="3695"/>
      <c r="D80" s="3695"/>
      <c r="E80" s="3695"/>
      <c r="F80" s="3695"/>
      <c r="G80" s="3696"/>
      <c r="H80" s="3697"/>
      <c r="I80" s="3698"/>
      <c r="J80" s="3698"/>
      <c r="K80" s="3698"/>
      <c r="L80" s="3698"/>
      <c r="M80" s="3698"/>
      <c r="N80" s="3698"/>
      <c r="O80" s="3698"/>
      <c r="P80" s="3698"/>
      <c r="Q80" s="3698"/>
      <c r="R80" s="3698"/>
      <c r="S80" s="3698"/>
    </row>
    <row r="81" spans="1:34" s="2" customFormat="1" ht="16.5" thickTop="1" thickBot="1">
      <c r="A81" s="830" t="s">
        <v>2981</v>
      </c>
      <c r="B81" s="831"/>
      <c r="C81" s="12"/>
      <c r="D81" s="12"/>
      <c r="E81" s="12"/>
      <c r="F81" s="12"/>
      <c r="G81" s="48"/>
      <c r="H81" s="47"/>
      <c r="I81" s="20"/>
      <c r="J81" s="20"/>
      <c r="K81" s="20"/>
      <c r="L81" s="20"/>
      <c r="M81" s="20"/>
      <c r="N81" s="20"/>
      <c r="O81" s="20"/>
      <c r="P81" s="20"/>
      <c r="Q81" s="20"/>
      <c r="R81" s="20"/>
      <c r="S81" s="20"/>
      <c r="T81"/>
      <c r="U81"/>
      <c r="V81"/>
      <c r="W81"/>
      <c r="X81"/>
      <c r="Y81"/>
      <c r="Z81"/>
      <c r="AA81"/>
      <c r="AB81"/>
      <c r="AC81"/>
      <c r="AD81"/>
      <c r="AE81"/>
      <c r="AF81"/>
      <c r="AG81"/>
      <c r="AH81"/>
    </row>
    <row r="82" spans="1:34" s="2" customFormat="1" ht="15.75" thickTop="1">
      <c r="A82" s="3694"/>
      <c r="B82" s="1945"/>
      <c r="C82" s="3695"/>
      <c r="D82" s="3695"/>
      <c r="E82" s="3695"/>
      <c r="F82" s="3695"/>
      <c r="G82" s="3696"/>
      <c r="H82" s="3697"/>
      <c r="I82" s="3698"/>
      <c r="J82" s="3698"/>
      <c r="K82" s="3698"/>
      <c r="L82" s="3698"/>
      <c r="M82" s="3698"/>
      <c r="N82" s="3698"/>
      <c r="O82" s="3698"/>
      <c r="P82" s="3698"/>
      <c r="Q82" s="3698"/>
      <c r="R82" s="3698"/>
      <c r="S82" s="3698"/>
      <c r="T82"/>
      <c r="U82"/>
      <c r="V82"/>
      <c r="W82"/>
      <c r="X82"/>
      <c r="Y82"/>
      <c r="Z82"/>
      <c r="AA82"/>
      <c r="AB82"/>
      <c r="AC82"/>
      <c r="AD82"/>
      <c r="AE82"/>
      <c r="AF82"/>
      <c r="AG82"/>
      <c r="AH82"/>
    </row>
    <row r="83" spans="1:34" s="2" customFormat="1">
      <c r="A83" s="3694"/>
      <c r="B83" s="1945"/>
      <c r="C83" s="3695"/>
      <c r="D83" s="3695"/>
      <c r="E83" s="3695"/>
      <c r="F83" s="3695"/>
      <c r="G83" s="3696"/>
      <c r="H83" s="3697"/>
      <c r="I83" s="3698"/>
      <c r="J83" s="3698"/>
      <c r="K83" s="3698"/>
      <c r="L83" s="3698"/>
      <c r="M83" s="3698"/>
      <c r="N83" s="3698"/>
      <c r="O83" s="3698"/>
      <c r="P83" s="3698"/>
      <c r="Q83" s="3698"/>
      <c r="R83" s="3698"/>
      <c r="S83" s="3698"/>
      <c r="T83"/>
      <c r="U83"/>
      <c r="V83"/>
      <c r="W83"/>
      <c r="X83"/>
      <c r="Y83"/>
      <c r="Z83"/>
      <c r="AA83"/>
      <c r="AB83"/>
      <c r="AC83"/>
      <c r="AD83"/>
      <c r="AE83"/>
      <c r="AF83"/>
      <c r="AG83"/>
      <c r="AH83"/>
    </row>
    <row r="84" spans="1:34" ht="15.75" thickBot="1">
      <c r="A84" s="3694"/>
      <c r="B84" s="1945"/>
      <c r="C84" s="3695"/>
      <c r="D84" s="3695"/>
      <c r="E84" s="3695"/>
      <c r="F84" s="3695"/>
      <c r="G84" s="3696"/>
      <c r="H84" s="3697"/>
      <c r="I84" s="3698"/>
      <c r="J84" s="3698"/>
      <c r="K84" s="3698"/>
      <c r="L84" s="3698"/>
      <c r="M84" s="3698"/>
      <c r="N84" s="3698"/>
      <c r="O84" s="3698"/>
      <c r="P84" s="3698"/>
      <c r="Q84" s="3698"/>
      <c r="R84" s="3698"/>
      <c r="S84" s="3698"/>
    </row>
    <row r="85" spans="1:34" s="2" customFormat="1" ht="16.5" thickTop="1" thickBot="1">
      <c r="A85" s="830" t="s">
        <v>2982</v>
      </c>
      <c r="B85" s="831"/>
      <c r="C85" s="12"/>
      <c r="D85" s="12"/>
      <c r="E85" s="12"/>
      <c r="F85" s="12"/>
      <c r="G85" s="48"/>
      <c r="H85" s="47"/>
      <c r="I85" s="20"/>
      <c r="J85" s="20"/>
      <c r="K85" s="20"/>
      <c r="L85" s="20"/>
      <c r="M85" s="20"/>
      <c r="N85" s="20"/>
      <c r="O85" s="20"/>
      <c r="P85" s="20"/>
      <c r="Q85" s="20"/>
      <c r="R85" s="20"/>
      <c r="S85" s="20"/>
      <c r="T85"/>
      <c r="U85"/>
      <c r="V85"/>
      <c r="W85"/>
      <c r="X85"/>
      <c r="Y85"/>
      <c r="Z85"/>
      <c r="AA85"/>
      <c r="AB85"/>
      <c r="AC85"/>
      <c r="AD85"/>
      <c r="AE85"/>
      <c r="AF85"/>
      <c r="AG85"/>
      <c r="AH85"/>
    </row>
    <row r="86" spans="1:34" s="2" customFormat="1" ht="15.75" thickTop="1">
      <c r="A86" s="3694"/>
      <c r="B86" s="1945"/>
      <c r="C86" s="3695"/>
      <c r="D86" s="3695"/>
      <c r="E86" s="3695"/>
      <c r="F86" s="3695"/>
      <c r="G86" s="3696"/>
      <c r="H86" s="3697"/>
      <c r="I86" s="3698"/>
      <c r="J86" s="3698"/>
      <c r="K86" s="3698"/>
      <c r="L86" s="3698"/>
      <c r="M86" s="3698"/>
      <c r="N86" s="3698"/>
      <c r="O86" s="3698"/>
      <c r="P86" s="3698"/>
      <c r="Q86" s="3698"/>
      <c r="R86" s="3698"/>
      <c r="S86" s="3698"/>
      <c r="T86"/>
      <c r="U86"/>
      <c r="V86"/>
      <c r="W86"/>
      <c r="X86"/>
      <c r="Y86"/>
      <c r="Z86"/>
      <c r="AA86"/>
      <c r="AB86"/>
      <c r="AC86"/>
      <c r="AD86"/>
      <c r="AE86"/>
      <c r="AF86"/>
      <c r="AG86"/>
      <c r="AH86"/>
    </row>
    <row r="87" spans="1:34" s="2" customFormat="1">
      <c r="A87" s="3497"/>
      <c r="B87" s="1945"/>
      <c r="C87" s="1946"/>
      <c r="D87" s="1946"/>
      <c r="E87" s="1946"/>
      <c r="F87" s="1946"/>
      <c r="G87" s="3699"/>
      <c r="H87" s="688"/>
      <c r="I87" s="3434"/>
      <c r="J87" s="3434"/>
      <c r="K87" s="3434"/>
      <c r="L87" s="3434"/>
      <c r="M87" s="3434"/>
      <c r="N87" s="3434"/>
      <c r="O87" s="3434"/>
      <c r="P87" s="3434"/>
      <c r="Q87" s="3434"/>
      <c r="R87" s="3434"/>
      <c r="S87" s="3434"/>
      <c r="T87"/>
      <c r="U87"/>
      <c r="V87"/>
      <c r="W87"/>
      <c r="X87"/>
      <c r="Y87"/>
      <c r="Z87"/>
      <c r="AA87"/>
      <c r="AB87"/>
      <c r="AC87"/>
      <c r="AD87"/>
      <c r="AE87"/>
      <c r="AF87"/>
      <c r="AG87"/>
      <c r="AH87"/>
    </row>
    <row r="88" spans="1:34" s="2" customFormat="1" ht="15.75" thickBot="1">
      <c r="A88" s="3500"/>
      <c r="B88" s="1926"/>
      <c r="C88" s="1946"/>
      <c r="D88" s="1946"/>
      <c r="E88" s="1946"/>
      <c r="F88" s="1946"/>
      <c r="G88" s="3699"/>
      <c r="H88" s="689"/>
      <c r="I88" s="3435"/>
      <c r="J88" s="3435"/>
      <c r="K88" s="3435"/>
      <c r="L88" s="3435"/>
      <c r="M88" s="3435"/>
      <c r="N88" s="3435"/>
      <c r="O88" s="3435"/>
      <c r="P88" s="3435"/>
      <c r="Q88" s="3435"/>
      <c r="R88" s="3435"/>
      <c r="S88" s="3435"/>
    </row>
    <row r="89" spans="1:34" s="2" customFormat="1" ht="16.5" thickTop="1" thickBot="1">
      <c r="A89" s="830" t="s">
        <v>2983</v>
      </c>
      <c r="B89" s="831"/>
      <c r="C89" s="12"/>
      <c r="D89" s="12"/>
      <c r="E89" s="12"/>
      <c r="F89" s="12"/>
      <c r="G89" s="48"/>
      <c r="H89" s="47"/>
      <c r="I89" s="20"/>
      <c r="J89" s="20"/>
      <c r="K89" s="20"/>
      <c r="L89" s="20"/>
      <c r="M89" s="20"/>
      <c r="N89" s="20"/>
      <c r="O89" s="20"/>
      <c r="P89" s="20"/>
      <c r="Q89" s="20"/>
      <c r="R89" s="20"/>
      <c r="S89" s="20"/>
      <c r="T89"/>
      <c r="U89"/>
      <c r="V89"/>
      <c r="W89"/>
      <c r="X89"/>
      <c r="Y89"/>
      <c r="Z89"/>
      <c r="AA89"/>
      <c r="AB89"/>
      <c r="AC89"/>
      <c r="AD89"/>
      <c r="AE89"/>
      <c r="AF89"/>
      <c r="AG89"/>
      <c r="AH89"/>
    </row>
    <row r="90" spans="1:34" ht="15.75" thickTop="1">
      <c r="A90" s="3700"/>
      <c r="B90" s="3701"/>
      <c r="C90" s="3695"/>
      <c r="D90" s="3695"/>
      <c r="E90" s="3695"/>
      <c r="F90" s="3695"/>
      <c r="G90" s="3696"/>
      <c r="H90" s="3697"/>
      <c r="I90" s="3698"/>
      <c r="J90" s="3698"/>
      <c r="K90" s="3698"/>
      <c r="L90" s="3698"/>
      <c r="M90" s="3698"/>
      <c r="N90" s="3698"/>
      <c r="O90" s="3698"/>
      <c r="P90" s="3698"/>
      <c r="Q90" s="3698"/>
      <c r="R90" s="3698"/>
      <c r="S90" s="3698"/>
      <c r="T90" s="2"/>
      <c r="U90" s="2"/>
      <c r="V90" s="2"/>
      <c r="W90" s="2"/>
      <c r="X90" s="2"/>
      <c r="Y90" s="2"/>
      <c r="Z90" s="2"/>
      <c r="AA90" s="2"/>
      <c r="AB90" s="2"/>
      <c r="AC90" s="2"/>
      <c r="AD90" s="2"/>
      <c r="AE90" s="2"/>
      <c r="AF90" s="2"/>
      <c r="AG90" s="2"/>
      <c r="AH90" s="2"/>
    </row>
    <row r="91" spans="1:34">
      <c r="A91" s="3500"/>
      <c r="B91" s="1926"/>
      <c r="C91" s="1946"/>
      <c r="D91" s="1946"/>
      <c r="E91" s="1946"/>
      <c r="F91" s="1946"/>
      <c r="G91" s="3699"/>
      <c r="H91" s="690"/>
      <c r="I91" s="3436"/>
      <c r="J91" s="3436"/>
      <c r="K91" s="3436"/>
      <c r="L91" s="3436"/>
      <c r="M91" s="3436"/>
      <c r="N91" s="3436"/>
      <c r="O91" s="3436"/>
      <c r="P91" s="3436"/>
      <c r="Q91" s="3436"/>
      <c r="R91" s="3436"/>
      <c r="S91" s="3436"/>
      <c r="T91" s="2"/>
      <c r="U91" s="2"/>
      <c r="V91" s="2"/>
      <c r="W91" s="2"/>
      <c r="X91" s="2"/>
      <c r="Y91" s="2"/>
      <c r="Z91" s="2"/>
      <c r="AA91" s="2"/>
      <c r="AB91" s="2"/>
      <c r="AC91" s="2"/>
      <c r="AD91" s="2"/>
      <c r="AE91" s="2"/>
      <c r="AF91" s="2"/>
      <c r="AG91" s="2"/>
      <c r="AH91" s="2"/>
    </row>
    <row r="92" spans="1:34" ht="15.75" thickBot="1">
      <c r="A92" s="3500"/>
      <c r="B92" s="1926"/>
      <c r="C92" s="1946"/>
      <c r="D92" s="1946"/>
      <c r="E92" s="1946"/>
      <c r="F92" s="1946"/>
      <c r="G92" s="3699"/>
      <c r="H92" s="690"/>
      <c r="I92" s="3436"/>
      <c r="J92" s="3436"/>
      <c r="K92" s="3436"/>
      <c r="L92" s="3436"/>
      <c r="M92" s="3436"/>
      <c r="N92" s="3436"/>
      <c r="O92" s="3436"/>
      <c r="P92" s="3436"/>
      <c r="Q92" s="3436"/>
      <c r="R92" s="3436"/>
      <c r="S92" s="3436"/>
      <c r="T92" s="2"/>
      <c r="U92" s="2"/>
      <c r="V92" s="2"/>
      <c r="W92" s="2"/>
      <c r="X92" s="2"/>
      <c r="Y92" s="2"/>
      <c r="Z92" s="2"/>
      <c r="AA92" s="2"/>
      <c r="AB92" s="2"/>
      <c r="AC92" s="2"/>
      <c r="AD92" s="2"/>
      <c r="AE92" s="2"/>
      <c r="AF92" s="2"/>
      <c r="AG92" s="2"/>
      <c r="AH92" s="2"/>
    </row>
    <row r="93" spans="1:34" ht="16.5" thickTop="1" thickBot="1">
      <c r="A93" s="830" t="s">
        <v>2984</v>
      </c>
      <c r="B93" s="831"/>
      <c r="C93" s="12"/>
      <c r="D93" s="12"/>
      <c r="E93" s="12"/>
      <c r="F93" s="12"/>
      <c r="G93" s="48"/>
      <c r="H93" s="47"/>
      <c r="I93" s="20"/>
      <c r="J93" s="20"/>
      <c r="K93" s="20"/>
      <c r="L93" s="20"/>
      <c r="M93" s="20"/>
      <c r="N93" s="20"/>
      <c r="O93" s="20"/>
      <c r="P93" s="20"/>
      <c r="Q93" s="20"/>
      <c r="R93" s="20"/>
      <c r="S93" s="20"/>
    </row>
    <row r="94" spans="1:34" ht="15.75" thickTop="1">
      <c r="A94" s="3497"/>
      <c r="B94" s="1945" t="s">
        <v>2985</v>
      </c>
      <c r="C94" s="1946"/>
      <c r="D94" s="1946"/>
      <c r="E94" s="1946"/>
      <c r="F94" s="1946"/>
      <c r="G94" s="3699"/>
      <c r="H94" s="690"/>
      <c r="I94" s="3436"/>
      <c r="J94" s="3436"/>
      <c r="K94" s="3436"/>
      <c r="L94" s="3436"/>
      <c r="M94" s="3436"/>
      <c r="N94" s="3436"/>
      <c r="O94" s="3436"/>
      <c r="P94" s="3436"/>
      <c r="Q94" s="3436"/>
      <c r="R94" s="3436"/>
      <c r="S94" s="3436"/>
    </row>
    <row r="95" spans="1:34">
      <c r="A95" s="3497"/>
      <c r="B95" s="1945" t="s">
        <v>2986</v>
      </c>
      <c r="C95" s="1946"/>
      <c r="D95" s="1946"/>
      <c r="E95" s="1946"/>
      <c r="F95" s="1946"/>
      <c r="G95" s="3699"/>
      <c r="H95" s="690"/>
      <c r="I95" s="3436"/>
      <c r="J95" s="3436"/>
      <c r="K95" s="3436"/>
      <c r="L95" s="3436"/>
      <c r="M95" s="3436"/>
      <c r="N95" s="3436"/>
      <c r="O95" s="3436"/>
      <c r="P95" s="3436"/>
      <c r="Q95" s="3436"/>
      <c r="R95" s="3436"/>
      <c r="S95" s="3436"/>
    </row>
    <row r="96" spans="1:34">
      <c r="A96" s="3497"/>
      <c r="B96" s="1945" t="s">
        <v>2987</v>
      </c>
      <c r="C96" s="1946"/>
      <c r="D96" s="1946"/>
      <c r="E96" s="1946"/>
      <c r="F96" s="1946"/>
      <c r="G96" s="3699"/>
      <c r="H96" s="690"/>
      <c r="I96" s="3436"/>
      <c r="J96" s="3436"/>
      <c r="K96" s="3436"/>
      <c r="L96" s="3436"/>
      <c r="M96" s="3436"/>
      <c r="N96" s="3436"/>
      <c r="O96" s="3436"/>
      <c r="P96" s="3436"/>
      <c r="Q96" s="3436"/>
      <c r="R96" s="3436"/>
      <c r="S96" s="3436"/>
    </row>
    <row r="97" spans="1:34">
      <c r="A97" s="3497"/>
      <c r="B97" s="1945" t="s">
        <v>2988</v>
      </c>
      <c r="C97" s="1946"/>
      <c r="D97" s="1946"/>
      <c r="E97" s="1946"/>
      <c r="F97" s="1946"/>
      <c r="G97" s="3699"/>
      <c r="H97" s="690"/>
      <c r="I97" s="3436"/>
      <c r="J97" s="3436"/>
      <c r="K97" s="3436"/>
      <c r="L97" s="3436"/>
      <c r="M97" s="3436"/>
      <c r="N97" s="3436"/>
      <c r="O97" s="3436"/>
      <c r="P97" s="3436"/>
      <c r="Q97" s="3436"/>
      <c r="R97" s="3436"/>
      <c r="S97" s="3436"/>
    </row>
    <row r="98" spans="1:34" ht="15.75" thickBot="1">
      <c r="A98" s="646"/>
      <c r="B98" s="619"/>
      <c r="C98" s="616"/>
      <c r="D98" s="616"/>
      <c r="E98" s="616"/>
      <c r="F98" s="616"/>
      <c r="G98" s="629"/>
      <c r="H98" s="630"/>
      <c r="I98" s="647"/>
      <c r="J98" s="647"/>
      <c r="K98" s="647"/>
      <c r="L98" s="647"/>
      <c r="M98" s="647"/>
      <c r="N98" s="647"/>
      <c r="O98" s="647"/>
      <c r="P98" s="647"/>
      <c r="Q98" s="647"/>
      <c r="R98" s="647"/>
      <c r="S98" s="647"/>
    </row>
    <row r="99" spans="1:34" ht="16.5" thickTop="1" thickBot="1">
      <c r="A99" s="7" t="s">
        <v>2989</v>
      </c>
      <c r="B99" s="8"/>
      <c r="C99" s="12"/>
      <c r="D99" s="12"/>
      <c r="E99" s="12"/>
      <c r="F99" s="12"/>
      <c r="G99" s="48"/>
      <c r="H99" s="47"/>
      <c r="I99" s="20"/>
      <c r="J99" s="20"/>
      <c r="K99" s="20"/>
      <c r="L99" s="20"/>
      <c r="M99" s="20"/>
      <c r="N99" s="20"/>
      <c r="O99" s="20"/>
      <c r="P99" s="20"/>
      <c r="Q99" s="20"/>
      <c r="R99" s="20"/>
      <c r="S99" s="20"/>
    </row>
    <row r="100" spans="1:34" ht="15.75" thickTop="1">
      <c r="A100" s="3694"/>
      <c r="B100" s="3702" t="s">
        <v>2990</v>
      </c>
      <c r="C100" s="3695"/>
      <c r="D100" s="3695"/>
      <c r="E100" s="3695"/>
      <c r="F100" s="3695"/>
      <c r="G100" s="3696"/>
      <c r="H100" s="3628"/>
      <c r="I100" s="3703"/>
      <c r="J100" s="3703"/>
      <c r="K100" s="3703"/>
      <c r="L100" s="3703"/>
      <c r="M100" s="3703"/>
      <c r="N100" s="3703"/>
      <c r="O100" s="3703"/>
      <c r="P100" s="3703"/>
      <c r="Q100" s="3703"/>
      <c r="R100" s="3703"/>
      <c r="S100" s="3703"/>
    </row>
    <row r="101" spans="1:34">
      <c r="A101" s="3497"/>
      <c r="B101" s="1945" t="s">
        <v>2991</v>
      </c>
      <c r="C101" s="1946"/>
      <c r="D101" s="1946"/>
      <c r="E101" s="1946"/>
      <c r="F101" s="1946"/>
      <c r="G101" s="3699"/>
      <c r="H101" s="691"/>
      <c r="I101" s="3437"/>
      <c r="J101" s="3437"/>
      <c r="K101" s="3437"/>
      <c r="L101" s="3437"/>
      <c r="M101" s="3437"/>
      <c r="N101" s="3437"/>
      <c r="O101" s="3437"/>
      <c r="P101" s="3437"/>
      <c r="Q101" s="3437"/>
      <c r="R101" s="3437"/>
      <c r="S101" s="3437"/>
    </row>
    <row r="102" spans="1:34" ht="15.75" thickBot="1">
      <c r="A102" s="3197"/>
      <c r="B102" s="3224" t="s">
        <v>2992</v>
      </c>
      <c r="C102" s="3225"/>
      <c r="D102" s="3225"/>
      <c r="E102" s="3225"/>
      <c r="F102" s="3225"/>
      <c r="G102" s="3704"/>
      <c r="H102" s="3705"/>
      <c r="I102" s="3201"/>
      <c r="J102" s="3201"/>
      <c r="K102" s="3201"/>
      <c r="L102" s="3201"/>
      <c r="M102" s="3201"/>
      <c r="N102" s="3201"/>
      <c r="O102" s="3201"/>
      <c r="P102" s="3201"/>
      <c r="Q102" s="3201"/>
      <c r="R102" s="3201"/>
      <c r="S102" s="3201"/>
    </row>
    <row r="103" spans="1:34" ht="16.5" thickTop="1" thickBot="1"/>
    <row r="104" spans="1:34" ht="16.5" thickTop="1" thickBot="1">
      <c r="A104" s="59" t="s">
        <v>2993</v>
      </c>
      <c r="B104" s="61" t="s">
        <v>7214</v>
      </c>
    </row>
    <row r="105" spans="1:34" ht="15.75" thickTop="1">
      <c r="A105" s="60" t="s">
        <v>2936</v>
      </c>
      <c r="B105" s="3202"/>
    </row>
    <row r="106" spans="1:34">
      <c r="A106" s="3510" t="s">
        <v>2939</v>
      </c>
      <c r="B106" s="3202"/>
    </row>
    <row r="107" spans="1:34">
      <c r="A107" s="3204" t="s">
        <v>2941</v>
      </c>
      <c r="B107" s="3205"/>
    </row>
    <row r="108" spans="1:34">
      <c r="A108" s="3204" t="s">
        <v>2943</v>
      </c>
      <c r="B108" s="3206"/>
    </row>
    <row r="109" spans="1:34" s="2" customFormat="1" ht="15.75" thickBot="1">
      <c r="A109" s="3207" t="s">
        <v>2994</v>
      </c>
      <c r="B109" s="3706"/>
      <c r="T109"/>
      <c r="U109"/>
      <c r="V109"/>
      <c r="W109"/>
      <c r="X109"/>
      <c r="Y109"/>
      <c r="Z109"/>
      <c r="AA109"/>
      <c r="AB109"/>
      <c r="AC109"/>
      <c r="AD109"/>
      <c r="AE109"/>
      <c r="AF109"/>
      <c r="AG109"/>
      <c r="AH109"/>
    </row>
    <row r="110" spans="1:34" s="2" customFormat="1" ht="15.75" thickTop="1">
      <c r="A110"/>
      <c r="B110" s="1"/>
      <c r="T110"/>
      <c r="U110"/>
      <c r="V110"/>
      <c r="W110"/>
      <c r="X110"/>
      <c r="Y110"/>
      <c r="Z110"/>
      <c r="AA110"/>
      <c r="AB110"/>
      <c r="AC110"/>
      <c r="AD110"/>
      <c r="AE110"/>
      <c r="AF110"/>
      <c r="AG110"/>
      <c r="AH110"/>
    </row>
    <row r="111" spans="1:34" ht="15.75" thickBot="1"/>
    <row r="112" spans="1:34" ht="16.5" thickTop="1" thickBot="1">
      <c r="A112" s="59" t="s">
        <v>2993</v>
      </c>
      <c r="B112" s="61" t="s">
        <v>7215</v>
      </c>
    </row>
    <row r="113" spans="1:2" ht="15.75" thickTop="1">
      <c r="A113" s="60" t="s">
        <v>2936</v>
      </c>
      <c r="B113" s="3202"/>
    </row>
    <row r="114" spans="1:2">
      <c r="A114" s="3510" t="s">
        <v>2939</v>
      </c>
      <c r="B114" s="3202"/>
    </row>
    <row r="115" spans="1:2">
      <c r="A115" s="3204" t="s">
        <v>2941</v>
      </c>
      <c r="B115" s="3205"/>
    </row>
    <row r="116" spans="1:2">
      <c r="A116" s="3204" t="s">
        <v>2943</v>
      </c>
      <c r="B116" s="3206"/>
    </row>
    <row r="117" spans="1:2" ht="15.75" thickBot="1">
      <c r="A117" s="3207" t="s">
        <v>2994</v>
      </c>
      <c r="B117" s="3706"/>
    </row>
    <row r="118" spans="1:2" ht="15.75" thickTop="1"/>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7:B77"/>
    <mergeCell ref="A81:B81"/>
    <mergeCell ref="A85:B85"/>
    <mergeCell ref="A89:B89"/>
    <mergeCell ref="A93:B93"/>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ColWidth="8.85546875" defaultRowHeight="15"/>
  <cols>
    <col min="2" max="2" width="7.7109375" style="81" customWidth="1"/>
    <col min="3" max="3" width="79.42578125" style="82" bestFit="1" customWidth="1"/>
    <col min="4" max="4" width="11.7109375" style="83" bestFit="1" customWidth="1"/>
    <col min="5" max="5" width="7.28515625" style="82" bestFit="1" customWidth="1"/>
    <col min="6" max="6" width="12.28515625" style="84" bestFit="1" customWidth="1"/>
    <col min="7" max="8" width="12.7109375" style="82" bestFit="1" customWidth="1"/>
    <col min="9" max="10" width="11.42578125" style="82" bestFit="1" customWidth="1"/>
    <col min="11" max="11" width="12.7109375" style="82" bestFit="1" customWidth="1"/>
    <col min="12" max="12" width="11.42578125" style="82" bestFit="1" customWidth="1"/>
    <col min="13" max="13" width="10.7109375" style="82" bestFit="1" customWidth="1"/>
    <col min="14" max="15" width="9.7109375" style="82" bestFit="1" customWidth="1"/>
    <col min="16" max="16" width="9.140625" style="82"/>
  </cols>
  <sheetData>
    <row r="1" spans="2:7">
      <c r="B1" s="81" t="s">
        <v>7216</v>
      </c>
    </row>
    <row r="2" spans="2:7">
      <c r="B2" s="81">
        <v>10</v>
      </c>
      <c r="C2" s="82" t="s">
        <v>2991</v>
      </c>
      <c r="D2" s="83" t="s">
        <v>7217</v>
      </c>
      <c r="F2" s="84">
        <v>17500</v>
      </c>
      <c r="G2" s="85">
        <v>17500</v>
      </c>
    </row>
    <row r="3" spans="2:7">
      <c r="B3" s="81">
        <v>20</v>
      </c>
      <c r="C3" s="82" t="s">
        <v>7218</v>
      </c>
      <c r="D3" s="83" t="s">
        <v>7217</v>
      </c>
      <c r="F3" s="84">
        <v>33960</v>
      </c>
      <c r="G3" s="85">
        <v>33960</v>
      </c>
    </row>
    <row r="4" spans="2:7">
      <c r="C4" s="85"/>
    </row>
    <row r="5" spans="2:7">
      <c r="B5" s="81" t="s">
        <v>7219</v>
      </c>
    </row>
    <row r="6" spans="2:7">
      <c r="B6" s="81">
        <v>50</v>
      </c>
      <c r="C6" s="82" t="s">
        <v>6954</v>
      </c>
      <c r="D6" s="83" t="s">
        <v>7220</v>
      </c>
      <c r="F6" s="84">
        <v>1</v>
      </c>
      <c r="G6" s="85">
        <v>2600</v>
      </c>
    </row>
    <row r="7" spans="2:7">
      <c r="B7" s="81">
        <v>55</v>
      </c>
      <c r="C7" s="82" t="s">
        <v>7221</v>
      </c>
      <c r="D7" s="83" t="s">
        <v>7222</v>
      </c>
      <c r="F7" s="84">
        <v>800</v>
      </c>
      <c r="G7" s="85">
        <v>4800</v>
      </c>
    </row>
    <row r="8" spans="2:7">
      <c r="B8" s="81">
        <v>70</v>
      </c>
      <c r="C8" s="82" t="s">
        <v>6956</v>
      </c>
      <c r="D8" s="83" t="s">
        <v>7223</v>
      </c>
      <c r="F8" s="84">
        <v>250</v>
      </c>
      <c r="G8" s="85">
        <v>5500</v>
      </c>
    </row>
    <row r="9" spans="2:7">
      <c r="B9" s="81">
        <v>75</v>
      </c>
      <c r="C9" s="82" t="s">
        <v>7224</v>
      </c>
      <c r="D9" s="83" t="s">
        <v>7225</v>
      </c>
      <c r="F9" s="84">
        <v>10</v>
      </c>
      <c r="G9" s="85">
        <v>1000</v>
      </c>
    </row>
    <row r="10" spans="2:7">
      <c r="G10" s="85"/>
    </row>
    <row r="11" spans="2:7">
      <c r="B11" s="81" t="s">
        <v>7226</v>
      </c>
    </row>
    <row r="12" spans="2:7">
      <c r="B12" s="81">
        <v>108</v>
      </c>
      <c r="C12" s="82" t="s">
        <v>7227</v>
      </c>
      <c r="D12" s="83" t="s">
        <v>7217</v>
      </c>
      <c r="F12" s="84">
        <v>31000</v>
      </c>
      <c r="G12" s="85">
        <v>31000</v>
      </c>
    </row>
    <row r="13" spans="2:7">
      <c r="B13" s="81">
        <v>110</v>
      </c>
      <c r="C13" s="82" t="s">
        <v>7228</v>
      </c>
      <c r="D13" s="83" t="s">
        <v>7229</v>
      </c>
      <c r="F13" s="84">
        <v>4.5</v>
      </c>
      <c r="G13" s="85">
        <v>2700</v>
      </c>
    </row>
    <row r="14" spans="2:7">
      <c r="B14" s="81">
        <v>115</v>
      </c>
      <c r="C14" s="82" t="s">
        <v>7230</v>
      </c>
      <c r="D14" s="83" t="s">
        <v>7231</v>
      </c>
      <c r="F14" s="84">
        <v>12</v>
      </c>
      <c r="G14" s="85">
        <v>234000</v>
      </c>
    </row>
    <row r="15" spans="2:7">
      <c r="B15" s="81">
        <v>120</v>
      </c>
      <c r="C15" s="82" t="s">
        <v>7232</v>
      </c>
      <c r="D15" s="83" t="s">
        <v>7233</v>
      </c>
      <c r="F15" s="84">
        <v>0.35</v>
      </c>
      <c r="G15" s="85">
        <v>9905</v>
      </c>
    </row>
    <row r="16" spans="2:7">
      <c r="B16" s="81">
        <v>125</v>
      </c>
      <c r="C16" s="82" t="s">
        <v>7234</v>
      </c>
      <c r="D16" s="83" t="s">
        <v>7233</v>
      </c>
      <c r="F16" s="84">
        <v>1.2</v>
      </c>
      <c r="G16" s="85">
        <v>33960</v>
      </c>
    </row>
    <row r="17" spans="2:7">
      <c r="B17" s="81">
        <v>130</v>
      </c>
      <c r="C17" s="82" t="s">
        <v>7235</v>
      </c>
      <c r="D17" s="83" t="s">
        <v>7217</v>
      </c>
      <c r="F17" s="84">
        <v>34000</v>
      </c>
      <c r="G17" s="85">
        <v>34000</v>
      </c>
    </row>
    <row r="18" spans="2:7">
      <c r="B18" s="81">
        <v>135</v>
      </c>
      <c r="C18" s="82" t="s">
        <v>7236</v>
      </c>
      <c r="D18" s="83" t="s">
        <v>7237</v>
      </c>
      <c r="F18" s="84">
        <v>2.5</v>
      </c>
      <c r="G18" s="85">
        <v>10500</v>
      </c>
    </row>
    <row r="19" spans="2:7">
      <c r="G19" s="85"/>
    </row>
    <row r="20" spans="2:7">
      <c r="B20" s="81" t="s">
        <v>7238</v>
      </c>
    </row>
    <row r="21" spans="2:7">
      <c r="B21" s="81">
        <v>200</v>
      </c>
      <c r="C21" s="82" t="s">
        <v>7239</v>
      </c>
      <c r="D21" s="83" t="s">
        <v>7240</v>
      </c>
      <c r="F21" s="84">
        <v>4.8</v>
      </c>
      <c r="G21" s="85">
        <v>41280</v>
      </c>
    </row>
    <row r="22" spans="2:7">
      <c r="B22" s="81">
        <v>205</v>
      </c>
      <c r="C22" s="82" t="s">
        <v>7241</v>
      </c>
      <c r="D22" s="83" t="s">
        <v>7242</v>
      </c>
      <c r="F22" s="84">
        <v>11</v>
      </c>
      <c r="G22" s="85">
        <v>89100</v>
      </c>
    </row>
    <row r="23" spans="2:7">
      <c r="B23" s="81">
        <v>215</v>
      </c>
      <c r="C23" s="82" t="s">
        <v>7243</v>
      </c>
      <c r="D23" s="83" t="s">
        <v>7244</v>
      </c>
      <c r="F23" s="84">
        <v>6.6</v>
      </c>
      <c r="G23" s="85">
        <v>52800</v>
      </c>
    </row>
    <row r="24" spans="2:7">
      <c r="B24" s="81">
        <v>220</v>
      </c>
      <c r="C24" s="82" t="s">
        <v>7245</v>
      </c>
      <c r="D24" s="83" t="s">
        <v>7244</v>
      </c>
      <c r="F24" s="84">
        <v>7</v>
      </c>
      <c r="G24" s="85">
        <v>56000</v>
      </c>
    </row>
    <row r="25" spans="2:7">
      <c r="B25" s="81">
        <v>225</v>
      </c>
      <c r="C25" s="82" t="s">
        <v>7246</v>
      </c>
      <c r="D25" s="83" t="s">
        <v>7247</v>
      </c>
      <c r="F25" s="84">
        <v>51</v>
      </c>
      <c r="G25" s="85">
        <v>4335</v>
      </c>
    </row>
    <row r="26" spans="2:7">
      <c r="B26" s="81">
        <v>230</v>
      </c>
      <c r="C26" s="82" t="s">
        <v>7248</v>
      </c>
      <c r="D26" s="83" t="s">
        <v>7249</v>
      </c>
      <c r="F26" s="84">
        <v>6</v>
      </c>
      <c r="G26" s="85">
        <v>9000</v>
      </c>
    </row>
    <row r="27" spans="2:7">
      <c r="B27" s="81">
        <v>240</v>
      </c>
      <c r="C27" s="82" t="s">
        <v>7250</v>
      </c>
      <c r="D27" s="83" t="s">
        <v>7251</v>
      </c>
      <c r="F27" s="84">
        <v>11.2</v>
      </c>
      <c r="G27" s="85">
        <v>47600</v>
      </c>
    </row>
    <row r="28" spans="2:7">
      <c r="B28" s="81">
        <v>241</v>
      </c>
      <c r="C28" s="82" t="s">
        <v>7252</v>
      </c>
      <c r="D28" s="83" t="s">
        <v>7253</v>
      </c>
      <c r="F28" s="84">
        <v>17.2</v>
      </c>
      <c r="G28" s="85">
        <v>1892</v>
      </c>
    </row>
    <row r="29" spans="2:7">
      <c r="B29" s="81">
        <v>242</v>
      </c>
      <c r="C29" s="82" t="s">
        <v>7254</v>
      </c>
      <c r="D29" s="83" t="s">
        <v>7255</v>
      </c>
      <c r="F29" s="84">
        <v>19.2</v>
      </c>
      <c r="G29" s="85">
        <v>4800</v>
      </c>
    </row>
    <row r="30" spans="2:7">
      <c r="B30" s="81">
        <v>245</v>
      </c>
      <c r="C30" s="82" t="s">
        <v>7256</v>
      </c>
      <c r="D30" s="83" t="s">
        <v>7257</v>
      </c>
      <c r="F30" s="84">
        <v>21</v>
      </c>
      <c r="G30" s="85">
        <v>3045</v>
      </c>
    </row>
    <row r="31" spans="2:7">
      <c r="B31" s="81">
        <v>250</v>
      </c>
      <c r="C31" s="82" t="s">
        <v>7258</v>
      </c>
      <c r="D31" s="83" t="s">
        <v>7259</v>
      </c>
      <c r="F31" s="84">
        <v>3.8</v>
      </c>
      <c r="G31" s="85">
        <v>53200</v>
      </c>
    </row>
    <row r="32" spans="2:7">
      <c r="B32" s="81">
        <v>252</v>
      </c>
      <c r="C32" s="82" t="s">
        <v>7260</v>
      </c>
      <c r="D32" s="83" t="s">
        <v>7261</v>
      </c>
      <c r="F32" s="84">
        <v>7.2</v>
      </c>
      <c r="G32" s="85">
        <v>864</v>
      </c>
    </row>
    <row r="33" spans="2:7">
      <c r="B33" s="81">
        <v>255</v>
      </c>
      <c r="C33" s="82" t="s">
        <v>7262</v>
      </c>
      <c r="D33" s="83" t="s">
        <v>7263</v>
      </c>
      <c r="F33" s="84">
        <v>800</v>
      </c>
      <c r="G33" s="85">
        <v>5600</v>
      </c>
    </row>
    <row r="34" spans="2:7">
      <c r="B34" s="81">
        <v>256</v>
      </c>
      <c r="C34" s="82" t="s">
        <v>7264</v>
      </c>
      <c r="D34" s="83" t="s">
        <v>7265</v>
      </c>
      <c r="F34" s="84">
        <v>43</v>
      </c>
      <c r="G34" s="85">
        <v>27950</v>
      </c>
    </row>
    <row r="35" spans="2:7">
      <c r="B35" s="81">
        <v>260</v>
      </c>
      <c r="C35" s="82" t="s">
        <v>7266</v>
      </c>
      <c r="D35" s="83" t="s">
        <v>7217</v>
      </c>
      <c r="F35" s="84">
        <v>13650</v>
      </c>
      <c r="G35" s="85">
        <v>13650</v>
      </c>
    </row>
    <row r="36" spans="2:7">
      <c r="G36" s="85"/>
    </row>
    <row r="37" spans="2:7">
      <c r="B37" s="81" t="s">
        <v>7267</v>
      </c>
    </row>
    <row r="38" spans="2:7">
      <c r="B38" s="81">
        <v>300</v>
      </c>
      <c r="C38" s="82" t="s">
        <v>7268</v>
      </c>
      <c r="D38" s="83" t="s">
        <v>7269</v>
      </c>
      <c r="F38" s="84">
        <v>34</v>
      </c>
      <c r="G38" s="85">
        <v>1870</v>
      </c>
    </row>
    <row r="39" spans="2:7">
      <c r="B39" s="81">
        <v>305</v>
      </c>
      <c r="C39" s="82" t="s">
        <v>7270</v>
      </c>
      <c r="D39" s="83" t="s">
        <v>7271</v>
      </c>
      <c r="F39" s="84">
        <v>36</v>
      </c>
      <c r="G39" s="85">
        <v>2736</v>
      </c>
    </row>
    <row r="40" spans="2:7">
      <c r="B40" s="81">
        <v>310</v>
      </c>
      <c r="C40" s="82" t="s">
        <v>7272</v>
      </c>
      <c r="D40" s="83" t="s">
        <v>7273</v>
      </c>
      <c r="F40" s="84">
        <v>43</v>
      </c>
      <c r="G40" s="85">
        <v>11653</v>
      </c>
    </row>
    <row r="41" spans="2:7">
      <c r="B41" s="81">
        <v>315</v>
      </c>
      <c r="C41" s="82" t="s">
        <v>7274</v>
      </c>
      <c r="D41" s="83" t="s">
        <v>7275</v>
      </c>
      <c r="F41" s="84">
        <v>38</v>
      </c>
      <c r="G41" s="85">
        <v>21280</v>
      </c>
    </row>
    <row r="42" spans="2:7">
      <c r="B42" s="81">
        <v>320</v>
      </c>
      <c r="C42" s="82" t="s">
        <v>7276</v>
      </c>
      <c r="D42" s="83" t="s">
        <v>7277</v>
      </c>
      <c r="F42" s="84">
        <v>44</v>
      </c>
      <c r="G42" s="85">
        <v>20548</v>
      </c>
    </row>
    <row r="43" spans="2:7">
      <c r="B43" s="81">
        <v>325</v>
      </c>
      <c r="C43" s="82" t="s">
        <v>7278</v>
      </c>
      <c r="D43" s="83" t="s">
        <v>7279</v>
      </c>
      <c r="F43" s="84">
        <v>50</v>
      </c>
      <c r="G43" s="85">
        <v>7100</v>
      </c>
    </row>
    <row r="44" spans="2:7">
      <c r="B44" s="81">
        <v>330</v>
      </c>
      <c r="C44" s="82" t="s">
        <v>7280</v>
      </c>
      <c r="D44" s="83" t="s">
        <v>7281</v>
      </c>
      <c r="F44" s="84">
        <v>60</v>
      </c>
      <c r="G44" s="85">
        <v>106500</v>
      </c>
    </row>
    <row r="45" spans="2:7">
      <c r="B45" s="81">
        <v>332</v>
      </c>
      <c r="C45" s="82" t="s">
        <v>7282</v>
      </c>
      <c r="D45" s="83" t="s">
        <v>7283</v>
      </c>
      <c r="F45" s="84">
        <v>88</v>
      </c>
      <c r="G45" s="85">
        <v>5368</v>
      </c>
    </row>
    <row r="46" spans="2:7">
      <c r="B46" s="81">
        <v>335</v>
      </c>
      <c r="C46" s="82" t="s">
        <v>7284</v>
      </c>
      <c r="D46" s="83" t="s">
        <v>7285</v>
      </c>
      <c r="F46" s="84">
        <v>95</v>
      </c>
      <c r="G46" s="85">
        <v>14535</v>
      </c>
    </row>
    <row r="47" spans="2:7">
      <c r="B47" s="81">
        <v>340</v>
      </c>
      <c r="C47" s="82" t="s">
        <v>7286</v>
      </c>
      <c r="D47" s="83" t="s">
        <v>7287</v>
      </c>
      <c r="F47" s="84">
        <v>980</v>
      </c>
      <c r="G47" s="85">
        <v>3920</v>
      </c>
    </row>
    <row r="48" spans="2:7">
      <c r="B48" s="81">
        <v>345</v>
      </c>
      <c r="C48" s="82" t="s">
        <v>7288</v>
      </c>
      <c r="D48" s="83" t="s">
        <v>7289</v>
      </c>
      <c r="F48" s="84">
        <v>1700</v>
      </c>
      <c r="G48" s="85">
        <v>13600</v>
      </c>
    </row>
    <row r="49" spans="2:7">
      <c r="B49" s="81">
        <v>350</v>
      </c>
      <c r="C49" s="82" t="s">
        <v>7290</v>
      </c>
      <c r="D49" s="83" t="s">
        <v>7291</v>
      </c>
      <c r="F49" s="84">
        <v>4250</v>
      </c>
      <c r="G49" s="85">
        <v>4250</v>
      </c>
    </row>
    <row r="50" spans="2:7">
      <c r="B50" s="81">
        <v>355</v>
      </c>
      <c r="C50" s="82" t="s">
        <v>7292</v>
      </c>
      <c r="D50" s="83" t="s">
        <v>7291</v>
      </c>
      <c r="F50" s="84">
        <v>4100</v>
      </c>
      <c r="G50" s="85">
        <v>4100</v>
      </c>
    </row>
    <row r="51" spans="2:7">
      <c r="B51" s="81">
        <v>360</v>
      </c>
      <c r="C51" s="82" t="s">
        <v>7293</v>
      </c>
      <c r="D51" s="83" t="s">
        <v>7294</v>
      </c>
      <c r="F51" s="84">
        <v>5200</v>
      </c>
      <c r="G51" s="85">
        <v>26000</v>
      </c>
    </row>
    <row r="52" spans="2:7">
      <c r="B52" s="81">
        <v>362</v>
      </c>
      <c r="C52" s="82" t="s">
        <v>7295</v>
      </c>
      <c r="D52" s="83" t="s">
        <v>7291</v>
      </c>
      <c r="F52" s="84">
        <v>28000</v>
      </c>
      <c r="G52" s="85">
        <v>28000</v>
      </c>
    </row>
    <row r="53" spans="2:7">
      <c r="B53" s="81">
        <v>364</v>
      </c>
      <c r="C53" s="82" t="s">
        <v>7296</v>
      </c>
      <c r="D53" s="83" t="s">
        <v>7289</v>
      </c>
      <c r="F53" s="84">
        <v>4700</v>
      </c>
      <c r="G53" s="85">
        <v>37600</v>
      </c>
    </row>
    <row r="54" spans="2:7">
      <c r="B54" s="81">
        <v>366</v>
      </c>
      <c r="C54" s="82" t="s">
        <v>7297</v>
      </c>
      <c r="D54" s="83" t="s">
        <v>7298</v>
      </c>
      <c r="F54" s="84">
        <v>4600</v>
      </c>
      <c r="G54" s="85">
        <v>41400</v>
      </c>
    </row>
    <row r="55" spans="2:7">
      <c r="B55" s="81">
        <v>368</v>
      </c>
      <c r="C55" s="82" t="s">
        <v>7299</v>
      </c>
      <c r="D55" s="83" t="s">
        <v>7300</v>
      </c>
      <c r="F55" s="84">
        <v>4550</v>
      </c>
      <c r="G55" s="85">
        <v>9100</v>
      </c>
    </row>
    <row r="56" spans="2:7">
      <c r="B56" s="81">
        <v>369</v>
      </c>
      <c r="C56" s="82" t="s">
        <v>7301</v>
      </c>
      <c r="D56" s="83" t="s">
        <v>7291</v>
      </c>
      <c r="F56" s="84">
        <v>4400</v>
      </c>
      <c r="G56" s="85">
        <v>4400</v>
      </c>
    </row>
    <row r="57" spans="2:7">
      <c r="B57" s="81">
        <v>370</v>
      </c>
      <c r="C57" s="82" t="s">
        <v>7302</v>
      </c>
      <c r="D57" s="83" t="s">
        <v>7291</v>
      </c>
      <c r="F57" s="84">
        <v>5400</v>
      </c>
      <c r="G57" s="85">
        <v>5400</v>
      </c>
    </row>
    <row r="58" spans="2:7">
      <c r="B58" s="81">
        <v>380</v>
      </c>
      <c r="C58" s="82" t="s">
        <v>7303</v>
      </c>
      <c r="D58" s="83" t="s">
        <v>7304</v>
      </c>
      <c r="F58" s="84">
        <v>10</v>
      </c>
      <c r="G58" s="85">
        <v>35600</v>
      </c>
    </row>
    <row r="59" spans="2:7">
      <c r="B59" s="81">
        <v>385</v>
      </c>
      <c r="C59" s="82" t="s">
        <v>7305</v>
      </c>
      <c r="D59" s="83" t="s">
        <v>7304</v>
      </c>
      <c r="F59" s="84">
        <v>5</v>
      </c>
      <c r="G59" s="85">
        <v>17800</v>
      </c>
    </row>
    <row r="60" spans="2:7">
      <c r="G60" s="85"/>
    </row>
    <row r="61" spans="2:7">
      <c r="B61" s="81" t="s">
        <v>7306</v>
      </c>
    </row>
    <row r="62" spans="2:7">
      <c r="B62" s="81">
        <v>405</v>
      </c>
      <c r="C62" s="82" t="s">
        <v>7307</v>
      </c>
      <c r="D62" s="83" t="s">
        <v>7308</v>
      </c>
      <c r="F62" s="84">
        <v>46</v>
      </c>
      <c r="G62" s="85">
        <v>1380</v>
      </c>
    </row>
    <row r="63" spans="2:7">
      <c r="B63" s="81">
        <v>410</v>
      </c>
      <c r="C63" s="82" t="s">
        <v>7309</v>
      </c>
      <c r="D63" s="83" t="s">
        <v>7310</v>
      </c>
      <c r="F63" s="84">
        <v>50</v>
      </c>
      <c r="G63" s="85">
        <v>11000</v>
      </c>
    </row>
    <row r="64" spans="2:7">
      <c r="B64" s="81">
        <v>415</v>
      </c>
      <c r="C64" s="82" t="s">
        <v>7311</v>
      </c>
      <c r="D64" s="83" t="s">
        <v>7291</v>
      </c>
      <c r="F64" s="84">
        <v>6500</v>
      </c>
      <c r="G64" s="85">
        <v>6500</v>
      </c>
    </row>
    <row r="65" spans="2:7">
      <c r="B65" s="81">
        <v>420</v>
      </c>
      <c r="C65" s="82" t="s">
        <v>7312</v>
      </c>
      <c r="D65" s="83" t="s">
        <v>7291</v>
      </c>
      <c r="F65" s="84">
        <v>7600</v>
      </c>
      <c r="G65" s="85">
        <v>7600</v>
      </c>
    </row>
    <row r="66" spans="2:7">
      <c r="B66" s="81">
        <v>425</v>
      </c>
      <c r="C66" s="82" t="s">
        <v>7313</v>
      </c>
      <c r="D66" s="83" t="s">
        <v>7314</v>
      </c>
      <c r="F66" s="84">
        <v>40</v>
      </c>
      <c r="G66" s="85">
        <v>11120</v>
      </c>
    </row>
    <row r="67" spans="2:7">
      <c r="B67" s="81">
        <v>426</v>
      </c>
      <c r="C67" s="82" t="s">
        <v>7315</v>
      </c>
      <c r="D67" s="83" t="s">
        <v>7217</v>
      </c>
      <c r="F67" s="84">
        <v>2700</v>
      </c>
      <c r="G67" s="85">
        <v>2700</v>
      </c>
    </row>
    <row r="68" spans="2:7">
      <c r="B68" s="81">
        <v>428</v>
      </c>
      <c r="C68" s="82" t="s">
        <v>233</v>
      </c>
      <c r="D68" s="83" t="s">
        <v>7300</v>
      </c>
      <c r="F68" s="84">
        <v>10000</v>
      </c>
      <c r="G68" s="85">
        <v>20000</v>
      </c>
    </row>
    <row r="69" spans="2:7">
      <c r="B69" s="81">
        <v>440</v>
      </c>
      <c r="C69" s="82" t="s">
        <v>7316</v>
      </c>
      <c r="D69" s="83" t="s">
        <v>7255</v>
      </c>
      <c r="F69" s="84">
        <v>10</v>
      </c>
      <c r="G69" s="85">
        <v>2500</v>
      </c>
    </row>
    <row r="70" spans="2:7">
      <c r="B70" s="81">
        <v>445</v>
      </c>
      <c r="C70" s="82" t="s">
        <v>7317</v>
      </c>
      <c r="D70" s="83" t="s">
        <v>7255</v>
      </c>
      <c r="F70" s="84">
        <v>5</v>
      </c>
      <c r="G70" s="85">
        <v>1250</v>
      </c>
    </row>
    <row r="71" spans="2:7">
      <c r="G71" s="85"/>
    </row>
    <row r="72" spans="2:7">
      <c r="B72" s="81" t="s">
        <v>7318</v>
      </c>
    </row>
    <row r="73" spans="2:7">
      <c r="B73" s="81">
        <v>460</v>
      </c>
      <c r="C73" s="82" t="s">
        <v>7319</v>
      </c>
      <c r="D73" s="83" t="s">
        <v>7320</v>
      </c>
      <c r="F73" s="84">
        <v>45</v>
      </c>
      <c r="G73" s="85">
        <v>13725</v>
      </c>
    </row>
    <row r="74" spans="2:7">
      <c r="B74" s="81">
        <v>470</v>
      </c>
      <c r="C74" s="82" t="s">
        <v>7321</v>
      </c>
      <c r="D74" s="83" t="s">
        <v>7217</v>
      </c>
      <c r="F74" s="84">
        <v>2300</v>
      </c>
      <c r="G74" s="85">
        <v>2300</v>
      </c>
    </row>
    <row r="75" spans="2:7">
      <c r="B75" s="81">
        <v>475</v>
      </c>
      <c r="C75" s="82" t="s">
        <v>7322</v>
      </c>
      <c r="D75" s="83" t="s">
        <v>7217</v>
      </c>
      <c r="F75" s="84">
        <v>132000</v>
      </c>
      <c r="G75" s="85">
        <v>132000</v>
      </c>
    </row>
    <row r="76" spans="2:7">
      <c r="B76" s="81">
        <v>485</v>
      </c>
      <c r="C76" s="82" t="s">
        <v>7316</v>
      </c>
      <c r="D76" s="83" t="s">
        <v>7320</v>
      </c>
      <c r="F76" s="84">
        <v>10</v>
      </c>
      <c r="G76" s="85">
        <v>3050</v>
      </c>
    </row>
    <row r="77" spans="2:7">
      <c r="B77" s="81">
        <v>490</v>
      </c>
      <c r="C77" s="82" t="s">
        <v>7323</v>
      </c>
      <c r="D77" s="83" t="s">
        <v>7320</v>
      </c>
      <c r="F77" s="84">
        <v>5</v>
      </c>
      <c r="G77" s="85">
        <v>1525</v>
      </c>
    </row>
    <row r="78" spans="2:7">
      <c r="G78" s="85"/>
    </row>
    <row r="79" spans="2:7">
      <c r="B79" s="81" t="s">
        <v>7324</v>
      </c>
    </row>
    <row r="80" spans="2:7">
      <c r="B80" s="81">
        <v>505</v>
      </c>
      <c r="C80" s="82" t="s">
        <v>7325</v>
      </c>
      <c r="D80" s="83" t="s">
        <v>7326</v>
      </c>
      <c r="F80" s="84">
        <v>30</v>
      </c>
      <c r="G80" s="85">
        <v>40290</v>
      </c>
    </row>
    <row r="81" spans="2:7">
      <c r="B81" s="81">
        <v>506</v>
      </c>
      <c r="C81" s="82" t="s">
        <v>7327</v>
      </c>
      <c r="D81" s="83" t="s">
        <v>7328</v>
      </c>
      <c r="F81" s="84">
        <v>45</v>
      </c>
      <c r="G81" s="85">
        <v>2250</v>
      </c>
    </row>
    <row r="82" spans="2:7">
      <c r="B82" s="81">
        <v>510</v>
      </c>
      <c r="C82" s="82" t="s">
        <v>7329</v>
      </c>
      <c r="D82" s="83" t="s">
        <v>7287</v>
      </c>
      <c r="F82" s="84">
        <v>2600</v>
      </c>
      <c r="G82" s="85">
        <v>10400</v>
      </c>
    </row>
    <row r="83" spans="2:7">
      <c r="B83" s="81">
        <v>515</v>
      </c>
      <c r="C83" s="82" t="s">
        <v>7330</v>
      </c>
      <c r="D83" s="83" t="s">
        <v>7253</v>
      </c>
      <c r="F83" s="84">
        <v>28</v>
      </c>
      <c r="G83" s="85">
        <v>3080</v>
      </c>
    </row>
    <row r="84" spans="2:7">
      <c r="B84" s="81">
        <v>520</v>
      </c>
      <c r="C84" s="82" t="s">
        <v>7331</v>
      </c>
      <c r="D84" s="83" t="s">
        <v>7300</v>
      </c>
      <c r="F84" s="84">
        <v>2350</v>
      </c>
      <c r="G84" s="85">
        <v>4700</v>
      </c>
    </row>
    <row r="85" spans="2:7">
      <c r="B85" s="81">
        <v>525</v>
      </c>
      <c r="C85" s="82" t="s">
        <v>7332</v>
      </c>
      <c r="D85" s="83" t="s">
        <v>7217</v>
      </c>
      <c r="F85" s="84">
        <v>22000</v>
      </c>
      <c r="G85" s="85">
        <v>22000</v>
      </c>
    </row>
    <row r="86" spans="2:7">
      <c r="B86" s="81">
        <v>530</v>
      </c>
      <c r="C86" s="82" t="s">
        <v>7333</v>
      </c>
      <c r="D86" s="83" t="s">
        <v>7287</v>
      </c>
      <c r="F86" s="84">
        <v>5300</v>
      </c>
      <c r="G86" s="85">
        <v>21200</v>
      </c>
    </row>
    <row r="87" spans="2:7">
      <c r="B87" s="81">
        <v>535</v>
      </c>
      <c r="C87" s="82" t="s">
        <v>7334</v>
      </c>
      <c r="D87" s="83" t="s">
        <v>7291</v>
      </c>
      <c r="F87" s="84">
        <v>1800</v>
      </c>
      <c r="G87" s="85">
        <v>1800</v>
      </c>
    </row>
    <row r="88" spans="2:7">
      <c r="B88" s="81">
        <v>540</v>
      </c>
      <c r="C88" s="82" t="s">
        <v>7321</v>
      </c>
      <c r="D88" s="83" t="s">
        <v>7217</v>
      </c>
      <c r="F88" s="84">
        <v>3550</v>
      </c>
      <c r="G88" s="85">
        <v>3550</v>
      </c>
    </row>
    <row r="89" spans="2:7">
      <c r="B89" s="81">
        <v>545</v>
      </c>
      <c r="C89" s="82" t="s">
        <v>7335</v>
      </c>
      <c r="D89" s="83" t="s">
        <v>7291</v>
      </c>
      <c r="F89" s="84">
        <v>2500</v>
      </c>
      <c r="G89" s="85">
        <v>2500</v>
      </c>
    </row>
    <row r="90" spans="2:7">
      <c r="B90" s="81">
        <v>550</v>
      </c>
      <c r="C90" s="82" t="s">
        <v>7336</v>
      </c>
      <c r="D90" s="83" t="s">
        <v>7217</v>
      </c>
      <c r="F90" s="84">
        <v>2800</v>
      </c>
      <c r="G90" s="85">
        <v>2800</v>
      </c>
    </row>
    <row r="91" spans="2:7">
      <c r="G91" s="85"/>
    </row>
    <row r="92" spans="2:7">
      <c r="B92" s="81" t="s">
        <v>7337</v>
      </c>
    </row>
    <row r="93" spans="2:7">
      <c r="B93" s="81">
        <v>600</v>
      </c>
      <c r="C93" s="82" t="s">
        <v>7338</v>
      </c>
      <c r="D93" s="83" t="s">
        <v>7339</v>
      </c>
      <c r="F93" s="84">
        <v>70</v>
      </c>
      <c r="G93" s="85">
        <v>9450</v>
      </c>
    </row>
    <row r="94" spans="2:7">
      <c r="B94" s="81">
        <v>605</v>
      </c>
      <c r="C94" s="82" t="s">
        <v>7340</v>
      </c>
      <c r="D94" s="83" t="s">
        <v>7291</v>
      </c>
      <c r="F94" s="84">
        <v>10000</v>
      </c>
      <c r="G94" s="85">
        <v>10000</v>
      </c>
    </row>
    <row r="95" spans="2:7">
      <c r="B95" s="81">
        <v>610</v>
      </c>
      <c r="C95" s="82" t="s">
        <v>7341</v>
      </c>
      <c r="D95" s="83" t="s">
        <v>7342</v>
      </c>
      <c r="F95" s="84">
        <v>28</v>
      </c>
      <c r="G95" s="85">
        <v>420</v>
      </c>
    </row>
    <row r="96" spans="2:7">
      <c r="B96" s="81">
        <v>615</v>
      </c>
      <c r="C96" s="82" t="s">
        <v>7343</v>
      </c>
      <c r="D96" s="83" t="s">
        <v>7217</v>
      </c>
      <c r="F96" s="84">
        <v>2100</v>
      </c>
      <c r="G96" s="85">
        <v>2100</v>
      </c>
    </row>
    <row r="97" spans="2:10">
      <c r="B97" s="81">
        <v>620</v>
      </c>
      <c r="C97" s="82" t="s">
        <v>7344</v>
      </c>
      <c r="D97" s="83" t="s">
        <v>7291</v>
      </c>
      <c r="F97" s="84">
        <v>2500</v>
      </c>
      <c r="G97" s="85">
        <v>2500</v>
      </c>
    </row>
    <row r="98" spans="2:10">
      <c r="B98" s="81">
        <v>625</v>
      </c>
      <c r="C98" s="82" t="s">
        <v>7345</v>
      </c>
      <c r="D98" s="83" t="s">
        <v>7291</v>
      </c>
      <c r="F98" s="84">
        <v>1800</v>
      </c>
      <c r="G98" s="85">
        <v>1800</v>
      </c>
    </row>
    <row r="99" spans="2:10">
      <c r="B99" s="81">
        <v>630</v>
      </c>
      <c r="C99" s="82" t="s">
        <v>7346</v>
      </c>
      <c r="D99" s="83" t="s">
        <v>7217</v>
      </c>
      <c r="F99" s="84">
        <v>2200</v>
      </c>
      <c r="G99" s="85">
        <v>2200</v>
      </c>
    </row>
    <row r="100" spans="2:10">
      <c r="G100" s="85"/>
    </row>
    <row r="101" spans="2:10">
      <c r="B101" s="81" t="s">
        <v>7216</v>
      </c>
    </row>
    <row r="102" spans="2:10">
      <c r="B102" s="81">
        <v>10</v>
      </c>
      <c r="C102" s="82" t="s">
        <v>2991</v>
      </c>
      <c r="D102" s="83" t="s">
        <v>7217</v>
      </c>
      <c r="F102" s="84">
        <v>17500</v>
      </c>
      <c r="G102" s="85">
        <v>17500</v>
      </c>
    </row>
    <row r="103" spans="2:10">
      <c r="B103" s="81">
        <v>20</v>
      </c>
      <c r="C103" s="82" t="s">
        <v>7218</v>
      </c>
      <c r="D103" s="83" t="s">
        <v>7217</v>
      </c>
      <c r="F103" s="84">
        <v>12040</v>
      </c>
      <c r="G103" s="85">
        <v>12040</v>
      </c>
    </row>
    <row r="104" spans="2:10">
      <c r="B104" s="81">
        <v>30</v>
      </c>
      <c r="C104" s="82" t="s">
        <v>7347</v>
      </c>
      <c r="D104" s="83" t="s">
        <v>7217</v>
      </c>
      <c r="F104" s="84">
        <v>10000</v>
      </c>
      <c r="G104" s="85">
        <v>10000</v>
      </c>
    </row>
    <row r="105" spans="2:10">
      <c r="C105" s="85"/>
    </row>
    <row r="106" spans="2:10">
      <c r="B106" s="81" t="s">
        <v>7219</v>
      </c>
    </row>
    <row r="107" spans="2:10">
      <c r="B107" s="81">
        <v>50</v>
      </c>
      <c r="C107" s="82" t="s">
        <v>6954</v>
      </c>
      <c r="D107" s="83" t="s">
        <v>7348</v>
      </c>
      <c r="F107" s="84">
        <v>1</v>
      </c>
      <c r="G107" s="85">
        <v>1700</v>
      </c>
    </row>
    <row r="108" spans="2:10">
      <c r="B108" s="81">
        <v>55</v>
      </c>
      <c r="C108" s="82" t="s">
        <v>7221</v>
      </c>
      <c r="F108" s="84" t="s">
        <v>7222</v>
      </c>
      <c r="H108" s="85">
        <v>800</v>
      </c>
      <c r="J108" s="85">
        <v>4800</v>
      </c>
    </row>
    <row r="109" spans="2:10">
      <c r="B109" s="81">
        <v>60</v>
      </c>
      <c r="C109" s="82" t="s">
        <v>7349</v>
      </c>
      <c r="F109" s="84" t="s">
        <v>7291</v>
      </c>
      <c r="G109" s="85">
        <v>3200</v>
      </c>
      <c r="I109" s="85">
        <v>3200</v>
      </c>
    </row>
    <row r="110" spans="2:10">
      <c r="B110" s="81">
        <v>65</v>
      </c>
      <c r="C110" s="82" t="s">
        <v>7350</v>
      </c>
      <c r="D110" s="83" t="s">
        <v>7351</v>
      </c>
      <c r="F110" s="84">
        <v>1870</v>
      </c>
      <c r="G110" s="85">
        <v>22440</v>
      </c>
    </row>
    <row r="111" spans="2:10">
      <c r="B111" s="81">
        <v>70</v>
      </c>
      <c r="C111" s="82" t="s">
        <v>6956</v>
      </c>
      <c r="F111" s="84" t="s">
        <v>7289</v>
      </c>
      <c r="H111" s="85">
        <v>250</v>
      </c>
      <c r="J111" s="85">
        <v>2000</v>
      </c>
    </row>
    <row r="112" spans="2:10">
      <c r="C112" s="85"/>
    </row>
    <row r="113" spans="2:14">
      <c r="B113" s="81" t="s">
        <v>7226</v>
      </c>
    </row>
    <row r="114" spans="2:14">
      <c r="B114" s="81">
        <v>100</v>
      </c>
      <c r="C114" s="82" t="s">
        <v>7352</v>
      </c>
      <c r="D114" s="83" t="s">
        <v>7353</v>
      </c>
      <c r="F114" s="84">
        <v>5</v>
      </c>
      <c r="G114" s="85">
        <v>4500</v>
      </c>
    </row>
    <row r="115" spans="2:14">
      <c r="B115" s="81">
        <v>105</v>
      </c>
      <c r="C115" s="82" t="s">
        <v>7354</v>
      </c>
      <c r="H115" s="82" t="s">
        <v>7217</v>
      </c>
      <c r="J115" s="85">
        <v>2600</v>
      </c>
      <c r="M115" s="85">
        <v>2600</v>
      </c>
    </row>
    <row r="116" spans="2:14">
      <c r="B116" s="81">
        <v>108</v>
      </c>
      <c r="C116" s="82" t="s">
        <v>7227</v>
      </c>
      <c r="H116" s="82" t="s">
        <v>7217</v>
      </c>
      <c r="I116" s="85">
        <v>13400</v>
      </c>
      <c r="K116" s="85">
        <v>13400</v>
      </c>
    </row>
    <row r="117" spans="2:14">
      <c r="B117" s="81">
        <v>110</v>
      </c>
      <c r="C117" s="82" t="s">
        <v>7228</v>
      </c>
      <c r="G117" s="82" t="s">
        <v>7355</v>
      </c>
      <c r="K117" s="85">
        <v>4.5</v>
      </c>
      <c r="N117" s="85">
        <v>3150</v>
      </c>
    </row>
    <row r="118" spans="2:14">
      <c r="B118" s="81">
        <v>115</v>
      </c>
      <c r="C118" s="82" t="s">
        <v>7230</v>
      </c>
      <c r="D118" s="83" t="s">
        <v>7356</v>
      </c>
      <c r="H118" s="85">
        <v>12</v>
      </c>
      <c r="I118" s="85">
        <v>138000</v>
      </c>
    </row>
    <row r="119" spans="2:14">
      <c r="B119" s="81">
        <v>120</v>
      </c>
      <c r="C119" s="82" t="s">
        <v>7232</v>
      </c>
      <c r="D119" s="83" t="s">
        <v>7357</v>
      </c>
      <c r="I119" s="85">
        <v>0.35</v>
      </c>
      <c r="L119" s="85">
        <v>4060</v>
      </c>
    </row>
    <row r="120" spans="2:14">
      <c r="B120" s="81">
        <v>125</v>
      </c>
      <c r="C120" s="82" t="s">
        <v>7234</v>
      </c>
      <c r="D120" s="83" t="s">
        <v>7357</v>
      </c>
      <c r="I120" s="85">
        <v>1.2</v>
      </c>
      <c r="K120" s="85">
        <v>13920</v>
      </c>
    </row>
    <row r="121" spans="2:14">
      <c r="B121" s="81">
        <v>135</v>
      </c>
      <c r="C121" s="82" t="s">
        <v>7236</v>
      </c>
      <c r="F121" s="84" t="s">
        <v>7358</v>
      </c>
      <c r="J121" s="85">
        <v>2.5</v>
      </c>
      <c r="M121" s="85">
        <v>9500</v>
      </c>
    </row>
    <row r="122" spans="2:14">
      <c r="C122" s="85"/>
    </row>
    <row r="123" spans="2:14">
      <c r="B123" s="81" t="s">
        <v>7238</v>
      </c>
    </row>
    <row r="124" spans="2:14">
      <c r="B124" s="81">
        <v>200</v>
      </c>
      <c r="C124" s="82" t="s">
        <v>7239</v>
      </c>
      <c r="D124" s="83" t="s">
        <v>7359</v>
      </c>
      <c r="F124" s="84">
        <v>4.8</v>
      </c>
      <c r="G124" s="85">
        <v>11520</v>
      </c>
    </row>
    <row r="125" spans="2:14">
      <c r="B125" s="81">
        <v>205</v>
      </c>
      <c r="C125" s="82" t="s">
        <v>7241</v>
      </c>
      <c r="D125" s="83" t="s">
        <v>7360</v>
      </c>
      <c r="F125" s="84">
        <v>11</v>
      </c>
      <c r="G125" s="85">
        <v>25300</v>
      </c>
    </row>
    <row r="126" spans="2:14">
      <c r="B126" s="81">
        <v>210</v>
      </c>
      <c r="C126" s="82" t="s">
        <v>7361</v>
      </c>
      <c r="F126" s="84" t="s">
        <v>7362</v>
      </c>
      <c r="G126" s="85">
        <v>14.2</v>
      </c>
      <c r="I126" s="85">
        <v>2130</v>
      </c>
    </row>
    <row r="127" spans="2:14">
      <c r="B127" s="81">
        <v>215</v>
      </c>
      <c r="C127" s="82" t="s">
        <v>7243</v>
      </c>
      <c r="D127" s="83" t="s">
        <v>7363</v>
      </c>
      <c r="G127" s="85">
        <v>6.6</v>
      </c>
      <c r="H127" s="85">
        <v>14520</v>
      </c>
    </row>
    <row r="128" spans="2:14">
      <c r="B128" s="81">
        <v>220</v>
      </c>
      <c r="C128" s="82" t="s">
        <v>7245</v>
      </c>
      <c r="D128" s="83" t="s">
        <v>7363</v>
      </c>
      <c r="G128" s="85">
        <v>7</v>
      </c>
      <c r="H128" s="85">
        <v>15400</v>
      </c>
    </row>
    <row r="129" spans="2:10">
      <c r="B129" s="81">
        <v>225</v>
      </c>
      <c r="C129" s="82" t="s">
        <v>7364</v>
      </c>
      <c r="G129" s="82" t="s">
        <v>7365</v>
      </c>
      <c r="H129" s="85">
        <v>51</v>
      </c>
      <c r="J129" s="85">
        <v>3315</v>
      </c>
    </row>
    <row r="130" spans="2:10">
      <c r="B130" s="81" t="s">
        <v>7366</v>
      </c>
    </row>
    <row r="131" spans="2:10">
      <c r="B131" s="81">
        <v>240</v>
      </c>
      <c r="C131" s="82" t="s">
        <v>7250</v>
      </c>
      <c r="D131" s="83" t="s">
        <v>7367</v>
      </c>
      <c r="F131" s="84">
        <v>11.2</v>
      </c>
      <c r="G131" s="85">
        <v>7840</v>
      </c>
    </row>
    <row r="132" spans="2:10">
      <c r="B132" s="81">
        <v>245</v>
      </c>
      <c r="C132" s="82" t="s">
        <v>7256</v>
      </c>
      <c r="D132" s="83" t="s">
        <v>7368</v>
      </c>
      <c r="H132" s="85">
        <v>21</v>
      </c>
      <c r="I132" s="85">
        <v>6720</v>
      </c>
    </row>
    <row r="133" spans="2:10">
      <c r="B133" s="81">
        <v>250</v>
      </c>
      <c r="C133" s="82" t="s">
        <v>7258</v>
      </c>
      <c r="D133" s="83" t="s">
        <v>7369</v>
      </c>
      <c r="I133" s="85">
        <v>3.8</v>
      </c>
      <c r="J133" s="85">
        <v>2470</v>
      </c>
    </row>
    <row r="134" spans="2:10">
      <c r="B134" s="81">
        <v>255</v>
      </c>
      <c r="C134" s="82" t="s">
        <v>7262</v>
      </c>
      <c r="F134" s="84" t="s">
        <v>7287</v>
      </c>
      <c r="H134" s="85">
        <v>800</v>
      </c>
      <c r="I134" s="85">
        <v>3200</v>
      </c>
    </row>
    <row r="135" spans="2:10">
      <c r="B135" s="81">
        <v>260</v>
      </c>
      <c r="C135" s="82" t="s">
        <v>7266</v>
      </c>
      <c r="F135" s="84" t="s">
        <v>7217</v>
      </c>
      <c r="G135" s="85">
        <v>6050</v>
      </c>
      <c r="H135" s="85">
        <v>6050</v>
      </c>
    </row>
    <row r="136" spans="2:10">
      <c r="C136" s="85"/>
    </row>
    <row r="137" spans="2:10">
      <c r="B137" s="81" t="s">
        <v>7370</v>
      </c>
    </row>
    <row r="138" spans="2:10">
      <c r="B138" s="81">
        <v>265</v>
      </c>
      <c r="C138" s="86" t="s">
        <v>7239</v>
      </c>
      <c r="D138" s="83" t="s">
        <v>7371</v>
      </c>
      <c r="F138" s="84">
        <v>5.3</v>
      </c>
      <c r="G138" s="85">
        <v>1113</v>
      </c>
    </row>
    <row r="139" spans="2:10">
      <c r="B139" s="81">
        <v>270</v>
      </c>
      <c r="C139" s="82" t="s">
        <v>7372</v>
      </c>
      <c r="D139" s="83" t="s">
        <v>7373</v>
      </c>
      <c r="F139" s="84">
        <v>16.8</v>
      </c>
      <c r="G139" s="83"/>
      <c r="H139" s="85">
        <v>3360</v>
      </c>
    </row>
    <row r="140" spans="2:10">
      <c r="B140" s="81">
        <v>275</v>
      </c>
      <c r="C140" s="82" t="s">
        <v>7374</v>
      </c>
      <c r="D140" s="83" t="s">
        <v>7373</v>
      </c>
      <c r="F140" s="84">
        <v>75</v>
      </c>
      <c r="G140" s="85">
        <v>15000</v>
      </c>
    </row>
    <row r="141" spans="2:10">
      <c r="B141" s="81">
        <v>280</v>
      </c>
      <c r="C141" s="82" t="s">
        <v>7375</v>
      </c>
      <c r="D141" s="83" t="s">
        <v>7373</v>
      </c>
      <c r="F141" s="84">
        <v>72</v>
      </c>
      <c r="G141" s="85">
        <v>14400</v>
      </c>
    </row>
    <row r="142" spans="2:10">
      <c r="B142" s="81">
        <v>285</v>
      </c>
      <c r="C142" s="82" t="s">
        <v>7376</v>
      </c>
      <c r="D142" s="83" t="s">
        <v>7253</v>
      </c>
      <c r="G142" s="85">
        <v>0</v>
      </c>
      <c r="J142" s="85">
        <v>0</v>
      </c>
    </row>
    <row r="144" spans="2:10">
      <c r="B144" s="81" t="s">
        <v>7377</v>
      </c>
    </row>
    <row r="145" spans="2:67">
      <c r="B145" s="81">
        <v>300</v>
      </c>
      <c r="C145" s="87" t="s">
        <v>7268</v>
      </c>
      <c r="D145" s="83">
        <v>55</v>
      </c>
      <c r="E145" s="81" t="s">
        <v>48</v>
      </c>
      <c r="F145" s="84">
        <v>34</v>
      </c>
      <c r="G145" s="84">
        <v>1870</v>
      </c>
    </row>
    <row r="146" spans="2:67">
      <c r="B146" s="81">
        <v>305</v>
      </c>
      <c r="C146" s="87" t="s">
        <v>7270</v>
      </c>
      <c r="D146" s="83">
        <v>76</v>
      </c>
      <c r="E146" s="81" t="s">
        <v>48</v>
      </c>
      <c r="F146" s="84">
        <v>36</v>
      </c>
      <c r="G146" s="84">
        <v>2736</v>
      </c>
      <c r="I146" s="85"/>
      <c r="Q146" s="88"/>
      <c r="W146" s="88"/>
      <c r="AC146" s="88"/>
      <c r="AJ146" s="88"/>
      <c r="AQ146" s="88"/>
      <c r="AY146" s="88"/>
      <c r="BG146" s="88"/>
      <c r="BN146" s="88"/>
      <c r="BO146" s="88"/>
    </row>
    <row r="147" spans="2:67">
      <c r="B147" s="81">
        <v>310</v>
      </c>
      <c r="C147" s="87" t="s">
        <v>7272</v>
      </c>
      <c r="D147" s="83">
        <v>271</v>
      </c>
      <c r="E147" s="81" t="s">
        <v>48</v>
      </c>
      <c r="F147" s="84">
        <v>43</v>
      </c>
      <c r="G147" s="84">
        <v>11653</v>
      </c>
      <c r="I147" s="85"/>
      <c r="Q147" s="88"/>
      <c r="W147" s="88"/>
      <c r="AC147" s="88"/>
      <c r="AJ147" s="88"/>
      <c r="AQ147" s="88"/>
      <c r="AY147" s="88"/>
      <c r="BG147" s="88"/>
      <c r="BN147" s="88"/>
      <c r="BO147" s="88"/>
    </row>
    <row r="148" spans="2:67">
      <c r="B148" s="81">
        <v>315</v>
      </c>
      <c r="C148" s="81" t="s">
        <v>7274</v>
      </c>
      <c r="D148" s="83">
        <v>560</v>
      </c>
      <c r="E148" s="81" t="s">
        <v>48</v>
      </c>
      <c r="F148" s="84">
        <v>38</v>
      </c>
      <c r="G148" s="84">
        <v>21280</v>
      </c>
    </row>
    <row r="149" spans="2:67">
      <c r="B149" s="81">
        <v>320</v>
      </c>
      <c r="C149" s="81" t="s">
        <v>7276</v>
      </c>
      <c r="D149" s="83">
        <v>467</v>
      </c>
      <c r="E149" s="81" t="s">
        <v>48</v>
      </c>
      <c r="F149" s="84">
        <v>44</v>
      </c>
      <c r="G149" s="84">
        <v>20548</v>
      </c>
      <c r="H149" s="85"/>
    </row>
    <row r="150" spans="2:67">
      <c r="B150" s="81">
        <v>325</v>
      </c>
      <c r="C150" s="81" t="s">
        <v>7278</v>
      </c>
      <c r="D150" s="83">
        <v>142</v>
      </c>
      <c r="E150" s="81" t="s">
        <v>48</v>
      </c>
      <c r="F150" s="84">
        <v>50</v>
      </c>
      <c r="G150" s="84">
        <v>7100</v>
      </c>
      <c r="H150" s="85"/>
    </row>
    <row r="151" spans="2:67">
      <c r="B151" s="81">
        <v>330</v>
      </c>
      <c r="C151" s="81" t="s">
        <v>7280</v>
      </c>
      <c r="D151" s="83">
        <v>1775</v>
      </c>
      <c r="E151" s="81" t="s">
        <v>48</v>
      </c>
      <c r="F151" s="84">
        <v>60</v>
      </c>
      <c r="G151" s="84">
        <v>106500</v>
      </c>
    </row>
    <row r="152" spans="2:67">
      <c r="B152" s="81">
        <v>332</v>
      </c>
      <c r="C152" s="81" t="s">
        <v>7282</v>
      </c>
      <c r="D152" s="83">
        <v>61</v>
      </c>
      <c r="E152" s="81" t="s">
        <v>48</v>
      </c>
      <c r="F152" s="84">
        <v>88</v>
      </c>
      <c r="G152" s="84">
        <v>5368</v>
      </c>
    </row>
    <row r="153" spans="2:67">
      <c r="B153" s="81">
        <v>335</v>
      </c>
      <c r="C153" s="81" t="s">
        <v>7284</v>
      </c>
      <c r="D153" s="83">
        <v>153</v>
      </c>
      <c r="E153" s="81" t="s">
        <v>48</v>
      </c>
      <c r="F153" s="84">
        <v>95</v>
      </c>
      <c r="G153" s="84">
        <v>14535</v>
      </c>
    </row>
    <row r="154" spans="2:67">
      <c r="B154" s="81">
        <v>340</v>
      </c>
      <c r="C154" s="81" t="s">
        <v>7286</v>
      </c>
      <c r="D154" s="83">
        <v>4</v>
      </c>
      <c r="E154" s="81" t="s">
        <v>7378</v>
      </c>
      <c r="F154" s="84">
        <v>980</v>
      </c>
      <c r="G154" s="84">
        <v>3920</v>
      </c>
    </row>
    <row r="155" spans="2:67">
      <c r="B155" s="81">
        <v>345</v>
      </c>
      <c r="C155" s="81" t="s">
        <v>7288</v>
      </c>
      <c r="D155" s="83">
        <v>8</v>
      </c>
      <c r="E155" s="81" t="s">
        <v>7378</v>
      </c>
      <c r="F155" s="84">
        <v>1700</v>
      </c>
      <c r="G155" s="84">
        <v>13600</v>
      </c>
    </row>
    <row r="156" spans="2:67">
      <c r="B156" s="81">
        <v>350</v>
      </c>
      <c r="C156" s="81" t="s">
        <v>7290</v>
      </c>
      <c r="D156" s="83">
        <v>1</v>
      </c>
      <c r="E156" s="81" t="s">
        <v>7378</v>
      </c>
      <c r="F156" s="84">
        <v>4250</v>
      </c>
      <c r="G156" s="84">
        <v>4250</v>
      </c>
    </row>
    <row r="157" spans="2:67">
      <c r="B157" s="81">
        <v>355</v>
      </c>
      <c r="C157" s="81" t="s">
        <v>7292</v>
      </c>
      <c r="D157" s="83">
        <v>1</v>
      </c>
      <c r="E157" s="81" t="s">
        <v>7378</v>
      </c>
      <c r="F157" s="84">
        <v>4100</v>
      </c>
      <c r="G157" s="84">
        <v>4100</v>
      </c>
    </row>
    <row r="158" spans="2:67">
      <c r="B158" s="81">
        <v>360</v>
      </c>
      <c r="C158" s="81" t="s">
        <v>7293</v>
      </c>
      <c r="D158" s="83">
        <v>5</v>
      </c>
      <c r="E158" s="81" t="s">
        <v>7378</v>
      </c>
      <c r="F158" s="84">
        <v>5200</v>
      </c>
      <c r="G158" s="84">
        <v>26000</v>
      </c>
    </row>
    <row r="159" spans="2:67">
      <c r="B159" s="81">
        <v>362</v>
      </c>
      <c r="C159" s="81" t="s">
        <v>7295</v>
      </c>
      <c r="D159" s="83">
        <v>1</v>
      </c>
      <c r="E159" s="81" t="s">
        <v>7378</v>
      </c>
      <c r="F159" s="84">
        <v>28000</v>
      </c>
      <c r="G159" s="84">
        <v>28000</v>
      </c>
    </row>
    <row r="160" spans="2:67">
      <c r="B160" s="81">
        <v>364</v>
      </c>
      <c r="C160" s="81" t="s">
        <v>7296</v>
      </c>
      <c r="D160" s="83">
        <v>8</v>
      </c>
      <c r="E160" s="81" t="s">
        <v>7378</v>
      </c>
      <c r="F160" s="84">
        <v>4700</v>
      </c>
      <c r="G160" s="84">
        <v>37600</v>
      </c>
    </row>
    <row r="161" spans="2:7">
      <c r="B161" s="81">
        <v>366</v>
      </c>
      <c r="C161" s="81" t="s">
        <v>7297</v>
      </c>
      <c r="D161" s="83">
        <v>9</v>
      </c>
      <c r="E161" s="81" t="s">
        <v>7378</v>
      </c>
      <c r="F161" s="84">
        <v>4600</v>
      </c>
      <c r="G161" s="84">
        <v>41400</v>
      </c>
    </row>
    <row r="162" spans="2:7">
      <c r="B162" s="81">
        <v>368</v>
      </c>
      <c r="C162" s="81" t="s">
        <v>7299</v>
      </c>
      <c r="D162" s="83">
        <v>2</v>
      </c>
      <c r="E162" s="81" t="s">
        <v>7378</v>
      </c>
      <c r="F162" s="84">
        <v>4550</v>
      </c>
      <c r="G162" s="84">
        <v>9100</v>
      </c>
    </row>
    <row r="163" spans="2:7">
      <c r="B163" s="81">
        <v>369</v>
      </c>
      <c r="C163" s="81" t="s">
        <v>7301</v>
      </c>
      <c r="D163" s="83">
        <v>1</v>
      </c>
      <c r="E163" s="81" t="s">
        <v>7378</v>
      </c>
      <c r="F163" s="84">
        <v>4400</v>
      </c>
      <c r="G163" s="84">
        <v>4400</v>
      </c>
    </row>
    <row r="164" spans="2:7">
      <c r="B164" s="81">
        <v>370</v>
      </c>
      <c r="C164" s="81" t="s">
        <v>7302</v>
      </c>
      <c r="D164" s="83">
        <v>1</v>
      </c>
      <c r="E164" s="81" t="s">
        <v>7378</v>
      </c>
      <c r="F164" s="84">
        <v>5400</v>
      </c>
      <c r="G164" s="84">
        <v>5400</v>
      </c>
    </row>
    <row r="165" spans="2:7">
      <c r="B165" s="81">
        <v>380</v>
      </c>
      <c r="C165" s="81" t="s">
        <v>7303</v>
      </c>
      <c r="D165" s="83">
        <v>3560</v>
      </c>
      <c r="E165" s="81" t="s">
        <v>48</v>
      </c>
      <c r="F165" s="84">
        <v>10</v>
      </c>
      <c r="G165" s="84">
        <v>35600</v>
      </c>
    </row>
    <row r="166" spans="2:7">
      <c r="B166" s="81">
        <v>385</v>
      </c>
      <c r="C166" s="81" t="s">
        <v>7305</v>
      </c>
      <c r="D166" s="83">
        <v>3560</v>
      </c>
      <c r="E166" s="81" t="s">
        <v>48</v>
      </c>
      <c r="F166" s="84">
        <v>5</v>
      </c>
      <c r="G166" s="84">
        <v>17800</v>
      </c>
    </row>
    <row r="168" spans="2:7">
      <c r="B168" s="81" t="s">
        <v>7379</v>
      </c>
    </row>
    <row r="169" spans="2:7">
      <c r="B169" s="81">
        <v>405</v>
      </c>
      <c r="C169" s="81" t="s">
        <v>7307</v>
      </c>
      <c r="D169" s="83">
        <v>30</v>
      </c>
      <c r="E169" s="81" t="s">
        <v>48</v>
      </c>
      <c r="F169" s="84">
        <v>46</v>
      </c>
      <c r="G169" s="84">
        <f>D169*F169</f>
        <v>1380</v>
      </c>
    </row>
    <row r="170" spans="2:7">
      <c r="B170" s="81">
        <v>410</v>
      </c>
      <c r="C170" s="81" t="s">
        <v>7309</v>
      </c>
      <c r="D170" s="83">
        <v>220</v>
      </c>
      <c r="E170" s="81" t="s">
        <v>48</v>
      </c>
      <c r="F170" s="84">
        <v>50</v>
      </c>
      <c r="G170" s="84">
        <f t="shared" ref="G170:G177" si="0">D170*F170</f>
        <v>11000</v>
      </c>
    </row>
    <row r="171" spans="2:7">
      <c r="B171" s="81">
        <v>415</v>
      </c>
      <c r="C171" s="81" t="s">
        <v>7311</v>
      </c>
      <c r="D171" s="83">
        <v>1</v>
      </c>
      <c r="E171" s="81" t="s">
        <v>7378</v>
      </c>
      <c r="F171" s="84">
        <v>6500</v>
      </c>
      <c r="G171" s="84">
        <f t="shared" si="0"/>
        <v>6500</v>
      </c>
    </row>
    <row r="172" spans="2:7">
      <c r="B172" s="81">
        <v>420</v>
      </c>
      <c r="C172" s="81" t="s">
        <v>7312</v>
      </c>
      <c r="D172" s="83">
        <v>1</v>
      </c>
      <c r="E172" s="81" t="s">
        <v>7378</v>
      </c>
      <c r="F172" s="84">
        <v>7600</v>
      </c>
      <c r="G172" s="84">
        <f t="shared" si="0"/>
        <v>7600</v>
      </c>
    </row>
    <row r="173" spans="2:7">
      <c r="B173" s="81">
        <v>425</v>
      </c>
      <c r="C173" s="81" t="s">
        <v>7313</v>
      </c>
      <c r="D173" s="83">
        <v>278</v>
      </c>
      <c r="E173" s="81" t="s">
        <v>48</v>
      </c>
      <c r="F173" s="84">
        <v>40</v>
      </c>
      <c r="G173" s="84">
        <f t="shared" si="0"/>
        <v>11120</v>
      </c>
    </row>
    <row r="174" spans="2:7">
      <c r="B174" s="81">
        <v>426</v>
      </c>
      <c r="C174" s="81" t="s">
        <v>7380</v>
      </c>
      <c r="D174" s="83">
        <v>1</v>
      </c>
      <c r="E174" s="81" t="s">
        <v>5208</v>
      </c>
      <c r="F174" s="84">
        <v>2700</v>
      </c>
      <c r="G174" s="84">
        <f t="shared" si="0"/>
        <v>2700</v>
      </c>
    </row>
    <row r="175" spans="2:7">
      <c r="B175" s="81">
        <v>428</v>
      </c>
      <c r="C175" s="81" t="s">
        <v>233</v>
      </c>
      <c r="D175" s="83">
        <v>2</v>
      </c>
      <c r="E175" s="81" t="s">
        <v>7378</v>
      </c>
      <c r="F175" s="84">
        <v>10000</v>
      </c>
      <c r="G175" s="84">
        <f t="shared" si="0"/>
        <v>20000</v>
      </c>
    </row>
    <row r="176" spans="2:7">
      <c r="B176" s="81">
        <v>440</v>
      </c>
      <c r="C176" s="81" t="s">
        <v>7316</v>
      </c>
      <c r="D176" s="83">
        <v>250</v>
      </c>
      <c r="E176" s="81" t="s">
        <v>48</v>
      </c>
      <c r="F176" s="84">
        <v>10</v>
      </c>
      <c r="G176" s="84">
        <f t="shared" si="0"/>
        <v>2500</v>
      </c>
    </row>
    <row r="177" spans="2:7">
      <c r="B177" s="81">
        <v>445</v>
      </c>
      <c r="C177" s="81" t="s">
        <v>7317</v>
      </c>
      <c r="D177" s="83">
        <v>250</v>
      </c>
      <c r="E177" s="81" t="s">
        <v>48</v>
      </c>
      <c r="F177" s="84">
        <v>5</v>
      </c>
      <c r="G177" s="84">
        <f t="shared" si="0"/>
        <v>1250</v>
      </c>
    </row>
    <row r="178" spans="2:7">
      <c r="G178" s="84"/>
    </row>
    <row r="179" spans="2:7">
      <c r="B179" s="81" t="s">
        <v>7381</v>
      </c>
      <c r="G179" s="84"/>
    </row>
    <row r="180" spans="2:7">
      <c r="B180" s="81">
        <v>460</v>
      </c>
      <c r="C180" s="81" t="s">
        <v>7319</v>
      </c>
      <c r="D180" s="83">
        <v>305</v>
      </c>
      <c r="E180" s="81" t="s">
        <v>48</v>
      </c>
      <c r="F180" s="84">
        <v>45</v>
      </c>
      <c r="G180" s="84">
        <f>D180*F180</f>
        <v>13725</v>
      </c>
    </row>
    <row r="181" spans="2:7">
      <c r="B181" s="81">
        <v>470</v>
      </c>
      <c r="C181" s="81" t="s">
        <v>7321</v>
      </c>
      <c r="D181" s="83">
        <v>1</v>
      </c>
      <c r="E181" s="81" t="s">
        <v>5208</v>
      </c>
      <c r="F181" s="84">
        <v>2300</v>
      </c>
      <c r="G181" s="84">
        <f>D181*F181</f>
        <v>2300</v>
      </c>
    </row>
    <row r="182" spans="2:7">
      <c r="B182" s="81">
        <v>475</v>
      </c>
      <c r="C182" s="81" t="s">
        <v>7322</v>
      </c>
      <c r="D182" s="83">
        <v>1</v>
      </c>
      <c r="E182" s="81" t="s">
        <v>5208</v>
      </c>
      <c r="F182" s="84">
        <v>132000</v>
      </c>
      <c r="G182" s="84">
        <f>D182*F182</f>
        <v>132000</v>
      </c>
    </row>
    <row r="183" spans="2:7">
      <c r="B183" s="81">
        <v>485</v>
      </c>
      <c r="C183" s="81" t="s">
        <v>7316</v>
      </c>
      <c r="D183" s="83">
        <v>305</v>
      </c>
      <c r="E183" s="81" t="s">
        <v>48</v>
      </c>
      <c r="F183" s="84">
        <v>10</v>
      </c>
      <c r="G183" s="84">
        <f>D183*F183</f>
        <v>3050</v>
      </c>
    </row>
    <row r="184" spans="2:7">
      <c r="B184" s="81">
        <v>490</v>
      </c>
      <c r="C184" s="81" t="s">
        <v>7323</v>
      </c>
      <c r="D184" s="83">
        <v>305</v>
      </c>
      <c r="E184" s="81" t="s">
        <v>48</v>
      </c>
      <c r="F184" s="84">
        <v>5</v>
      </c>
      <c r="G184" s="84">
        <f>D184*F184</f>
        <v>1525</v>
      </c>
    </row>
    <row r="185" spans="2:7">
      <c r="G185" s="84"/>
    </row>
    <row r="186" spans="2:7">
      <c r="B186" s="81" t="s">
        <v>7382</v>
      </c>
      <c r="G186" s="84"/>
    </row>
    <row r="187" spans="2:7">
      <c r="B187" s="81">
        <v>505</v>
      </c>
      <c r="C187" s="81" t="s">
        <v>7325</v>
      </c>
      <c r="D187" s="83">
        <v>1343</v>
      </c>
      <c r="E187" s="81" t="s">
        <v>48</v>
      </c>
      <c r="F187" s="84">
        <v>30</v>
      </c>
      <c r="G187" s="84">
        <f t="shared" ref="G187:G197" si="1">D187*F187</f>
        <v>40290</v>
      </c>
    </row>
    <row r="188" spans="2:7">
      <c r="B188" s="81">
        <v>506</v>
      </c>
      <c r="C188" s="81" t="s">
        <v>7327</v>
      </c>
      <c r="D188" s="83">
        <v>50</v>
      </c>
      <c r="E188" s="81" t="s">
        <v>48</v>
      </c>
      <c r="F188" s="84">
        <v>45</v>
      </c>
      <c r="G188" s="84">
        <f t="shared" si="1"/>
        <v>2250</v>
      </c>
    </row>
    <row r="189" spans="2:7">
      <c r="B189" s="81">
        <v>510</v>
      </c>
      <c r="C189" s="81" t="s">
        <v>7329</v>
      </c>
      <c r="D189" s="83">
        <v>4</v>
      </c>
      <c r="E189" s="81" t="s">
        <v>7378</v>
      </c>
      <c r="F189" s="84">
        <v>2600</v>
      </c>
      <c r="G189" s="84">
        <f t="shared" si="1"/>
        <v>10400</v>
      </c>
    </row>
    <row r="190" spans="2:7">
      <c r="B190" s="81">
        <v>515</v>
      </c>
      <c r="C190" s="81" t="s">
        <v>7330</v>
      </c>
      <c r="D190" s="83">
        <v>110</v>
      </c>
      <c r="E190" s="81" t="s">
        <v>48</v>
      </c>
      <c r="F190" s="84">
        <v>28</v>
      </c>
      <c r="G190" s="84">
        <f t="shared" si="1"/>
        <v>3080</v>
      </c>
    </row>
    <row r="191" spans="2:7">
      <c r="B191" s="81">
        <v>520</v>
      </c>
      <c r="C191" s="81" t="s">
        <v>7331</v>
      </c>
      <c r="D191" s="83">
        <v>2</v>
      </c>
      <c r="E191" s="81" t="s">
        <v>7378</v>
      </c>
      <c r="F191" s="84">
        <v>2350</v>
      </c>
      <c r="G191" s="84">
        <f t="shared" si="1"/>
        <v>4700</v>
      </c>
    </row>
    <row r="192" spans="2:7">
      <c r="B192" s="81">
        <v>525</v>
      </c>
      <c r="C192" s="81" t="s">
        <v>7332</v>
      </c>
      <c r="D192" s="83">
        <v>1</v>
      </c>
      <c r="E192" s="81" t="s">
        <v>5208</v>
      </c>
      <c r="F192" s="84">
        <v>22000</v>
      </c>
      <c r="G192" s="84">
        <f t="shared" si="1"/>
        <v>22000</v>
      </c>
    </row>
    <row r="193" spans="2:7">
      <c r="B193" s="81">
        <v>530</v>
      </c>
      <c r="C193" s="81" t="s">
        <v>7333</v>
      </c>
      <c r="D193" s="83">
        <v>4</v>
      </c>
      <c r="E193" s="81" t="s">
        <v>7378</v>
      </c>
      <c r="F193" s="84">
        <v>5300</v>
      </c>
      <c r="G193" s="84">
        <f t="shared" si="1"/>
        <v>21200</v>
      </c>
    </row>
    <row r="194" spans="2:7">
      <c r="B194" s="81">
        <v>535</v>
      </c>
      <c r="C194" s="81" t="s">
        <v>7334</v>
      </c>
      <c r="D194" s="83">
        <v>1</v>
      </c>
      <c r="E194" s="81" t="s">
        <v>7378</v>
      </c>
      <c r="F194" s="84">
        <v>1800</v>
      </c>
      <c r="G194" s="84">
        <f t="shared" si="1"/>
        <v>1800</v>
      </c>
    </row>
    <row r="195" spans="2:7">
      <c r="B195" s="81">
        <v>540</v>
      </c>
      <c r="C195" s="81" t="s">
        <v>7321</v>
      </c>
      <c r="D195" s="83">
        <v>1</v>
      </c>
      <c r="E195" s="81" t="s">
        <v>5208</v>
      </c>
      <c r="F195" s="84">
        <v>3550</v>
      </c>
      <c r="G195" s="84">
        <f t="shared" si="1"/>
        <v>3550</v>
      </c>
    </row>
    <row r="196" spans="2:7">
      <c r="B196" s="81">
        <v>545</v>
      </c>
      <c r="C196" s="81" t="s">
        <v>7335</v>
      </c>
      <c r="D196" s="83">
        <v>1</v>
      </c>
      <c r="E196" s="81" t="s">
        <v>7378</v>
      </c>
      <c r="F196" s="84">
        <v>2500</v>
      </c>
      <c r="G196" s="84">
        <f t="shared" si="1"/>
        <v>2500</v>
      </c>
    </row>
    <row r="197" spans="2:7">
      <c r="B197" s="81">
        <v>550</v>
      </c>
      <c r="C197" s="81" t="s">
        <v>7336</v>
      </c>
      <c r="D197" s="83">
        <v>1</v>
      </c>
      <c r="E197" s="81" t="s">
        <v>5208</v>
      </c>
      <c r="F197" s="84">
        <v>2800</v>
      </c>
      <c r="G197" s="84">
        <f t="shared" si="1"/>
        <v>2800</v>
      </c>
    </row>
    <row r="198" spans="2:7">
      <c r="G198" s="84"/>
    </row>
    <row r="199" spans="2:7">
      <c r="B199" s="81" t="s">
        <v>7383</v>
      </c>
      <c r="G199" s="84"/>
    </row>
    <row r="200" spans="2:7">
      <c r="B200" s="81">
        <v>600</v>
      </c>
      <c r="C200" s="81" t="s">
        <v>7338</v>
      </c>
      <c r="D200" s="81">
        <v>135</v>
      </c>
      <c r="E200" s="81" t="s">
        <v>48</v>
      </c>
      <c r="F200" s="84">
        <v>70</v>
      </c>
      <c r="G200" s="84">
        <f t="shared" ref="G200:G206" si="2">D200*F200</f>
        <v>9450</v>
      </c>
    </row>
    <row r="201" spans="2:7">
      <c r="B201" s="81">
        <v>605</v>
      </c>
      <c r="C201" s="81" t="s">
        <v>7340</v>
      </c>
      <c r="D201" s="81">
        <v>1</v>
      </c>
      <c r="E201" s="81" t="s">
        <v>7378</v>
      </c>
      <c r="F201" s="84">
        <v>10000</v>
      </c>
      <c r="G201" s="84">
        <f t="shared" si="2"/>
        <v>10000</v>
      </c>
    </row>
    <row r="202" spans="2:7">
      <c r="B202" s="81">
        <v>610</v>
      </c>
      <c r="C202" s="81" t="s">
        <v>7341</v>
      </c>
      <c r="D202" s="81">
        <v>15</v>
      </c>
      <c r="E202" s="81" t="s">
        <v>48</v>
      </c>
      <c r="F202" s="84">
        <v>28</v>
      </c>
      <c r="G202" s="84">
        <f t="shared" si="2"/>
        <v>420</v>
      </c>
    </row>
    <row r="203" spans="2:7">
      <c r="B203" s="81">
        <v>615</v>
      </c>
      <c r="C203" s="81" t="s">
        <v>7343</v>
      </c>
      <c r="D203" s="81">
        <v>1</v>
      </c>
      <c r="E203" s="81" t="s">
        <v>5208</v>
      </c>
      <c r="F203" s="84">
        <v>2100</v>
      </c>
      <c r="G203" s="84">
        <f t="shared" si="2"/>
        <v>2100</v>
      </c>
    </row>
    <row r="204" spans="2:7">
      <c r="B204" s="81">
        <v>620</v>
      </c>
      <c r="C204" s="81" t="s">
        <v>7344</v>
      </c>
      <c r="D204" s="81">
        <v>1</v>
      </c>
      <c r="E204" s="81" t="s">
        <v>7378</v>
      </c>
      <c r="F204" s="84">
        <v>2500</v>
      </c>
      <c r="G204" s="84">
        <f t="shared" si="2"/>
        <v>2500</v>
      </c>
    </row>
    <row r="205" spans="2:7">
      <c r="B205" s="81">
        <v>625</v>
      </c>
      <c r="C205" s="82" t="s">
        <v>7345</v>
      </c>
      <c r="D205" s="81">
        <v>1</v>
      </c>
      <c r="E205" s="81" t="s">
        <v>7378</v>
      </c>
      <c r="F205" s="84">
        <v>1800</v>
      </c>
      <c r="G205" s="84">
        <f t="shared" si="2"/>
        <v>1800</v>
      </c>
    </row>
    <row r="206" spans="2:7">
      <c r="B206" s="81">
        <v>630</v>
      </c>
      <c r="C206" s="82" t="s">
        <v>7384</v>
      </c>
      <c r="D206" s="81">
        <v>1</v>
      </c>
      <c r="E206" s="81" t="s">
        <v>5208</v>
      </c>
      <c r="F206" s="84">
        <v>2200</v>
      </c>
      <c r="G206" s="84">
        <f t="shared" si="2"/>
        <v>2200</v>
      </c>
    </row>
  </sheetData>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ColWidth="8.85546875" defaultRowHeight="15"/>
  <cols>
    <col min="1" max="1" width="2.7109375" customWidth="1"/>
    <col min="2" max="2" width="10.28515625" customWidth="1"/>
    <col min="3" max="3" width="3.28515625" bestFit="1" customWidth="1"/>
    <col min="4" max="4" width="3.7109375" customWidth="1"/>
    <col min="5" max="5" width="33.140625" bestFit="1" customWidth="1"/>
    <col min="6" max="6" width="9.42578125" style="89" bestFit="1" customWidth="1"/>
    <col min="7" max="7" width="3.140625" bestFit="1" customWidth="1"/>
    <col min="8" max="8" width="9.42578125" style="89" bestFit="1" customWidth="1"/>
    <col min="9" max="9" width="3.140625" bestFit="1" customWidth="1"/>
    <col min="10" max="10" width="10.28515625" customWidth="1"/>
    <col min="11" max="11" width="3.28515625" bestFit="1" customWidth="1"/>
    <col min="12" max="12" width="3.7109375" customWidth="1"/>
    <col min="13" max="13" width="33.140625" bestFit="1" customWidth="1"/>
    <col min="14" max="14" width="9.42578125" style="89" bestFit="1" customWidth="1"/>
    <col min="15" max="15" width="3.140625" bestFit="1" customWidth="1"/>
    <col min="16" max="16" width="9.42578125" style="89" bestFit="1" customWidth="1"/>
    <col min="17" max="17" width="3.140625" bestFit="1" customWidth="1"/>
    <col min="18" max="18" width="10.28515625" customWidth="1"/>
    <col min="19" max="19" width="3.28515625" bestFit="1" customWidth="1"/>
    <col min="20" max="20" width="3.7109375" customWidth="1"/>
    <col min="21" max="21" width="33.140625" bestFit="1" customWidth="1"/>
    <col min="22" max="22" width="9.42578125" style="89" bestFit="1" customWidth="1"/>
    <col min="23" max="23" width="3.140625" bestFit="1" customWidth="1"/>
    <col min="24" max="24" width="9.42578125" style="89" bestFit="1" customWidth="1"/>
    <col min="25" max="25" width="3.140625" bestFit="1" customWidth="1"/>
    <col min="26" max="26" width="10.28515625" customWidth="1"/>
    <col min="27" max="27" width="3.28515625" bestFit="1" customWidth="1"/>
    <col min="28" max="28" width="3.7109375" customWidth="1"/>
    <col min="29" max="29" width="33.140625" bestFit="1" customWidth="1"/>
    <col min="30" max="30" width="9.42578125" style="89" bestFit="1" customWidth="1"/>
    <col min="31" max="31" width="3.140625" bestFit="1" customWidth="1"/>
    <col min="32" max="32" width="9.42578125" style="89" bestFit="1" customWidth="1"/>
    <col min="33" max="33" width="3.140625" bestFit="1" customWidth="1"/>
    <col min="34" max="34" width="10.28515625" customWidth="1"/>
    <col min="35" max="35" width="3.28515625" bestFit="1" customWidth="1"/>
    <col min="36" max="36" width="3.7109375" customWidth="1"/>
    <col min="37" max="37" width="33.140625" bestFit="1" customWidth="1"/>
    <col min="38" max="38" width="9.42578125" style="89" bestFit="1" customWidth="1"/>
    <col min="39" max="39" width="3.140625" bestFit="1" customWidth="1"/>
    <col min="40" max="40" width="9.42578125" style="89" bestFit="1" customWidth="1"/>
    <col min="41" max="41" width="3.140625" bestFit="1" customWidth="1"/>
    <col min="42" max="42" width="10.28515625" customWidth="1"/>
    <col min="43" max="43" width="3.28515625" bestFit="1" customWidth="1"/>
    <col min="44" max="44" width="3.7109375" customWidth="1"/>
    <col min="45" max="45" width="33.140625" bestFit="1" customWidth="1"/>
    <col min="46" max="46" width="9.42578125" style="89" bestFit="1" customWidth="1"/>
    <col min="47" max="47" width="3.140625" bestFit="1" customWidth="1"/>
    <col min="48" max="48" width="9.42578125" style="89" bestFit="1" customWidth="1"/>
    <col min="49" max="49" width="3.140625" bestFit="1" customWidth="1"/>
    <col min="50" max="50" width="10.28515625" customWidth="1"/>
    <col min="51" max="51" width="3.28515625" bestFit="1" customWidth="1"/>
    <col min="52" max="52" width="3.7109375" customWidth="1"/>
    <col min="53" max="53" width="33.140625" bestFit="1" customWidth="1"/>
    <col min="54" max="54" width="9.42578125" style="89" bestFit="1" customWidth="1"/>
    <col min="55" max="55" width="3.140625" bestFit="1" customWidth="1"/>
    <col min="56" max="56" width="9.42578125" style="89" bestFit="1" customWidth="1"/>
    <col min="57" max="57" width="3.140625" bestFit="1" customWidth="1"/>
    <col min="58" max="58" width="10.28515625" customWidth="1"/>
    <col min="59" max="59" width="3.28515625" bestFit="1" customWidth="1"/>
    <col min="60" max="60" width="3.7109375" customWidth="1"/>
    <col min="61" max="61" width="33.140625" bestFit="1" customWidth="1"/>
    <col min="62" max="62" width="9.42578125" style="89" bestFit="1" customWidth="1"/>
    <col min="63" max="63" width="3.140625" bestFit="1" customWidth="1"/>
    <col min="64" max="64" width="9.42578125" style="89" bestFit="1" customWidth="1"/>
    <col min="65" max="65" width="3.140625" bestFit="1" customWidth="1"/>
    <col min="66" max="66" width="10.28515625" customWidth="1"/>
    <col min="67" max="67" width="3.28515625" bestFit="1" customWidth="1"/>
    <col min="68" max="68" width="3.7109375" customWidth="1"/>
    <col min="69" max="69" width="33.140625" bestFit="1" customWidth="1"/>
    <col min="70" max="70" width="9.42578125" style="89" bestFit="1" customWidth="1"/>
    <col min="71" max="71" width="3.140625" bestFit="1" customWidth="1"/>
    <col min="72" max="72" width="9.42578125" style="89" bestFit="1" customWidth="1"/>
    <col min="73" max="73" width="3.140625" bestFit="1" customWidth="1"/>
    <col min="74" max="74" width="10.28515625" customWidth="1"/>
    <col min="75" max="75" width="3.28515625" bestFit="1" customWidth="1"/>
    <col min="76" max="76" width="3.7109375" customWidth="1"/>
    <col min="77" max="77" width="33.140625" bestFit="1" customWidth="1"/>
    <col min="78" max="78" width="9.42578125" style="89" bestFit="1" customWidth="1"/>
    <col min="79" max="79" width="3.140625" bestFit="1" customWidth="1"/>
    <col min="80" max="80" width="9.42578125" style="89" bestFit="1" customWidth="1"/>
    <col min="81" max="81" width="3.140625" bestFit="1" customWidth="1"/>
    <col min="82" max="82" width="10.28515625" customWidth="1"/>
    <col min="83" max="83" width="3.28515625" bestFit="1" customWidth="1"/>
    <col min="84" max="84" width="3.7109375" customWidth="1"/>
    <col min="85" max="85" width="33.140625" bestFit="1" customWidth="1"/>
    <col min="86" max="86" width="9.42578125" style="89" bestFit="1" customWidth="1"/>
    <col min="87" max="87" width="3.140625" bestFit="1" customWidth="1"/>
    <col min="88" max="88" width="9.42578125" style="89" bestFit="1" customWidth="1"/>
    <col min="89" max="89" width="3.140625" bestFit="1" customWidth="1"/>
    <col min="90" max="90" width="10.28515625" customWidth="1"/>
    <col min="91" max="91" width="3.28515625" bestFit="1" customWidth="1"/>
    <col min="92" max="92" width="3.7109375" customWidth="1"/>
    <col min="93" max="93" width="33.140625" bestFit="1" customWidth="1"/>
    <col min="94" max="94" width="9.42578125" style="89" bestFit="1" customWidth="1"/>
    <col min="95" max="95" width="3.140625" bestFit="1" customWidth="1"/>
    <col min="96" max="96" width="9.42578125" style="89" bestFit="1" customWidth="1"/>
    <col min="97" max="97" width="3.140625" bestFit="1" customWidth="1"/>
    <col min="98" max="98" width="3" bestFit="1" customWidth="1"/>
    <col min="100" max="100" width="3.140625" bestFit="1" customWidth="1"/>
  </cols>
  <sheetData>
    <row r="2" spans="2:100">
      <c r="B2" t="s">
        <v>7385</v>
      </c>
      <c r="C2">
        <v>12</v>
      </c>
      <c r="D2" t="s">
        <v>3041</v>
      </c>
      <c r="F2" s="89">
        <v>471</v>
      </c>
      <c r="G2" t="s">
        <v>2845</v>
      </c>
      <c r="H2" s="89">
        <f>$C$2*F2</f>
        <v>5652</v>
      </c>
      <c r="I2" t="s">
        <v>2845</v>
      </c>
      <c r="J2" t="s">
        <v>7386</v>
      </c>
      <c r="K2">
        <v>12</v>
      </c>
      <c r="L2" t="s">
        <v>3041</v>
      </c>
      <c r="N2" s="89">
        <v>357</v>
      </c>
      <c r="O2" t="s">
        <v>2845</v>
      </c>
      <c r="P2" s="89">
        <f>$K$2*N2</f>
        <v>4284</v>
      </c>
      <c r="Q2" t="s">
        <v>2845</v>
      </c>
      <c r="R2" t="s">
        <v>7387</v>
      </c>
      <c r="S2">
        <v>10</v>
      </c>
      <c r="T2" t="s">
        <v>3041</v>
      </c>
      <c r="V2" s="89">
        <v>686</v>
      </c>
      <c r="W2" t="s">
        <v>2845</v>
      </c>
      <c r="X2" s="89">
        <f>S$2*V2</f>
        <v>6860</v>
      </c>
      <c r="Y2" t="s">
        <v>2845</v>
      </c>
      <c r="Z2" t="s">
        <v>7388</v>
      </c>
      <c r="AA2">
        <v>32</v>
      </c>
      <c r="AB2" t="s">
        <v>3041</v>
      </c>
      <c r="AD2" s="89">
        <v>507</v>
      </c>
      <c r="AE2" t="s">
        <v>2845</v>
      </c>
      <c r="AF2" s="89">
        <f>AA$2*AD2</f>
        <v>16224</v>
      </c>
      <c r="AG2" t="s">
        <v>2845</v>
      </c>
      <c r="AH2" t="s">
        <v>7389</v>
      </c>
      <c r="AI2">
        <v>6</v>
      </c>
      <c r="AJ2" t="s">
        <v>3041</v>
      </c>
      <c r="AL2" s="89">
        <v>845</v>
      </c>
      <c r="AM2" t="s">
        <v>2845</v>
      </c>
      <c r="AN2" s="89">
        <f>AI$2*AL2</f>
        <v>5070</v>
      </c>
      <c r="AO2" t="s">
        <v>2845</v>
      </c>
      <c r="AP2" t="s">
        <v>7390</v>
      </c>
      <c r="AQ2">
        <v>4</v>
      </c>
      <c r="AR2" t="s">
        <v>3041</v>
      </c>
      <c r="AT2" s="89">
        <v>357</v>
      </c>
      <c r="AU2" t="s">
        <v>2845</v>
      </c>
      <c r="AV2" s="89">
        <f>AQ$2*AT2</f>
        <v>1428</v>
      </c>
      <c r="AW2" t="s">
        <v>2845</v>
      </c>
      <c r="AX2" t="s">
        <v>7391</v>
      </c>
      <c r="AY2">
        <v>2</v>
      </c>
      <c r="AZ2" t="s">
        <v>3041</v>
      </c>
      <c r="BB2" s="89">
        <v>374</v>
      </c>
      <c r="BC2" t="s">
        <v>2845</v>
      </c>
      <c r="BD2" s="89">
        <f>AY$2*BB2</f>
        <v>748</v>
      </c>
      <c r="BE2" t="s">
        <v>2845</v>
      </c>
      <c r="BF2" t="s">
        <v>7392</v>
      </c>
      <c r="BG2">
        <v>2</v>
      </c>
      <c r="BH2" t="s">
        <v>3041</v>
      </c>
      <c r="BJ2" s="89">
        <v>300</v>
      </c>
      <c r="BK2" t="s">
        <v>2845</v>
      </c>
      <c r="BL2" s="89">
        <f>BG$2*BJ2</f>
        <v>600</v>
      </c>
      <c r="BM2" t="s">
        <v>2845</v>
      </c>
      <c r="BN2" t="s">
        <v>7393</v>
      </c>
      <c r="BO2">
        <v>12</v>
      </c>
      <c r="BP2" t="s">
        <v>3041</v>
      </c>
      <c r="BR2" s="89">
        <v>507</v>
      </c>
      <c r="BS2" t="s">
        <v>2845</v>
      </c>
      <c r="BT2" s="89">
        <f>BO$2*BR2</f>
        <v>6084</v>
      </c>
      <c r="BU2" t="s">
        <v>2845</v>
      </c>
      <c r="BV2" t="s">
        <v>7394</v>
      </c>
      <c r="BW2">
        <v>4</v>
      </c>
      <c r="BX2" t="s">
        <v>3041</v>
      </c>
      <c r="BZ2" s="89">
        <v>471</v>
      </c>
      <c r="CA2" t="s">
        <v>2845</v>
      </c>
      <c r="CB2" s="89">
        <f>BW$2*BZ2</f>
        <v>1884</v>
      </c>
      <c r="CC2" t="s">
        <v>2845</v>
      </c>
      <c r="CD2" t="s">
        <v>7395</v>
      </c>
      <c r="CE2">
        <v>2</v>
      </c>
      <c r="CF2" t="s">
        <v>3041</v>
      </c>
      <c r="CH2" s="89">
        <v>306</v>
      </c>
      <c r="CI2" t="s">
        <v>2845</v>
      </c>
      <c r="CJ2" s="89">
        <f>CE$2*CH2</f>
        <v>612</v>
      </c>
      <c r="CK2" t="s">
        <v>2845</v>
      </c>
      <c r="CL2" t="s">
        <v>7396</v>
      </c>
      <c r="CM2">
        <v>2</v>
      </c>
      <c r="CN2" t="s">
        <v>3041</v>
      </c>
      <c r="CP2" s="89">
        <v>534</v>
      </c>
      <c r="CQ2" t="s">
        <v>2845</v>
      </c>
      <c r="CR2" s="89">
        <f>CM$2*CP2</f>
        <v>1068</v>
      </c>
      <c r="CS2" t="s">
        <v>2845</v>
      </c>
      <c r="CU2" s="41">
        <f>H2+P2+X2+AF2+AV2+AN2+BD2+BL2+BT2+CB2+CJ2+CR2</f>
        <v>50514</v>
      </c>
      <c r="CV2" t="s">
        <v>2845</v>
      </c>
    </row>
    <row r="3" spans="2:100">
      <c r="D3" t="s">
        <v>7397</v>
      </c>
      <c r="L3" t="s">
        <v>7397</v>
      </c>
      <c r="T3" t="s">
        <v>7397</v>
      </c>
      <c r="AB3" t="s">
        <v>7397</v>
      </c>
      <c r="AJ3" t="s">
        <v>7397</v>
      </c>
      <c r="AR3" t="s">
        <v>7397</v>
      </c>
      <c r="AZ3" t="s">
        <v>7397</v>
      </c>
      <c r="BH3" t="s">
        <v>7397</v>
      </c>
      <c r="BP3" t="s">
        <v>7397</v>
      </c>
      <c r="BX3" t="s">
        <v>7397</v>
      </c>
      <c r="CF3" t="s">
        <v>7397</v>
      </c>
      <c r="CN3" t="s">
        <v>7397</v>
      </c>
    </row>
    <row r="4" spans="2:100">
      <c r="E4" t="s">
        <v>7398</v>
      </c>
      <c r="F4" s="89">
        <v>375</v>
      </c>
      <c r="G4" t="s">
        <v>2845</v>
      </c>
      <c r="H4" s="89">
        <f>$C$2*F4</f>
        <v>4500</v>
      </c>
      <c r="I4" t="s">
        <v>2845</v>
      </c>
      <c r="M4" t="s">
        <v>7398</v>
      </c>
      <c r="N4" s="89">
        <v>263.25</v>
      </c>
      <c r="O4" t="s">
        <v>2845</v>
      </c>
      <c r="P4" s="89">
        <f>$K$2*N4</f>
        <v>3159</v>
      </c>
      <c r="Q4" t="s">
        <v>2845</v>
      </c>
      <c r="U4" t="s">
        <v>7398</v>
      </c>
      <c r="V4" s="89">
        <v>624</v>
      </c>
      <c r="W4" t="s">
        <v>2845</v>
      </c>
      <c r="X4" s="89">
        <f>S$2*V4</f>
        <v>6240</v>
      </c>
      <c r="Y4" t="s">
        <v>2845</v>
      </c>
      <c r="AC4" t="s">
        <v>7398</v>
      </c>
      <c r="AD4" s="89">
        <v>399.2</v>
      </c>
      <c r="AE4" t="s">
        <v>2845</v>
      </c>
      <c r="AF4" s="89">
        <f>AA$2*AD4</f>
        <v>12774.4</v>
      </c>
      <c r="AG4" t="s">
        <v>2845</v>
      </c>
      <c r="AK4" t="s">
        <v>7398</v>
      </c>
      <c r="AL4" s="89">
        <v>629.51</v>
      </c>
      <c r="AM4" t="s">
        <v>2845</v>
      </c>
      <c r="AN4" s="89">
        <f>AI$2*AL4</f>
        <v>3777.06</v>
      </c>
      <c r="AO4" t="s">
        <v>2845</v>
      </c>
      <c r="AS4" t="s">
        <v>7398</v>
      </c>
      <c r="AT4" s="89">
        <v>238.5</v>
      </c>
      <c r="AU4" t="s">
        <v>2845</v>
      </c>
      <c r="AV4" s="89">
        <f>AQ$2*AT4</f>
        <v>954</v>
      </c>
      <c r="AW4" t="s">
        <v>2845</v>
      </c>
      <c r="BA4" t="s">
        <v>7398</v>
      </c>
      <c r="BB4" s="89">
        <v>289.52</v>
      </c>
      <c r="BC4" t="s">
        <v>2845</v>
      </c>
      <c r="BD4" s="89">
        <f>AY$2*BB4</f>
        <v>579.04</v>
      </c>
      <c r="BE4" t="s">
        <v>2845</v>
      </c>
      <c r="BI4" t="s">
        <v>7398</v>
      </c>
      <c r="BJ4" s="89">
        <v>267.20999999999998</v>
      </c>
      <c r="BK4" t="s">
        <v>2845</v>
      </c>
      <c r="BL4" s="89">
        <f>BG$2*BJ4</f>
        <v>534.41999999999996</v>
      </c>
      <c r="BM4" t="s">
        <v>2845</v>
      </c>
      <c r="BQ4" t="s">
        <v>7398</v>
      </c>
      <c r="BR4" s="89">
        <v>427.03</v>
      </c>
      <c r="BS4" t="s">
        <v>2845</v>
      </c>
      <c r="BT4" s="89">
        <f>BO$2*BR4</f>
        <v>5124.3599999999997</v>
      </c>
      <c r="BU4" t="s">
        <v>2845</v>
      </c>
      <c r="BY4" t="s">
        <v>7398</v>
      </c>
      <c r="BZ4" s="89">
        <v>437.37</v>
      </c>
      <c r="CA4" t="s">
        <v>2845</v>
      </c>
      <c r="CB4" s="89">
        <f>BW$2*BZ4</f>
        <v>1749.48</v>
      </c>
      <c r="CC4" t="s">
        <v>2845</v>
      </c>
      <c r="CG4" t="s">
        <v>7398</v>
      </c>
      <c r="CH4" s="89">
        <v>274.89999999999998</v>
      </c>
      <c r="CI4" t="s">
        <v>2845</v>
      </c>
      <c r="CJ4" s="89">
        <f>CE$2*CH4</f>
        <v>549.79999999999995</v>
      </c>
      <c r="CK4" t="s">
        <v>2845</v>
      </c>
      <c r="CO4" t="s">
        <v>7398</v>
      </c>
      <c r="CP4" s="89">
        <v>465.15</v>
      </c>
      <c r="CQ4" t="s">
        <v>2845</v>
      </c>
      <c r="CR4" s="89">
        <f>CM$2*CP4</f>
        <v>930.3</v>
      </c>
      <c r="CS4" t="s">
        <v>2845</v>
      </c>
      <c r="CU4" s="41">
        <f>H4+P4+X4+AF4+AV4+AN4+BD4+BL4+BT4+CB4+CJ4+CR4</f>
        <v>40871.860000000008</v>
      </c>
      <c r="CV4" t="s">
        <v>2845</v>
      </c>
    </row>
    <row r="5" spans="2:100">
      <c r="E5" t="s">
        <v>7399</v>
      </c>
      <c r="F5" s="89">
        <v>321</v>
      </c>
      <c r="G5" t="s">
        <v>2845</v>
      </c>
      <c r="H5" s="89">
        <f>$C$2*F5</f>
        <v>3852</v>
      </c>
      <c r="I5" t="s">
        <v>2845</v>
      </c>
      <c r="M5" t="s">
        <v>7399</v>
      </c>
      <c r="N5" s="89">
        <v>489</v>
      </c>
      <c r="O5" t="s">
        <v>2845</v>
      </c>
      <c r="P5" s="89">
        <f>$C$2*N5</f>
        <v>5868</v>
      </c>
      <c r="Q5" t="s">
        <v>2845</v>
      </c>
      <c r="U5" t="s">
        <v>7399</v>
      </c>
      <c r="V5" s="89">
        <v>468</v>
      </c>
      <c r="W5" t="s">
        <v>2845</v>
      </c>
      <c r="X5" s="89">
        <f>S$2*V5</f>
        <v>4680</v>
      </c>
      <c r="Y5" t="s">
        <v>2845</v>
      </c>
      <c r="AC5" t="s">
        <v>7399</v>
      </c>
      <c r="AD5" s="89">
        <v>469</v>
      </c>
      <c r="AE5" t="s">
        <v>2845</v>
      </c>
      <c r="AF5" s="89">
        <f>AA$2*AD5</f>
        <v>15008</v>
      </c>
      <c r="AG5" t="s">
        <v>2845</v>
      </c>
      <c r="AK5" t="s">
        <v>7399</v>
      </c>
      <c r="AL5" s="89">
        <v>405</v>
      </c>
      <c r="AM5" t="s">
        <v>2845</v>
      </c>
      <c r="AN5" s="89">
        <f>AI$2*AL5</f>
        <v>2430</v>
      </c>
      <c r="AO5" t="s">
        <v>2845</v>
      </c>
      <c r="AS5" t="s">
        <v>7399</v>
      </c>
      <c r="AT5" s="89">
        <v>487</v>
      </c>
      <c r="AU5" t="s">
        <v>2845</v>
      </c>
      <c r="AV5" s="89">
        <f>AQ$2*AT5</f>
        <v>1948</v>
      </c>
      <c r="AW5" t="s">
        <v>2845</v>
      </c>
      <c r="BA5" t="s">
        <v>7399</v>
      </c>
      <c r="BB5" s="89">
        <v>453</v>
      </c>
      <c r="BC5" t="s">
        <v>2845</v>
      </c>
      <c r="BD5" s="89">
        <f>AY$2*BB5</f>
        <v>906</v>
      </c>
      <c r="BE5" t="s">
        <v>2845</v>
      </c>
      <c r="BI5" t="s">
        <v>7399</v>
      </c>
      <c r="BJ5" s="89">
        <v>505</v>
      </c>
      <c r="BK5" t="s">
        <v>2845</v>
      </c>
      <c r="BL5" s="89">
        <f>BG$2*BJ5</f>
        <v>1010</v>
      </c>
      <c r="BM5" t="s">
        <v>2845</v>
      </c>
      <c r="BQ5" t="s">
        <v>7399</v>
      </c>
      <c r="BR5" s="89">
        <v>467</v>
      </c>
      <c r="BS5" t="s">
        <v>2845</v>
      </c>
      <c r="BT5" s="89">
        <f>BO$2*BR5</f>
        <v>5604</v>
      </c>
      <c r="BU5" t="s">
        <v>2845</v>
      </c>
      <c r="BY5" t="s">
        <v>7399</v>
      </c>
      <c r="BZ5" s="89">
        <v>296</v>
      </c>
      <c r="CA5" t="s">
        <v>2845</v>
      </c>
      <c r="CB5" s="89">
        <f>BW$2*BZ5</f>
        <v>1184</v>
      </c>
      <c r="CC5" t="s">
        <v>2845</v>
      </c>
      <c r="CG5" t="s">
        <v>7399</v>
      </c>
      <c r="CH5" s="89">
        <v>309</v>
      </c>
      <c r="CI5" t="s">
        <v>2845</v>
      </c>
      <c r="CJ5" s="89">
        <f>CE$2*CH5</f>
        <v>618</v>
      </c>
      <c r="CK5" t="s">
        <v>2845</v>
      </c>
      <c r="CO5" t="s">
        <v>7399</v>
      </c>
      <c r="CP5" s="89">
        <v>404</v>
      </c>
      <c r="CQ5" t="s">
        <v>2845</v>
      </c>
      <c r="CR5" s="89">
        <f>CM$2*CP5</f>
        <v>808</v>
      </c>
      <c r="CS5" t="s">
        <v>2845</v>
      </c>
      <c r="CU5" s="41">
        <f>H5+P5+X5+AF5+AV5+AN5+BD5+BL5+BT5+CB5+CJ5+CR5</f>
        <v>43916</v>
      </c>
      <c r="CV5" t="s">
        <v>2845</v>
      </c>
    </row>
    <row r="6" spans="2:100">
      <c r="E6" t="s">
        <v>7400</v>
      </c>
      <c r="F6" s="89">
        <v>329</v>
      </c>
      <c r="G6" t="s">
        <v>2845</v>
      </c>
      <c r="H6" s="89">
        <f>$C$2*F6</f>
        <v>3948</v>
      </c>
      <c r="I6" t="s">
        <v>2845</v>
      </c>
      <c r="M6" t="s">
        <v>7400</v>
      </c>
      <c r="N6" s="89">
        <v>150</v>
      </c>
      <c r="O6" t="s">
        <v>2845</v>
      </c>
      <c r="P6" s="89">
        <f>$C$2*N6</f>
        <v>1800</v>
      </c>
      <c r="Q6" t="s">
        <v>2845</v>
      </c>
      <c r="U6" t="s">
        <v>7400</v>
      </c>
      <c r="V6" s="89">
        <v>333</v>
      </c>
      <c r="W6" t="s">
        <v>2845</v>
      </c>
      <c r="X6" s="89">
        <f>S$2*V6</f>
        <v>3330</v>
      </c>
      <c r="Y6" t="s">
        <v>2845</v>
      </c>
      <c r="AC6" t="s">
        <v>7400</v>
      </c>
      <c r="AD6" s="89">
        <v>244.5</v>
      </c>
      <c r="AE6" t="s">
        <v>2845</v>
      </c>
      <c r="AF6" s="89">
        <f>AA$2*AD6</f>
        <v>7824</v>
      </c>
      <c r="AG6" t="s">
        <v>2845</v>
      </c>
      <c r="AK6" t="s">
        <v>7400</v>
      </c>
      <c r="AL6" s="89">
        <v>431.75</v>
      </c>
      <c r="AM6" t="s">
        <v>2845</v>
      </c>
      <c r="AN6" s="89">
        <f>AI$2*AL6</f>
        <v>2590.5</v>
      </c>
      <c r="AO6" t="s">
        <v>2845</v>
      </c>
      <c r="AS6" t="s">
        <v>7400</v>
      </c>
      <c r="AT6" s="89">
        <v>149.91999999999999</v>
      </c>
      <c r="AU6" t="s">
        <v>2845</v>
      </c>
      <c r="AV6" s="89">
        <f>AQ$2*AT6</f>
        <v>599.67999999999995</v>
      </c>
      <c r="AW6" t="s">
        <v>2845</v>
      </c>
      <c r="BA6" t="s">
        <v>7400</v>
      </c>
      <c r="BB6" s="89">
        <v>20</v>
      </c>
      <c r="BC6" t="s">
        <v>2845</v>
      </c>
      <c r="BD6" s="89">
        <f>AY$2*BB6</f>
        <v>40</v>
      </c>
      <c r="BE6" t="s">
        <v>2845</v>
      </c>
      <c r="BI6" t="s">
        <v>7400</v>
      </c>
      <c r="BJ6" s="89">
        <v>142.09</v>
      </c>
      <c r="BK6" t="s">
        <v>2845</v>
      </c>
      <c r="BL6" s="89">
        <f>BG$2*BJ6</f>
        <v>284.18</v>
      </c>
      <c r="BM6" t="s">
        <v>2845</v>
      </c>
      <c r="BQ6" t="s">
        <v>7400</v>
      </c>
      <c r="BR6" s="89">
        <v>245.35</v>
      </c>
      <c r="BS6" t="s">
        <v>2845</v>
      </c>
      <c r="BT6" s="89">
        <f>BO$2*BR6</f>
        <v>2944.2</v>
      </c>
      <c r="BU6" t="s">
        <v>2845</v>
      </c>
      <c r="BY6" t="s">
        <v>7400</v>
      </c>
      <c r="BZ6" s="89">
        <v>353.25</v>
      </c>
      <c r="CA6" t="s">
        <v>2845</v>
      </c>
      <c r="CB6" s="89">
        <f>BW$2*BZ6</f>
        <v>1413</v>
      </c>
      <c r="CC6" t="s">
        <v>2845</v>
      </c>
      <c r="CG6" t="s">
        <v>7400</v>
      </c>
      <c r="CH6" s="89">
        <v>198.07</v>
      </c>
      <c r="CI6" t="s">
        <v>2845</v>
      </c>
      <c r="CJ6" s="89">
        <f>CE$2*CH6</f>
        <v>396.14</v>
      </c>
      <c r="CK6" t="s">
        <v>2845</v>
      </c>
      <c r="CO6" t="s">
        <v>7400</v>
      </c>
      <c r="CP6" s="89">
        <v>235.5</v>
      </c>
      <c r="CQ6" t="s">
        <v>2845</v>
      </c>
      <c r="CR6" s="89">
        <f>CM$2*CP6</f>
        <v>471</v>
      </c>
      <c r="CS6" t="s">
        <v>2845</v>
      </c>
      <c r="CU6" s="41">
        <f>H6+P6+X6+AF6+AV6+AN6+BD6+BL6+BT6+CB6+CJ6+CR6</f>
        <v>25640.7</v>
      </c>
      <c r="CV6" t="s">
        <v>2845</v>
      </c>
    </row>
    <row r="7" spans="2:100">
      <c r="E7" t="s">
        <v>7401</v>
      </c>
      <c r="F7" s="90">
        <f>F27</f>
        <v>390</v>
      </c>
      <c r="G7" t="s">
        <v>2845</v>
      </c>
      <c r="H7" s="89">
        <f>$C$2*F7</f>
        <v>4680</v>
      </c>
      <c r="I7" t="s">
        <v>2845</v>
      </c>
      <c r="M7" t="s">
        <v>7401</v>
      </c>
      <c r="N7" s="90">
        <f>N27</f>
        <v>297</v>
      </c>
      <c r="O7" t="s">
        <v>2845</v>
      </c>
      <c r="P7" s="89">
        <f>$C$2*N7</f>
        <v>3564</v>
      </c>
      <c r="Q7" t="s">
        <v>2845</v>
      </c>
      <c r="U7" t="s">
        <v>7401</v>
      </c>
      <c r="V7" s="90">
        <f>V27</f>
        <v>595</v>
      </c>
      <c r="W7" t="s">
        <v>2845</v>
      </c>
      <c r="X7" s="89">
        <f>$C$2*V7</f>
        <v>7140</v>
      </c>
      <c r="Y7" t="s">
        <v>2845</v>
      </c>
      <c r="AC7" t="s">
        <v>7401</v>
      </c>
      <c r="AD7" s="90">
        <f>AD27</f>
        <v>429</v>
      </c>
      <c r="AE7" t="s">
        <v>2845</v>
      </c>
      <c r="AF7" s="89">
        <f>$C$2*AD7</f>
        <v>5148</v>
      </c>
      <c r="AG7" t="s">
        <v>2845</v>
      </c>
      <c r="AK7" t="s">
        <v>7401</v>
      </c>
      <c r="AL7" s="90">
        <f>AL27</f>
        <v>761</v>
      </c>
      <c r="AM7" t="s">
        <v>2845</v>
      </c>
      <c r="AN7" s="89">
        <f>$C$2*AL7</f>
        <v>9132</v>
      </c>
      <c r="AO7" t="s">
        <v>2845</v>
      </c>
      <c r="AS7" t="s">
        <v>7401</v>
      </c>
      <c r="AT7" s="90">
        <f>AT27</f>
        <v>300</v>
      </c>
      <c r="AU7" t="s">
        <v>2845</v>
      </c>
      <c r="AV7" s="89">
        <f>$C$2*AT7</f>
        <v>3600</v>
      </c>
      <c r="AW7" t="s">
        <v>2845</v>
      </c>
      <c r="BA7" t="s">
        <v>7401</v>
      </c>
      <c r="BB7" s="90">
        <f>BB27</f>
        <v>316</v>
      </c>
      <c r="BC7" t="s">
        <v>2845</v>
      </c>
      <c r="BD7" s="89">
        <f>$C$2*BB7</f>
        <v>3792</v>
      </c>
      <c r="BE7" t="s">
        <v>2845</v>
      </c>
      <c r="BI7" t="s">
        <v>7401</v>
      </c>
      <c r="BJ7" s="90">
        <f>BJ27</f>
        <v>247</v>
      </c>
      <c r="BK7" t="s">
        <v>2845</v>
      </c>
      <c r="BL7" s="89">
        <f>$C$2*BJ7</f>
        <v>2964</v>
      </c>
      <c r="BM7" t="s">
        <v>2845</v>
      </c>
      <c r="BQ7" t="s">
        <v>7401</v>
      </c>
      <c r="BR7" s="90">
        <f>BR27</f>
        <v>436</v>
      </c>
      <c r="BS7" t="s">
        <v>2845</v>
      </c>
      <c r="BT7" s="89">
        <f>$C$2*BR7</f>
        <v>5232</v>
      </c>
      <c r="BU7" t="s">
        <v>2845</v>
      </c>
      <c r="BY7" t="s">
        <v>7401</v>
      </c>
      <c r="BZ7" s="90">
        <f>BZ27</f>
        <v>405</v>
      </c>
      <c r="CA7" t="s">
        <v>2845</v>
      </c>
      <c r="CB7" s="89">
        <f>$C$2*BZ7</f>
        <v>4860</v>
      </c>
      <c r="CC7" t="s">
        <v>2845</v>
      </c>
      <c r="CG7" t="s">
        <v>7401</v>
      </c>
      <c r="CH7" s="90">
        <f>CH27</f>
        <v>247</v>
      </c>
      <c r="CI7" t="s">
        <v>2845</v>
      </c>
      <c r="CJ7" s="89">
        <f>$C$2*CH7</f>
        <v>2964</v>
      </c>
      <c r="CK7" t="s">
        <v>2845</v>
      </c>
      <c r="CO7" t="s">
        <v>7401</v>
      </c>
      <c r="CP7" s="90">
        <f>CP27</f>
        <v>455</v>
      </c>
      <c r="CQ7" t="s">
        <v>2845</v>
      </c>
      <c r="CR7" s="89">
        <f>$C$2*CP7</f>
        <v>5460</v>
      </c>
      <c r="CS7" t="s">
        <v>2845</v>
      </c>
      <c r="CU7" s="41">
        <f>H7+P7+X7+AF7+AV7+AN7+BD7+BL7+BT7+CB7+CJ7+CR7</f>
        <v>58536</v>
      </c>
      <c r="CV7" t="s">
        <v>2845</v>
      </c>
    </row>
    <row r="8" spans="2:100">
      <c r="E8" t="s">
        <v>7402</v>
      </c>
      <c r="M8" t="s">
        <v>7402</v>
      </c>
      <c r="U8" t="s">
        <v>7402</v>
      </c>
      <c r="AC8" t="s">
        <v>7402</v>
      </c>
      <c r="AK8" t="s">
        <v>7402</v>
      </c>
      <c r="AS8" t="s">
        <v>7402</v>
      </c>
      <c r="BA8" t="s">
        <v>7402</v>
      </c>
      <c r="BI8" t="s">
        <v>7402</v>
      </c>
      <c r="BQ8" t="s">
        <v>7402</v>
      </c>
      <c r="BY8" t="s">
        <v>7402</v>
      </c>
      <c r="CG8" t="s">
        <v>7402</v>
      </c>
      <c r="CO8" t="s">
        <v>7402</v>
      </c>
    </row>
    <row r="9" spans="2:100">
      <c r="D9" t="s">
        <v>7403</v>
      </c>
      <c r="L9" t="s">
        <v>7403</v>
      </c>
      <c r="T9" t="s">
        <v>7403</v>
      </c>
      <c r="AB9" t="s">
        <v>7403</v>
      </c>
      <c r="AJ9" t="s">
        <v>7403</v>
      </c>
      <c r="AR9" t="s">
        <v>7403</v>
      </c>
      <c r="AZ9" t="s">
        <v>7403</v>
      </c>
      <c r="BH9" t="s">
        <v>7403</v>
      </c>
      <c r="BP9" t="s">
        <v>7403</v>
      </c>
      <c r="BX9" t="s">
        <v>7403</v>
      </c>
      <c r="CF9" t="s">
        <v>7403</v>
      </c>
      <c r="CN9" t="s">
        <v>7403</v>
      </c>
    </row>
    <row r="10" spans="2:100">
      <c r="E10" t="s">
        <v>7404</v>
      </c>
      <c r="F10" s="89">
        <v>5</v>
      </c>
      <c r="G10" t="s">
        <v>7405</v>
      </c>
      <c r="H10" s="89">
        <f t="shared" ref="H10:H15" si="0">$C$2*F10</f>
        <v>60</v>
      </c>
      <c r="I10" t="s">
        <v>7405</v>
      </c>
      <c r="M10" t="s">
        <v>7404</v>
      </c>
      <c r="N10" s="89">
        <v>5</v>
      </c>
      <c r="O10" t="s">
        <v>7405</v>
      </c>
      <c r="P10" s="89">
        <f>$K$2*N10</f>
        <v>60</v>
      </c>
      <c r="Q10" t="s">
        <v>7405</v>
      </c>
      <c r="U10" t="s">
        <v>7404</v>
      </c>
      <c r="V10" s="89">
        <v>5</v>
      </c>
      <c r="W10" t="s">
        <v>7405</v>
      </c>
      <c r="X10" s="89">
        <f t="shared" ref="X10:X15" si="1">S$2*V10</f>
        <v>50</v>
      </c>
      <c r="Y10" t="s">
        <v>7405</v>
      </c>
      <c r="AC10" t="s">
        <v>7404</v>
      </c>
      <c r="AD10" s="89">
        <v>5</v>
      </c>
      <c r="AE10" t="s">
        <v>7405</v>
      </c>
      <c r="AF10" s="89">
        <f t="shared" ref="AF10:AF15" si="2">AA$2*AD10</f>
        <v>160</v>
      </c>
      <c r="AG10" t="s">
        <v>7405</v>
      </c>
      <c r="AK10" t="s">
        <v>7404</v>
      </c>
      <c r="AL10" s="89">
        <v>5</v>
      </c>
      <c r="AM10" t="s">
        <v>7405</v>
      </c>
      <c r="AN10" s="89">
        <f t="shared" ref="AN10:AN15" si="3">AI$2*AL10</f>
        <v>30</v>
      </c>
      <c r="AO10" t="s">
        <v>7405</v>
      </c>
      <c r="AS10" t="s">
        <v>7404</v>
      </c>
      <c r="AU10" t="s">
        <v>7405</v>
      </c>
      <c r="AV10" s="89">
        <f t="shared" ref="AV10:AV15" si="4">AQ$2*AT10</f>
        <v>0</v>
      </c>
      <c r="AW10" t="s">
        <v>7405</v>
      </c>
      <c r="BA10" t="s">
        <v>7404</v>
      </c>
      <c r="BC10" t="s">
        <v>7405</v>
      </c>
      <c r="BD10" s="89">
        <f t="shared" ref="BD10:BD15" si="5">AY$2*BB10</f>
        <v>0</v>
      </c>
      <c r="BE10" t="s">
        <v>7405</v>
      </c>
      <c r="BI10" t="s">
        <v>7404</v>
      </c>
      <c r="BK10" t="s">
        <v>7405</v>
      </c>
      <c r="BL10" s="89">
        <f t="shared" ref="BL10:BL15" si="6">BG$2*BJ10</f>
        <v>0</v>
      </c>
      <c r="BM10" t="s">
        <v>7405</v>
      </c>
      <c r="BQ10" t="s">
        <v>7404</v>
      </c>
      <c r="BS10" t="s">
        <v>7405</v>
      </c>
      <c r="BT10" s="89">
        <f t="shared" ref="BT10:BT15" si="7">BO$2*BR10</f>
        <v>0</v>
      </c>
      <c r="BU10" t="s">
        <v>7405</v>
      </c>
      <c r="BY10" t="s">
        <v>7404</v>
      </c>
      <c r="CA10" t="s">
        <v>7405</v>
      </c>
      <c r="CB10" s="89">
        <f t="shared" ref="CB10:CB15" si="8">BW$2*BZ10</f>
        <v>0</v>
      </c>
      <c r="CC10" t="s">
        <v>7405</v>
      </c>
      <c r="CG10" t="s">
        <v>7404</v>
      </c>
      <c r="CI10" t="s">
        <v>7405</v>
      </c>
      <c r="CJ10" s="89">
        <f t="shared" ref="CJ10:CJ15" si="9">CE$2*CH10</f>
        <v>0</v>
      </c>
      <c r="CK10" t="s">
        <v>7405</v>
      </c>
      <c r="CO10" t="s">
        <v>7404</v>
      </c>
      <c r="CQ10" t="s">
        <v>7405</v>
      </c>
      <c r="CR10" s="89">
        <f t="shared" ref="CR10:CR15" si="10">CM$2*CP10</f>
        <v>0</v>
      </c>
      <c r="CS10" t="s">
        <v>7405</v>
      </c>
      <c r="CU10" s="41">
        <f t="shared" ref="CU10:CU15" si="11">H10+P10+X10+AF10+AV10+AN10+BD10+BL10+BT10+CB10+CJ10+CR10</f>
        <v>360</v>
      </c>
      <c r="CV10" t="s">
        <v>7405</v>
      </c>
    </row>
    <row r="11" spans="2:100">
      <c r="E11" t="s">
        <v>7406</v>
      </c>
      <c r="F11" s="89">
        <v>7.5</v>
      </c>
      <c r="G11" t="s">
        <v>7405</v>
      </c>
      <c r="H11" s="89">
        <f>$C$2*F11</f>
        <v>90</v>
      </c>
      <c r="I11" t="s">
        <v>7405</v>
      </c>
      <c r="M11" t="s">
        <v>7406</v>
      </c>
      <c r="N11" s="89">
        <v>7.5</v>
      </c>
      <c r="O11" t="s">
        <v>7405</v>
      </c>
      <c r="P11" s="89">
        <f>$K$2*N11</f>
        <v>90</v>
      </c>
      <c r="Q11" t="s">
        <v>7405</v>
      </c>
      <c r="U11" t="s">
        <v>7406</v>
      </c>
      <c r="V11" s="89">
        <v>7.5</v>
      </c>
      <c r="W11" t="s">
        <v>7405</v>
      </c>
      <c r="X11" s="89">
        <f>S$2*V11</f>
        <v>75</v>
      </c>
      <c r="Y11" t="s">
        <v>7405</v>
      </c>
      <c r="AC11" t="s">
        <v>7406</v>
      </c>
      <c r="AD11" s="89">
        <v>7.5</v>
      </c>
      <c r="AE11" t="s">
        <v>7405</v>
      </c>
      <c r="AF11" s="89">
        <f>AA$2*AD11</f>
        <v>240</v>
      </c>
      <c r="AG11" t="s">
        <v>7405</v>
      </c>
      <c r="AK11" t="s">
        <v>7406</v>
      </c>
      <c r="AL11" s="89">
        <v>7.5</v>
      </c>
      <c r="AM11" t="s">
        <v>7405</v>
      </c>
      <c r="AN11" s="89">
        <f t="shared" si="3"/>
        <v>45</v>
      </c>
      <c r="AO11" t="s">
        <v>7405</v>
      </c>
      <c r="AS11" t="s">
        <v>7404</v>
      </c>
      <c r="AU11" t="s">
        <v>7405</v>
      </c>
      <c r="AV11" s="89">
        <f>AQ$2*AT11</f>
        <v>0</v>
      </c>
      <c r="AW11" t="s">
        <v>7405</v>
      </c>
      <c r="BA11" t="s">
        <v>7406</v>
      </c>
      <c r="BC11" t="s">
        <v>7405</v>
      </c>
      <c r="BD11" s="89">
        <f t="shared" si="5"/>
        <v>0</v>
      </c>
      <c r="BE11" t="s">
        <v>7405</v>
      </c>
      <c r="BI11" t="s">
        <v>7406</v>
      </c>
      <c r="BK11" t="s">
        <v>7405</v>
      </c>
      <c r="BL11" s="89">
        <f t="shared" si="6"/>
        <v>0</v>
      </c>
      <c r="BM11" t="s">
        <v>7405</v>
      </c>
      <c r="BQ11" t="s">
        <v>7406</v>
      </c>
      <c r="BS11" t="s">
        <v>7405</v>
      </c>
      <c r="BT11" s="89">
        <f t="shared" si="7"/>
        <v>0</v>
      </c>
      <c r="BU11" t="s">
        <v>7405</v>
      </c>
      <c r="BY11" t="s">
        <v>7406</v>
      </c>
      <c r="CA11" t="s">
        <v>7405</v>
      </c>
      <c r="CB11" s="89">
        <f t="shared" si="8"/>
        <v>0</v>
      </c>
      <c r="CC11" t="s">
        <v>7405</v>
      </c>
      <c r="CG11" t="s">
        <v>7406</v>
      </c>
      <c r="CI11" t="s">
        <v>7405</v>
      </c>
      <c r="CJ11" s="89">
        <f t="shared" si="9"/>
        <v>0</v>
      </c>
      <c r="CK11" t="s">
        <v>7405</v>
      </c>
      <c r="CO11" t="s">
        <v>7406</v>
      </c>
      <c r="CQ11" t="s">
        <v>7405</v>
      </c>
      <c r="CR11" s="89">
        <f t="shared" si="10"/>
        <v>0</v>
      </c>
      <c r="CS11" t="s">
        <v>7405</v>
      </c>
      <c r="CU11" s="41">
        <f t="shared" si="11"/>
        <v>540</v>
      </c>
      <c r="CV11" t="s">
        <v>7405</v>
      </c>
    </row>
    <row r="12" spans="2:100">
      <c r="E12" t="s">
        <v>7407</v>
      </c>
      <c r="F12" s="89">
        <v>4</v>
      </c>
      <c r="G12" t="s">
        <v>7405</v>
      </c>
      <c r="H12" s="89">
        <f t="shared" si="0"/>
        <v>48</v>
      </c>
      <c r="I12" t="s">
        <v>7405</v>
      </c>
      <c r="M12" t="s">
        <v>7407</v>
      </c>
      <c r="N12" s="89">
        <v>4</v>
      </c>
      <c r="O12" t="s">
        <v>7405</v>
      </c>
      <c r="P12" s="89">
        <f>$C$2*N12</f>
        <v>48</v>
      </c>
      <c r="Q12" t="s">
        <v>7405</v>
      </c>
      <c r="U12" t="s">
        <v>7407</v>
      </c>
      <c r="V12" s="89">
        <v>8</v>
      </c>
      <c r="W12" t="s">
        <v>7405</v>
      </c>
      <c r="X12" s="89">
        <f t="shared" si="1"/>
        <v>80</v>
      </c>
      <c r="Y12" t="s">
        <v>7405</v>
      </c>
      <c r="AC12" t="s">
        <v>7407</v>
      </c>
      <c r="AD12" s="89">
        <v>4</v>
      </c>
      <c r="AE12" t="s">
        <v>7405</v>
      </c>
      <c r="AF12" s="89">
        <f t="shared" si="2"/>
        <v>128</v>
      </c>
      <c r="AG12" t="s">
        <v>7405</v>
      </c>
      <c r="AK12" t="s">
        <v>7407</v>
      </c>
      <c r="AL12" s="89">
        <v>4</v>
      </c>
      <c r="AM12" t="s">
        <v>7405</v>
      </c>
      <c r="AN12" s="89">
        <f t="shared" si="3"/>
        <v>24</v>
      </c>
      <c r="AO12" t="s">
        <v>7405</v>
      </c>
      <c r="AS12" t="s">
        <v>7407</v>
      </c>
      <c r="AT12" s="89">
        <v>4</v>
      </c>
      <c r="AU12" t="s">
        <v>7405</v>
      </c>
      <c r="AV12" s="89">
        <f t="shared" si="4"/>
        <v>16</v>
      </c>
      <c r="AW12" t="s">
        <v>7405</v>
      </c>
      <c r="BA12" t="s">
        <v>7407</v>
      </c>
      <c r="BB12" s="89">
        <v>1</v>
      </c>
      <c r="BC12" t="s">
        <v>7405</v>
      </c>
      <c r="BD12" s="89">
        <f t="shared" si="5"/>
        <v>2</v>
      </c>
      <c r="BE12" t="s">
        <v>7405</v>
      </c>
      <c r="BI12" t="s">
        <v>7407</v>
      </c>
      <c r="BK12" t="s">
        <v>7405</v>
      </c>
      <c r="BL12" s="89">
        <f t="shared" si="6"/>
        <v>0</v>
      </c>
      <c r="BM12" t="s">
        <v>7405</v>
      </c>
      <c r="BQ12" t="s">
        <v>7407</v>
      </c>
      <c r="BR12" s="89">
        <v>4</v>
      </c>
      <c r="BS12" t="s">
        <v>7405</v>
      </c>
      <c r="BT12" s="89">
        <f t="shared" si="7"/>
        <v>48</v>
      </c>
      <c r="BU12" t="s">
        <v>7405</v>
      </c>
      <c r="BY12" t="s">
        <v>7407</v>
      </c>
      <c r="BZ12" s="89">
        <v>4</v>
      </c>
      <c r="CA12" t="s">
        <v>7405</v>
      </c>
      <c r="CB12" s="89">
        <f t="shared" si="8"/>
        <v>16</v>
      </c>
      <c r="CC12" t="s">
        <v>7405</v>
      </c>
      <c r="CG12" t="s">
        <v>7407</v>
      </c>
      <c r="CH12" s="89">
        <v>4</v>
      </c>
      <c r="CI12" t="s">
        <v>7405</v>
      </c>
      <c r="CJ12" s="89">
        <f t="shared" si="9"/>
        <v>8</v>
      </c>
      <c r="CK12" t="s">
        <v>7405</v>
      </c>
      <c r="CO12" t="s">
        <v>7407</v>
      </c>
      <c r="CP12" s="89">
        <v>4</v>
      </c>
      <c r="CQ12" t="s">
        <v>7405</v>
      </c>
      <c r="CR12" s="89">
        <f t="shared" si="10"/>
        <v>8</v>
      </c>
      <c r="CS12" t="s">
        <v>7405</v>
      </c>
      <c r="CU12" s="41">
        <f t="shared" si="11"/>
        <v>426</v>
      </c>
      <c r="CV12" t="s">
        <v>7405</v>
      </c>
    </row>
    <row r="13" spans="2:100">
      <c r="E13" t="s">
        <v>7408</v>
      </c>
      <c r="F13" s="89">
        <v>5</v>
      </c>
      <c r="G13" t="s">
        <v>2803</v>
      </c>
      <c r="H13" s="89">
        <f t="shared" si="0"/>
        <v>60</v>
      </c>
      <c r="I13" t="s">
        <v>2803</v>
      </c>
      <c r="M13" t="s">
        <v>7408</v>
      </c>
      <c r="N13" s="89">
        <v>5</v>
      </c>
      <c r="O13" t="s">
        <v>2803</v>
      </c>
      <c r="P13" s="89">
        <f>$C$2*N13</f>
        <v>60</v>
      </c>
      <c r="Q13" t="s">
        <v>2803</v>
      </c>
      <c r="U13" t="s">
        <v>7408</v>
      </c>
      <c r="V13" s="89">
        <v>5</v>
      </c>
      <c r="W13" t="s">
        <v>2803</v>
      </c>
      <c r="X13" s="89">
        <f t="shared" si="1"/>
        <v>50</v>
      </c>
      <c r="Y13" t="s">
        <v>2803</v>
      </c>
      <c r="AC13" t="s">
        <v>7408</v>
      </c>
      <c r="AD13" s="89">
        <v>5</v>
      </c>
      <c r="AE13" t="s">
        <v>2803</v>
      </c>
      <c r="AF13" s="89">
        <f t="shared" si="2"/>
        <v>160</v>
      </c>
      <c r="AG13" t="s">
        <v>2803</v>
      </c>
      <c r="AK13" t="s">
        <v>7408</v>
      </c>
      <c r="AL13" s="89">
        <v>5</v>
      </c>
      <c r="AM13" t="s">
        <v>2803</v>
      </c>
      <c r="AN13" s="89">
        <f t="shared" si="3"/>
        <v>30</v>
      </c>
      <c r="AO13" t="s">
        <v>2803</v>
      </c>
      <c r="AS13" t="s">
        <v>7408</v>
      </c>
      <c r="AT13" s="89">
        <v>5</v>
      </c>
      <c r="AU13" t="s">
        <v>2803</v>
      </c>
      <c r="AV13" s="89">
        <f t="shared" si="4"/>
        <v>20</v>
      </c>
      <c r="AW13" t="s">
        <v>2803</v>
      </c>
      <c r="BA13" t="s">
        <v>7408</v>
      </c>
      <c r="BB13" s="89">
        <v>1</v>
      </c>
      <c r="BC13" t="s">
        <v>2803</v>
      </c>
      <c r="BD13" s="89">
        <f t="shared" si="5"/>
        <v>2</v>
      </c>
      <c r="BE13" t="s">
        <v>2803</v>
      </c>
      <c r="BI13" t="s">
        <v>7408</v>
      </c>
      <c r="BJ13" s="89">
        <v>5</v>
      </c>
      <c r="BK13" t="s">
        <v>2803</v>
      </c>
      <c r="BL13" s="89">
        <f t="shared" si="6"/>
        <v>10</v>
      </c>
      <c r="BM13" t="s">
        <v>2803</v>
      </c>
      <c r="BQ13" t="s">
        <v>7408</v>
      </c>
      <c r="BR13" s="89">
        <v>5</v>
      </c>
      <c r="BS13" t="s">
        <v>2803</v>
      </c>
      <c r="BT13" s="89">
        <f t="shared" si="7"/>
        <v>60</v>
      </c>
      <c r="BU13" t="s">
        <v>2803</v>
      </c>
      <c r="BY13" t="s">
        <v>7408</v>
      </c>
      <c r="BZ13" s="89">
        <v>5</v>
      </c>
      <c r="CA13" t="s">
        <v>2803</v>
      </c>
      <c r="CB13" s="89">
        <f t="shared" si="8"/>
        <v>20</v>
      </c>
      <c r="CC13" t="s">
        <v>2803</v>
      </c>
      <c r="CG13" t="s">
        <v>7408</v>
      </c>
      <c r="CH13" s="89">
        <v>5</v>
      </c>
      <c r="CI13" t="s">
        <v>2803</v>
      </c>
      <c r="CJ13" s="89">
        <f t="shared" si="9"/>
        <v>10</v>
      </c>
      <c r="CK13" t="s">
        <v>2803</v>
      </c>
      <c r="CO13" t="s">
        <v>7408</v>
      </c>
      <c r="CP13" s="89">
        <v>5</v>
      </c>
      <c r="CQ13" t="s">
        <v>2803</v>
      </c>
      <c r="CR13" s="89">
        <f t="shared" si="10"/>
        <v>10</v>
      </c>
      <c r="CS13" t="s">
        <v>2803</v>
      </c>
      <c r="CU13" s="41">
        <f t="shared" si="11"/>
        <v>492</v>
      </c>
      <c r="CV13" t="s">
        <v>2803</v>
      </c>
    </row>
    <row r="14" spans="2:100">
      <c r="E14" t="s">
        <v>7409</v>
      </c>
      <c r="F14" s="89">
        <v>93</v>
      </c>
      <c r="G14" t="s">
        <v>2864</v>
      </c>
      <c r="H14" s="89">
        <f t="shared" si="0"/>
        <v>1116</v>
      </c>
      <c r="I14" t="s">
        <v>2864</v>
      </c>
      <c r="M14" t="s">
        <v>7409</v>
      </c>
      <c r="N14" s="89">
        <v>72</v>
      </c>
      <c r="O14" t="s">
        <v>2864</v>
      </c>
      <c r="P14" s="89">
        <f>$C$2*N14</f>
        <v>864</v>
      </c>
      <c r="Q14" t="s">
        <v>2864</v>
      </c>
      <c r="U14" t="s">
        <v>7409</v>
      </c>
      <c r="V14" s="89">
        <v>128</v>
      </c>
      <c r="W14" t="s">
        <v>2864</v>
      </c>
      <c r="X14" s="89">
        <f t="shared" si="1"/>
        <v>1280</v>
      </c>
      <c r="Y14" t="s">
        <v>2864</v>
      </c>
      <c r="AC14" t="s">
        <v>7409</v>
      </c>
      <c r="AD14" s="89">
        <v>111</v>
      </c>
      <c r="AE14" t="s">
        <v>2864</v>
      </c>
      <c r="AF14" s="89">
        <f t="shared" si="2"/>
        <v>3552</v>
      </c>
      <c r="AG14" t="s">
        <v>2864</v>
      </c>
      <c r="AK14" t="s">
        <v>7409</v>
      </c>
      <c r="AL14" s="89">
        <v>190</v>
      </c>
      <c r="AM14" t="s">
        <v>2864</v>
      </c>
      <c r="AN14" s="89">
        <f t="shared" si="3"/>
        <v>1140</v>
      </c>
      <c r="AO14" t="s">
        <v>2864</v>
      </c>
      <c r="AS14" t="s">
        <v>7409</v>
      </c>
      <c r="AT14" s="89">
        <v>23</v>
      </c>
      <c r="AU14" t="s">
        <v>2864</v>
      </c>
      <c r="AV14" s="89">
        <f t="shared" si="4"/>
        <v>92</v>
      </c>
      <c r="AW14" t="s">
        <v>2864</v>
      </c>
      <c r="BA14" t="s">
        <v>7409</v>
      </c>
      <c r="BB14" s="89">
        <v>79</v>
      </c>
      <c r="BC14" t="s">
        <v>2864</v>
      </c>
      <c r="BD14" s="89">
        <f t="shared" si="5"/>
        <v>158</v>
      </c>
      <c r="BE14" t="s">
        <v>2864</v>
      </c>
      <c r="BI14" t="s">
        <v>7409</v>
      </c>
      <c r="BJ14" s="89">
        <v>62</v>
      </c>
      <c r="BK14" t="s">
        <v>2864</v>
      </c>
      <c r="BL14" s="89">
        <f t="shared" si="6"/>
        <v>124</v>
      </c>
      <c r="BM14" t="s">
        <v>2864</v>
      </c>
      <c r="BQ14" t="s">
        <v>7409</v>
      </c>
      <c r="BR14" s="89">
        <v>114</v>
      </c>
      <c r="BS14" t="s">
        <v>2864</v>
      </c>
      <c r="BT14" s="89">
        <f t="shared" si="7"/>
        <v>1368</v>
      </c>
      <c r="BU14" t="s">
        <v>2864</v>
      </c>
      <c r="BY14" t="s">
        <v>7409</v>
      </c>
      <c r="BZ14" s="89">
        <v>116</v>
      </c>
      <c r="CA14" t="s">
        <v>2864</v>
      </c>
      <c r="CB14" s="89">
        <f t="shared" si="8"/>
        <v>464</v>
      </c>
      <c r="CC14" t="s">
        <v>2864</v>
      </c>
      <c r="CG14" t="s">
        <v>7409</v>
      </c>
      <c r="CH14" s="89">
        <v>68</v>
      </c>
      <c r="CI14" t="s">
        <v>2864</v>
      </c>
      <c r="CJ14" s="89">
        <f t="shared" si="9"/>
        <v>136</v>
      </c>
      <c r="CK14" t="s">
        <v>2864</v>
      </c>
      <c r="CO14" t="s">
        <v>7409</v>
      </c>
      <c r="CP14" s="89">
        <v>102</v>
      </c>
      <c r="CQ14" t="s">
        <v>2864</v>
      </c>
      <c r="CR14" s="89">
        <f t="shared" si="10"/>
        <v>204</v>
      </c>
      <c r="CS14" t="s">
        <v>2864</v>
      </c>
      <c r="CU14" s="41">
        <f t="shared" si="11"/>
        <v>10498</v>
      </c>
      <c r="CV14" t="s">
        <v>2864</v>
      </c>
    </row>
    <row r="15" spans="2:100">
      <c r="E15" t="s">
        <v>7410</v>
      </c>
      <c r="F15" s="89">
        <v>6</v>
      </c>
      <c r="G15" t="s">
        <v>2864</v>
      </c>
      <c r="H15" s="89">
        <f t="shared" si="0"/>
        <v>72</v>
      </c>
      <c r="I15" t="s">
        <v>2864</v>
      </c>
      <c r="M15" t="s">
        <v>7410</v>
      </c>
      <c r="N15" s="89">
        <v>5</v>
      </c>
      <c r="O15" t="s">
        <v>2864</v>
      </c>
      <c r="P15" s="89">
        <f>$C$2*N15</f>
        <v>60</v>
      </c>
      <c r="Q15" t="s">
        <v>2864</v>
      </c>
      <c r="U15" t="s">
        <v>7410</v>
      </c>
      <c r="V15" s="89">
        <v>7</v>
      </c>
      <c r="W15" t="s">
        <v>2864</v>
      </c>
      <c r="X15" s="89">
        <f t="shared" si="1"/>
        <v>70</v>
      </c>
      <c r="Y15" t="s">
        <v>2864</v>
      </c>
      <c r="AC15" t="s">
        <v>7410</v>
      </c>
      <c r="AD15" s="89">
        <v>5</v>
      </c>
      <c r="AE15" t="s">
        <v>2864</v>
      </c>
      <c r="AF15" s="89">
        <f t="shared" si="2"/>
        <v>160</v>
      </c>
      <c r="AG15" t="s">
        <v>2864</v>
      </c>
      <c r="AK15" t="s">
        <v>7410</v>
      </c>
      <c r="AL15" s="89">
        <v>15</v>
      </c>
      <c r="AM15" t="s">
        <v>2864</v>
      </c>
      <c r="AN15" s="89">
        <f t="shared" si="3"/>
        <v>90</v>
      </c>
      <c r="AO15" t="s">
        <v>2864</v>
      </c>
      <c r="AS15" t="s">
        <v>7410</v>
      </c>
      <c r="AT15" s="89">
        <v>6</v>
      </c>
      <c r="AU15" t="s">
        <v>2864</v>
      </c>
      <c r="AV15" s="89">
        <f t="shared" si="4"/>
        <v>24</v>
      </c>
      <c r="AW15" t="s">
        <v>2864</v>
      </c>
      <c r="BA15" t="s">
        <v>7410</v>
      </c>
      <c r="BB15" s="89">
        <v>6</v>
      </c>
      <c r="BC15" t="s">
        <v>2864</v>
      </c>
      <c r="BD15" s="89">
        <f t="shared" si="5"/>
        <v>12</v>
      </c>
      <c r="BE15" t="s">
        <v>2864</v>
      </c>
      <c r="BI15" t="s">
        <v>7410</v>
      </c>
      <c r="BJ15" s="89">
        <v>6</v>
      </c>
      <c r="BK15" t="s">
        <v>2864</v>
      </c>
      <c r="BL15" s="89">
        <f t="shared" si="6"/>
        <v>12</v>
      </c>
      <c r="BM15" t="s">
        <v>2864</v>
      </c>
      <c r="BQ15" t="s">
        <v>7410</v>
      </c>
      <c r="BR15" s="89">
        <v>12</v>
      </c>
      <c r="BS15" t="s">
        <v>2864</v>
      </c>
      <c r="BT15" s="89">
        <f t="shared" si="7"/>
        <v>144</v>
      </c>
      <c r="BU15" t="s">
        <v>2864</v>
      </c>
      <c r="BY15" t="s">
        <v>7410</v>
      </c>
      <c r="BZ15" s="89">
        <v>12</v>
      </c>
      <c r="CA15" t="s">
        <v>2864</v>
      </c>
      <c r="CB15" s="89">
        <f t="shared" si="8"/>
        <v>48</v>
      </c>
      <c r="CC15" t="s">
        <v>2864</v>
      </c>
      <c r="CG15" t="s">
        <v>7410</v>
      </c>
      <c r="CH15" s="89">
        <v>6</v>
      </c>
      <c r="CI15" t="s">
        <v>2864</v>
      </c>
      <c r="CJ15" s="89">
        <f t="shared" si="9"/>
        <v>12</v>
      </c>
      <c r="CK15" t="s">
        <v>2864</v>
      </c>
      <c r="CO15" t="s">
        <v>7410</v>
      </c>
      <c r="CP15" s="89">
        <v>6</v>
      </c>
      <c r="CQ15" t="s">
        <v>2864</v>
      </c>
      <c r="CR15" s="89">
        <f t="shared" si="10"/>
        <v>12</v>
      </c>
      <c r="CS15" t="s">
        <v>2864</v>
      </c>
      <c r="CU15" s="41">
        <f t="shared" si="11"/>
        <v>716</v>
      </c>
      <c r="CV15" t="s">
        <v>2864</v>
      </c>
    </row>
    <row r="16" spans="2:100">
      <c r="D16" t="s">
        <v>7411</v>
      </c>
      <c r="L16" t="s">
        <v>7411</v>
      </c>
      <c r="T16" t="s">
        <v>7411</v>
      </c>
      <c r="AB16" t="s">
        <v>7411</v>
      </c>
      <c r="AJ16" t="s">
        <v>7411</v>
      </c>
      <c r="AR16" t="s">
        <v>7411</v>
      </c>
      <c r="AZ16" t="s">
        <v>7411</v>
      </c>
      <c r="BH16" t="s">
        <v>7411</v>
      </c>
      <c r="BP16" t="s">
        <v>7411</v>
      </c>
      <c r="BX16" t="s">
        <v>7411</v>
      </c>
      <c r="CF16" t="s">
        <v>7411</v>
      </c>
      <c r="CN16" t="s">
        <v>7411</v>
      </c>
    </row>
    <row r="17" spans="4:100">
      <c r="E17" t="s">
        <v>7412</v>
      </c>
      <c r="F17" s="89">
        <v>1</v>
      </c>
      <c r="G17" t="s">
        <v>2803</v>
      </c>
      <c r="H17" s="89">
        <f>$C$2*F17</f>
        <v>12</v>
      </c>
      <c r="I17" t="s">
        <v>2803</v>
      </c>
      <c r="M17" t="s">
        <v>7412</v>
      </c>
      <c r="O17" t="s">
        <v>2803</v>
      </c>
      <c r="P17" s="89">
        <f>$K$2*N17</f>
        <v>0</v>
      </c>
      <c r="Q17" t="s">
        <v>2803</v>
      </c>
      <c r="U17" t="s">
        <v>7412</v>
      </c>
      <c r="V17" s="89">
        <v>1</v>
      </c>
      <c r="W17" t="s">
        <v>2803</v>
      </c>
      <c r="X17" s="89">
        <f>S$2*V17</f>
        <v>10</v>
      </c>
      <c r="Y17" t="s">
        <v>2803</v>
      </c>
      <c r="AC17" t="s">
        <v>7412</v>
      </c>
      <c r="AD17" s="89">
        <v>1</v>
      </c>
      <c r="AE17" t="s">
        <v>2803</v>
      </c>
      <c r="AF17" s="89">
        <f>AA$2*AD17</f>
        <v>32</v>
      </c>
      <c r="AG17" t="s">
        <v>2803</v>
      </c>
      <c r="AK17" t="s">
        <v>7412</v>
      </c>
      <c r="AM17" t="s">
        <v>2803</v>
      </c>
      <c r="AN17" s="89">
        <f>AI$2*AL17</f>
        <v>0</v>
      </c>
      <c r="AO17" t="s">
        <v>2803</v>
      </c>
      <c r="AS17" t="s">
        <v>7412</v>
      </c>
      <c r="AT17" s="89">
        <v>1</v>
      </c>
      <c r="AU17" t="s">
        <v>2803</v>
      </c>
      <c r="AV17" s="89">
        <f>AQ$2*AT17</f>
        <v>4</v>
      </c>
      <c r="AW17" t="s">
        <v>2803</v>
      </c>
      <c r="BA17" t="s">
        <v>7412</v>
      </c>
      <c r="BB17" s="89">
        <v>1</v>
      </c>
      <c r="BC17" t="s">
        <v>2803</v>
      </c>
      <c r="BD17" s="89">
        <f>AY$2*BB17</f>
        <v>2</v>
      </c>
      <c r="BE17" t="s">
        <v>2803</v>
      </c>
      <c r="BI17" t="s">
        <v>7412</v>
      </c>
      <c r="BJ17" s="89">
        <v>1</v>
      </c>
      <c r="BK17" t="s">
        <v>2803</v>
      </c>
      <c r="BL17" s="89">
        <f>BG$2*BJ17</f>
        <v>2</v>
      </c>
      <c r="BM17" t="s">
        <v>2803</v>
      </c>
      <c r="BQ17" t="s">
        <v>7412</v>
      </c>
      <c r="BR17" s="89">
        <v>2</v>
      </c>
      <c r="BS17" t="s">
        <v>2803</v>
      </c>
      <c r="BT17" s="89">
        <f>BO$2*BR17</f>
        <v>24</v>
      </c>
      <c r="BU17" t="s">
        <v>2803</v>
      </c>
      <c r="BY17" t="s">
        <v>7412</v>
      </c>
      <c r="BZ17" s="89">
        <v>2</v>
      </c>
      <c r="CA17" t="s">
        <v>2803</v>
      </c>
      <c r="CB17" s="89">
        <f>BW$2*BZ17</f>
        <v>8</v>
      </c>
      <c r="CC17" t="s">
        <v>2803</v>
      </c>
      <c r="CG17" t="s">
        <v>7412</v>
      </c>
      <c r="CH17" s="89">
        <v>1</v>
      </c>
      <c r="CI17" t="s">
        <v>2803</v>
      </c>
      <c r="CJ17" s="89">
        <f>CE$2*CH17</f>
        <v>2</v>
      </c>
      <c r="CK17" t="s">
        <v>2803</v>
      </c>
      <c r="CO17" t="s">
        <v>7412</v>
      </c>
      <c r="CP17" s="89">
        <v>1</v>
      </c>
      <c r="CQ17" t="s">
        <v>2803</v>
      </c>
      <c r="CR17" s="89">
        <f>CM$2*CP17</f>
        <v>2</v>
      </c>
      <c r="CS17" t="s">
        <v>2803</v>
      </c>
      <c r="CU17" s="41">
        <f>H17+P17+X17+AF17+AV17+AN17+BD17+BL17+BT17+CB17+CJ17+CR17</f>
        <v>98</v>
      </c>
      <c r="CV17" t="s">
        <v>2803</v>
      </c>
    </row>
    <row r="18" spans="4:100">
      <c r="E18" t="s">
        <v>7413</v>
      </c>
      <c r="F18" s="89">
        <v>1</v>
      </c>
      <c r="G18" t="s">
        <v>2803</v>
      </c>
      <c r="H18" s="89">
        <f>$C$2*F18</f>
        <v>12</v>
      </c>
      <c r="I18" t="s">
        <v>2803</v>
      </c>
      <c r="M18" t="s">
        <v>7413</v>
      </c>
      <c r="N18" s="89">
        <v>1</v>
      </c>
      <c r="O18" t="s">
        <v>2803</v>
      </c>
      <c r="P18" s="89">
        <f>$C$2*N18</f>
        <v>12</v>
      </c>
      <c r="Q18" t="s">
        <v>2803</v>
      </c>
      <c r="U18" t="s">
        <v>7413</v>
      </c>
      <c r="V18" s="89">
        <v>1</v>
      </c>
      <c r="W18" t="s">
        <v>2803</v>
      </c>
      <c r="X18" s="89">
        <f>S$2*V18</f>
        <v>10</v>
      </c>
      <c r="Y18" t="s">
        <v>2803</v>
      </c>
      <c r="AC18" t="s">
        <v>7413</v>
      </c>
      <c r="AD18" s="89">
        <v>1</v>
      </c>
      <c r="AE18" t="s">
        <v>2803</v>
      </c>
      <c r="AF18" s="89">
        <f>AA$2*AD18</f>
        <v>32</v>
      </c>
      <c r="AG18" t="s">
        <v>2803</v>
      </c>
      <c r="AK18" t="s">
        <v>7413</v>
      </c>
      <c r="AL18" s="89">
        <v>1</v>
      </c>
      <c r="AM18" t="s">
        <v>2803</v>
      </c>
      <c r="AN18" s="89">
        <f>AI$2*AL18</f>
        <v>6</v>
      </c>
      <c r="AO18" t="s">
        <v>2803</v>
      </c>
      <c r="AS18" t="s">
        <v>7413</v>
      </c>
      <c r="AT18" s="89">
        <v>1</v>
      </c>
      <c r="AU18" t="s">
        <v>2803</v>
      </c>
      <c r="AV18" s="89">
        <f>AQ$2*AT18</f>
        <v>4</v>
      </c>
      <c r="AW18" t="s">
        <v>2803</v>
      </c>
      <c r="BA18" t="s">
        <v>7413</v>
      </c>
      <c r="BB18" s="89">
        <v>1</v>
      </c>
      <c r="BC18" t="s">
        <v>2803</v>
      </c>
      <c r="BD18" s="89">
        <f>AY$2*BB18</f>
        <v>2</v>
      </c>
      <c r="BE18" t="s">
        <v>2803</v>
      </c>
      <c r="BI18" t="s">
        <v>7413</v>
      </c>
      <c r="BJ18" s="89">
        <v>1</v>
      </c>
      <c r="BK18" t="s">
        <v>2803</v>
      </c>
      <c r="BL18" s="89">
        <f>BG$2*BJ18</f>
        <v>2</v>
      </c>
      <c r="BM18" t="s">
        <v>2803</v>
      </c>
      <c r="BQ18" t="s">
        <v>7413</v>
      </c>
      <c r="BR18" s="89">
        <v>1</v>
      </c>
      <c r="BS18" t="s">
        <v>2803</v>
      </c>
      <c r="BT18" s="89">
        <f>BO$2*BR18</f>
        <v>12</v>
      </c>
      <c r="BU18" t="s">
        <v>2803</v>
      </c>
      <c r="BY18" t="s">
        <v>7413</v>
      </c>
      <c r="BZ18" s="89">
        <v>1</v>
      </c>
      <c r="CA18" t="s">
        <v>2803</v>
      </c>
      <c r="CB18" s="89">
        <f>BW$2*BZ18</f>
        <v>4</v>
      </c>
      <c r="CC18" t="s">
        <v>2803</v>
      </c>
      <c r="CG18" t="s">
        <v>7413</v>
      </c>
      <c r="CH18" s="89">
        <v>1</v>
      </c>
      <c r="CI18" t="s">
        <v>2803</v>
      </c>
      <c r="CJ18" s="89">
        <f>CE$2*CH18</f>
        <v>2</v>
      </c>
      <c r="CK18" t="s">
        <v>2803</v>
      </c>
      <c r="CO18" t="s">
        <v>7413</v>
      </c>
      <c r="CP18" s="89">
        <v>1</v>
      </c>
      <c r="CQ18" t="s">
        <v>2803</v>
      </c>
      <c r="CR18" s="89">
        <f>CM$2*CP18</f>
        <v>2</v>
      </c>
      <c r="CS18" t="s">
        <v>2803</v>
      </c>
      <c r="CU18" s="41">
        <f>H18+P18+X18+AF18+AV18+AN18+BD18+BL18+BT18+CB18+CJ18+CR18</f>
        <v>100</v>
      </c>
      <c r="CV18" t="s">
        <v>2803</v>
      </c>
    </row>
    <row r="19" spans="4:100">
      <c r="U19" t="s">
        <v>7414</v>
      </c>
      <c r="V19" s="89">
        <v>1</v>
      </c>
      <c r="W19" t="s">
        <v>2803</v>
      </c>
      <c r="X19" s="89">
        <f>S$2*V19</f>
        <v>10</v>
      </c>
      <c r="Y19" t="s">
        <v>2803</v>
      </c>
      <c r="AC19" t="s">
        <v>7414</v>
      </c>
      <c r="AE19" t="s">
        <v>2803</v>
      </c>
      <c r="AF19" s="89">
        <f>AA$2*AD19</f>
        <v>0</v>
      </c>
      <c r="AG19" t="s">
        <v>2803</v>
      </c>
      <c r="AK19" t="s">
        <v>7414</v>
      </c>
      <c r="AM19" t="s">
        <v>2803</v>
      </c>
      <c r="AN19" s="89">
        <f>AI$2*AL19</f>
        <v>0</v>
      </c>
      <c r="AO19" t="s">
        <v>2803</v>
      </c>
      <c r="AS19" t="s">
        <v>7414</v>
      </c>
      <c r="AU19" t="s">
        <v>2803</v>
      </c>
      <c r="AV19" s="89">
        <f>AQ$2*AT19</f>
        <v>0</v>
      </c>
      <c r="AW19" t="s">
        <v>2803</v>
      </c>
      <c r="BA19" t="s">
        <v>7414</v>
      </c>
      <c r="BC19" t="s">
        <v>2803</v>
      </c>
      <c r="BD19" s="89">
        <f>AY$2*BB19</f>
        <v>0</v>
      </c>
      <c r="BE19" t="s">
        <v>2803</v>
      </c>
      <c r="BI19" t="s">
        <v>7414</v>
      </c>
      <c r="BK19" t="s">
        <v>2803</v>
      </c>
      <c r="BL19" s="89">
        <f>BG$2*BJ19</f>
        <v>0</v>
      </c>
      <c r="BM19" t="s">
        <v>2803</v>
      </c>
      <c r="BQ19" t="s">
        <v>7414</v>
      </c>
      <c r="BS19" t="s">
        <v>2803</v>
      </c>
      <c r="BT19" s="89">
        <f>BO$2*BR19</f>
        <v>0</v>
      </c>
      <c r="BU19" t="s">
        <v>2803</v>
      </c>
      <c r="BY19" t="s">
        <v>7414</v>
      </c>
      <c r="CA19" t="s">
        <v>2803</v>
      </c>
      <c r="CB19" s="89">
        <f>BW$2*BZ19</f>
        <v>0</v>
      </c>
      <c r="CC19" t="s">
        <v>2803</v>
      </c>
      <c r="CG19" t="s">
        <v>7414</v>
      </c>
      <c r="CI19" t="s">
        <v>2803</v>
      </c>
      <c r="CJ19" s="89">
        <f>CE$2*CH19</f>
        <v>0</v>
      </c>
      <c r="CK19" t="s">
        <v>2803</v>
      </c>
      <c r="CO19" t="s">
        <v>7414</v>
      </c>
      <c r="CQ19" t="s">
        <v>2803</v>
      </c>
      <c r="CR19" s="89">
        <f>CM$2*CP19</f>
        <v>0</v>
      </c>
      <c r="CS19" t="s">
        <v>2803</v>
      </c>
      <c r="CU19" s="41">
        <f>H19+P19+X19+AF19+AV19+AN19+BD19+BL19+BT19+CB19+CJ19+CR19</f>
        <v>10</v>
      </c>
      <c r="CV19" t="s">
        <v>2803</v>
      </c>
    </row>
    <row r="20" spans="4:100">
      <c r="E20" t="s">
        <v>7415</v>
      </c>
      <c r="F20" s="89">
        <v>1</v>
      </c>
      <c r="G20" t="s">
        <v>2803</v>
      </c>
      <c r="H20" s="89">
        <f>$C$2*F20</f>
        <v>12</v>
      </c>
      <c r="I20" t="s">
        <v>2803</v>
      </c>
      <c r="M20" t="s">
        <v>7415</v>
      </c>
      <c r="O20" t="s">
        <v>2803</v>
      </c>
      <c r="P20" s="89">
        <f>$C$2*N20</f>
        <v>0</v>
      </c>
      <c r="Q20" t="s">
        <v>2803</v>
      </c>
      <c r="U20" t="s">
        <v>7415</v>
      </c>
      <c r="V20" s="89">
        <v>2</v>
      </c>
      <c r="W20" t="s">
        <v>2803</v>
      </c>
      <c r="X20" s="89">
        <f>S$2*V20</f>
        <v>20</v>
      </c>
      <c r="Y20" t="s">
        <v>2803</v>
      </c>
      <c r="AC20" t="s">
        <v>7415</v>
      </c>
      <c r="AD20" s="89">
        <v>1</v>
      </c>
      <c r="AE20" t="s">
        <v>2803</v>
      </c>
      <c r="AF20" s="89">
        <f>AA$2*AD20</f>
        <v>32</v>
      </c>
      <c r="AG20" t="s">
        <v>2803</v>
      </c>
      <c r="AK20" t="s">
        <v>7415</v>
      </c>
      <c r="AL20" s="89">
        <v>3</v>
      </c>
      <c r="AM20" t="s">
        <v>2803</v>
      </c>
      <c r="AN20" s="89">
        <f>AI$2*AL20</f>
        <v>18</v>
      </c>
      <c r="AO20" t="s">
        <v>2803</v>
      </c>
      <c r="AS20" t="s">
        <v>7415</v>
      </c>
      <c r="AU20" t="s">
        <v>2803</v>
      </c>
      <c r="AV20" s="89">
        <f>AQ$2*AT20</f>
        <v>0</v>
      </c>
      <c r="AW20" t="s">
        <v>2803</v>
      </c>
      <c r="BA20" t="s">
        <v>7415</v>
      </c>
      <c r="BC20" t="s">
        <v>2803</v>
      </c>
      <c r="BD20" s="89">
        <f>AY$2*BB20</f>
        <v>0</v>
      </c>
      <c r="BE20" t="s">
        <v>2803</v>
      </c>
      <c r="BI20" t="s">
        <v>7415</v>
      </c>
      <c r="BK20" t="s">
        <v>2803</v>
      </c>
      <c r="BL20" s="89">
        <f>BG$2*BJ20</f>
        <v>0</v>
      </c>
      <c r="BM20" t="s">
        <v>2803</v>
      </c>
      <c r="BQ20" t="s">
        <v>7415</v>
      </c>
      <c r="BS20" t="s">
        <v>2803</v>
      </c>
      <c r="BT20" s="89">
        <f>BO$2*BR20</f>
        <v>0</v>
      </c>
      <c r="BU20" t="s">
        <v>2803</v>
      </c>
      <c r="BY20" t="s">
        <v>7415</v>
      </c>
      <c r="CA20" t="s">
        <v>2803</v>
      </c>
      <c r="CB20" s="89">
        <f>BW$2*BZ20</f>
        <v>0</v>
      </c>
      <c r="CC20" t="s">
        <v>2803</v>
      </c>
      <c r="CG20" t="s">
        <v>7415</v>
      </c>
      <c r="CI20" t="s">
        <v>2803</v>
      </c>
      <c r="CJ20" s="89">
        <f>CE$2*CH20</f>
        <v>0</v>
      </c>
      <c r="CK20" t="s">
        <v>2803</v>
      </c>
      <c r="CO20" t="s">
        <v>7415</v>
      </c>
      <c r="CP20" s="89">
        <v>1</v>
      </c>
      <c r="CQ20" t="s">
        <v>2803</v>
      </c>
      <c r="CR20" s="89">
        <f>CM$2*CP20</f>
        <v>2</v>
      </c>
      <c r="CS20" t="s">
        <v>2803</v>
      </c>
      <c r="CU20" s="41">
        <f>H20+P20+X20+AF20+AV20+AN20+BD20+BL20+BT20+CB20+CJ20+CR20</f>
        <v>84</v>
      </c>
      <c r="CV20" t="s">
        <v>2803</v>
      </c>
    </row>
    <row r="21" spans="4:100">
      <c r="E21" t="s">
        <v>7416</v>
      </c>
      <c r="F21" s="89">
        <v>1</v>
      </c>
      <c r="G21" t="s">
        <v>2803</v>
      </c>
      <c r="H21" s="89">
        <f>$C$2*F21</f>
        <v>12</v>
      </c>
      <c r="I21" t="s">
        <v>2803</v>
      </c>
      <c r="M21" t="s">
        <v>7416</v>
      </c>
      <c r="N21" s="89">
        <v>1</v>
      </c>
      <c r="O21" t="s">
        <v>2803</v>
      </c>
      <c r="P21" s="89">
        <f>$C$2*N21</f>
        <v>12</v>
      </c>
      <c r="Q21" t="s">
        <v>2803</v>
      </c>
      <c r="U21" t="s">
        <v>7416</v>
      </c>
      <c r="V21" s="89">
        <v>1</v>
      </c>
      <c r="W21" t="s">
        <v>2803</v>
      </c>
      <c r="X21" s="89">
        <f>S$2*V21</f>
        <v>10</v>
      </c>
      <c r="Y21" t="s">
        <v>2803</v>
      </c>
      <c r="AC21" t="s">
        <v>7416</v>
      </c>
      <c r="AD21" s="89">
        <v>1</v>
      </c>
      <c r="AE21" t="s">
        <v>2803</v>
      </c>
      <c r="AF21" s="89">
        <f>AA$2*AD21</f>
        <v>32</v>
      </c>
      <c r="AG21" t="s">
        <v>2803</v>
      </c>
      <c r="AK21" t="s">
        <v>7416</v>
      </c>
      <c r="AL21" s="89">
        <v>1</v>
      </c>
      <c r="AM21" t="s">
        <v>2803</v>
      </c>
      <c r="AN21" s="89">
        <f>AI$2*AL21</f>
        <v>6</v>
      </c>
      <c r="AO21" t="s">
        <v>2803</v>
      </c>
      <c r="AS21" t="s">
        <v>7416</v>
      </c>
      <c r="AT21" s="89">
        <v>1</v>
      </c>
      <c r="AU21" t="s">
        <v>2803</v>
      </c>
      <c r="AV21" s="89">
        <f>AQ$2*AT21</f>
        <v>4</v>
      </c>
      <c r="AW21" t="s">
        <v>2803</v>
      </c>
      <c r="BA21" t="s">
        <v>7416</v>
      </c>
      <c r="BB21" s="89">
        <v>1</v>
      </c>
      <c r="BC21" t="s">
        <v>2803</v>
      </c>
      <c r="BD21" s="89">
        <f>AY$2*BB21</f>
        <v>2</v>
      </c>
      <c r="BE21" t="s">
        <v>2803</v>
      </c>
      <c r="BI21" t="s">
        <v>7416</v>
      </c>
      <c r="BJ21" s="89">
        <v>1</v>
      </c>
      <c r="BK21" t="s">
        <v>2803</v>
      </c>
      <c r="BL21" s="89">
        <f>BG$2*BJ21</f>
        <v>2</v>
      </c>
      <c r="BM21" t="s">
        <v>2803</v>
      </c>
      <c r="BQ21" t="s">
        <v>7416</v>
      </c>
      <c r="BR21" s="89">
        <v>1</v>
      </c>
      <c r="BS21" t="s">
        <v>2803</v>
      </c>
      <c r="BT21" s="89">
        <f>BO$2*BR21</f>
        <v>12</v>
      </c>
      <c r="BU21" t="s">
        <v>2803</v>
      </c>
      <c r="BY21" t="s">
        <v>7416</v>
      </c>
      <c r="BZ21" s="89">
        <v>1</v>
      </c>
      <c r="CA21" t="s">
        <v>2803</v>
      </c>
      <c r="CB21" s="89">
        <f>BW$2*BZ21</f>
        <v>4</v>
      </c>
      <c r="CC21" t="s">
        <v>2803</v>
      </c>
      <c r="CG21" t="s">
        <v>7416</v>
      </c>
      <c r="CH21" s="89">
        <v>1</v>
      </c>
      <c r="CI21" t="s">
        <v>2803</v>
      </c>
      <c r="CJ21" s="89">
        <f>CE$2*CH21</f>
        <v>2</v>
      </c>
      <c r="CK21" t="s">
        <v>2803</v>
      </c>
      <c r="CO21" t="s">
        <v>7416</v>
      </c>
      <c r="CP21" s="89">
        <v>1</v>
      </c>
      <c r="CQ21" t="s">
        <v>2803</v>
      </c>
      <c r="CR21" s="89">
        <f>CM$2*CP21</f>
        <v>2</v>
      </c>
      <c r="CS21" t="s">
        <v>2803</v>
      </c>
      <c r="CU21" s="41">
        <f>H21+P21+X21+AF21+AV21+AN21+BD21+BL21+BT21+CB21+CJ21+CR21</f>
        <v>100</v>
      </c>
      <c r="CV21" t="s">
        <v>2803</v>
      </c>
    </row>
    <row r="22" spans="4:100">
      <c r="D22" t="s">
        <v>62</v>
      </c>
      <c r="L22" t="s">
        <v>62</v>
      </c>
      <c r="T22" t="s">
        <v>62</v>
      </c>
      <c r="AB22" t="s">
        <v>62</v>
      </c>
      <c r="AJ22" t="s">
        <v>62</v>
      </c>
      <c r="AR22" t="s">
        <v>62</v>
      </c>
      <c r="AZ22" t="s">
        <v>62</v>
      </c>
      <c r="BH22" t="s">
        <v>62</v>
      </c>
      <c r="BP22" t="s">
        <v>62</v>
      </c>
      <c r="BX22" t="s">
        <v>62</v>
      </c>
      <c r="CF22" t="s">
        <v>62</v>
      </c>
      <c r="CN22" t="s">
        <v>62</v>
      </c>
    </row>
    <row r="23" spans="4:100">
      <c r="E23" t="s">
        <v>7417</v>
      </c>
      <c r="F23" s="89">
        <v>346</v>
      </c>
      <c r="G23" t="s">
        <v>2845</v>
      </c>
      <c r="H23" s="89">
        <f t="shared" ref="H23:H31" si="12">$C$2*F23</f>
        <v>4152</v>
      </c>
      <c r="I23" t="s">
        <v>2845</v>
      </c>
      <c r="M23" t="s">
        <v>7417</v>
      </c>
      <c r="N23" s="89">
        <v>249</v>
      </c>
      <c r="O23" t="s">
        <v>2845</v>
      </c>
      <c r="P23" s="89">
        <f>$K$2*N23</f>
        <v>2988</v>
      </c>
      <c r="Q23" t="s">
        <v>2845</v>
      </c>
      <c r="U23" t="s">
        <v>7417</v>
      </c>
      <c r="V23" s="89">
        <v>503</v>
      </c>
      <c r="W23" t="s">
        <v>2845</v>
      </c>
      <c r="X23" s="89">
        <f t="shared" ref="X23:X31" si="13">S$2*V23</f>
        <v>5030</v>
      </c>
      <c r="Y23" t="s">
        <v>2845</v>
      </c>
      <c r="AC23" t="s">
        <v>7417</v>
      </c>
      <c r="AD23" s="89">
        <v>382</v>
      </c>
      <c r="AE23" t="s">
        <v>2845</v>
      </c>
      <c r="AF23" s="89">
        <f t="shared" ref="AF23:AF31" si="14">AA$2*AD23</f>
        <v>12224</v>
      </c>
      <c r="AG23" t="s">
        <v>2845</v>
      </c>
      <c r="AK23" t="s">
        <v>7417</v>
      </c>
      <c r="AL23" s="89">
        <v>714</v>
      </c>
      <c r="AM23" t="s">
        <v>2845</v>
      </c>
      <c r="AN23" s="89">
        <f t="shared" ref="AN23:AN31" si="15">AI$2*AL23</f>
        <v>4284</v>
      </c>
      <c r="AO23" t="s">
        <v>2845</v>
      </c>
      <c r="AS23" t="s">
        <v>7417</v>
      </c>
      <c r="AT23" s="89">
        <v>250</v>
      </c>
      <c r="AU23" t="s">
        <v>2845</v>
      </c>
      <c r="AV23" s="89">
        <f t="shared" ref="AV23:AV31" si="16">AQ$2*AT23</f>
        <v>1000</v>
      </c>
      <c r="AW23" t="s">
        <v>2845</v>
      </c>
      <c r="BA23" t="s">
        <v>7417</v>
      </c>
      <c r="BB23" s="89">
        <v>269</v>
      </c>
      <c r="BC23" t="s">
        <v>2845</v>
      </c>
      <c r="BD23" s="89">
        <f t="shared" ref="BD23:BD31" si="17">AY$2*BB23</f>
        <v>538</v>
      </c>
      <c r="BE23" t="s">
        <v>2845</v>
      </c>
      <c r="BI23" t="s">
        <v>7417</v>
      </c>
      <c r="BJ23" s="89">
        <v>199</v>
      </c>
      <c r="BK23" t="s">
        <v>2845</v>
      </c>
      <c r="BL23" s="89">
        <f t="shared" ref="BL23:BL31" si="18">BG$2*BJ23</f>
        <v>398</v>
      </c>
      <c r="BM23" t="s">
        <v>2845</v>
      </c>
      <c r="BQ23" t="s">
        <v>7417</v>
      </c>
      <c r="BR23" s="89">
        <v>390</v>
      </c>
      <c r="BS23" t="s">
        <v>2845</v>
      </c>
      <c r="BT23" s="89">
        <f t="shared" ref="BT23:BT31" si="19">BO$2*BR23</f>
        <v>4680</v>
      </c>
      <c r="BU23" t="s">
        <v>2845</v>
      </c>
      <c r="BY23" t="s">
        <v>7417</v>
      </c>
      <c r="BZ23" s="89">
        <v>357</v>
      </c>
      <c r="CA23" t="s">
        <v>2845</v>
      </c>
      <c r="CB23" s="89">
        <f t="shared" ref="CB23:CB31" si="20">BW$2*BZ23</f>
        <v>1428</v>
      </c>
      <c r="CC23" t="s">
        <v>2845</v>
      </c>
      <c r="CG23" t="s">
        <v>7417</v>
      </c>
      <c r="CH23" s="89">
        <v>201</v>
      </c>
      <c r="CI23" t="s">
        <v>2845</v>
      </c>
      <c r="CJ23" s="89">
        <f t="shared" ref="CJ23:CJ31" si="21">CE$2*CH23</f>
        <v>402</v>
      </c>
      <c r="CK23" t="s">
        <v>2845</v>
      </c>
      <c r="CO23" t="s">
        <v>7417</v>
      </c>
      <c r="CP23" s="89">
        <v>396</v>
      </c>
      <c r="CQ23" t="s">
        <v>2845</v>
      </c>
      <c r="CR23" s="89">
        <f t="shared" ref="CR23:CR31" si="22">CM$2*CP23</f>
        <v>792</v>
      </c>
      <c r="CS23" t="s">
        <v>2845</v>
      </c>
      <c r="CU23" s="41">
        <f t="shared" ref="CU23:CU31" si="23">H23+P23+X23+AF23+AV23+AN23+BD23+BL23+BT23+CB23+CJ23+CR23</f>
        <v>37916</v>
      </c>
      <c r="CV23" t="s">
        <v>2845</v>
      </c>
    </row>
    <row r="24" spans="4:100">
      <c r="E24" t="s">
        <v>7418</v>
      </c>
      <c r="F24" s="89">
        <v>44</v>
      </c>
      <c r="G24" t="s">
        <v>2845</v>
      </c>
      <c r="H24" s="89">
        <f t="shared" si="12"/>
        <v>528</v>
      </c>
      <c r="I24" t="s">
        <v>2845</v>
      </c>
      <c r="M24" t="s">
        <v>7418</v>
      </c>
      <c r="N24" s="89">
        <v>48</v>
      </c>
      <c r="O24" t="s">
        <v>2845</v>
      </c>
      <c r="P24" s="89">
        <f>$C$2*N24</f>
        <v>576</v>
      </c>
      <c r="Q24" t="s">
        <v>2845</v>
      </c>
      <c r="U24" t="s">
        <v>7418</v>
      </c>
      <c r="V24" s="89">
        <v>92</v>
      </c>
      <c r="W24" t="s">
        <v>2845</v>
      </c>
      <c r="X24" s="89">
        <f t="shared" si="13"/>
        <v>920</v>
      </c>
      <c r="Y24" t="s">
        <v>2845</v>
      </c>
      <c r="AC24" t="s">
        <v>7418</v>
      </c>
      <c r="AD24" s="89">
        <v>47</v>
      </c>
      <c r="AE24" t="s">
        <v>2845</v>
      </c>
      <c r="AF24" s="89">
        <f t="shared" si="14"/>
        <v>1504</v>
      </c>
      <c r="AG24" t="s">
        <v>2845</v>
      </c>
      <c r="AK24" t="s">
        <v>7418</v>
      </c>
      <c r="AL24" s="89">
        <v>47</v>
      </c>
      <c r="AM24" t="s">
        <v>2845</v>
      </c>
      <c r="AN24" s="89">
        <f t="shared" si="15"/>
        <v>282</v>
      </c>
      <c r="AO24" t="s">
        <v>2845</v>
      </c>
      <c r="AS24" t="s">
        <v>7418</v>
      </c>
      <c r="AT24" s="89">
        <v>50</v>
      </c>
      <c r="AU24" t="s">
        <v>2845</v>
      </c>
      <c r="AV24" s="89">
        <f t="shared" si="16"/>
        <v>200</v>
      </c>
      <c r="AW24" t="s">
        <v>2845</v>
      </c>
      <c r="BA24" t="s">
        <v>7418</v>
      </c>
      <c r="BB24" s="89">
        <v>47</v>
      </c>
      <c r="BC24" t="s">
        <v>2845</v>
      </c>
      <c r="BD24" s="89">
        <f t="shared" si="17"/>
        <v>94</v>
      </c>
      <c r="BE24" t="s">
        <v>2845</v>
      </c>
      <c r="BI24" t="s">
        <v>7418</v>
      </c>
      <c r="BJ24" s="89">
        <v>48</v>
      </c>
      <c r="BK24" t="s">
        <v>2845</v>
      </c>
      <c r="BL24" s="89">
        <f t="shared" si="18"/>
        <v>96</v>
      </c>
      <c r="BM24" t="s">
        <v>2845</v>
      </c>
      <c r="BQ24" t="s">
        <v>7418</v>
      </c>
      <c r="BR24" s="89">
        <v>46</v>
      </c>
      <c r="BS24" t="s">
        <v>2845</v>
      </c>
      <c r="BT24" s="89">
        <f t="shared" si="19"/>
        <v>552</v>
      </c>
      <c r="BU24" t="s">
        <v>2845</v>
      </c>
      <c r="BY24" t="s">
        <v>7418</v>
      </c>
      <c r="BZ24" s="89">
        <v>48</v>
      </c>
      <c r="CA24" t="s">
        <v>2845</v>
      </c>
      <c r="CB24" s="89">
        <f t="shared" si="20"/>
        <v>192</v>
      </c>
      <c r="CC24" t="s">
        <v>2845</v>
      </c>
      <c r="CG24" t="s">
        <v>7418</v>
      </c>
      <c r="CH24" s="89">
        <v>46</v>
      </c>
      <c r="CI24" t="s">
        <v>2845</v>
      </c>
      <c r="CJ24" s="89">
        <f t="shared" si="21"/>
        <v>92</v>
      </c>
      <c r="CK24" t="s">
        <v>2845</v>
      </c>
      <c r="CO24" t="s">
        <v>7418</v>
      </c>
      <c r="CP24" s="89">
        <v>59</v>
      </c>
      <c r="CQ24" t="s">
        <v>2845</v>
      </c>
      <c r="CR24" s="89">
        <f t="shared" si="22"/>
        <v>118</v>
      </c>
      <c r="CS24" t="s">
        <v>2845</v>
      </c>
      <c r="CU24" s="41">
        <f t="shared" si="23"/>
        <v>5154</v>
      </c>
      <c r="CV24" t="s">
        <v>2845</v>
      </c>
    </row>
    <row r="25" spans="4:100">
      <c r="E25" t="s">
        <v>7419</v>
      </c>
      <c r="F25" s="89">
        <v>23</v>
      </c>
      <c r="G25" t="s">
        <v>2864</v>
      </c>
      <c r="H25" s="89">
        <f t="shared" si="12"/>
        <v>276</v>
      </c>
      <c r="I25" t="s">
        <v>2864</v>
      </c>
      <c r="M25" t="s">
        <v>7419</v>
      </c>
      <c r="N25" s="89">
        <v>23</v>
      </c>
      <c r="O25" t="s">
        <v>2864</v>
      </c>
      <c r="P25" s="89">
        <f>$C$2*N25</f>
        <v>276</v>
      </c>
      <c r="Q25" t="s">
        <v>2864</v>
      </c>
      <c r="U25" t="s">
        <v>7419</v>
      </c>
      <c r="V25" s="89">
        <v>46</v>
      </c>
      <c r="W25" t="s">
        <v>2864</v>
      </c>
      <c r="X25" s="89">
        <f t="shared" si="13"/>
        <v>460</v>
      </c>
      <c r="Y25" t="s">
        <v>2864</v>
      </c>
      <c r="AC25" t="s">
        <v>7419</v>
      </c>
      <c r="AD25" s="89">
        <v>25</v>
      </c>
      <c r="AE25" t="s">
        <v>2864</v>
      </c>
      <c r="AF25" s="89">
        <f t="shared" si="14"/>
        <v>800</v>
      </c>
      <c r="AG25" t="s">
        <v>2864</v>
      </c>
      <c r="AK25" t="s">
        <v>7419</v>
      </c>
      <c r="AL25" s="89">
        <v>23</v>
      </c>
      <c r="AM25" t="s">
        <v>2864</v>
      </c>
      <c r="AN25" s="89">
        <f t="shared" si="15"/>
        <v>138</v>
      </c>
      <c r="AO25" t="s">
        <v>2864</v>
      </c>
      <c r="AS25" t="s">
        <v>7419</v>
      </c>
      <c r="AT25" s="89">
        <v>23</v>
      </c>
      <c r="AU25" t="s">
        <v>2864</v>
      </c>
      <c r="AV25" s="89">
        <f t="shared" si="16"/>
        <v>92</v>
      </c>
      <c r="AW25" t="s">
        <v>2864</v>
      </c>
      <c r="BA25" t="s">
        <v>7419</v>
      </c>
      <c r="BB25" s="89">
        <v>23</v>
      </c>
      <c r="BC25" t="s">
        <v>2864</v>
      </c>
      <c r="BD25" s="89">
        <f t="shared" si="17"/>
        <v>46</v>
      </c>
      <c r="BE25" t="s">
        <v>2864</v>
      </c>
      <c r="BI25" t="s">
        <v>7419</v>
      </c>
      <c r="BJ25" s="89">
        <v>23</v>
      </c>
      <c r="BK25" t="s">
        <v>2864</v>
      </c>
      <c r="BL25" s="89">
        <f t="shared" si="18"/>
        <v>46</v>
      </c>
      <c r="BM25" t="s">
        <v>2864</v>
      </c>
      <c r="BQ25" t="s">
        <v>7419</v>
      </c>
      <c r="BR25" s="89">
        <v>23</v>
      </c>
      <c r="BS25" t="s">
        <v>2864</v>
      </c>
      <c r="BT25" s="89">
        <f t="shared" si="19"/>
        <v>276</v>
      </c>
      <c r="BU25" t="s">
        <v>2864</v>
      </c>
      <c r="BY25" t="s">
        <v>7419</v>
      </c>
      <c r="BZ25" s="89">
        <v>22</v>
      </c>
      <c r="CA25" t="s">
        <v>2864</v>
      </c>
      <c r="CB25" s="89">
        <f t="shared" si="20"/>
        <v>88</v>
      </c>
      <c r="CC25" t="s">
        <v>2864</v>
      </c>
      <c r="CG25" t="s">
        <v>7419</v>
      </c>
      <c r="CH25" s="89">
        <v>22</v>
      </c>
      <c r="CI25" t="s">
        <v>2864</v>
      </c>
      <c r="CJ25" s="89">
        <f t="shared" si="21"/>
        <v>44</v>
      </c>
      <c r="CK25" t="s">
        <v>2864</v>
      </c>
      <c r="CO25" t="s">
        <v>7419</v>
      </c>
      <c r="CP25" s="89">
        <v>27</v>
      </c>
      <c r="CQ25" t="s">
        <v>2864</v>
      </c>
      <c r="CR25" s="89">
        <f t="shared" si="22"/>
        <v>54</v>
      </c>
      <c r="CS25" t="s">
        <v>2864</v>
      </c>
      <c r="CU25" s="41">
        <f t="shared" si="23"/>
        <v>2596</v>
      </c>
      <c r="CV25" t="s">
        <v>2864</v>
      </c>
    </row>
    <row r="26" spans="4:100">
      <c r="E26" t="s">
        <v>7420</v>
      </c>
      <c r="F26" s="90">
        <f>(F4*2)+F6+F5</f>
        <v>1400</v>
      </c>
      <c r="G26" t="s">
        <v>2845</v>
      </c>
      <c r="H26" s="90">
        <f t="shared" si="12"/>
        <v>16800</v>
      </c>
      <c r="I26" t="s">
        <v>2845</v>
      </c>
      <c r="M26" t="s">
        <v>7420</v>
      </c>
      <c r="N26" s="90">
        <f>(N4*2)+N6+N5</f>
        <v>1165.5</v>
      </c>
      <c r="O26" t="s">
        <v>2845</v>
      </c>
      <c r="P26" s="90">
        <f>$K$2*N26</f>
        <v>13986</v>
      </c>
      <c r="Q26" t="s">
        <v>2845</v>
      </c>
      <c r="U26" t="s">
        <v>7420</v>
      </c>
      <c r="V26" s="90">
        <f>(V4*2)+V6+V5</f>
        <v>2049</v>
      </c>
      <c r="W26" t="s">
        <v>2845</v>
      </c>
      <c r="X26" s="90">
        <f t="shared" si="13"/>
        <v>20490</v>
      </c>
      <c r="Y26" t="s">
        <v>2845</v>
      </c>
      <c r="AC26" t="s">
        <v>7420</v>
      </c>
      <c r="AD26" s="90">
        <f>(AD4*2)+AD6+AD5</f>
        <v>1511.9</v>
      </c>
      <c r="AE26" t="s">
        <v>2845</v>
      </c>
      <c r="AF26" s="90">
        <f t="shared" si="14"/>
        <v>48380.800000000003</v>
      </c>
      <c r="AG26" t="s">
        <v>2845</v>
      </c>
      <c r="AK26" t="s">
        <v>7420</v>
      </c>
      <c r="AL26" s="90">
        <f>(AL4*2)+AL6+AL5</f>
        <v>2095.77</v>
      </c>
      <c r="AM26" t="s">
        <v>2845</v>
      </c>
      <c r="AN26" s="90">
        <f t="shared" si="15"/>
        <v>12574.619999999999</v>
      </c>
      <c r="AO26" t="s">
        <v>2845</v>
      </c>
      <c r="AS26" t="s">
        <v>7420</v>
      </c>
      <c r="AT26" s="90">
        <f>(AT4*2)+AT6+AT5</f>
        <v>1113.92</v>
      </c>
      <c r="AU26" t="s">
        <v>2845</v>
      </c>
      <c r="AV26" s="90">
        <f t="shared" si="16"/>
        <v>4455.68</v>
      </c>
      <c r="AW26" t="s">
        <v>2845</v>
      </c>
      <c r="BA26" t="s">
        <v>7420</v>
      </c>
      <c r="BB26" s="90">
        <f>(BB4*2)+BB6+BB5</f>
        <v>1052.04</v>
      </c>
      <c r="BC26" t="s">
        <v>2845</v>
      </c>
      <c r="BD26" s="90">
        <f t="shared" si="17"/>
        <v>2104.08</v>
      </c>
      <c r="BE26" t="s">
        <v>2845</v>
      </c>
      <c r="BI26" t="s">
        <v>7420</v>
      </c>
      <c r="BJ26" s="90">
        <f>(BJ4*2)+BJ6+BJ5</f>
        <v>1181.51</v>
      </c>
      <c r="BK26" t="s">
        <v>2845</v>
      </c>
      <c r="BL26" s="90">
        <f t="shared" si="18"/>
        <v>2363.02</v>
      </c>
      <c r="BM26" t="s">
        <v>2845</v>
      </c>
      <c r="BQ26" t="s">
        <v>7420</v>
      </c>
      <c r="BR26" s="90">
        <f>(BR4*2)+BR6+BR5</f>
        <v>1566.4099999999999</v>
      </c>
      <c r="BS26" t="s">
        <v>2845</v>
      </c>
      <c r="BT26" s="90">
        <f t="shared" si="19"/>
        <v>18796.919999999998</v>
      </c>
      <c r="BU26" t="s">
        <v>2845</v>
      </c>
      <c r="BY26" t="s">
        <v>7420</v>
      </c>
      <c r="BZ26" s="90">
        <f>(BZ4*2)+BZ6+BZ5</f>
        <v>1523.99</v>
      </c>
      <c r="CA26" t="s">
        <v>2845</v>
      </c>
      <c r="CB26" s="90">
        <f t="shared" si="20"/>
        <v>6095.96</v>
      </c>
      <c r="CC26" t="s">
        <v>2845</v>
      </c>
      <c r="CG26" t="s">
        <v>7420</v>
      </c>
      <c r="CH26" s="90">
        <f>(CH4*2)+CH6+CH5</f>
        <v>1056.8699999999999</v>
      </c>
      <c r="CI26" t="s">
        <v>2845</v>
      </c>
      <c r="CJ26" s="90">
        <f t="shared" si="21"/>
        <v>2113.7399999999998</v>
      </c>
      <c r="CK26" t="s">
        <v>2845</v>
      </c>
      <c r="CO26" t="s">
        <v>7420</v>
      </c>
      <c r="CP26" s="90">
        <f>(CP4*2)+CP6+CP5</f>
        <v>1569.8</v>
      </c>
      <c r="CQ26" t="s">
        <v>2845</v>
      </c>
      <c r="CR26" s="90">
        <f t="shared" si="22"/>
        <v>3139.6</v>
      </c>
      <c r="CS26" t="s">
        <v>2845</v>
      </c>
      <c r="CU26" s="41">
        <f t="shared" si="23"/>
        <v>151300.41999999998</v>
      </c>
      <c r="CV26" t="s">
        <v>2845</v>
      </c>
    </row>
    <row r="27" spans="4:100">
      <c r="E27" t="s">
        <v>7421</v>
      </c>
      <c r="F27" s="90">
        <f>F23+F24</f>
        <v>390</v>
      </c>
      <c r="G27" t="s">
        <v>2845</v>
      </c>
      <c r="H27" s="90">
        <f t="shared" si="12"/>
        <v>4680</v>
      </c>
      <c r="I27" t="s">
        <v>2845</v>
      </c>
      <c r="M27" t="s">
        <v>7421</v>
      </c>
      <c r="N27" s="90">
        <f>N23+N24</f>
        <v>297</v>
      </c>
      <c r="O27" t="s">
        <v>2845</v>
      </c>
      <c r="P27" s="90">
        <f>$K$2*N27</f>
        <v>3564</v>
      </c>
      <c r="Q27" t="s">
        <v>2845</v>
      </c>
      <c r="U27" t="s">
        <v>7421</v>
      </c>
      <c r="V27" s="90">
        <f>V23+V24</f>
        <v>595</v>
      </c>
      <c r="W27" t="s">
        <v>2845</v>
      </c>
      <c r="X27" s="90">
        <f t="shared" si="13"/>
        <v>5950</v>
      </c>
      <c r="Y27" t="s">
        <v>2845</v>
      </c>
      <c r="AC27" t="s">
        <v>7421</v>
      </c>
      <c r="AD27" s="90">
        <f>AD23+AD24</f>
        <v>429</v>
      </c>
      <c r="AE27" t="s">
        <v>2845</v>
      </c>
      <c r="AF27" s="90">
        <f t="shared" si="14"/>
        <v>13728</v>
      </c>
      <c r="AG27" t="s">
        <v>2845</v>
      </c>
      <c r="AK27" t="s">
        <v>7421</v>
      </c>
      <c r="AL27" s="90">
        <f>AL23+AL24</f>
        <v>761</v>
      </c>
      <c r="AM27" t="s">
        <v>2845</v>
      </c>
      <c r="AN27" s="90">
        <f t="shared" si="15"/>
        <v>4566</v>
      </c>
      <c r="AO27" t="s">
        <v>2845</v>
      </c>
      <c r="AS27" t="s">
        <v>7421</v>
      </c>
      <c r="AT27" s="90">
        <f>AT23+AT24</f>
        <v>300</v>
      </c>
      <c r="AU27" t="s">
        <v>2845</v>
      </c>
      <c r="AV27" s="90">
        <f t="shared" si="16"/>
        <v>1200</v>
      </c>
      <c r="AW27" t="s">
        <v>2845</v>
      </c>
      <c r="BA27" t="s">
        <v>7421</v>
      </c>
      <c r="BB27" s="90">
        <f>BB23+BB24</f>
        <v>316</v>
      </c>
      <c r="BC27" t="s">
        <v>2845</v>
      </c>
      <c r="BD27" s="90">
        <f t="shared" si="17"/>
        <v>632</v>
      </c>
      <c r="BE27" t="s">
        <v>2845</v>
      </c>
      <c r="BI27" t="s">
        <v>7421</v>
      </c>
      <c r="BJ27" s="90">
        <f>BJ23+BJ24</f>
        <v>247</v>
      </c>
      <c r="BK27" t="s">
        <v>2845</v>
      </c>
      <c r="BL27" s="90">
        <f t="shared" si="18"/>
        <v>494</v>
      </c>
      <c r="BM27" t="s">
        <v>2845</v>
      </c>
      <c r="BQ27" t="s">
        <v>7421</v>
      </c>
      <c r="BR27" s="90">
        <f>BR23+BR24</f>
        <v>436</v>
      </c>
      <c r="BS27" t="s">
        <v>2845</v>
      </c>
      <c r="BT27" s="90">
        <f t="shared" si="19"/>
        <v>5232</v>
      </c>
      <c r="BU27" t="s">
        <v>2845</v>
      </c>
      <c r="BY27" t="s">
        <v>7421</v>
      </c>
      <c r="BZ27" s="90">
        <f>BZ23+BZ24</f>
        <v>405</v>
      </c>
      <c r="CA27" t="s">
        <v>2845</v>
      </c>
      <c r="CB27" s="90">
        <f t="shared" si="20"/>
        <v>1620</v>
      </c>
      <c r="CC27" t="s">
        <v>2845</v>
      </c>
      <c r="CG27" t="s">
        <v>7421</v>
      </c>
      <c r="CH27" s="90">
        <f>CH23+CH24</f>
        <v>247</v>
      </c>
      <c r="CI27" t="s">
        <v>2845</v>
      </c>
      <c r="CJ27" s="90">
        <f t="shared" si="21"/>
        <v>494</v>
      </c>
      <c r="CK27" t="s">
        <v>2845</v>
      </c>
      <c r="CO27" t="s">
        <v>7421</v>
      </c>
      <c r="CP27" s="90">
        <f>CP23+CP24</f>
        <v>455</v>
      </c>
      <c r="CQ27" t="s">
        <v>2845</v>
      </c>
      <c r="CR27" s="90">
        <f t="shared" si="22"/>
        <v>910</v>
      </c>
      <c r="CS27" t="s">
        <v>2845</v>
      </c>
      <c r="CU27" s="41">
        <f t="shared" si="23"/>
        <v>43070</v>
      </c>
      <c r="CV27" t="s">
        <v>2845</v>
      </c>
    </row>
    <row r="28" spans="4:100">
      <c r="E28" t="s">
        <v>7422</v>
      </c>
      <c r="F28" s="90">
        <f>F14</f>
        <v>93</v>
      </c>
      <c r="G28" t="s">
        <v>2864</v>
      </c>
      <c r="H28" s="90">
        <f t="shared" si="12"/>
        <v>1116</v>
      </c>
      <c r="I28" t="s">
        <v>2864</v>
      </c>
      <c r="M28" t="s">
        <v>7422</v>
      </c>
      <c r="N28" s="90">
        <f>N14</f>
        <v>72</v>
      </c>
      <c r="O28" t="s">
        <v>2864</v>
      </c>
      <c r="P28" s="90">
        <f>$K$2*N28</f>
        <v>864</v>
      </c>
      <c r="Q28" t="s">
        <v>2864</v>
      </c>
      <c r="U28" t="s">
        <v>7422</v>
      </c>
      <c r="V28" s="90">
        <f>V14</f>
        <v>128</v>
      </c>
      <c r="W28" t="s">
        <v>2864</v>
      </c>
      <c r="X28" s="90">
        <f t="shared" si="13"/>
        <v>1280</v>
      </c>
      <c r="Y28" t="s">
        <v>2864</v>
      </c>
      <c r="AC28" t="s">
        <v>7422</v>
      </c>
      <c r="AD28" s="90">
        <f>AD14</f>
        <v>111</v>
      </c>
      <c r="AE28" t="s">
        <v>2864</v>
      </c>
      <c r="AF28" s="90">
        <f t="shared" si="14"/>
        <v>3552</v>
      </c>
      <c r="AG28" t="s">
        <v>2864</v>
      </c>
      <c r="AK28" t="s">
        <v>7422</v>
      </c>
      <c r="AL28" s="90">
        <f>AL14</f>
        <v>190</v>
      </c>
      <c r="AM28" t="s">
        <v>2864</v>
      </c>
      <c r="AN28" s="90">
        <f t="shared" si="15"/>
        <v>1140</v>
      </c>
      <c r="AO28" t="s">
        <v>2864</v>
      </c>
      <c r="AS28" t="s">
        <v>7422</v>
      </c>
      <c r="AT28" s="90">
        <f>AT14</f>
        <v>23</v>
      </c>
      <c r="AU28" t="s">
        <v>2864</v>
      </c>
      <c r="AV28" s="90">
        <f t="shared" si="16"/>
        <v>92</v>
      </c>
      <c r="AW28" t="s">
        <v>2864</v>
      </c>
      <c r="BA28" t="s">
        <v>7422</v>
      </c>
      <c r="BB28" s="90">
        <f>BB14</f>
        <v>79</v>
      </c>
      <c r="BC28" t="s">
        <v>2864</v>
      </c>
      <c r="BD28" s="90">
        <f t="shared" si="17"/>
        <v>158</v>
      </c>
      <c r="BE28" t="s">
        <v>2864</v>
      </c>
      <c r="BI28" t="s">
        <v>7422</v>
      </c>
      <c r="BJ28" s="90">
        <f>BJ14</f>
        <v>62</v>
      </c>
      <c r="BK28" t="s">
        <v>2864</v>
      </c>
      <c r="BL28" s="90">
        <f t="shared" si="18"/>
        <v>124</v>
      </c>
      <c r="BM28" t="s">
        <v>2864</v>
      </c>
      <c r="BQ28" t="s">
        <v>7422</v>
      </c>
      <c r="BR28" s="90">
        <f>BR14</f>
        <v>114</v>
      </c>
      <c r="BS28" t="s">
        <v>2864</v>
      </c>
      <c r="BT28" s="90">
        <f t="shared" si="19"/>
        <v>1368</v>
      </c>
      <c r="BU28" t="s">
        <v>2864</v>
      </c>
      <c r="BY28" t="s">
        <v>7422</v>
      </c>
      <c r="BZ28" s="90">
        <f>BZ14</f>
        <v>116</v>
      </c>
      <c r="CA28" t="s">
        <v>2864</v>
      </c>
      <c r="CB28" s="90">
        <f t="shared" si="20"/>
        <v>464</v>
      </c>
      <c r="CC28" t="s">
        <v>2864</v>
      </c>
      <c r="CG28" t="s">
        <v>7422</v>
      </c>
      <c r="CH28" s="90">
        <f>CH14</f>
        <v>68</v>
      </c>
      <c r="CI28" t="s">
        <v>2864</v>
      </c>
      <c r="CJ28" s="90">
        <f t="shared" si="21"/>
        <v>136</v>
      </c>
      <c r="CK28" t="s">
        <v>2864</v>
      </c>
      <c r="CO28" t="s">
        <v>7422</v>
      </c>
      <c r="CP28" s="90">
        <f>CP14</f>
        <v>102</v>
      </c>
      <c r="CQ28" t="s">
        <v>2864</v>
      </c>
      <c r="CR28" s="90">
        <f t="shared" si="22"/>
        <v>204</v>
      </c>
      <c r="CS28" t="s">
        <v>2864</v>
      </c>
      <c r="CU28" s="41">
        <f t="shared" si="23"/>
        <v>10498</v>
      </c>
      <c r="CV28" t="s">
        <v>2864</v>
      </c>
    </row>
    <row r="29" spans="4:100">
      <c r="E29" t="s">
        <v>7423</v>
      </c>
      <c r="F29" s="90">
        <f>F17+F18+F20+F21</f>
        <v>4</v>
      </c>
      <c r="G29" t="s">
        <v>2803</v>
      </c>
      <c r="H29" s="90">
        <f t="shared" si="12"/>
        <v>48</v>
      </c>
      <c r="I29" t="s">
        <v>2803</v>
      </c>
      <c r="M29" t="s">
        <v>7423</v>
      </c>
      <c r="N29" s="90">
        <f>N17+N18+N20+N21</f>
        <v>2</v>
      </c>
      <c r="O29" t="s">
        <v>2803</v>
      </c>
      <c r="P29" s="90">
        <f>$K$2*N29</f>
        <v>24</v>
      </c>
      <c r="Q29" t="s">
        <v>2803</v>
      </c>
      <c r="U29" t="s">
        <v>7423</v>
      </c>
      <c r="V29" s="90">
        <f>V17+V18+V19+V20+V21</f>
        <v>6</v>
      </c>
      <c r="W29" t="s">
        <v>2803</v>
      </c>
      <c r="X29" s="90">
        <f t="shared" si="13"/>
        <v>60</v>
      </c>
      <c r="Y29" t="s">
        <v>2803</v>
      </c>
      <c r="AC29" t="s">
        <v>7423</v>
      </c>
      <c r="AD29" s="90">
        <f>AD17+AD18+AD19+AD20+AD21</f>
        <v>4</v>
      </c>
      <c r="AE29" t="s">
        <v>2803</v>
      </c>
      <c r="AF29" s="90">
        <f t="shared" si="14"/>
        <v>128</v>
      </c>
      <c r="AG29" t="s">
        <v>2803</v>
      </c>
      <c r="AK29" t="s">
        <v>7423</v>
      </c>
      <c r="AL29" s="90">
        <f>AL17+AL18+AL19+AL20+AL21</f>
        <v>5</v>
      </c>
      <c r="AM29" t="s">
        <v>2803</v>
      </c>
      <c r="AN29" s="90">
        <f t="shared" si="15"/>
        <v>30</v>
      </c>
      <c r="AO29" t="s">
        <v>2803</v>
      </c>
      <c r="AS29" t="s">
        <v>7423</v>
      </c>
      <c r="AT29" s="90">
        <f>AT17+AT18+AT19+AT20+AT21</f>
        <v>3</v>
      </c>
      <c r="AU29" t="s">
        <v>2803</v>
      </c>
      <c r="AV29" s="90">
        <f t="shared" si="16"/>
        <v>12</v>
      </c>
      <c r="AW29" t="s">
        <v>2803</v>
      </c>
      <c r="BA29" t="s">
        <v>7423</v>
      </c>
      <c r="BB29" s="90">
        <f>BB17+BB18+BB19+BB20+BB21</f>
        <v>3</v>
      </c>
      <c r="BC29" t="s">
        <v>2803</v>
      </c>
      <c r="BD29" s="90">
        <f t="shared" si="17"/>
        <v>6</v>
      </c>
      <c r="BE29" t="s">
        <v>2803</v>
      </c>
      <c r="BI29" t="s">
        <v>7423</v>
      </c>
      <c r="BJ29" s="90">
        <f>BJ17+BJ18+BJ19+BJ20+BJ21</f>
        <v>3</v>
      </c>
      <c r="BK29" t="s">
        <v>2803</v>
      </c>
      <c r="BL29" s="90">
        <f t="shared" si="18"/>
        <v>6</v>
      </c>
      <c r="BM29" t="s">
        <v>2803</v>
      </c>
      <c r="BQ29" t="s">
        <v>7423</v>
      </c>
      <c r="BR29" s="90">
        <f>BR17+BR18+BR19+BR20+BR21</f>
        <v>4</v>
      </c>
      <c r="BS29" t="s">
        <v>2803</v>
      </c>
      <c r="BT29" s="90">
        <f t="shared" si="19"/>
        <v>48</v>
      </c>
      <c r="BU29" t="s">
        <v>2803</v>
      </c>
      <c r="BY29" t="s">
        <v>7423</v>
      </c>
      <c r="BZ29" s="90">
        <f>BZ17+BZ18+BZ19+BZ20+BZ21</f>
        <v>4</v>
      </c>
      <c r="CA29" t="s">
        <v>2803</v>
      </c>
      <c r="CB29" s="90">
        <f t="shared" si="20"/>
        <v>16</v>
      </c>
      <c r="CC29" t="s">
        <v>2803</v>
      </c>
      <c r="CG29" t="s">
        <v>7423</v>
      </c>
      <c r="CH29" s="90">
        <f>CH17+CH18+CH19+CH20+CH21</f>
        <v>3</v>
      </c>
      <c r="CI29" t="s">
        <v>2803</v>
      </c>
      <c r="CJ29" s="90">
        <f t="shared" si="21"/>
        <v>6</v>
      </c>
      <c r="CK29" t="s">
        <v>2803</v>
      </c>
      <c r="CO29" t="s">
        <v>7423</v>
      </c>
      <c r="CP29" s="90">
        <f>CP17+CP18+CP19+CP20+CP21</f>
        <v>4</v>
      </c>
      <c r="CQ29" t="s">
        <v>2803</v>
      </c>
      <c r="CR29" s="90">
        <f t="shared" si="22"/>
        <v>8</v>
      </c>
      <c r="CS29" t="s">
        <v>2803</v>
      </c>
      <c r="CU29" s="41">
        <f t="shared" si="23"/>
        <v>392</v>
      </c>
      <c r="CV29" t="s">
        <v>2803</v>
      </c>
    </row>
    <row r="30" spans="4:100">
      <c r="E30" t="s">
        <v>7424</v>
      </c>
      <c r="F30" s="90">
        <f>F13</f>
        <v>5</v>
      </c>
      <c r="G30" t="s">
        <v>2803</v>
      </c>
      <c r="H30" s="90">
        <f t="shared" si="12"/>
        <v>60</v>
      </c>
      <c r="I30" t="s">
        <v>2803</v>
      </c>
      <c r="M30" t="s">
        <v>7424</v>
      </c>
      <c r="N30" s="90">
        <f>N13</f>
        <v>5</v>
      </c>
      <c r="O30" t="s">
        <v>2803</v>
      </c>
      <c r="P30" s="90">
        <f>$C$2*N30</f>
        <v>60</v>
      </c>
      <c r="Q30" t="s">
        <v>2803</v>
      </c>
      <c r="U30" t="s">
        <v>7424</v>
      </c>
      <c r="V30" s="90">
        <f>V13</f>
        <v>5</v>
      </c>
      <c r="W30" t="s">
        <v>2803</v>
      </c>
      <c r="X30" s="90">
        <f t="shared" si="13"/>
        <v>50</v>
      </c>
      <c r="Y30" t="s">
        <v>2803</v>
      </c>
      <c r="AC30" t="s">
        <v>7424</v>
      </c>
      <c r="AD30" s="90">
        <f>AD13</f>
        <v>5</v>
      </c>
      <c r="AE30" t="s">
        <v>2803</v>
      </c>
      <c r="AF30" s="90">
        <f t="shared" si="14"/>
        <v>160</v>
      </c>
      <c r="AG30" t="s">
        <v>2803</v>
      </c>
      <c r="AK30" t="s">
        <v>7424</v>
      </c>
      <c r="AL30" s="90">
        <f>AL13</f>
        <v>5</v>
      </c>
      <c r="AM30" t="s">
        <v>2803</v>
      </c>
      <c r="AN30" s="90">
        <f t="shared" si="15"/>
        <v>30</v>
      </c>
      <c r="AO30" t="s">
        <v>2803</v>
      </c>
      <c r="AS30" t="s">
        <v>7424</v>
      </c>
      <c r="AT30" s="90">
        <f>AT13</f>
        <v>5</v>
      </c>
      <c r="AU30" t="s">
        <v>2803</v>
      </c>
      <c r="AV30" s="90">
        <f t="shared" si="16"/>
        <v>20</v>
      </c>
      <c r="AW30" t="s">
        <v>2803</v>
      </c>
      <c r="BA30" t="s">
        <v>7424</v>
      </c>
      <c r="BB30" s="90">
        <f>BB13</f>
        <v>1</v>
      </c>
      <c r="BC30" t="s">
        <v>2803</v>
      </c>
      <c r="BD30" s="90">
        <f t="shared" si="17"/>
        <v>2</v>
      </c>
      <c r="BE30" t="s">
        <v>2803</v>
      </c>
      <c r="BI30" t="s">
        <v>7424</v>
      </c>
      <c r="BJ30" s="90">
        <f>BJ13</f>
        <v>5</v>
      </c>
      <c r="BK30" t="s">
        <v>2803</v>
      </c>
      <c r="BL30" s="90">
        <f t="shared" si="18"/>
        <v>10</v>
      </c>
      <c r="BM30" t="s">
        <v>2803</v>
      </c>
      <c r="BQ30" t="s">
        <v>7424</v>
      </c>
      <c r="BR30" s="90">
        <f>BR13</f>
        <v>5</v>
      </c>
      <c r="BS30" t="s">
        <v>2803</v>
      </c>
      <c r="BT30" s="90">
        <f t="shared" si="19"/>
        <v>60</v>
      </c>
      <c r="BU30" t="s">
        <v>2803</v>
      </c>
      <c r="BY30" t="s">
        <v>7424</v>
      </c>
      <c r="BZ30" s="90">
        <f>BZ13</f>
        <v>5</v>
      </c>
      <c r="CA30" t="s">
        <v>2803</v>
      </c>
      <c r="CB30" s="90">
        <f t="shared" si="20"/>
        <v>20</v>
      </c>
      <c r="CC30" t="s">
        <v>2803</v>
      </c>
      <c r="CG30" t="s">
        <v>7424</v>
      </c>
      <c r="CH30" s="90">
        <f>CH13</f>
        <v>5</v>
      </c>
      <c r="CI30" t="s">
        <v>2803</v>
      </c>
      <c r="CJ30" s="90">
        <f t="shared" si="21"/>
        <v>10</v>
      </c>
      <c r="CK30" t="s">
        <v>2803</v>
      </c>
      <c r="CO30" t="s">
        <v>7424</v>
      </c>
      <c r="CP30" s="90">
        <f>CP13</f>
        <v>5</v>
      </c>
      <c r="CQ30" t="s">
        <v>2803</v>
      </c>
      <c r="CR30" s="90">
        <f t="shared" si="22"/>
        <v>10</v>
      </c>
      <c r="CS30" t="s">
        <v>2803</v>
      </c>
      <c r="CU30" s="41">
        <f t="shared" si="23"/>
        <v>492</v>
      </c>
      <c r="CV30" t="s">
        <v>2803</v>
      </c>
    </row>
    <row r="31" spans="4:100">
      <c r="E31" t="s">
        <v>7425</v>
      </c>
      <c r="F31" s="90">
        <f>F15</f>
        <v>6</v>
      </c>
      <c r="G31" t="s">
        <v>2864</v>
      </c>
      <c r="H31" s="90">
        <f t="shared" si="12"/>
        <v>72</v>
      </c>
      <c r="I31" t="s">
        <v>2864</v>
      </c>
      <c r="M31" t="s">
        <v>7425</v>
      </c>
      <c r="N31" s="90">
        <f>N15</f>
        <v>5</v>
      </c>
      <c r="O31" t="s">
        <v>2864</v>
      </c>
      <c r="P31" s="90">
        <f>$C$2*N31</f>
        <v>60</v>
      </c>
      <c r="Q31" t="s">
        <v>2864</v>
      </c>
      <c r="U31" t="s">
        <v>7425</v>
      </c>
      <c r="V31" s="90">
        <f>V15</f>
        <v>7</v>
      </c>
      <c r="W31" t="s">
        <v>2864</v>
      </c>
      <c r="X31" s="90">
        <f t="shared" si="13"/>
        <v>70</v>
      </c>
      <c r="Y31" t="s">
        <v>2864</v>
      </c>
      <c r="AC31" t="s">
        <v>7425</v>
      </c>
      <c r="AD31" s="90">
        <f>AD15</f>
        <v>5</v>
      </c>
      <c r="AE31" t="s">
        <v>2864</v>
      </c>
      <c r="AF31" s="90">
        <f t="shared" si="14"/>
        <v>160</v>
      </c>
      <c r="AG31" t="s">
        <v>2864</v>
      </c>
      <c r="AK31" t="s">
        <v>7425</v>
      </c>
      <c r="AL31" s="90">
        <f>AL15</f>
        <v>15</v>
      </c>
      <c r="AM31" t="s">
        <v>2864</v>
      </c>
      <c r="AN31" s="90">
        <f t="shared" si="15"/>
        <v>90</v>
      </c>
      <c r="AO31" t="s">
        <v>2864</v>
      </c>
      <c r="AS31" t="s">
        <v>7425</v>
      </c>
      <c r="AT31" s="90">
        <f>AT15</f>
        <v>6</v>
      </c>
      <c r="AU31" t="s">
        <v>2864</v>
      </c>
      <c r="AV31" s="90">
        <f t="shared" si="16"/>
        <v>24</v>
      </c>
      <c r="AW31" t="s">
        <v>2864</v>
      </c>
      <c r="BA31" t="s">
        <v>7425</v>
      </c>
      <c r="BB31" s="90">
        <f>BB15</f>
        <v>6</v>
      </c>
      <c r="BC31" t="s">
        <v>2864</v>
      </c>
      <c r="BD31" s="90">
        <f t="shared" si="17"/>
        <v>12</v>
      </c>
      <c r="BE31" t="s">
        <v>2864</v>
      </c>
      <c r="BI31" t="s">
        <v>7425</v>
      </c>
      <c r="BJ31" s="90">
        <f>BJ15</f>
        <v>6</v>
      </c>
      <c r="BK31" t="s">
        <v>2864</v>
      </c>
      <c r="BL31" s="90">
        <f t="shared" si="18"/>
        <v>12</v>
      </c>
      <c r="BM31" t="s">
        <v>2864</v>
      </c>
      <c r="BQ31" t="s">
        <v>7425</v>
      </c>
      <c r="BR31" s="90">
        <f>BR15</f>
        <v>12</v>
      </c>
      <c r="BS31" t="s">
        <v>2864</v>
      </c>
      <c r="BT31" s="90">
        <f t="shared" si="19"/>
        <v>144</v>
      </c>
      <c r="BU31" t="s">
        <v>2864</v>
      </c>
      <c r="BY31" t="s">
        <v>7425</v>
      </c>
      <c r="BZ31" s="90">
        <f>BZ15</f>
        <v>12</v>
      </c>
      <c r="CA31" t="s">
        <v>2864</v>
      </c>
      <c r="CB31" s="90">
        <f t="shared" si="20"/>
        <v>48</v>
      </c>
      <c r="CC31" t="s">
        <v>2864</v>
      </c>
      <c r="CG31" t="s">
        <v>7425</v>
      </c>
      <c r="CH31" s="90">
        <f>CH15</f>
        <v>6</v>
      </c>
      <c r="CI31" t="s">
        <v>2864</v>
      </c>
      <c r="CJ31" s="90">
        <f t="shared" si="21"/>
        <v>12</v>
      </c>
      <c r="CK31" t="s">
        <v>2864</v>
      </c>
      <c r="CO31" t="s">
        <v>7425</v>
      </c>
      <c r="CP31" s="90">
        <f>CP15</f>
        <v>6</v>
      </c>
      <c r="CQ31" t="s">
        <v>2864</v>
      </c>
      <c r="CR31" s="90">
        <f t="shared" si="22"/>
        <v>12</v>
      </c>
      <c r="CS31" t="s">
        <v>2864</v>
      </c>
      <c r="CU31" s="41">
        <f t="shared" si="23"/>
        <v>716</v>
      </c>
      <c r="CV31" t="s">
        <v>2864</v>
      </c>
    </row>
    <row r="32" spans="4:100">
      <c r="D32" t="s">
        <v>6037</v>
      </c>
      <c r="L32" t="s">
        <v>6037</v>
      </c>
      <c r="T32" t="s">
        <v>6037</v>
      </c>
      <c r="AB32" t="s">
        <v>6037</v>
      </c>
      <c r="AJ32" t="s">
        <v>6037</v>
      </c>
      <c r="AR32" t="s">
        <v>6037</v>
      </c>
      <c r="AZ32" t="s">
        <v>6037</v>
      </c>
      <c r="BH32" t="s">
        <v>6037</v>
      </c>
      <c r="BP32" t="s">
        <v>6037</v>
      </c>
      <c r="BX32" t="s">
        <v>6037</v>
      </c>
      <c r="CF32" t="s">
        <v>6037</v>
      </c>
      <c r="CN32" t="s">
        <v>6037</v>
      </c>
    </row>
    <row r="33" spans="4:100">
      <c r="E33" t="s">
        <v>7426</v>
      </c>
      <c r="F33" s="89">
        <v>1</v>
      </c>
      <c r="G33" t="s">
        <v>2803</v>
      </c>
      <c r="H33" s="89">
        <f>$C$2*F33</f>
        <v>12</v>
      </c>
      <c r="I33" t="s">
        <v>2803</v>
      </c>
      <c r="M33" t="s">
        <v>7426</v>
      </c>
      <c r="N33" s="89">
        <v>1</v>
      </c>
      <c r="O33" t="s">
        <v>2803</v>
      </c>
      <c r="P33" s="89">
        <f>$K$2*N33</f>
        <v>12</v>
      </c>
      <c r="Q33" t="s">
        <v>2803</v>
      </c>
      <c r="U33" t="s">
        <v>7426</v>
      </c>
      <c r="V33" s="89">
        <v>2</v>
      </c>
      <c r="W33" t="s">
        <v>2803</v>
      </c>
      <c r="X33" s="89">
        <f>S$2*V33</f>
        <v>20</v>
      </c>
      <c r="Y33" t="s">
        <v>2803</v>
      </c>
      <c r="AC33" t="s">
        <v>7426</v>
      </c>
      <c r="AD33" s="89">
        <v>1</v>
      </c>
      <c r="AE33" t="s">
        <v>2803</v>
      </c>
      <c r="AF33" s="89">
        <f>AA$2*AD33</f>
        <v>32</v>
      </c>
      <c r="AG33" t="s">
        <v>2803</v>
      </c>
      <c r="AK33" t="s">
        <v>7426</v>
      </c>
      <c r="AL33" s="89">
        <v>1</v>
      </c>
      <c r="AM33" t="s">
        <v>2803</v>
      </c>
      <c r="AN33" s="89">
        <f>AI$2*AL33</f>
        <v>6</v>
      </c>
      <c r="AO33" t="s">
        <v>2803</v>
      </c>
      <c r="AS33" t="s">
        <v>7426</v>
      </c>
      <c r="AT33" s="89">
        <v>1</v>
      </c>
      <c r="AU33" t="s">
        <v>2803</v>
      </c>
      <c r="AV33" s="89">
        <f>AQ$2*AT33</f>
        <v>4</v>
      </c>
      <c r="AW33" t="s">
        <v>2803</v>
      </c>
      <c r="BA33" t="s">
        <v>7426</v>
      </c>
      <c r="BB33" s="89">
        <v>1</v>
      </c>
      <c r="BC33" t="s">
        <v>2803</v>
      </c>
      <c r="BD33" s="89">
        <f>AY$2*BB33</f>
        <v>2</v>
      </c>
      <c r="BE33" t="s">
        <v>2803</v>
      </c>
      <c r="BI33" t="s">
        <v>7426</v>
      </c>
      <c r="BJ33" s="89">
        <v>1</v>
      </c>
      <c r="BK33" t="s">
        <v>2803</v>
      </c>
      <c r="BL33" s="89">
        <f>BG$2*BJ33</f>
        <v>2</v>
      </c>
      <c r="BM33" t="s">
        <v>2803</v>
      </c>
      <c r="BQ33" t="s">
        <v>7426</v>
      </c>
      <c r="BR33" s="89">
        <v>1</v>
      </c>
      <c r="BS33" t="s">
        <v>2803</v>
      </c>
      <c r="BT33" s="89">
        <f>BO$2*BR33</f>
        <v>12</v>
      </c>
      <c r="BU33" t="s">
        <v>2803</v>
      </c>
      <c r="BY33" t="s">
        <v>7426</v>
      </c>
      <c r="BZ33" s="89">
        <v>1</v>
      </c>
      <c r="CA33" t="s">
        <v>2803</v>
      </c>
      <c r="CB33" s="89">
        <f>BW$2*BZ33</f>
        <v>4</v>
      </c>
      <c r="CC33" t="s">
        <v>2803</v>
      </c>
      <c r="CG33" t="s">
        <v>7426</v>
      </c>
      <c r="CH33" s="89">
        <v>1</v>
      </c>
      <c r="CI33" t="s">
        <v>2803</v>
      </c>
      <c r="CJ33" s="89">
        <f>CE$2*CH33</f>
        <v>2</v>
      </c>
      <c r="CK33" t="s">
        <v>2803</v>
      </c>
      <c r="CO33" t="s">
        <v>7426</v>
      </c>
      <c r="CP33" s="89">
        <v>1</v>
      </c>
      <c r="CQ33" t="s">
        <v>2803</v>
      </c>
      <c r="CR33" s="89">
        <f>CM$2*CP33</f>
        <v>2</v>
      </c>
      <c r="CS33" t="s">
        <v>2803</v>
      </c>
      <c r="CU33" s="41">
        <f>H33+P33+X33+AF33+AV33+AN33+BD33+BL33+BT33+CB33+CJ33+CR33</f>
        <v>110</v>
      </c>
      <c r="CV33" t="s">
        <v>2803</v>
      </c>
    </row>
    <row r="34" spans="4:100">
      <c r="E34" t="s">
        <v>7427</v>
      </c>
      <c r="F34" s="89">
        <v>1</v>
      </c>
      <c r="G34" t="s">
        <v>2803</v>
      </c>
      <c r="H34" s="89">
        <f>$C$2*F34</f>
        <v>12</v>
      </c>
      <c r="I34" t="s">
        <v>2803</v>
      </c>
      <c r="M34" t="s">
        <v>7427</v>
      </c>
      <c r="N34" s="89">
        <v>1</v>
      </c>
      <c r="O34" t="s">
        <v>2803</v>
      </c>
      <c r="P34" s="89">
        <f>$C$2*N34</f>
        <v>12</v>
      </c>
      <c r="Q34" t="s">
        <v>2803</v>
      </c>
      <c r="U34" t="s">
        <v>7427</v>
      </c>
      <c r="V34" s="89">
        <v>2</v>
      </c>
      <c r="W34" t="s">
        <v>2803</v>
      </c>
      <c r="X34" s="89">
        <f>S$2*V34</f>
        <v>20</v>
      </c>
      <c r="Y34" t="s">
        <v>2803</v>
      </c>
      <c r="AC34" t="s">
        <v>7427</v>
      </c>
      <c r="AD34" s="89">
        <v>1</v>
      </c>
      <c r="AE34" t="s">
        <v>2803</v>
      </c>
      <c r="AF34" s="89">
        <f>AA$2*AD34</f>
        <v>32</v>
      </c>
      <c r="AG34" t="s">
        <v>2803</v>
      </c>
      <c r="AK34" t="s">
        <v>7427</v>
      </c>
      <c r="AL34" s="89">
        <v>1</v>
      </c>
      <c r="AM34" t="s">
        <v>2803</v>
      </c>
      <c r="AN34" s="89">
        <f>AI$2*AL34</f>
        <v>6</v>
      </c>
      <c r="AO34" t="s">
        <v>2803</v>
      </c>
      <c r="AS34" t="s">
        <v>7427</v>
      </c>
      <c r="AT34" s="89">
        <v>1</v>
      </c>
      <c r="AU34" t="s">
        <v>2803</v>
      </c>
      <c r="AV34" s="89">
        <f>AQ$2*AT34</f>
        <v>4</v>
      </c>
      <c r="AW34" t="s">
        <v>2803</v>
      </c>
      <c r="BA34" t="s">
        <v>7427</v>
      </c>
      <c r="BB34" s="89">
        <v>1</v>
      </c>
      <c r="BC34" t="s">
        <v>2803</v>
      </c>
      <c r="BD34" s="89">
        <f>AY$2*BB34</f>
        <v>2</v>
      </c>
      <c r="BE34" t="s">
        <v>2803</v>
      </c>
      <c r="BI34" t="s">
        <v>7427</v>
      </c>
      <c r="BJ34" s="89">
        <v>1</v>
      </c>
      <c r="BK34" t="s">
        <v>2803</v>
      </c>
      <c r="BL34" s="89">
        <f>BG$2*BJ34</f>
        <v>2</v>
      </c>
      <c r="BM34" t="s">
        <v>2803</v>
      </c>
      <c r="BQ34" t="s">
        <v>7427</v>
      </c>
      <c r="BR34" s="89">
        <v>1</v>
      </c>
      <c r="BS34" t="s">
        <v>2803</v>
      </c>
      <c r="BT34" s="89">
        <f>BO$2*BR34</f>
        <v>12</v>
      </c>
      <c r="BU34" t="s">
        <v>2803</v>
      </c>
      <c r="BY34" t="s">
        <v>7427</v>
      </c>
      <c r="BZ34" s="89">
        <v>1</v>
      </c>
      <c r="CA34" t="s">
        <v>2803</v>
      </c>
      <c r="CB34" s="89">
        <f>BW$2*BZ34</f>
        <v>4</v>
      </c>
      <c r="CC34" t="s">
        <v>2803</v>
      </c>
      <c r="CG34" t="s">
        <v>7427</v>
      </c>
      <c r="CH34" s="89">
        <v>1</v>
      </c>
      <c r="CI34" t="s">
        <v>2803</v>
      </c>
      <c r="CJ34" s="89">
        <f>CE$2*CH34</f>
        <v>2</v>
      </c>
      <c r="CK34" t="s">
        <v>2803</v>
      </c>
      <c r="CO34" t="s">
        <v>7427</v>
      </c>
      <c r="CP34" s="89">
        <v>1</v>
      </c>
      <c r="CQ34" t="s">
        <v>2803</v>
      </c>
      <c r="CR34" s="89">
        <f>CM$2*CP34</f>
        <v>2</v>
      </c>
      <c r="CS34" t="s">
        <v>2803</v>
      </c>
      <c r="CU34" s="41">
        <f>H34+P34+X34+AF34+AV34+AN34+BD34+BL34+BT34+CB34+CJ34+CR34</f>
        <v>110</v>
      </c>
      <c r="CV34" t="s">
        <v>2803</v>
      </c>
    </row>
    <row r="35" spans="4:100">
      <c r="E35" t="s">
        <v>7428</v>
      </c>
      <c r="F35" s="89">
        <v>1</v>
      </c>
      <c r="G35" t="s">
        <v>2803</v>
      </c>
      <c r="H35" s="89">
        <f>$C$2*F35</f>
        <v>12</v>
      </c>
      <c r="I35" t="s">
        <v>2803</v>
      </c>
      <c r="M35" t="s">
        <v>7428</v>
      </c>
      <c r="N35" s="89">
        <v>1</v>
      </c>
      <c r="O35" t="s">
        <v>2803</v>
      </c>
      <c r="P35" s="89">
        <f>$C$2*N35</f>
        <v>12</v>
      </c>
      <c r="Q35" t="s">
        <v>2803</v>
      </c>
      <c r="U35" t="s">
        <v>7428</v>
      </c>
      <c r="V35" s="89">
        <v>2</v>
      </c>
      <c r="W35" t="s">
        <v>2803</v>
      </c>
      <c r="X35" s="89">
        <f>S$2*V35</f>
        <v>20</v>
      </c>
      <c r="Y35" t="s">
        <v>2803</v>
      </c>
      <c r="AC35" t="s">
        <v>7428</v>
      </c>
      <c r="AD35" s="89">
        <v>1</v>
      </c>
      <c r="AE35" t="s">
        <v>2803</v>
      </c>
      <c r="AF35" s="89">
        <f>AA$2*AD35</f>
        <v>32</v>
      </c>
      <c r="AG35" t="s">
        <v>2803</v>
      </c>
      <c r="AK35" t="s">
        <v>7428</v>
      </c>
      <c r="AL35" s="89">
        <v>1</v>
      </c>
      <c r="AM35" t="s">
        <v>2803</v>
      </c>
      <c r="AN35" s="89">
        <f>AI$2*AL35</f>
        <v>6</v>
      </c>
      <c r="AO35" t="s">
        <v>2803</v>
      </c>
      <c r="AS35" t="s">
        <v>7428</v>
      </c>
      <c r="AT35" s="89">
        <v>1</v>
      </c>
      <c r="AU35" t="s">
        <v>2803</v>
      </c>
      <c r="AV35" s="89">
        <f>AQ$2*AT35</f>
        <v>4</v>
      </c>
      <c r="AW35" t="s">
        <v>2803</v>
      </c>
      <c r="BA35" t="s">
        <v>7428</v>
      </c>
      <c r="BB35" s="89">
        <v>1</v>
      </c>
      <c r="BC35" t="s">
        <v>2803</v>
      </c>
      <c r="BD35" s="89">
        <f>AY$2*BB35</f>
        <v>2</v>
      </c>
      <c r="BE35" t="s">
        <v>2803</v>
      </c>
      <c r="BI35" t="s">
        <v>7428</v>
      </c>
      <c r="BJ35" s="89">
        <v>1</v>
      </c>
      <c r="BK35" t="s">
        <v>2803</v>
      </c>
      <c r="BL35" s="89">
        <f>BG$2*BJ35</f>
        <v>2</v>
      </c>
      <c r="BM35" t="s">
        <v>2803</v>
      </c>
      <c r="BQ35" t="s">
        <v>7428</v>
      </c>
      <c r="BR35" s="89">
        <v>1</v>
      </c>
      <c r="BS35" t="s">
        <v>2803</v>
      </c>
      <c r="BT35" s="89">
        <f>BO$2*BR35</f>
        <v>12</v>
      </c>
      <c r="BU35" t="s">
        <v>2803</v>
      </c>
      <c r="BY35" t="s">
        <v>7428</v>
      </c>
      <c r="BZ35" s="89">
        <v>1</v>
      </c>
      <c r="CA35" t="s">
        <v>2803</v>
      </c>
      <c r="CB35" s="89">
        <f>BW$2*BZ35</f>
        <v>4</v>
      </c>
      <c r="CC35" t="s">
        <v>2803</v>
      </c>
      <c r="CG35" t="s">
        <v>7428</v>
      </c>
      <c r="CH35" s="89">
        <v>1</v>
      </c>
      <c r="CI35" t="s">
        <v>2803</v>
      </c>
      <c r="CJ35" s="89">
        <f>CE$2*CH35</f>
        <v>2</v>
      </c>
      <c r="CK35" t="s">
        <v>2803</v>
      </c>
      <c r="CO35" t="s">
        <v>7428</v>
      </c>
      <c r="CP35" s="89">
        <v>1</v>
      </c>
      <c r="CQ35" t="s">
        <v>2803</v>
      </c>
      <c r="CR35" s="89">
        <f>CM$2*CP35</f>
        <v>2</v>
      </c>
      <c r="CS35" t="s">
        <v>2803</v>
      </c>
      <c r="CU35" s="41">
        <f>H35+P35+X35+AF35+AV35+AN35+BD35+BL35+BT35+CB35+CJ35+CR35</f>
        <v>110</v>
      </c>
      <c r="CV35" t="s">
        <v>2803</v>
      </c>
    </row>
    <row r="36" spans="4:100">
      <c r="E36" t="s">
        <v>7429</v>
      </c>
      <c r="F36" s="89">
        <v>1</v>
      </c>
      <c r="G36" t="s">
        <v>2803</v>
      </c>
      <c r="H36" s="89">
        <f>$C$2*F36</f>
        <v>12</v>
      </c>
      <c r="I36" t="s">
        <v>2803</v>
      </c>
      <c r="M36" t="s">
        <v>7429</v>
      </c>
      <c r="N36" s="89">
        <v>1</v>
      </c>
      <c r="O36" t="s">
        <v>2803</v>
      </c>
      <c r="P36" s="89">
        <f>$C$2*N36</f>
        <v>12</v>
      </c>
      <c r="Q36" t="s">
        <v>2803</v>
      </c>
      <c r="U36" t="s">
        <v>7429</v>
      </c>
      <c r="V36" s="89">
        <v>2</v>
      </c>
      <c r="W36" t="s">
        <v>2803</v>
      </c>
      <c r="X36" s="89">
        <f>S$2*V36</f>
        <v>20</v>
      </c>
      <c r="Y36" t="s">
        <v>2803</v>
      </c>
      <c r="AC36" t="s">
        <v>7429</v>
      </c>
      <c r="AD36" s="89">
        <v>1</v>
      </c>
      <c r="AE36" t="s">
        <v>2803</v>
      </c>
      <c r="AF36" s="89">
        <f>AA$2*AD36</f>
        <v>32</v>
      </c>
      <c r="AG36" t="s">
        <v>2803</v>
      </c>
      <c r="AK36" t="s">
        <v>7429</v>
      </c>
      <c r="AL36" s="89">
        <v>1</v>
      </c>
      <c r="AM36" t="s">
        <v>2803</v>
      </c>
      <c r="AN36" s="89">
        <f>AI$2*AL36</f>
        <v>6</v>
      </c>
      <c r="AO36" t="s">
        <v>2803</v>
      </c>
      <c r="AS36" t="s">
        <v>7429</v>
      </c>
      <c r="AT36" s="89">
        <v>1</v>
      </c>
      <c r="AU36" t="s">
        <v>2803</v>
      </c>
      <c r="AV36" s="89">
        <f>AQ$2*AT36</f>
        <v>4</v>
      </c>
      <c r="AW36" t="s">
        <v>2803</v>
      </c>
      <c r="BA36" t="s">
        <v>7429</v>
      </c>
      <c r="BB36" s="89">
        <v>1</v>
      </c>
      <c r="BC36" t="s">
        <v>2803</v>
      </c>
      <c r="BD36" s="89">
        <f>AY$2*BB36</f>
        <v>2</v>
      </c>
      <c r="BE36" t="s">
        <v>2803</v>
      </c>
      <c r="BI36" t="s">
        <v>7429</v>
      </c>
      <c r="BJ36" s="89">
        <v>1</v>
      </c>
      <c r="BK36" t="s">
        <v>2803</v>
      </c>
      <c r="BL36" s="89">
        <f>BG$2*BJ36</f>
        <v>2</v>
      </c>
      <c r="BM36" t="s">
        <v>2803</v>
      </c>
      <c r="BQ36" t="s">
        <v>7429</v>
      </c>
      <c r="BR36" s="89">
        <v>1</v>
      </c>
      <c r="BS36" t="s">
        <v>2803</v>
      </c>
      <c r="BT36" s="89">
        <f>BO$2*BR36</f>
        <v>12</v>
      </c>
      <c r="BU36" t="s">
        <v>2803</v>
      </c>
      <c r="BY36" t="s">
        <v>7429</v>
      </c>
      <c r="BZ36" s="89">
        <v>1</v>
      </c>
      <c r="CA36" t="s">
        <v>2803</v>
      </c>
      <c r="CB36" s="89">
        <f>BW$2*BZ36</f>
        <v>4</v>
      </c>
      <c r="CC36" t="s">
        <v>2803</v>
      </c>
      <c r="CG36" t="s">
        <v>7429</v>
      </c>
      <c r="CH36" s="89">
        <v>1</v>
      </c>
      <c r="CI36" t="s">
        <v>2803</v>
      </c>
      <c r="CJ36" s="89">
        <f>CE$2*CH36</f>
        <v>2</v>
      </c>
      <c r="CK36" t="s">
        <v>2803</v>
      </c>
      <c r="CO36" t="s">
        <v>7429</v>
      </c>
      <c r="CP36" s="89">
        <v>1</v>
      </c>
      <c r="CQ36" t="s">
        <v>2803</v>
      </c>
      <c r="CR36" s="89">
        <f>CM$2*CP36</f>
        <v>2</v>
      </c>
      <c r="CS36" t="s">
        <v>2803</v>
      </c>
      <c r="CU36" s="41">
        <f>H36+P36+X36+AF36+AV36+AN36+BD36+BL36+BT36+CB36+CJ36+CR36</f>
        <v>110</v>
      </c>
      <c r="CV36" t="s">
        <v>2803</v>
      </c>
    </row>
    <row r="37" spans="4:100">
      <c r="D37" t="s">
        <v>7430</v>
      </c>
      <c r="L37" t="s">
        <v>7430</v>
      </c>
      <c r="T37" t="s">
        <v>7430</v>
      </c>
      <c r="AB37" t="s">
        <v>7430</v>
      </c>
      <c r="AJ37" t="s">
        <v>7430</v>
      </c>
      <c r="AR37" t="s">
        <v>7430</v>
      </c>
      <c r="AZ37" t="s">
        <v>7430</v>
      </c>
      <c r="BH37" t="s">
        <v>7430</v>
      </c>
      <c r="BP37" t="s">
        <v>7430</v>
      </c>
      <c r="BX37" t="s">
        <v>7430</v>
      </c>
      <c r="CF37" t="s">
        <v>7430</v>
      </c>
      <c r="CN37" t="s">
        <v>7430</v>
      </c>
    </row>
    <row r="38" spans="4:100">
      <c r="E38" t="s">
        <v>7431</v>
      </c>
      <c r="F38" s="89">
        <v>2</v>
      </c>
      <c r="G38" t="s">
        <v>2803</v>
      </c>
      <c r="H38" s="89">
        <f>$C$2*F38</f>
        <v>24</v>
      </c>
      <c r="I38" t="s">
        <v>2803</v>
      </c>
      <c r="M38" t="s">
        <v>7431</v>
      </c>
      <c r="N38" s="89">
        <v>1</v>
      </c>
      <c r="O38" t="s">
        <v>2803</v>
      </c>
      <c r="P38" s="89">
        <f>$K$2*N38</f>
        <v>12</v>
      </c>
      <c r="Q38" t="s">
        <v>2803</v>
      </c>
      <c r="U38" t="s">
        <v>7431</v>
      </c>
      <c r="V38" s="89">
        <v>3</v>
      </c>
      <c r="W38" t="s">
        <v>2803</v>
      </c>
      <c r="X38" s="89">
        <f>S$2*V38</f>
        <v>30</v>
      </c>
      <c r="Y38" t="s">
        <v>2803</v>
      </c>
      <c r="AC38" t="s">
        <v>7431</v>
      </c>
      <c r="AD38" s="89">
        <v>2</v>
      </c>
      <c r="AE38" t="s">
        <v>2803</v>
      </c>
      <c r="AF38" s="89">
        <f>AA$2*AD38</f>
        <v>64</v>
      </c>
      <c r="AG38" t="s">
        <v>2803</v>
      </c>
      <c r="AK38" t="s">
        <v>7431</v>
      </c>
      <c r="AL38" s="89">
        <v>3</v>
      </c>
      <c r="AM38" t="s">
        <v>2803</v>
      </c>
      <c r="AN38" s="89">
        <f>AI$2*AL38</f>
        <v>18</v>
      </c>
      <c r="AO38" t="s">
        <v>2803</v>
      </c>
      <c r="AS38" t="s">
        <v>7431</v>
      </c>
      <c r="AT38" s="89">
        <v>1</v>
      </c>
      <c r="AU38" t="s">
        <v>2803</v>
      </c>
      <c r="AV38" s="89">
        <f>AQ$2*AT38</f>
        <v>4</v>
      </c>
      <c r="AW38" t="s">
        <v>2803</v>
      </c>
      <c r="BA38" t="s">
        <v>7431</v>
      </c>
      <c r="BB38" s="89">
        <v>1</v>
      </c>
      <c r="BC38" t="s">
        <v>2803</v>
      </c>
      <c r="BD38" s="89">
        <f>AY$2*BB38</f>
        <v>2</v>
      </c>
      <c r="BE38" t="s">
        <v>2803</v>
      </c>
      <c r="BI38" t="s">
        <v>7431</v>
      </c>
      <c r="BJ38" s="89">
        <v>1</v>
      </c>
      <c r="BK38" t="s">
        <v>2803</v>
      </c>
      <c r="BL38" s="89">
        <f>BG$2*BJ38</f>
        <v>2</v>
      </c>
      <c r="BM38" t="s">
        <v>2803</v>
      </c>
      <c r="BQ38" t="s">
        <v>7431</v>
      </c>
      <c r="BR38" s="89">
        <v>2</v>
      </c>
      <c r="BS38" t="s">
        <v>2803</v>
      </c>
      <c r="BT38" s="89">
        <f>BO$2*BR38</f>
        <v>24</v>
      </c>
      <c r="BU38" t="s">
        <v>2803</v>
      </c>
      <c r="BY38" t="s">
        <v>7431</v>
      </c>
      <c r="BZ38" s="89">
        <v>3</v>
      </c>
      <c r="CA38" t="s">
        <v>2803</v>
      </c>
      <c r="CB38" s="89">
        <f>BW$2*BZ38</f>
        <v>12</v>
      </c>
      <c r="CC38" t="s">
        <v>2803</v>
      </c>
      <c r="CG38" t="s">
        <v>7431</v>
      </c>
      <c r="CH38" s="89">
        <v>1</v>
      </c>
      <c r="CI38" t="s">
        <v>2803</v>
      </c>
      <c r="CJ38" s="89">
        <f>CE$2*CH38</f>
        <v>2</v>
      </c>
      <c r="CK38" t="s">
        <v>2803</v>
      </c>
      <c r="CO38" t="s">
        <v>7431</v>
      </c>
      <c r="CP38" s="89">
        <v>2</v>
      </c>
      <c r="CQ38" t="s">
        <v>2803</v>
      </c>
      <c r="CR38" s="89">
        <f>CM$2*CP38</f>
        <v>4</v>
      </c>
      <c r="CS38" t="s">
        <v>2803</v>
      </c>
      <c r="CU38" s="41">
        <f>H38+P38+X38+AF38+AV38+AN38+BD38+BL38+BT38+CB38+CJ38+CR38</f>
        <v>198</v>
      </c>
      <c r="CV38" t="s">
        <v>2803</v>
      </c>
    </row>
    <row r="39" spans="4:100">
      <c r="D39" t="s">
        <v>6788</v>
      </c>
      <c r="L39" t="s">
        <v>6788</v>
      </c>
      <c r="T39" t="s">
        <v>6788</v>
      </c>
      <c r="AB39" t="s">
        <v>6788</v>
      </c>
      <c r="AJ39" t="s">
        <v>6788</v>
      </c>
      <c r="AR39" t="s">
        <v>6788</v>
      </c>
      <c r="AZ39" t="s">
        <v>6788</v>
      </c>
      <c r="BH39" t="s">
        <v>6788</v>
      </c>
      <c r="BP39" t="s">
        <v>6788</v>
      </c>
      <c r="BX39" t="s">
        <v>6788</v>
      </c>
      <c r="CF39" t="s">
        <v>6788</v>
      </c>
      <c r="CN39" t="s">
        <v>6788</v>
      </c>
    </row>
    <row r="40" spans="4:100">
      <c r="E40" t="s">
        <v>7432</v>
      </c>
      <c r="F40" s="89">
        <v>1</v>
      </c>
      <c r="G40" t="s">
        <v>2803</v>
      </c>
      <c r="H40" s="89">
        <f>$C$2*F40</f>
        <v>12</v>
      </c>
      <c r="I40" t="s">
        <v>2803</v>
      </c>
      <c r="M40" t="s">
        <v>7432</v>
      </c>
      <c r="N40" s="89">
        <v>1</v>
      </c>
      <c r="O40" t="s">
        <v>2803</v>
      </c>
      <c r="P40" s="89">
        <f>$K$2*N40</f>
        <v>12</v>
      </c>
      <c r="Q40" t="s">
        <v>2803</v>
      </c>
      <c r="U40" t="s">
        <v>7432</v>
      </c>
      <c r="V40" s="89">
        <v>1</v>
      </c>
      <c r="W40" t="s">
        <v>2803</v>
      </c>
      <c r="X40" s="89">
        <f>S$2*V40</f>
        <v>10</v>
      </c>
      <c r="Y40" t="s">
        <v>2803</v>
      </c>
      <c r="AC40" t="s">
        <v>7432</v>
      </c>
      <c r="AD40" s="89">
        <v>1</v>
      </c>
      <c r="AE40" t="s">
        <v>2803</v>
      </c>
      <c r="AF40" s="89">
        <f>AA$2*AD40</f>
        <v>32</v>
      </c>
      <c r="AG40" t="s">
        <v>2803</v>
      </c>
      <c r="AK40" t="s">
        <v>7432</v>
      </c>
      <c r="AL40" s="89">
        <v>1</v>
      </c>
      <c r="AM40" t="s">
        <v>2803</v>
      </c>
      <c r="AN40" s="89">
        <f>AI$2*AL40</f>
        <v>6</v>
      </c>
      <c r="AO40" t="s">
        <v>2803</v>
      </c>
      <c r="AS40" t="s">
        <v>7432</v>
      </c>
      <c r="AU40" t="s">
        <v>2803</v>
      </c>
      <c r="AV40" s="89">
        <f>AQ$2*AT40</f>
        <v>0</v>
      </c>
      <c r="AW40" t="s">
        <v>2803</v>
      </c>
      <c r="BA40" t="s">
        <v>7432</v>
      </c>
      <c r="BC40" t="s">
        <v>2803</v>
      </c>
      <c r="BD40" s="89">
        <f>AY$2*BB40</f>
        <v>0</v>
      </c>
      <c r="BE40" t="s">
        <v>2803</v>
      </c>
      <c r="BI40" t="s">
        <v>7432</v>
      </c>
      <c r="BK40" t="s">
        <v>2803</v>
      </c>
      <c r="BL40" s="89">
        <f>BG$2*BJ40</f>
        <v>0</v>
      </c>
      <c r="BM40" t="s">
        <v>2803</v>
      </c>
      <c r="BQ40" t="s">
        <v>7432</v>
      </c>
      <c r="BS40" t="s">
        <v>2803</v>
      </c>
      <c r="BT40" s="89">
        <f>BO$2*BR40</f>
        <v>0</v>
      </c>
      <c r="BU40" t="s">
        <v>2803</v>
      </c>
      <c r="BY40" t="s">
        <v>7432</v>
      </c>
      <c r="CA40" t="s">
        <v>2803</v>
      </c>
      <c r="CB40" s="89">
        <f>BW$2*BZ40</f>
        <v>0</v>
      </c>
      <c r="CC40" t="s">
        <v>2803</v>
      </c>
      <c r="CG40" t="s">
        <v>7432</v>
      </c>
      <c r="CI40" t="s">
        <v>2803</v>
      </c>
      <c r="CJ40" s="89">
        <f>CE$2*CH40</f>
        <v>0</v>
      </c>
      <c r="CK40" t="s">
        <v>2803</v>
      </c>
      <c r="CO40" t="s">
        <v>7432</v>
      </c>
      <c r="CQ40" t="s">
        <v>2803</v>
      </c>
      <c r="CR40" s="89">
        <f>CM$2*CP40</f>
        <v>0</v>
      </c>
      <c r="CS40" t="s">
        <v>2803</v>
      </c>
      <c r="CU40" s="41">
        <f>H40+P40+X40+AF40+AV40+AN40+BD40+BL40+BT40+CB40+CJ40+CR40</f>
        <v>72</v>
      </c>
      <c r="CV40" t="s">
        <v>2803</v>
      </c>
    </row>
    <row r="41" spans="4:100">
      <c r="E41" t="s">
        <v>7433</v>
      </c>
      <c r="F41" s="89">
        <v>1</v>
      </c>
      <c r="G41" t="s">
        <v>2803</v>
      </c>
      <c r="H41" s="89">
        <f>$C$2*F41</f>
        <v>12</v>
      </c>
      <c r="I41" t="s">
        <v>2803</v>
      </c>
      <c r="M41" t="s">
        <v>7433</v>
      </c>
      <c r="N41" s="89">
        <v>1</v>
      </c>
      <c r="O41" t="s">
        <v>2803</v>
      </c>
      <c r="P41" s="89">
        <f>$C$2*N41</f>
        <v>12</v>
      </c>
      <c r="Q41" t="s">
        <v>2803</v>
      </c>
      <c r="U41" t="s">
        <v>7433</v>
      </c>
      <c r="V41" s="89">
        <v>1</v>
      </c>
      <c r="W41" t="s">
        <v>2803</v>
      </c>
      <c r="X41" s="89">
        <f>S$2*V41</f>
        <v>10</v>
      </c>
      <c r="Y41" t="s">
        <v>2803</v>
      </c>
      <c r="AC41" t="s">
        <v>7433</v>
      </c>
      <c r="AD41" s="89">
        <v>1</v>
      </c>
      <c r="AE41" t="s">
        <v>2803</v>
      </c>
      <c r="AF41" s="89">
        <f>AA$2*AD41</f>
        <v>32</v>
      </c>
      <c r="AG41" t="s">
        <v>2803</v>
      </c>
      <c r="AK41" t="s">
        <v>7433</v>
      </c>
      <c r="AL41" s="89">
        <v>1</v>
      </c>
      <c r="AM41" t="s">
        <v>2803</v>
      </c>
      <c r="AN41" s="89">
        <f>AI$2*AL41</f>
        <v>6</v>
      </c>
      <c r="AO41" t="s">
        <v>2803</v>
      </c>
      <c r="AS41" t="s">
        <v>7433</v>
      </c>
      <c r="AU41" t="s">
        <v>2803</v>
      </c>
      <c r="AV41" s="89">
        <f>AQ$2*AT41</f>
        <v>0</v>
      </c>
      <c r="AW41" t="s">
        <v>2803</v>
      </c>
      <c r="BA41" t="s">
        <v>7433</v>
      </c>
      <c r="BC41" t="s">
        <v>2803</v>
      </c>
      <c r="BD41" s="89">
        <f>AY$2*BB41</f>
        <v>0</v>
      </c>
      <c r="BE41" t="s">
        <v>2803</v>
      </c>
      <c r="BI41" t="s">
        <v>7433</v>
      </c>
      <c r="BK41" t="s">
        <v>2803</v>
      </c>
      <c r="BL41" s="89">
        <f>BG$2*BJ41</f>
        <v>0</v>
      </c>
      <c r="BM41" t="s">
        <v>2803</v>
      </c>
      <c r="BQ41" t="s">
        <v>7433</v>
      </c>
      <c r="BS41" t="s">
        <v>2803</v>
      </c>
      <c r="BT41" s="89">
        <f>BO$2*BR41</f>
        <v>0</v>
      </c>
      <c r="BU41" t="s">
        <v>2803</v>
      </c>
      <c r="BY41" t="s">
        <v>7433</v>
      </c>
      <c r="CA41" t="s">
        <v>2803</v>
      </c>
      <c r="CB41" s="89">
        <f>BW$2*BZ41</f>
        <v>0</v>
      </c>
      <c r="CC41" t="s">
        <v>2803</v>
      </c>
      <c r="CG41" t="s">
        <v>7433</v>
      </c>
      <c r="CI41" t="s">
        <v>2803</v>
      </c>
      <c r="CJ41" s="89">
        <f>CE$2*CH41</f>
        <v>0</v>
      </c>
      <c r="CK41" t="s">
        <v>2803</v>
      </c>
      <c r="CO41" t="s">
        <v>7433</v>
      </c>
      <c r="CQ41" t="s">
        <v>2803</v>
      </c>
      <c r="CR41" s="89">
        <f>CM$2*CP41</f>
        <v>0</v>
      </c>
      <c r="CS41" t="s">
        <v>2803</v>
      </c>
      <c r="CU41" s="41">
        <f>H41+P41+X41+AF41+AV41+AN41+BD41+BL41+BT41+CB41+CJ41+CR41</f>
        <v>72</v>
      </c>
      <c r="CV41" t="s">
        <v>2803</v>
      </c>
    </row>
    <row r="42" spans="4:100">
      <c r="D42" t="s">
        <v>7434</v>
      </c>
      <c r="L42" t="s">
        <v>7434</v>
      </c>
      <c r="T42" t="s">
        <v>557</v>
      </c>
      <c r="AB42" t="s">
        <v>557</v>
      </c>
      <c r="AJ42" t="s">
        <v>557</v>
      </c>
      <c r="AR42" t="s">
        <v>557</v>
      </c>
      <c r="AZ42" t="s">
        <v>557</v>
      </c>
      <c r="BH42" t="s">
        <v>557</v>
      </c>
      <c r="BP42" t="s">
        <v>557</v>
      </c>
      <c r="BX42" t="s">
        <v>557</v>
      </c>
      <c r="CF42" t="s">
        <v>557</v>
      </c>
      <c r="CN42" t="s">
        <v>557</v>
      </c>
    </row>
    <row r="43" spans="4:100">
      <c r="E43" t="s">
        <v>7435</v>
      </c>
      <c r="F43" s="89">
        <v>1</v>
      </c>
      <c r="G43" t="s">
        <v>2803</v>
      </c>
      <c r="H43" s="89">
        <f>$C$2*F43</f>
        <v>12</v>
      </c>
      <c r="I43" t="s">
        <v>2803</v>
      </c>
      <c r="M43" t="s">
        <v>7435</v>
      </c>
      <c r="N43" s="89">
        <v>1</v>
      </c>
      <c r="O43" t="s">
        <v>2803</v>
      </c>
      <c r="P43" s="89">
        <f>$K$2*N43</f>
        <v>12</v>
      </c>
      <c r="Q43" t="s">
        <v>2803</v>
      </c>
      <c r="U43" t="s">
        <v>7435</v>
      </c>
      <c r="V43" s="89">
        <v>1</v>
      </c>
      <c r="W43" t="s">
        <v>2803</v>
      </c>
      <c r="X43" s="89">
        <f>S$2*V43</f>
        <v>10</v>
      </c>
      <c r="Y43" t="s">
        <v>2803</v>
      </c>
      <c r="AC43" t="s">
        <v>7435</v>
      </c>
      <c r="AD43" s="89">
        <v>1</v>
      </c>
      <c r="AE43" t="s">
        <v>2803</v>
      </c>
      <c r="AF43" s="89">
        <f>AA$2*AD43</f>
        <v>32</v>
      </c>
      <c r="AG43" t="s">
        <v>2803</v>
      </c>
      <c r="AK43" t="s">
        <v>7435</v>
      </c>
      <c r="AL43" s="89">
        <v>1</v>
      </c>
      <c r="AM43" t="s">
        <v>2803</v>
      </c>
      <c r="AN43" s="89">
        <f>AI$2*AL43</f>
        <v>6</v>
      </c>
      <c r="AO43" t="s">
        <v>2803</v>
      </c>
      <c r="AS43" t="s">
        <v>7435</v>
      </c>
      <c r="AU43" t="s">
        <v>2803</v>
      </c>
      <c r="AV43" s="89">
        <f>AQ$2*AT43</f>
        <v>0</v>
      </c>
      <c r="AW43" t="s">
        <v>2803</v>
      </c>
      <c r="BA43" t="s">
        <v>7435</v>
      </c>
      <c r="BC43" t="s">
        <v>2803</v>
      </c>
      <c r="BD43" s="89">
        <f>AY$2*BB43</f>
        <v>0</v>
      </c>
      <c r="BE43" t="s">
        <v>2803</v>
      </c>
      <c r="BI43" t="s">
        <v>7435</v>
      </c>
      <c r="BK43" t="s">
        <v>2803</v>
      </c>
      <c r="BL43" s="89">
        <f>BG$2*BJ43</f>
        <v>0</v>
      </c>
      <c r="BM43" t="s">
        <v>2803</v>
      </c>
      <c r="BQ43" t="s">
        <v>7435</v>
      </c>
      <c r="BS43" t="s">
        <v>2803</v>
      </c>
      <c r="BT43" s="89">
        <f>BO$2*BR43</f>
        <v>0</v>
      </c>
      <c r="BU43" t="s">
        <v>2803</v>
      </c>
      <c r="BY43" t="s">
        <v>7435</v>
      </c>
      <c r="CA43" t="s">
        <v>2803</v>
      </c>
      <c r="CB43" s="89">
        <f>BW$2*BZ43</f>
        <v>0</v>
      </c>
      <c r="CC43" t="s">
        <v>2803</v>
      </c>
      <c r="CG43" t="s">
        <v>7435</v>
      </c>
      <c r="CI43" t="s">
        <v>2803</v>
      </c>
      <c r="CJ43" s="89">
        <f>CE$2*CH43</f>
        <v>0</v>
      </c>
      <c r="CK43" t="s">
        <v>2803</v>
      </c>
      <c r="CO43" t="s">
        <v>7435</v>
      </c>
      <c r="CQ43" t="s">
        <v>2803</v>
      </c>
      <c r="CR43" s="89">
        <f>CM$2*CP43</f>
        <v>0</v>
      </c>
      <c r="CS43" t="s">
        <v>2803</v>
      </c>
      <c r="CU43" s="41">
        <f>H43+P43+X43+AF43+AV43+AN43+BD43+BL43+BT43+CB43+CJ43+CR43</f>
        <v>72</v>
      </c>
      <c r="CV43" t="s">
        <v>2803</v>
      </c>
    </row>
    <row r="44" spans="4:100">
      <c r="E44" t="s">
        <v>7436</v>
      </c>
      <c r="F44" s="89">
        <v>1</v>
      </c>
      <c r="G44" t="s">
        <v>2803</v>
      </c>
      <c r="H44" s="89">
        <f>$C$2*F44</f>
        <v>12</v>
      </c>
      <c r="I44" t="s">
        <v>2803</v>
      </c>
      <c r="M44" t="s">
        <v>7436</v>
      </c>
      <c r="N44" s="89">
        <v>1</v>
      </c>
      <c r="O44" t="s">
        <v>2803</v>
      </c>
      <c r="P44" s="89">
        <f>$C$2*N44</f>
        <v>12</v>
      </c>
      <c r="Q44" t="s">
        <v>2803</v>
      </c>
      <c r="U44" t="s">
        <v>7436</v>
      </c>
      <c r="V44" s="89">
        <v>2</v>
      </c>
      <c r="W44" t="s">
        <v>2803</v>
      </c>
      <c r="X44" s="89">
        <f>S$2*V44</f>
        <v>20</v>
      </c>
      <c r="Y44" t="s">
        <v>2803</v>
      </c>
      <c r="AC44" t="s">
        <v>7436</v>
      </c>
      <c r="AD44" s="89">
        <v>1</v>
      </c>
      <c r="AE44" t="s">
        <v>2803</v>
      </c>
      <c r="AF44" s="89">
        <f>AA$2*AD44</f>
        <v>32</v>
      </c>
      <c r="AG44" t="s">
        <v>2803</v>
      </c>
      <c r="AK44" t="s">
        <v>7436</v>
      </c>
      <c r="AL44" s="89">
        <v>1</v>
      </c>
      <c r="AM44" t="s">
        <v>2803</v>
      </c>
      <c r="AN44" s="89">
        <f>AI$2*AL44</f>
        <v>6</v>
      </c>
      <c r="AO44" t="s">
        <v>2803</v>
      </c>
      <c r="AS44" t="s">
        <v>7436</v>
      </c>
      <c r="AT44" s="89">
        <v>1</v>
      </c>
      <c r="AU44" t="s">
        <v>2803</v>
      </c>
      <c r="AV44" s="89">
        <f>AQ$2*AT44</f>
        <v>4</v>
      </c>
      <c r="AW44" t="s">
        <v>2803</v>
      </c>
      <c r="BA44" t="s">
        <v>7436</v>
      </c>
      <c r="BB44" s="89">
        <v>1</v>
      </c>
      <c r="BC44" t="s">
        <v>2803</v>
      </c>
      <c r="BD44" s="89">
        <f>AY$2*BB44</f>
        <v>2</v>
      </c>
      <c r="BE44" t="s">
        <v>2803</v>
      </c>
      <c r="BI44" t="s">
        <v>7436</v>
      </c>
      <c r="BJ44" s="89">
        <v>1</v>
      </c>
      <c r="BK44" t="s">
        <v>2803</v>
      </c>
      <c r="BL44" s="89">
        <f>BG$2*BJ44</f>
        <v>2</v>
      </c>
      <c r="BM44" t="s">
        <v>2803</v>
      </c>
      <c r="BQ44" t="s">
        <v>7436</v>
      </c>
      <c r="BR44" s="89">
        <v>1</v>
      </c>
      <c r="BS44" t="s">
        <v>2803</v>
      </c>
      <c r="BT44" s="89">
        <f>BO$2*BR44</f>
        <v>12</v>
      </c>
      <c r="BU44" t="s">
        <v>2803</v>
      </c>
      <c r="BY44" t="s">
        <v>7436</v>
      </c>
      <c r="BZ44" s="89">
        <v>1</v>
      </c>
      <c r="CA44" t="s">
        <v>2803</v>
      </c>
      <c r="CB44" s="89">
        <f>BW$2*BZ44</f>
        <v>4</v>
      </c>
      <c r="CC44" t="s">
        <v>2803</v>
      </c>
      <c r="CG44" t="s">
        <v>7436</v>
      </c>
      <c r="CH44" s="89">
        <v>1</v>
      </c>
      <c r="CI44" t="s">
        <v>2803</v>
      </c>
      <c r="CJ44" s="89">
        <f>CE$2*CH44</f>
        <v>2</v>
      </c>
      <c r="CK44" t="s">
        <v>2803</v>
      </c>
      <c r="CO44" t="s">
        <v>7436</v>
      </c>
      <c r="CP44" s="89">
        <v>1</v>
      </c>
      <c r="CQ44" t="s">
        <v>2803</v>
      </c>
      <c r="CR44" s="89">
        <f>CM$2*CP44</f>
        <v>2</v>
      </c>
      <c r="CS44" t="s">
        <v>2803</v>
      </c>
      <c r="CU44" s="41">
        <f>H44+P44+X44+AF44+AV44+AN44+BD44+BL44+BT44+CB44+CJ44+CR44</f>
        <v>110</v>
      </c>
      <c r="CV44" t="s">
        <v>2803</v>
      </c>
    </row>
    <row r="45" spans="4:100">
      <c r="E45" t="s">
        <v>7437</v>
      </c>
      <c r="F45" s="89">
        <v>1</v>
      </c>
      <c r="G45" t="s">
        <v>2803</v>
      </c>
      <c r="H45" s="89">
        <f>$C$2*F45</f>
        <v>12</v>
      </c>
      <c r="I45" t="s">
        <v>2803</v>
      </c>
      <c r="M45" t="s">
        <v>7437</v>
      </c>
      <c r="N45" s="89">
        <v>1</v>
      </c>
      <c r="O45" t="s">
        <v>2803</v>
      </c>
      <c r="P45" s="89">
        <f>$C$2*N45</f>
        <v>12</v>
      </c>
      <c r="Q45" t="s">
        <v>2803</v>
      </c>
      <c r="U45" t="s">
        <v>7437</v>
      </c>
      <c r="V45" s="89">
        <v>2</v>
      </c>
      <c r="W45" t="s">
        <v>2803</v>
      </c>
      <c r="X45" s="89">
        <f>S$2*V45</f>
        <v>20</v>
      </c>
      <c r="Y45" t="s">
        <v>2803</v>
      </c>
      <c r="AC45" t="s">
        <v>7437</v>
      </c>
      <c r="AD45" s="89">
        <v>1</v>
      </c>
      <c r="AE45" t="s">
        <v>2803</v>
      </c>
      <c r="AF45" s="89">
        <f>AA$2*AD45</f>
        <v>32</v>
      </c>
      <c r="AG45" t="s">
        <v>2803</v>
      </c>
      <c r="AK45" t="s">
        <v>7437</v>
      </c>
      <c r="AL45" s="89">
        <v>1</v>
      </c>
      <c r="AM45" t="s">
        <v>2803</v>
      </c>
      <c r="AN45" s="89">
        <f>AI$2*AL45</f>
        <v>6</v>
      </c>
      <c r="AO45" t="s">
        <v>2803</v>
      </c>
      <c r="AS45" t="s">
        <v>7437</v>
      </c>
      <c r="AT45" s="89">
        <v>1</v>
      </c>
      <c r="AU45" t="s">
        <v>2803</v>
      </c>
      <c r="AV45" s="89">
        <f>AQ$2*AT45</f>
        <v>4</v>
      </c>
      <c r="AW45" t="s">
        <v>2803</v>
      </c>
      <c r="BA45" t="s">
        <v>7437</v>
      </c>
      <c r="BB45" s="89">
        <v>1</v>
      </c>
      <c r="BC45" t="s">
        <v>2803</v>
      </c>
      <c r="BD45" s="89">
        <f>AY$2*BB45</f>
        <v>2</v>
      </c>
      <c r="BE45" t="s">
        <v>2803</v>
      </c>
      <c r="BI45" t="s">
        <v>7437</v>
      </c>
      <c r="BJ45" s="89">
        <v>1</v>
      </c>
      <c r="BK45" t="s">
        <v>2803</v>
      </c>
      <c r="BL45" s="89">
        <f>BG$2*BJ45</f>
        <v>2</v>
      </c>
      <c r="BM45" t="s">
        <v>2803</v>
      </c>
      <c r="BQ45" t="s">
        <v>7437</v>
      </c>
      <c r="BR45" s="89">
        <v>1</v>
      </c>
      <c r="BS45" t="s">
        <v>2803</v>
      </c>
      <c r="BT45" s="89">
        <f>BO$2*BR45</f>
        <v>12</v>
      </c>
      <c r="BU45" t="s">
        <v>2803</v>
      </c>
      <c r="BY45" t="s">
        <v>7437</v>
      </c>
      <c r="BZ45" s="89">
        <v>1</v>
      </c>
      <c r="CA45" t="s">
        <v>2803</v>
      </c>
      <c r="CB45" s="89">
        <f>BW$2*BZ45</f>
        <v>4</v>
      </c>
      <c r="CC45" t="s">
        <v>2803</v>
      </c>
      <c r="CG45" t="s">
        <v>7437</v>
      </c>
      <c r="CH45" s="89">
        <v>1</v>
      </c>
      <c r="CI45" t="s">
        <v>2803</v>
      </c>
      <c r="CJ45" s="89">
        <f>CE$2*CH45</f>
        <v>2</v>
      </c>
      <c r="CK45" t="s">
        <v>2803</v>
      </c>
      <c r="CO45" t="s">
        <v>7437</v>
      </c>
      <c r="CP45" s="89">
        <v>1</v>
      </c>
      <c r="CQ45" t="s">
        <v>2803</v>
      </c>
      <c r="CR45" s="89">
        <f>CM$2*CP45</f>
        <v>2</v>
      </c>
      <c r="CS45" t="s">
        <v>2803</v>
      </c>
      <c r="CU45" s="41">
        <f>H45+P45+X45+AF45+AV45+AN45+BD45+BL45+BT45+CB45+CJ45+CR45</f>
        <v>110</v>
      </c>
      <c r="CV45" t="s">
        <v>2803</v>
      </c>
    </row>
    <row r="46" spans="4:100">
      <c r="E46" t="s">
        <v>7438</v>
      </c>
      <c r="F46" s="89">
        <v>1</v>
      </c>
      <c r="G46" t="s">
        <v>2803</v>
      </c>
      <c r="H46" s="89">
        <f>$C$2*F46</f>
        <v>12</v>
      </c>
      <c r="I46" t="s">
        <v>2803</v>
      </c>
      <c r="M46" t="s">
        <v>7438</v>
      </c>
      <c r="N46" s="89">
        <v>1</v>
      </c>
      <c r="O46" t="s">
        <v>2803</v>
      </c>
      <c r="P46" s="89">
        <f>$C$2*N46</f>
        <v>12</v>
      </c>
      <c r="Q46" t="s">
        <v>2803</v>
      </c>
      <c r="U46" t="s">
        <v>7438</v>
      </c>
      <c r="V46" s="89">
        <v>1</v>
      </c>
      <c r="W46" t="s">
        <v>2803</v>
      </c>
      <c r="X46" s="89">
        <f>S$2*V46</f>
        <v>10</v>
      </c>
      <c r="Y46" t="s">
        <v>2803</v>
      </c>
      <c r="AC46" t="s">
        <v>7438</v>
      </c>
      <c r="AD46" s="89">
        <v>1</v>
      </c>
      <c r="AE46" t="s">
        <v>2803</v>
      </c>
      <c r="AF46" s="89">
        <f>AA$2*AD46</f>
        <v>32</v>
      </c>
      <c r="AG46" t="s">
        <v>2803</v>
      </c>
      <c r="AK46" t="s">
        <v>7438</v>
      </c>
      <c r="AL46" s="89">
        <v>1</v>
      </c>
      <c r="AM46" t="s">
        <v>2803</v>
      </c>
      <c r="AN46" s="89">
        <f>AI$2*AL46</f>
        <v>6</v>
      </c>
      <c r="AO46" t="s">
        <v>2803</v>
      </c>
      <c r="AS46" t="s">
        <v>7438</v>
      </c>
      <c r="AT46" s="89">
        <v>1</v>
      </c>
      <c r="AU46" t="s">
        <v>2803</v>
      </c>
      <c r="AV46" s="89">
        <f>AQ$2*AT46</f>
        <v>4</v>
      </c>
      <c r="AW46" t="s">
        <v>2803</v>
      </c>
      <c r="BA46" t="s">
        <v>7438</v>
      </c>
      <c r="BB46" s="89">
        <v>1</v>
      </c>
      <c r="BC46" t="s">
        <v>2803</v>
      </c>
      <c r="BD46" s="89">
        <f>AY$2*BB46</f>
        <v>2</v>
      </c>
      <c r="BE46" t="s">
        <v>2803</v>
      </c>
      <c r="BI46" t="s">
        <v>7438</v>
      </c>
      <c r="BJ46" s="89">
        <v>1</v>
      </c>
      <c r="BK46" t="s">
        <v>2803</v>
      </c>
      <c r="BL46" s="89">
        <f>BG$2*BJ46</f>
        <v>2</v>
      </c>
      <c r="BM46" t="s">
        <v>2803</v>
      </c>
      <c r="BQ46" t="s">
        <v>7438</v>
      </c>
      <c r="BR46" s="89">
        <v>1</v>
      </c>
      <c r="BS46" t="s">
        <v>2803</v>
      </c>
      <c r="BT46" s="89">
        <f>BO$2*BR46</f>
        <v>12</v>
      </c>
      <c r="BU46" t="s">
        <v>2803</v>
      </c>
      <c r="BY46" t="s">
        <v>7438</v>
      </c>
      <c r="BZ46" s="89">
        <v>1</v>
      </c>
      <c r="CA46" t="s">
        <v>2803</v>
      </c>
      <c r="CB46" s="89">
        <f>BW$2*BZ46</f>
        <v>4</v>
      </c>
      <c r="CC46" t="s">
        <v>2803</v>
      </c>
      <c r="CG46" t="s">
        <v>7438</v>
      </c>
      <c r="CH46" s="89">
        <v>1</v>
      </c>
      <c r="CI46" t="s">
        <v>2803</v>
      </c>
      <c r="CJ46" s="89">
        <f>CE$2*CH46</f>
        <v>2</v>
      </c>
      <c r="CK46" t="s">
        <v>2803</v>
      </c>
      <c r="CO46" t="s">
        <v>7438</v>
      </c>
      <c r="CP46" s="89">
        <v>1</v>
      </c>
      <c r="CQ46" t="s">
        <v>2803</v>
      </c>
      <c r="CR46" s="89">
        <f>CM$2*CP46</f>
        <v>2</v>
      </c>
      <c r="CS46" t="s">
        <v>2803</v>
      </c>
      <c r="CU46" s="41">
        <f>H46+P46+X46+AF46+AV46+AN46+BD46+BL46+BT46+CB46+CJ46+CR46</f>
        <v>100</v>
      </c>
      <c r="CV46" t="s">
        <v>2803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AB7BAA39244D4189A3D2B7AA90A8B9" ma:contentTypeVersion="21" ma:contentTypeDescription="Create a new document." ma:contentTypeScope="" ma:versionID="8ff7be97cbefd0a60049e2bace403b21">
  <xsd:schema xmlns:xsd="http://www.w3.org/2001/XMLSchema" xmlns:xs="http://www.w3.org/2001/XMLSchema" xmlns:p="http://schemas.microsoft.com/office/2006/metadata/properties" xmlns:ns2="32bda209-fb17-4fd3-beff-fb2b6666029a" xmlns:ns3="7a1a6427-7447-401b-b669-b1fb53f6e165" xmlns:ns4="http://schemas.microsoft.com/sharepoint/v4" xmlns:ns5="bffdc749-fe4c-4aff-a124-bb498114a6cb" targetNamespace="http://schemas.microsoft.com/office/2006/metadata/properties" ma:root="true" ma:fieldsID="b515eac5011d202b58ca33f511f6dd02" ns2:_="" ns3:_="" ns4:_="" ns5:_="">
    <xsd:import namespace="32bda209-fb17-4fd3-beff-fb2b6666029a"/>
    <xsd:import namespace="7a1a6427-7447-401b-b669-b1fb53f6e165"/>
    <xsd:import namespace="http://schemas.microsoft.com/sharepoint/v4"/>
    <xsd:import namespace="bffdc749-fe4c-4aff-a124-bb498114a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BillingMetadata" minOccurs="0"/>
                <xsd:element ref="ns2:MediaLengthInSeconds" minOccurs="0"/>
                <xsd:element ref="ns4:IconOverlay" minOccurs="0"/>
                <xsd:element ref="ns5:TaxKeywordTaxHTField" minOccurs="0"/>
                <xsd:element ref="ns5:PrimeClassificationStatus" minOccurs="0"/>
                <xsd:element ref="ns5:PrimeClassificationStatusDetails" minOccurs="0"/>
                <xsd:element ref="ns5:PrimeLastClassified" minOccurs="0"/>
                <xsd:element ref="ns5:PrimeCorrectedByUs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da209-fb17-4fd3-beff-fb2b666602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a1a6427-7447-401b-b669-b1fb53f6e16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f6b1d5-a19d-4c2b-a309-5f490d70c921}" ma:internalName="TaxCatchAll" ma:showField="CatchAllData" ma:web="bffdc749-fe4c-4aff-a124-bb498114a6c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2"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fdc749-fe4c-4aff-a124-bb498114a6cb"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9dcca09f-7c2a-419f-a79f-e64e1f5bcf93" ma:termSetId="00000000-0000-0000-0000-000000000000" ma:anchorId="00000000-0000-0000-0000-000000000000" ma:open="true" ma:isKeyword="true">
      <xsd:complexType>
        <xsd:sequence>
          <xsd:element ref="pc:Terms" minOccurs="0" maxOccurs="1"/>
        </xsd:sequence>
      </xsd:complexType>
    </xsd:element>
    <xsd:element name="PrimeClassificationStatus" ma:index="25" nillable="true" ma:displayName="Processing status" ma:internalName="PrimeClassificationStatus">
      <xsd:simpleType>
        <xsd:restriction base="dms:Text"/>
      </xsd:simpleType>
    </xsd:element>
    <xsd:element name="PrimeClassificationStatusDetails" ma:index="26" nillable="true" ma:displayName="Processing details" ma:internalName="PrimeClassificationStatusDetails">
      <xsd:simpleType>
        <xsd:restriction base="dms:Note">
          <xsd:maxLength value="255"/>
        </xsd:restriction>
      </xsd:simpleType>
    </xsd:element>
    <xsd:element name="PrimeLastClassified" ma:index="27" nillable="true" ma:displayName="Processed" ma:internalName="PrimeLastClassified">
      <xsd:simpleType>
        <xsd:restriction base="dms:DateTime"/>
      </xsd:simpleType>
    </xsd:element>
    <xsd:element name="PrimeCorrectedByUser" ma:index="28"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bda209-fb17-4fd3-beff-fb2b6666029a">
      <Terms xmlns="http://schemas.microsoft.com/office/infopath/2007/PartnerControls"/>
    </lcf76f155ced4ddcb4097134ff3c332f>
    <IconOverlay xmlns="http://schemas.microsoft.com/sharepoint/v4" xsi:nil="true"/>
    <TaxCatchAll xmlns="7a1a6427-7447-401b-b669-b1fb53f6e165" xsi:nil="true"/>
    <PrimeClassificationStatus xmlns="bffdc749-fe4c-4aff-a124-bb498114a6cb" xsi:nil="true"/>
    <PrimeClassificationStatusDetails xmlns="bffdc749-fe4c-4aff-a124-bb498114a6cb" xsi:nil="true"/>
    <PrimeCorrectedByUser xmlns="bffdc749-fe4c-4aff-a124-bb498114a6cb" xsi:nil="true"/>
    <TaxKeywordTaxHTField xmlns="bffdc749-fe4c-4aff-a124-bb498114a6cb">
      <Terms xmlns="http://schemas.microsoft.com/office/infopath/2007/PartnerControls"/>
    </TaxKeywordTaxHTField>
    <PrimeLastClassified xmlns="bffdc749-fe4c-4aff-a124-bb498114a6cb" xsi:nil="true"/>
  </documentManagement>
</p:properties>
</file>

<file path=customXml/itemProps1.xml><?xml version="1.0" encoding="utf-8"?>
<ds:datastoreItem xmlns:ds="http://schemas.openxmlformats.org/officeDocument/2006/customXml" ds:itemID="{63DDD3A8-DBCF-4612-9DE7-FC396328ED85}"/>
</file>

<file path=customXml/itemProps2.xml><?xml version="1.0" encoding="utf-8"?>
<ds:datastoreItem xmlns:ds="http://schemas.openxmlformats.org/officeDocument/2006/customXml" ds:itemID="{CE885BFE-622C-4E67-8E23-7DCBF35BD076}"/>
</file>

<file path=customXml/itemProps3.xml><?xml version="1.0" encoding="utf-8"?>
<ds:datastoreItem xmlns:ds="http://schemas.openxmlformats.org/officeDocument/2006/customXml" ds:itemID="{09E06E81-5B01-4E25-82B9-6438D27D27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
  <cp:revision/>
  <dcterms:created xsi:type="dcterms:W3CDTF">2015-06-05T18:17:20Z</dcterms:created>
  <dcterms:modified xsi:type="dcterms:W3CDTF">2026-05-04T09:18:53Z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0x01010099AB7BAA39244D4189A3D2B7AA90A8B9</vt:lpwstr>
  </property>
  <property fmtid="{D5CDD505-2E9C-101B-9397-08002B2CF9AE}" pid="3" name="MediaServiceImageTags">
    <vt:lpwstr/>
  </property>
  <property fmtid="{D5CDD505-2E9C-101B-9397-08002B2CF9AE}" pid="4" name="TaxKeyword">
    <vt:lpwstr/>
  </property>
  <property fmtid="{D5CDD505-2E9C-101B-9397-08002B2CF9AE}" pid="5" name="InternalDepartment">
    <vt:lpwstr/>
  </property>
  <property fmtid="{D5CDD505-2E9C-101B-9397-08002B2CF9AE}" pid="6" name="jb2458b6a45740759a0f65ed964f9b0f">
    <vt:lpwstr/>
  </property>
  <property fmtid="{D5CDD505-2E9C-101B-9397-08002B2CF9AE}" pid="7" name="e115578a15e24a4a98fd29f026adf1f4">
    <vt:lpwstr/>
  </property>
  <property fmtid="{D5CDD505-2E9C-101B-9397-08002B2CF9AE}" pid="8" name="j3021d9e58624e2d9d48086442d8da1b">
    <vt:lpwstr/>
  </property>
  <property fmtid="{D5CDD505-2E9C-101B-9397-08002B2CF9AE}" pid="9" name="ab89def8d26743959f8cfebb0be0963b">
    <vt:lpwstr/>
  </property>
  <property fmtid="{D5CDD505-2E9C-101B-9397-08002B2CF9AE}" pid="10" name="ProjectStage">
    <vt:lpwstr/>
  </property>
  <property fmtid="{D5CDD505-2E9C-101B-9397-08002B2CF9AE}" pid="11" name="OperationalRegion">
    <vt:lpwstr/>
  </property>
  <property fmtid="{D5CDD505-2E9C-101B-9397-08002B2CF9AE}" pid="12" name="Sector">
    <vt:lpwstr/>
  </property>
  <property fmtid="{D5CDD505-2E9C-101B-9397-08002B2CF9AE}" pid="13" name="DocType">
    <vt:lpwstr>Budget</vt:lpwstr>
  </property>
  <property fmtid="{D5CDD505-2E9C-101B-9397-08002B2CF9AE}" pid="14" name="Summary">
    <vt:lpwstr>Comprehensive hard bid estimate workbook for the Atlantic Fields Club Core, Dock Bar, Spa Pods, and Water Features project in Hobe Sound, including detailed subcontractor proposals, scope breakdowns, allowances, and cost summaries by CSI division.</vt:lpwstr>
  </property>
</Properties>
</file>